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mc:AlternateContent xmlns:mc="http://schemas.openxmlformats.org/markup-compatibility/2006">
    <mc:Choice Requires="x15">
      <x15ac:absPath xmlns:x15ac="http://schemas.microsoft.com/office/spreadsheetml/2010/11/ac" url="O:\BUDJET\2024\Рішення від .08.2024 №\Рішення МВК від .08.2024 №\"/>
    </mc:Choice>
  </mc:AlternateContent>
  <bookViews>
    <workbookView xWindow="0" yWindow="0" windowWidth="25125" windowHeight="12435" tabRatio="583" activeTab="1"/>
  </bookViews>
  <sheets>
    <sheet name="d1" sheetId="188" r:id="rId1"/>
    <sheet name="d2" sheetId="172" r:id="rId2"/>
    <sheet name="d3" sheetId="165" r:id="rId3"/>
    <sheet name="d4" sheetId="107" r:id="rId4"/>
    <sheet name="d5" sheetId="170" r:id="rId5"/>
    <sheet name="d6" sheetId="184" r:id="rId6"/>
    <sheet name="d7" sheetId="167" r:id="rId7"/>
    <sheet name="d8" sheetId="108" r:id="rId8"/>
    <sheet name="d9" sheetId="197" r:id="rId9"/>
    <sheet name="d1П" sheetId="200" r:id="rId10"/>
    <sheet name="d1 Рп" sheetId="203" r:id="rId11"/>
    <sheet name="d3П" sheetId="201" r:id="rId12"/>
    <sheet name="d3Рп" sheetId="202" r:id="rId13"/>
  </sheets>
  <definedNames>
    <definedName name="_GoBack" localSheetId="5">'d6'!#REF!</definedName>
    <definedName name="_xlnm.Print_Titles" localSheetId="2">'d3'!$11:$14</definedName>
    <definedName name="_xlnm.Print_Titles" localSheetId="11">d3П!$11:$14</definedName>
    <definedName name="_xlnm.Print_Titles" localSheetId="12">d3Рп!$11:$14</definedName>
    <definedName name="_xlnm.Print_Titles" localSheetId="5">'d6'!$9:$10</definedName>
    <definedName name="_xlnm.Print_Titles" localSheetId="6">'d7'!$12:$14</definedName>
    <definedName name="_xlnm.Print_Area" localSheetId="0">'d1'!$A$1:$F$157</definedName>
    <definedName name="_xlnm.Print_Area" localSheetId="10">'d1 Рп'!$A$1:$F$157</definedName>
    <definedName name="_xlnm.Print_Area" localSheetId="9">d1П!$A$1:$F$155</definedName>
    <definedName name="_xlnm.Print_Area" localSheetId="1">'d2'!$A$1:$F$64</definedName>
    <definedName name="_xlnm.Print_Area" localSheetId="2">'d3'!$A$1:$P$436</definedName>
    <definedName name="_xlnm.Print_Area" localSheetId="11">d3П!$A$1:$P$435</definedName>
    <definedName name="_xlnm.Print_Area" localSheetId="12">d3Рп!$A$1:$P$436</definedName>
    <definedName name="_xlnm.Print_Area" localSheetId="3">'d4'!$B$1:$Q$34</definedName>
    <definedName name="_xlnm.Print_Area" localSheetId="4">'d5'!$A$1:$D$112</definedName>
    <definedName name="_xlnm.Print_Area" localSheetId="5">'d6'!$B$1:$K$128</definedName>
    <definedName name="_xlnm.Print_Area" localSheetId="6">'d7'!$A$1:$J$369</definedName>
    <definedName name="_xlnm.Print_Area" localSheetId="7">'d8'!$A$1:$D$41</definedName>
    <definedName name="_xlnm.Print_Area" localSheetId="8">'d9'!$A$1:$F$28</definedName>
    <definedName name="С16" localSheetId="0">#REF!</definedName>
    <definedName name="С16" localSheetId="10">#REF!</definedName>
    <definedName name="С16" localSheetId="9">#REF!</definedName>
    <definedName name="С16" localSheetId="1">#REF!</definedName>
    <definedName name="С16" localSheetId="4">#REF!</definedName>
    <definedName name="С16" localSheetId="5">#REF!</definedName>
    <definedName name="С16" localSheetId="6">#REF!</definedName>
    <definedName name="С16" localSheetId="8">#REF!</definedName>
    <definedName name="С16">#REF!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172" l="1"/>
  <c r="E41" i="172"/>
  <c r="H45" i="167" l="1"/>
  <c r="D81" i="170"/>
  <c r="G432" i="165"/>
  <c r="G52" i="165"/>
  <c r="F52" i="165"/>
  <c r="F46" i="165"/>
  <c r="F150" i="203"/>
  <c r="E150" i="203"/>
  <c r="D150" i="203"/>
  <c r="C150" i="203"/>
  <c r="F149" i="203"/>
  <c r="E149" i="203"/>
  <c r="D149" i="203"/>
  <c r="C149" i="203"/>
  <c r="F148" i="203"/>
  <c r="E148" i="203"/>
  <c r="D148" i="203"/>
  <c r="C148" i="203"/>
  <c r="F147" i="203"/>
  <c r="E147" i="203"/>
  <c r="D147" i="203"/>
  <c r="C147" i="203"/>
  <c r="F146" i="203"/>
  <c r="E146" i="203"/>
  <c r="D146" i="203"/>
  <c r="C146" i="203"/>
  <c r="F145" i="203"/>
  <c r="E145" i="203"/>
  <c r="D145" i="203"/>
  <c r="C145" i="203"/>
  <c r="F144" i="203"/>
  <c r="E144" i="203"/>
  <c r="D144" i="203"/>
  <c r="C144" i="203"/>
  <c r="F143" i="203"/>
  <c r="E143" i="203"/>
  <c r="D143" i="203"/>
  <c r="C143" i="203"/>
  <c r="F142" i="203"/>
  <c r="E142" i="203"/>
  <c r="D142" i="203"/>
  <c r="C142" i="203"/>
  <c r="F141" i="203"/>
  <c r="E141" i="203"/>
  <c r="D141" i="203"/>
  <c r="C141" i="203"/>
  <c r="F140" i="203"/>
  <c r="E140" i="203"/>
  <c r="D140" i="203"/>
  <c r="C140" i="203"/>
  <c r="F139" i="203"/>
  <c r="E139" i="203"/>
  <c r="D139" i="203"/>
  <c r="C139" i="203"/>
  <c r="F138" i="203"/>
  <c r="E138" i="203"/>
  <c r="D138" i="203"/>
  <c r="C138" i="203"/>
  <c r="F137" i="203"/>
  <c r="E137" i="203"/>
  <c r="D137" i="203"/>
  <c r="C137" i="203"/>
  <c r="F136" i="203"/>
  <c r="E136" i="203"/>
  <c r="D136" i="203"/>
  <c r="C136" i="203"/>
  <c r="F135" i="203"/>
  <c r="E135" i="203"/>
  <c r="D135" i="203"/>
  <c r="C135" i="203"/>
  <c r="F134" i="203"/>
  <c r="E134" i="203"/>
  <c r="D134" i="203"/>
  <c r="C134" i="203"/>
  <c r="F133" i="203"/>
  <c r="E133" i="203"/>
  <c r="D133" i="203"/>
  <c r="C133" i="203"/>
  <c r="F132" i="203"/>
  <c r="E132" i="203"/>
  <c r="D132" i="203"/>
  <c r="C132" i="203"/>
  <c r="F131" i="203"/>
  <c r="E131" i="203"/>
  <c r="D131" i="203"/>
  <c r="C131" i="203"/>
  <c r="F130" i="203"/>
  <c r="E130" i="203"/>
  <c r="D130" i="203"/>
  <c r="C130" i="203"/>
  <c r="F129" i="203"/>
  <c r="E129" i="203"/>
  <c r="D129" i="203"/>
  <c r="C129" i="203"/>
  <c r="F128" i="203"/>
  <c r="E128" i="203"/>
  <c r="D128" i="203"/>
  <c r="C128" i="203"/>
  <c r="F127" i="203"/>
  <c r="E127" i="203"/>
  <c r="D127" i="203"/>
  <c r="C127" i="203"/>
  <c r="F126" i="203"/>
  <c r="E126" i="203"/>
  <c r="D126" i="203"/>
  <c r="C126" i="203"/>
  <c r="F125" i="203"/>
  <c r="E125" i="203"/>
  <c r="D125" i="203"/>
  <c r="C125" i="203"/>
  <c r="F124" i="203"/>
  <c r="E124" i="203"/>
  <c r="D124" i="203"/>
  <c r="C124" i="203"/>
  <c r="F123" i="203"/>
  <c r="E123" i="203"/>
  <c r="D123" i="203"/>
  <c r="C123" i="203"/>
  <c r="F122" i="203"/>
  <c r="E122" i="203"/>
  <c r="D122" i="203"/>
  <c r="C122" i="203"/>
  <c r="F121" i="203"/>
  <c r="E121" i="203"/>
  <c r="D121" i="203"/>
  <c r="C121" i="203"/>
  <c r="F120" i="203"/>
  <c r="E120" i="203"/>
  <c r="D120" i="203"/>
  <c r="C120" i="203"/>
  <c r="F119" i="203"/>
  <c r="E119" i="203"/>
  <c r="D119" i="203"/>
  <c r="C119" i="203"/>
  <c r="F118" i="203"/>
  <c r="E118" i="203"/>
  <c r="D118" i="203"/>
  <c r="C118" i="203"/>
  <c r="F117" i="203"/>
  <c r="E117" i="203"/>
  <c r="D117" i="203"/>
  <c r="C117" i="203"/>
  <c r="F112" i="203"/>
  <c r="E112" i="203"/>
  <c r="D112" i="203"/>
  <c r="C112" i="203"/>
  <c r="F109" i="203"/>
  <c r="E109" i="203"/>
  <c r="D109" i="203"/>
  <c r="C109" i="203"/>
  <c r="F108" i="203"/>
  <c r="E108" i="203"/>
  <c r="D108" i="203"/>
  <c r="C108" i="203"/>
  <c r="F107" i="203"/>
  <c r="E107" i="203"/>
  <c r="D107" i="203"/>
  <c r="C107" i="203"/>
  <c r="F106" i="203"/>
  <c r="E106" i="203"/>
  <c r="D106" i="203"/>
  <c r="C106" i="203"/>
  <c r="F105" i="203"/>
  <c r="E105" i="203"/>
  <c r="D105" i="203"/>
  <c r="C105" i="203"/>
  <c r="F104" i="203"/>
  <c r="E104" i="203"/>
  <c r="D104" i="203"/>
  <c r="C104" i="203"/>
  <c r="F103" i="203"/>
  <c r="E103" i="203"/>
  <c r="D103" i="203"/>
  <c r="C103" i="203"/>
  <c r="F102" i="203"/>
  <c r="E102" i="203"/>
  <c r="D102" i="203"/>
  <c r="C102" i="203"/>
  <c r="F100" i="203"/>
  <c r="E100" i="203"/>
  <c r="D100" i="203"/>
  <c r="C100" i="203"/>
  <c r="F99" i="203"/>
  <c r="E99" i="203"/>
  <c r="D99" i="203"/>
  <c r="C99" i="203"/>
  <c r="F98" i="203"/>
  <c r="E98" i="203"/>
  <c r="D98" i="203"/>
  <c r="C98" i="203"/>
  <c r="F97" i="203"/>
  <c r="E97" i="203"/>
  <c r="D97" i="203"/>
  <c r="C97" i="203"/>
  <c r="F96" i="203"/>
  <c r="E96" i="203"/>
  <c r="D96" i="203"/>
  <c r="C96" i="203"/>
  <c r="F95" i="203"/>
  <c r="E95" i="203"/>
  <c r="D95" i="203"/>
  <c r="C95" i="203"/>
  <c r="F94" i="203"/>
  <c r="E94" i="203"/>
  <c r="D94" i="203"/>
  <c r="C94" i="203"/>
  <c r="F93" i="203"/>
  <c r="E93" i="203"/>
  <c r="D93" i="203"/>
  <c r="C93" i="203"/>
  <c r="F92" i="203"/>
  <c r="E92" i="203"/>
  <c r="D92" i="203"/>
  <c r="C92" i="203"/>
  <c r="F91" i="203"/>
  <c r="E91" i="203"/>
  <c r="D91" i="203"/>
  <c r="C91" i="203"/>
  <c r="F90" i="203"/>
  <c r="E90" i="203"/>
  <c r="D90" i="203"/>
  <c r="C90" i="203"/>
  <c r="F89" i="203"/>
  <c r="E89" i="203"/>
  <c r="D89" i="203"/>
  <c r="C89" i="203"/>
  <c r="F88" i="203"/>
  <c r="E88" i="203"/>
  <c r="D88" i="203"/>
  <c r="C88" i="203"/>
  <c r="F87" i="203"/>
  <c r="E87" i="203"/>
  <c r="D87" i="203"/>
  <c r="C87" i="203"/>
  <c r="F86" i="203"/>
  <c r="E86" i="203"/>
  <c r="D86" i="203"/>
  <c r="C86" i="203"/>
  <c r="F85" i="203"/>
  <c r="E85" i="203"/>
  <c r="D85" i="203"/>
  <c r="C85" i="203"/>
  <c r="F84" i="203"/>
  <c r="E84" i="203"/>
  <c r="D84" i="203"/>
  <c r="C84" i="203"/>
  <c r="F83" i="203"/>
  <c r="E83" i="203"/>
  <c r="D83" i="203"/>
  <c r="C83" i="203"/>
  <c r="F82" i="203"/>
  <c r="E82" i="203"/>
  <c r="D82" i="203"/>
  <c r="C82" i="203"/>
  <c r="F81" i="203"/>
  <c r="E81" i="203"/>
  <c r="D81" i="203"/>
  <c r="C81" i="203"/>
  <c r="F80" i="203"/>
  <c r="E80" i="203"/>
  <c r="D80" i="203"/>
  <c r="C80" i="203"/>
  <c r="F79" i="203"/>
  <c r="E79" i="203"/>
  <c r="D79" i="203"/>
  <c r="C79" i="203"/>
  <c r="F78" i="203"/>
  <c r="E78" i="203"/>
  <c r="D78" i="203"/>
  <c r="C78" i="203"/>
  <c r="F77" i="203"/>
  <c r="E77" i="203"/>
  <c r="D77" i="203"/>
  <c r="C77" i="203"/>
  <c r="F76" i="203"/>
  <c r="E76" i="203"/>
  <c r="D76" i="203"/>
  <c r="C76" i="203"/>
  <c r="F75" i="203"/>
  <c r="E75" i="203"/>
  <c r="D75" i="203"/>
  <c r="C75" i="203"/>
  <c r="F74" i="203"/>
  <c r="E74" i="203"/>
  <c r="D74" i="203"/>
  <c r="C74" i="203"/>
  <c r="F73" i="203"/>
  <c r="E73" i="203"/>
  <c r="D73" i="203"/>
  <c r="C73" i="203"/>
  <c r="F72" i="203"/>
  <c r="E72" i="203"/>
  <c r="D72" i="203"/>
  <c r="C72" i="203"/>
  <c r="F71" i="203"/>
  <c r="E71" i="203"/>
  <c r="D71" i="203"/>
  <c r="C71" i="203"/>
  <c r="F70" i="203"/>
  <c r="E70" i="203"/>
  <c r="D70" i="203"/>
  <c r="C70" i="203"/>
  <c r="F69" i="203"/>
  <c r="E69" i="203"/>
  <c r="D69" i="203"/>
  <c r="C69" i="203"/>
  <c r="F68" i="203"/>
  <c r="E68" i="203"/>
  <c r="D68" i="203"/>
  <c r="C68" i="203"/>
  <c r="F67" i="203"/>
  <c r="E67" i="203"/>
  <c r="D67" i="203"/>
  <c r="C67" i="203"/>
  <c r="F65" i="203"/>
  <c r="E65" i="203"/>
  <c r="D65" i="203"/>
  <c r="C65" i="203"/>
  <c r="F64" i="203"/>
  <c r="E64" i="203"/>
  <c r="D64" i="203"/>
  <c r="C64" i="203"/>
  <c r="F63" i="203"/>
  <c r="E63" i="203"/>
  <c r="D63" i="203"/>
  <c r="C63" i="203"/>
  <c r="F62" i="203"/>
  <c r="E62" i="203"/>
  <c r="D62" i="203"/>
  <c r="C62" i="203"/>
  <c r="F61" i="203"/>
  <c r="E61" i="203"/>
  <c r="D61" i="203"/>
  <c r="C61" i="203"/>
  <c r="F60" i="203"/>
  <c r="E60" i="203"/>
  <c r="D60" i="203"/>
  <c r="C60" i="203"/>
  <c r="F59" i="203"/>
  <c r="E59" i="203"/>
  <c r="D59" i="203"/>
  <c r="C59" i="203"/>
  <c r="F58" i="203"/>
  <c r="E58" i="203"/>
  <c r="D58" i="203"/>
  <c r="C58" i="203"/>
  <c r="F57" i="203"/>
  <c r="E57" i="203"/>
  <c r="D57" i="203"/>
  <c r="C57" i="203"/>
  <c r="F56" i="203"/>
  <c r="E56" i="203"/>
  <c r="D56" i="203"/>
  <c r="C56" i="203"/>
  <c r="F55" i="203"/>
  <c r="E55" i="203"/>
  <c r="D55" i="203"/>
  <c r="C55" i="203"/>
  <c r="F54" i="203"/>
  <c r="E54" i="203"/>
  <c r="D54" i="203"/>
  <c r="C54" i="203"/>
  <c r="F53" i="203"/>
  <c r="E53" i="203"/>
  <c r="D53" i="203"/>
  <c r="C53" i="203"/>
  <c r="F52" i="203"/>
  <c r="E52" i="203"/>
  <c r="D52" i="203"/>
  <c r="C52" i="203"/>
  <c r="F51" i="203"/>
  <c r="E51" i="203"/>
  <c r="D51" i="203"/>
  <c r="C51" i="203"/>
  <c r="F50" i="203"/>
  <c r="E50" i="203"/>
  <c r="D50" i="203"/>
  <c r="C50" i="203"/>
  <c r="F49" i="203"/>
  <c r="E49" i="203"/>
  <c r="D49" i="203"/>
  <c r="C49" i="203"/>
  <c r="F48" i="203"/>
  <c r="E48" i="203"/>
  <c r="D48" i="203"/>
  <c r="C48" i="203"/>
  <c r="F47" i="203"/>
  <c r="E47" i="203"/>
  <c r="D47" i="203"/>
  <c r="C47" i="203"/>
  <c r="F46" i="203"/>
  <c r="E46" i="203"/>
  <c r="D46" i="203"/>
  <c r="C46" i="203"/>
  <c r="F45" i="203"/>
  <c r="E45" i="203"/>
  <c r="D45" i="203"/>
  <c r="C45" i="203"/>
  <c r="F44" i="203"/>
  <c r="E44" i="203"/>
  <c r="D44" i="203"/>
  <c r="C44" i="203"/>
  <c r="F43" i="203"/>
  <c r="E43" i="203"/>
  <c r="D43" i="203"/>
  <c r="C43" i="203"/>
  <c r="F42" i="203"/>
  <c r="E42" i="203"/>
  <c r="D42" i="203"/>
  <c r="C42" i="203"/>
  <c r="F41" i="203"/>
  <c r="E41" i="203"/>
  <c r="D41" i="203"/>
  <c r="C41" i="203"/>
  <c r="F40" i="203"/>
  <c r="E40" i="203"/>
  <c r="D40" i="203"/>
  <c r="C40" i="203"/>
  <c r="F39" i="203"/>
  <c r="E39" i="203"/>
  <c r="D39" i="203"/>
  <c r="C39" i="203"/>
  <c r="F38" i="203"/>
  <c r="E38" i="203"/>
  <c r="D38" i="203"/>
  <c r="C38" i="203"/>
  <c r="F37" i="203"/>
  <c r="E37" i="203"/>
  <c r="D37" i="203"/>
  <c r="C37" i="203"/>
  <c r="F36" i="203"/>
  <c r="E36" i="203"/>
  <c r="D36" i="203"/>
  <c r="C36" i="203"/>
  <c r="F35" i="203"/>
  <c r="E35" i="203"/>
  <c r="D35" i="203"/>
  <c r="C35" i="203"/>
  <c r="F34" i="203"/>
  <c r="E34" i="203"/>
  <c r="D34" i="203"/>
  <c r="C34" i="203"/>
  <c r="F33" i="203"/>
  <c r="E33" i="203"/>
  <c r="D33" i="203"/>
  <c r="C33" i="203"/>
  <c r="F32" i="203"/>
  <c r="E32" i="203"/>
  <c r="D32" i="203"/>
  <c r="C32" i="203"/>
  <c r="F31" i="203"/>
  <c r="E31" i="203"/>
  <c r="D31" i="203"/>
  <c r="C31" i="203"/>
  <c r="F30" i="203"/>
  <c r="E30" i="203"/>
  <c r="D30" i="203"/>
  <c r="C30" i="203"/>
  <c r="F29" i="203"/>
  <c r="E29" i="203"/>
  <c r="D29" i="203"/>
  <c r="C29" i="203"/>
  <c r="F28" i="203"/>
  <c r="E28" i="203"/>
  <c r="D28" i="203"/>
  <c r="C28" i="203"/>
  <c r="F27" i="203"/>
  <c r="E27" i="203"/>
  <c r="D27" i="203"/>
  <c r="C27" i="203"/>
  <c r="F26" i="203"/>
  <c r="E26" i="203"/>
  <c r="D26" i="203"/>
  <c r="C26" i="203"/>
  <c r="F25" i="203"/>
  <c r="E25" i="203"/>
  <c r="D25" i="203"/>
  <c r="C25" i="203"/>
  <c r="F24" i="203"/>
  <c r="E24" i="203"/>
  <c r="D24" i="203"/>
  <c r="C24" i="203"/>
  <c r="F23" i="203"/>
  <c r="E23" i="203"/>
  <c r="D23" i="203"/>
  <c r="C23" i="203"/>
  <c r="F22" i="203"/>
  <c r="E22" i="203"/>
  <c r="D22" i="203"/>
  <c r="C22" i="203"/>
  <c r="F21" i="203"/>
  <c r="E21" i="203"/>
  <c r="D21" i="203"/>
  <c r="C21" i="203"/>
  <c r="F20" i="203"/>
  <c r="E20" i="203"/>
  <c r="D20" i="203"/>
  <c r="C20" i="203"/>
  <c r="F19" i="203"/>
  <c r="E19" i="203"/>
  <c r="D19" i="203"/>
  <c r="C19" i="203"/>
  <c r="F18" i="203"/>
  <c r="E18" i="203"/>
  <c r="D18" i="203"/>
  <c r="C18" i="203"/>
  <c r="F17" i="203"/>
  <c r="E17" i="203"/>
  <c r="D17" i="203"/>
  <c r="C17" i="203"/>
  <c r="F16" i="203"/>
  <c r="E16" i="203"/>
  <c r="D16" i="203"/>
  <c r="C16" i="203"/>
  <c r="C151" i="203"/>
  <c r="F114" i="203"/>
  <c r="E114" i="203"/>
  <c r="C116" i="203"/>
  <c r="D115" i="203"/>
  <c r="C115" i="203"/>
  <c r="F111" i="203"/>
  <c r="E111" i="203"/>
  <c r="D111" i="203"/>
  <c r="C110" i="203"/>
  <c r="F101" i="203"/>
  <c r="F66" i="203"/>
  <c r="F15" i="203"/>
  <c r="D101" i="203" l="1"/>
  <c r="F113" i="203"/>
  <c r="F152" i="203" s="1"/>
  <c r="J152" i="203" s="1"/>
  <c r="D15" i="203"/>
  <c r="E66" i="203"/>
  <c r="D66" i="203"/>
  <c r="E15" i="203"/>
  <c r="C111" i="203"/>
  <c r="C66" i="203" l="1"/>
  <c r="C15" i="203"/>
  <c r="D113" i="203"/>
  <c r="E101" i="203"/>
  <c r="E113" i="203" s="1"/>
  <c r="E152" i="203" s="1"/>
  <c r="I152" i="203" s="1"/>
  <c r="C101" i="203" l="1"/>
  <c r="C113" i="203"/>
  <c r="D114" i="203"/>
  <c r="C114" i="203" s="1"/>
  <c r="D152" i="203" l="1"/>
  <c r="H152" i="203" s="1"/>
  <c r="C152" i="203" l="1"/>
  <c r="G152" i="203" l="1"/>
  <c r="F50" i="165" l="1"/>
  <c r="O432" i="165"/>
  <c r="K432" i="165"/>
  <c r="F432" i="165"/>
  <c r="J45" i="167"/>
  <c r="I45" i="167"/>
  <c r="J47" i="167"/>
  <c r="I47" i="167"/>
  <c r="H47" i="167"/>
  <c r="D95" i="170"/>
  <c r="K46" i="165"/>
  <c r="P319" i="202" l="1"/>
  <c r="O319" i="202"/>
  <c r="N319" i="202"/>
  <c r="M319" i="202"/>
  <c r="L319" i="202"/>
  <c r="K319" i="202"/>
  <c r="J319" i="202"/>
  <c r="I319" i="202"/>
  <c r="H319" i="202"/>
  <c r="G319" i="202"/>
  <c r="F319" i="202"/>
  <c r="E319" i="202"/>
  <c r="P318" i="202"/>
  <c r="O318" i="202"/>
  <c r="N318" i="202"/>
  <c r="M318" i="202"/>
  <c r="L318" i="202"/>
  <c r="K318" i="202"/>
  <c r="J318" i="202"/>
  <c r="I318" i="202"/>
  <c r="H318" i="202"/>
  <c r="G318" i="202"/>
  <c r="F318" i="202"/>
  <c r="E318" i="202"/>
  <c r="P317" i="202"/>
  <c r="O317" i="202"/>
  <c r="N317" i="202"/>
  <c r="M317" i="202"/>
  <c r="L317" i="202"/>
  <c r="K317" i="202"/>
  <c r="J317" i="202"/>
  <c r="I317" i="202"/>
  <c r="H317" i="202"/>
  <c r="G317" i="202"/>
  <c r="F317" i="202"/>
  <c r="E317" i="202"/>
  <c r="J298" i="167"/>
  <c r="I298" i="167"/>
  <c r="J108" i="184"/>
  <c r="K335" i="165"/>
  <c r="H288" i="167"/>
  <c r="Q286" i="165"/>
  <c r="H241" i="167"/>
  <c r="F275" i="165"/>
  <c r="H226" i="167"/>
  <c r="F265" i="165"/>
  <c r="K157" i="165"/>
  <c r="F142" i="165"/>
  <c r="J37" i="167" l="1"/>
  <c r="I37" i="167"/>
  <c r="H37" i="167"/>
  <c r="K38" i="165"/>
  <c r="F38" i="165"/>
  <c r="G18" i="165"/>
  <c r="F18" i="165"/>
  <c r="F231" i="165"/>
  <c r="F119" i="165" l="1"/>
  <c r="F115" i="165"/>
  <c r="F114" i="165"/>
  <c r="H334" i="167"/>
  <c r="F382" i="165"/>
  <c r="F54" i="165"/>
  <c r="J17" i="167"/>
  <c r="I17" i="167"/>
  <c r="E33" i="172" l="1"/>
  <c r="E32" i="172"/>
  <c r="F421" i="165"/>
  <c r="H46" i="167"/>
  <c r="D16" i="108"/>
  <c r="D15" i="108"/>
  <c r="J41" i="167"/>
  <c r="I41" i="167"/>
  <c r="H41" i="167"/>
  <c r="K39" i="165"/>
  <c r="F39" i="165"/>
  <c r="F24" i="165"/>
  <c r="D30" i="108"/>
  <c r="D35" i="108"/>
  <c r="O33" i="165"/>
  <c r="L33" i="165"/>
  <c r="H28" i="167"/>
  <c r="H24" i="167" l="1"/>
  <c r="F21" i="165"/>
  <c r="P423" i="202"/>
  <c r="O423" i="202"/>
  <c r="N423" i="202"/>
  <c r="M423" i="202"/>
  <c r="L423" i="202"/>
  <c r="K423" i="202"/>
  <c r="J423" i="202"/>
  <c r="I423" i="202"/>
  <c r="H423" i="202"/>
  <c r="G423" i="202"/>
  <c r="F423" i="202"/>
  <c r="E423" i="202"/>
  <c r="P422" i="202"/>
  <c r="O422" i="202"/>
  <c r="N422" i="202"/>
  <c r="M422" i="202"/>
  <c r="L422" i="202"/>
  <c r="K422" i="202"/>
  <c r="J422" i="202"/>
  <c r="I422" i="202"/>
  <c r="H422" i="202"/>
  <c r="G422" i="202"/>
  <c r="F422" i="202"/>
  <c r="E422" i="202"/>
  <c r="O421" i="202"/>
  <c r="N421" i="202"/>
  <c r="M421" i="202"/>
  <c r="L421" i="202"/>
  <c r="K421" i="202"/>
  <c r="J421" i="202"/>
  <c r="I421" i="202"/>
  <c r="H421" i="202"/>
  <c r="G421" i="202"/>
  <c r="F421" i="202"/>
  <c r="O420" i="202"/>
  <c r="N420" i="202"/>
  <c r="M420" i="202"/>
  <c r="L420" i="202"/>
  <c r="K420" i="202"/>
  <c r="J420" i="202"/>
  <c r="I420" i="202"/>
  <c r="H420" i="202"/>
  <c r="G420" i="202"/>
  <c r="P419" i="202"/>
  <c r="O419" i="202"/>
  <c r="N419" i="202"/>
  <c r="M419" i="202"/>
  <c r="L419" i="202"/>
  <c r="K419" i="202"/>
  <c r="J419" i="202"/>
  <c r="I419" i="202"/>
  <c r="H419" i="202"/>
  <c r="G419" i="202"/>
  <c r="F419" i="202"/>
  <c r="E419" i="202"/>
  <c r="P418" i="202"/>
  <c r="O418" i="202"/>
  <c r="N418" i="202"/>
  <c r="M418" i="202"/>
  <c r="L418" i="202"/>
  <c r="K418" i="202"/>
  <c r="J418" i="202"/>
  <c r="I418" i="202"/>
  <c r="H418" i="202"/>
  <c r="G418" i="202"/>
  <c r="F418" i="202"/>
  <c r="E418" i="202"/>
  <c r="P417" i="202"/>
  <c r="O417" i="202"/>
  <c r="N417" i="202"/>
  <c r="M417" i="202"/>
  <c r="L417" i="202"/>
  <c r="K417" i="202"/>
  <c r="J417" i="202"/>
  <c r="I417" i="202"/>
  <c r="H417" i="202"/>
  <c r="G417" i="202"/>
  <c r="F417" i="202"/>
  <c r="E417" i="202"/>
  <c r="P416" i="202"/>
  <c r="O416" i="202"/>
  <c r="N416" i="202"/>
  <c r="M416" i="202"/>
  <c r="L416" i="202"/>
  <c r="K416" i="202"/>
  <c r="J416" i="202"/>
  <c r="I416" i="202"/>
  <c r="H416" i="202"/>
  <c r="G416" i="202"/>
  <c r="F416" i="202"/>
  <c r="E416" i="202"/>
  <c r="P415" i="202"/>
  <c r="O415" i="202"/>
  <c r="N415" i="202"/>
  <c r="M415" i="202"/>
  <c r="L415" i="202"/>
  <c r="K415" i="202"/>
  <c r="J415" i="202"/>
  <c r="I415" i="202"/>
  <c r="H415" i="202"/>
  <c r="G415" i="202"/>
  <c r="F415" i="202"/>
  <c r="E415" i="202"/>
  <c r="P414" i="202"/>
  <c r="O414" i="202"/>
  <c r="N414" i="202"/>
  <c r="N413" i="202" s="1"/>
  <c r="M414" i="202"/>
  <c r="M413" i="202" s="1"/>
  <c r="L414" i="202"/>
  <c r="K414" i="202"/>
  <c r="J414" i="202"/>
  <c r="J413" i="202" s="1"/>
  <c r="I414" i="202"/>
  <c r="I413" i="202" s="1"/>
  <c r="H414" i="202"/>
  <c r="G414" i="202"/>
  <c r="F414" i="202"/>
  <c r="E414" i="202"/>
  <c r="G413" i="202"/>
  <c r="H413" i="202"/>
  <c r="K413" i="202"/>
  <c r="L413" i="202"/>
  <c r="O413" i="202"/>
  <c r="P411" i="202"/>
  <c r="O411" i="202"/>
  <c r="N411" i="202"/>
  <c r="M411" i="202"/>
  <c r="L411" i="202"/>
  <c r="K411" i="202"/>
  <c r="J411" i="202"/>
  <c r="I411" i="202"/>
  <c r="H411" i="202"/>
  <c r="G411" i="202"/>
  <c r="F411" i="202"/>
  <c r="E411" i="202"/>
  <c r="P410" i="202"/>
  <c r="O410" i="202"/>
  <c r="N410" i="202"/>
  <c r="M410" i="202"/>
  <c r="L410" i="202"/>
  <c r="K410" i="202"/>
  <c r="J410" i="202"/>
  <c r="I410" i="202"/>
  <c r="H410" i="202"/>
  <c r="G410" i="202"/>
  <c r="F410" i="202"/>
  <c r="E410" i="202"/>
  <c r="P409" i="202"/>
  <c r="O409" i="202"/>
  <c r="N409" i="202"/>
  <c r="M409" i="202"/>
  <c r="L409" i="202"/>
  <c r="K409" i="202"/>
  <c r="J409" i="202"/>
  <c r="I409" i="202"/>
  <c r="H409" i="202"/>
  <c r="G409" i="202"/>
  <c r="F409" i="202"/>
  <c r="E409" i="202"/>
  <c r="P408" i="202"/>
  <c r="O408" i="202"/>
  <c r="N408" i="202"/>
  <c r="M408" i="202"/>
  <c r="L408" i="202"/>
  <c r="K408" i="202"/>
  <c r="J408" i="202"/>
  <c r="I408" i="202"/>
  <c r="H408" i="202"/>
  <c r="G408" i="202"/>
  <c r="F408" i="202"/>
  <c r="E408" i="202"/>
  <c r="P407" i="202"/>
  <c r="O407" i="202"/>
  <c r="N407" i="202"/>
  <c r="M407" i="202"/>
  <c r="L407" i="202"/>
  <c r="K407" i="202"/>
  <c r="J407" i="202"/>
  <c r="I407" i="202"/>
  <c r="H407" i="202"/>
  <c r="G407" i="202"/>
  <c r="F407" i="202"/>
  <c r="E407" i="202"/>
  <c r="P406" i="202"/>
  <c r="O406" i="202"/>
  <c r="N406" i="202"/>
  <c r="M406" i="202"/>
  <c r="L406" i="202"/>
  <c r="K406" i="202"/>
  <c r="J406" i="202"/>
  <c r="I406" i="202"/>
  <c r="H406" i="202"/>
  <c r="G406" i="202"/>
  <c r="F406" i="202"/>
  <c r="E406" i="202"/>
  <c r="P405" i="202"/>
  <c r="O405" i="202"/>
  <c r="N405" i="202"/>
  <c r="M405" i="202"/>
  <c r="M404" i="202" s="1"/>
  <c r="M403" i="202" s="1"/>
  <c r="L405" i="202"/>
  <c r="K405" i="202"/>
  <c r="J405" i="202"/>
  <c r="I405" i="202"/>
  <c r="I404" i="202" s="1"/>
  <c r="I403" i="202" s="1"/>
  <c r="H405" i="202"/>
  <c r="G405" i="202"/>
  <c r="F405" i="202"/>
  <c r="E405" i="202"/>
  <c r="P400" i="202"/>
  <c r="O400" i="202"/>
  <c r="N400" i="202"/>
  <c r="M400" i="202"/>
  <c r="L400" i="202"/>
  <c r="K400" i="202"/>
  <c r="J400" i="202"/>
  <c r="I400" i="202"/>
  <c r="H400" i="202"/>
  <c r="G400" i="202"/>
  <c r="F400" i="202"/>
  <c r="E400" i="202"/>
  <c r="P399" i="202"/>
  <c r="O399" i="202"/>
  <c r="N399" i="202"/>
  <c r="M399" i="202"/>
  <c r="L399" i="202"/>
  <c r="K399" i="202"/>
  <c r="J399" i="202"/>
  <c r="I399" i="202"/>
  <c r="H399" i="202"/>
  <c r="G399" i="202"/>
  <c r="F399" i="202"/>
  <c r="E399" i="202"/>
  <c r="P398" i="202"/>
  <c r="O398" i="202"/>
  <c r="N398" i="202"/>
  <c r="M398" i="202"/>
  <c r="L398" i="202"/>
  <c r="K398" i="202"/>
  <c r="J398" i="202"/>
  <c r="I398" i="202"/>
  <c r="H398" i="202"/>
  <c r="G398" i="202"/>
  <c r="F398" i="202"/>
  <c r="E398" i="202"/>
  <c r="P397" i="202"/>
  <c r="O397" i="202"/>
  <c r="N397" i="202"/>
  <c r="M397" i="202"/>
  <c r="L397" i="202"/>
  <c r="K397" i="202"/>
  <c r="J397" i="202"/>
  <c r="I397" i="202"/>
  <c r="H397" i="202"/>
  <c r="G397" i="202"/>
  <c r="F397" i="202"/>
  <c r="E397" i="202"/>
  <c r="P396" i="202"/>
  <c r="O396" i="202"/>
  <c r="N396" i="202"/>
  <c r="M396" i="202"/>
  <c r="L396" i="202"/>
  <c r="K396" i="202"/>
  <c r="J396" i="202"/>
  <c r="I396" i="202"/>
  <c r="H396" i="202"/>
  <c r="G396" i="202"/>
  <c r="F396" i="202"/>
  <c r="E396" i="202"/>
  <c r="P395" i="202"/>
  <c r="O395" i="202"/>
  <c r="N395" i="202"/>
  <c r="M395" i="202"/>
  <c r="M394" i="202" s="1"/>
  <c r="M393" i="202" s="1"/>
  <c r="L395" i="202"/>
  <c r="K395" i="202"/>
  <c r="J395" i="202"/>
  <c r="I395" i="202"/>
  <c r="I394" i="202" s="1"/>
  <c r="I393" i="202" s="1"/>
  <c r="H395" i="202"/>
  <c r="G395" i="202"/>
  <c r="F395" i="202"/>
  <c r="E395" i="202"/>
  <c r="P389" i="202"/>
  <c r="O389" i="202"/>
  <c r="N389" i="202"/>
  <c r="M389" i="202"/>
  <c r="L389" i="202"/>
  <c r="K389" i="202"/>
  <c r="J389" i="202"/>
  <c r="I389" i="202"/>
  <c r="H389" i="202"/>
  <c r="G389" i="202"/>
  <c r="F389" i="202"/>
  <c r="E389" i="202"/>
  <c r="P388" i="202"/>
  <c r="O388" i="202"/>
  <c r="N388" i="202"/>
  <c r="M388" i="202"/>
  <c r="L388" i="202"/>
  <c r="K388" i="202"/>
  <c r="J388" i="202"/>
  <c r="I388" i="202"/>
  <c r="H388" i="202"/>
  <c r="G388" i="202"/>
  <c r="F388" i="202"/>
  <c r="E388" i="202"/>
  <c r="P387" i="202"/>
  <c r="O387" i="202"/>
  <c r="N387" i="202"/>
  <c r="M387" i="202"/>
  <c r="L387" i="202"/>
  <c r="K387" i="202"/>
  <c r="J387" i="202"/>
  <c r="I387" i="202"/>
  <c r="H387" i="202"/>
  <c r="G387" i="202"/>
  <c r="F387" i="202"/>
  <c r="E387" i="202"/>
  <c r="P386" i="202"/>
  <c r="O386" i="202"/>
  <c r="N386" i="202"/>
  <c r="M386" i="202"/>
  <c r="L386" i="202"/>
  <c r="K386" i="202"/>
  <c r="J386" i="202"/>
  <c r="I386" i="202"/>
  <c r="H386" i="202"/>
  <c r="G386" i="202"/>
  <c r="F386" i="202"/>
  <c r="E386" i="202"/>
  <c r="P385" i="202"/>
  <c r="O385" i="202"/>
  <c r="N385" i="202"/>
  <c r="M385" i="202"/>
  <c r="L385" i="202"/>
  <c r="K385" i="202"/>
  <c r="J385" i="202"/>
  <c r="I385" i="202"/>
  <c r="H385" i="202"/>
  <c r="G385" i="202"/>
  <c r="F385" i="202"/>
  <c r="E385" i="202"/>
  <c r="P384" i="202"/>
  <c r="O384" i="202"/>
  <c r="N384" i="202"/>
  <c r="M384" i="202"/>
  <c r="L384" i="202"/>
  <c r="K384" i="202"/>
  <c r="J384" i="202"/>
  <c r="I384" i="202"/>
  <c r="H384" i="202"/>
  <c r="G384" i="202"/>
  <c r="F384" i="202"/>
  <c r="E384" i="202"/>
  <c r="P383" i="202"/>
  <c r="O383" i="202"/>
  <c r="N383" i="202"/>
  <c r="M383" i="202"/>
  <c r="L383" i="202"/>
  <c r="K383" i="202"/>
  <c r="J383" i="202"/>
  <c r="I383" i="202"/>
  <c r="H383" i="202"/>
  <c r="G383" i="202"/>
  <c r="F383" i="202"/>
  <c r="E383" i="202"/>
  <c r="O382" i="202"/>
  <c r="N382" i="202"/>
  <c r="M382" i="202"/>
  <c r="L382" i="202"/>
  <c r="K382" i="202"/>
  <c r="J382" i="202"/>
  <c r="I382" i="202"/>
  <c r="H382" i="202"/>
  <c r="G382" i="202"/>
  <c r="F382" i="202"/>
  <c r="O381" i="202"/>
  <c r="N381" i="202"/>
  <c r="M381" i="202"/>
  <c r="L381" i="202"/>
  <c r="K381" i="202"/>
  <c r="J381" i="202"/>
  <c r="I381" i="202"/>
  <c r="H381" i="202"/>
  <c r="G381" i="202"/>
  <c r="P380" i="202"/>
  <c r="O380" i="202"/>
  <c r="N380" i="202"/>
  <c r="M380" i="202"/>
  <c r="L380" i="202"/>
  <c r="K380" i="202"/>
  <c r="J380" i="202"/>
  <c r="I380" i="202"/>
  <c r="H380" i="202"/>
  <c r="G380" i="202"/>
  <c r="F380" i="202"/>
  <c r="E380" i="202"/>
  <c r="P379" i="202"/>
  <c r="O379" i="202"/>
  <c r="N379" i="202"/>
  <c r="M379" i="202"/>
  <c r="L379" i="202"/>
  <c r="K379" i="202"/>
  <c r="J379" i="202"/>
  <c r="I379" i="202"/>
  <c r="H379" i="202"/>
  <c r="G379" i="202"/>
  <c r="F379" i="202"/>
  <c r="E379" i="202"/>
  <c r="O378" i="202"/>
  <c r="N378" i="202"/>
  <c r="M378" i="202"/>
  <c r="M374" i="202" s="1"/>
  <c r="M373" i="202" s="1"/>
  <c r="L378" i="202"/>
  <c r="K378" i="202"/>
  <c r="J378" i="202"/>
  <c r="I378" i="202"/>
  <c r="I374" i="202" s="1"/>
  <c r="I373" i="202" s="1"/>
  <c r="H378" i="202"/>
  <c r="G378" i="202"/>
  <c r="P377" i="202"/>
  <c r="O377" i="202"/>
  <c r="N377" i="202"/>
  <c r="M377" i="202"/>
  <c r="L377" i="202"/>
  <c r="K377" i="202"/>
  <c r="J377" i="202"/>
  <c r="I377" i="202"/>
  <c r="H377" i="202"/>
  <c r="G377" i="202"/>
  <c r="F377" i="202"/>
  <c r="E377" i="202"/>
  <c r="P376" i="202"/>
  <c r="O376" i="202"/>
  <c r="N376" i="202"/>
  <c r="M376" i="202"/>
  <c r="L376" i="202"/>
  <c r="K376" i="202"/>
  <c r="J376" i="202"/>
  <c r="I376" i="202"/>
  <c r="H376" i="202"/>
  <c r="G376" i="202"/>
  <c r="F376" i="202"/>
  <c r="E376" i="202"/>
  <c r="P375" i="202"/>
  <c r="O375" i="202"/>
  <c r="N375" i="202"/>
  <c r="M375" i="202"/>
  <c r="L375" i="202"/>
  <c r="K375" i="202"/>
  <c r="J375" i="202"/>
  <c r="I375" i="202"/>
  <c r="H375" i="202"/>
  <c r="G375" i="202"/>
  <c r="F375" i="202"/>
  <c r="E375" i="202"/>
  <c r="P370" i="202"/>
  <c r="O370" i="202"/>
  <c r="N370" i="202"/>
  <c r="M370" i="202"/>
  <c r="L370" i="202"/>
  <c r="K370" i="202"/>
  <c r="J370" i="202"/>
  <c r="I370" i="202"/>
  <c r="H370" i="202"/>
  <c r="G370" i="202"/>
  <c r="F370" i="202"/>
  <c r="E370" i="202"/>
  <c r="P369" i="202"/>
  <c r="O369" i="202"/>
  <c r="N369" i="202"/>
  <c r="M369" i="202"/>
  <c r="L369" i="202"/>
  <c r="K369" i="202"/>
  <c r="J369" i="202"/>
  <c r="I369" i="202"/>
  <c r="H369" i="202"/>
  <c r="G369" i="202"/>
  <c r="F369" i="202"/>
  <c r="E369" i="202"/>
  <c r="P368" i="202"/>
  <c r="O368" i="202"/>
  <c r="N368" i="202"/>
  <c r="M368" i="202"/>
  <c r="L368" i="202"/>
  <c r="K368" i="202"/>
  <c r="J368" i="202"/>
  <c r="I368" i="202"/>
  <c r="H368" i="202"/>
  <c r="G368" i="202"/>
  <c r="F368" i="202"/>
  <c r="E368" i="202"/>
  <c r="P367" i="202"/>
  <c r="O367" i="202"/>
  <c r="N367" i="202"/>
  <c r="M367" i="202"/>
  <c r="L367" i="202"/>
  <c r="K367" i="202"/>
  <c r="J367" i="202"/>
  <c r="I367" i="202"/>
  <c r="H367" i="202"/>
  <c r="G367" i="202"/>
  <c r="F367" i="202"/>
  <c r="E367" i="202"/>
  <c r="P366" i="202"/>
  <c r="O366" i="202"/>
  <c r="N366" i="202"/>
  <c r="M366" i="202"/>
  <c r="L366" i="202"/>
  <c r="K366" i="202"/>
  <c r="J366" i="202"/>
  <c r="I366" i="202"/>
  <c r="H366" i="202"/>
  <c r="G366" i="202"/>
  <c r="F366" i="202"/>
  <c r="E366" i="202"/>
  <c r="P365" i="202"/>
  <c r="O365" i="202"/>
  <c r="N365" i="202"/>
  <c r="M365" i="202"/>
  <c r="L365" i="202"/>
  <c r="K365" i="202"/>
  <c r="J365" i="202"/>
  <c r="I365" i="202"/>
  <c r="H365" i="202"/>
  <c r="G365" i="202"/>
  <c r="F365" i="202"/>
  <c r="E365" i="202"/>
  <c r="P364" i="202"/>
  <c r="O364" i="202"/>
  <c r="N364" i="202"/>
  <c r="M364" i="202"/>
  <c r="L364" i="202"/>
  <c r="K364" i="202"/>
  <c r="J364" i="202"/>
  <c r="I364" i="202"/>
  <c r="H364" i="202"/>
  <c r="G364" i="202"/>
  <c r="F364" i="202"/>
  <c r="E364" i="202"/>
  <c r="P363" i="202"/>
  <c r="O363" i="202"/>
  <c r="N363" i="202"/>
  <c r="M363" i="202"/>
  <c r="L363" i="202"/>
  <c r="K363" i="202"/>
  <c r="J363" i="202"/>
  <c r="I363" i="202"/>
  <c r="H363" i="202"/>
  <c r="G363" i="202"/>
  <c r="F363" i="202"/>
  <c r="E363" i="202"/>
  <c r="P362" i="202"/>
  <c r="O362" i="202"/>
  <c r="N362" i="202"/>
  <c r="M362" i="202"/>
  <c r="L362" i="202"/>
  <c r="K362" i="202"/>
  <c r="J362" i="202"/>
  <c r="I362" i="202"/>
  <c r="H362" i="202"/>
  <c r="G362" i="202"/>
  <c r="F362" i="202"/>
  <c r="E362" i="202"/>
  <c r="P361" i="202"/>
  <c r="O361" i="202"/>
  <c r="N361" i="202"/>
  <c r="M361" i="202"/>
  <c r="L361" i="202"/>
  <c r="K361" i="202"/>
  <c r="J361" i="202"/>
  <c r="I361" i="202"/>
  <c r="H361" i="202"/>
  <c r="G361" i="202"/>
  <c r="F361" i="202"/>
  <c r="E361" i="202"/>
  <c r="P360" i="202"/>
  <c r="O360" i="202"/>
  <c r="N360" i="202"/>
  <c r="M360" i="202"/>
  <c r="L360" i="202"/>
  <c r="K360" i="202"/>
  <c r="J360" i="202"/>
  <c r="I360" i="202"/>
  <c r="H360" i="202"/>
  <c r="G360" i="202"/>
  <c r="F360" i="202"/>
  <c r="E360" i="202"/>
  <c r="P359" i="202"/>
  <c r="O359" i="202"/>
  <c r="N359" i="202"/>
  <c r="M359" i="202"/>
  <c r="L359" i="202"/>
  <c r="K359" i="202"/>
  <c r="J359" i="202"/>
  <c r="I359" i="202"/>
  <c r="H359" i="202"/>
  <c r="G359" i="202"/>
  <c r="F359" i="202"/>
  <c r="E359" i="202"/>
  <c r="P358" i="202"/>
  <c r="O358" i="202"/>
  <c r="N358" i="202"/>
  <c r="M358" i="202"/>
  <c r="L358" i="202"/>
  <c r="K358" i="202"/>
  <c r="J358" i="202"/>
  <c r="I358" i="202"/>
  <c r="H358" i="202"/>
  <c r="G358" i="202"/>
  <c r="F358" i="202"/>
  <c r="E358" i="202"/>
  <c r="P357" i="202"/>
  <c r="O357" i="202"/>
  <c r="N357" i="202"/>
  <c r="M357" i="202"/>
  <c r="L357" i="202"/>
  <c r="K357" i="202"/>
  <c r="J357" i="202"/>
  <c r="I357" i="202"/>
  <c r="H357" i="202"/>
  <c r="G357" i="202"/>
  <c r="F357" i="202"/>
  <c r="E357" i="202"/>
  <c r="P356" i="202"/>
  <c r="O356" i="202"/>
  <c r="N356" i="202"/>
  <c r="M356" i="202"/>
  <c r="L356" i="202"/>
  <c r="K356" i="202"/>
  <c r="J356" i="202"/>
  <c r="I356" i="202"/>
  <c r="H356" i="202"/>
  <c r="G356" i="202"/>
  <c r="F356" i="202"/>
  <c r="E356" i="202"/>
  <c r="P350" i="202"/>
  <c r="O350" i="202"/>
  <c r="N350" i="202"/>
  <c r="M350" i="202"/>
  <c r="L350" i="202"/>
  <c r="K350" i="202"/>
  <c r="J350" i="202"/>
  <c r="I350" i="202"/>
  <c r="H350" i="202"/>
  <c r="G350" i="202"/>
  <c r="F350" i="202"/>
  <c r="E350" i="202"/>
  <c r="P349" i="202"/>
  <c r="O349" i="202"/>
  <c r="N349" i="202"/>
  <c r="M349" i="202"/>
  <c r="L349" i="202"/>
  <c r="K349" i="202"/>
  <c r="J349" i="202"/>
  <c r="I349" i="202"/>
  <c r="H349" i="202"/>
  <c r="G349" i="202"/>
  <c r="F349" i="202"/>
  <c r="E349" i="202"/>
  <c r="P348" i="202"/>
  <c r="O348" i="202"/>
  <c r="N348" i="202"/>
  <c r="M348" i="202"/>
  <c r="L348" i="202"/>
  <c r="K348" i="202"/>
  <c r="J348" i="202"/>
  <c r="I348" i="202"/>
  <c r="H348" i="202"/>
  <c r="G348" i="202"/>
  <c r="F348" i="202"/>
  <c r="E348" i="202"/>
  <c r="P347" i="202"/>
  <c r="O347" i="202"/>
  <c r="N347" i="202"/>
  <c r="M347" i="202"/>
  <c r="M346" i="202" s="1"/>
  <c r="M345" i="202" s="1"/>
  <c r="L347" i="202"/>
  <c r="K347" i="202"/>
  <c r="J347" i="202"/>
  <c r="I347" i="202"/>
  <c r="I346" i="202" s="1"/>
  <c r="I345" i="202" s="1"/>
  <c r="H347" i="202"/>
  <c r="G347" i="202"/>
  <c r="F347" i="202"/>
  <c r="E347" i="202"/>
  <c r="P338" i="202"/>
  <c r="O338" i="202"/>
  <c r="N338" i="202"/>
  <c r="M338" i="202"/>
  <c r="L338" i="202"/>
  <c r="K338" i="202"/>
  <c r="J338" i="202"/>
  <c r="I338" i="202"/>
  <c r="H338" i="202"/>
  <c r="G338" i="202"/>
  <c r="F338" i="202"/>
  <c r="E338" i="202"/>
  <c r="P337" i="202"/>
  <c r="O337" i="202"/>
  <c r="N337" i="202"/>
  <c r="M337" i="202"/>
  <c r="L337" i="202"/>
  <c r="K337" i="202"/>
  <c r="J337" i="202"/>
  <c r="I337" i="202"/>
  <c r="H337" i="202"/>
  <c r="G337" i="202"/>
  <c r="F337" i="202"/>
  <c r="E337" i="202"/>
  <c r="P336" i="202"/>
  <c r="O336" i="202"/>
  <c r="N336" i="202"/>
  <c r="M336" i="202"/>
  <c r="L336" i="202"/>
  <c r="K336" i="202"/>
  <c r="J336" i="202"/>
  <c r="I336" i="202"/>
  <c r="H336" i="202"/>
  <c r="G336" i="202"/>
  <c r="F336" i="202"/>
  <c r="E336" i="202"/>
  <c r="N335" i="202"/>
  <c r="M335" i="202"/>
  <c r="L335" i="202"/>
  <c r="K335" i="202"/>
  <c r="I335" i="202"/>
  <c r="H335" i="202"/>
  <c r="G335" i="202"/>
  <c r="F335" i="202"/>
  <c r="E335" i="202"/>
  <c r="N334" i="202"/>
  <c r="M334" i="202"/>
  <c r="L334" i="202"/>
  <c r="I334" i="202"/>
  <c r="H334" i="202"/>
  <c r="G334" i="202"/>
  <c r="F334" i="202"/>
  <c r="E334" i="202"/>
  <c r="P333" i="202"/>
  <c r="O333" i="202"/>
  <c r="N333" i="202"/>
  <c r="M333" i="202"/>
  <c r="L333" i="202"/>
  <c r="K333" i="202"/>
  <c r="J333" i="202"/>
  <c r="I333" i="202"/>
  <c r="H333" i="202"/>
  <c r="G333" i="202"/>
  <c r="F333" i="202"/>
  <c r="E333" i="202"/>
  <c r="N332" i="202"/>
  <c r="M332" i="202"/>
  <c r="L332" i="202"/>
  <c r="I332" i="202"/>
  <c r="H332" i="202"/>
  <c r="G332" i="202"/>
  <c r="F332" i="202"/>
  <c r="E332" i="202"/>
  <c r="N331" i="202"/>
  <c r="M331" i="202"/>
  <c r="L331" i="202"/>
  <c r="I331" i="202"/>
  <c r="H331" i="202"/>
  <c r="G331" i="202"/>
  <c r="F331" i="202"/>
  <c r="E331" i="202"/>
  <c r="P330" i="202"/>
  <c r="O330" i="202"/>
  <c r="N330" i="202"/>
  <c r="M330" i="202"/>
  <c r="L330" i="202"/>
  <c r="K330" i="202"/>
  <c r="J330" i="202"/>
  <c r="I330" i="202"/>
  <c r="H330" i="202"/>
  <c r="G330" i="202"/>
  <c r="F330" i="202"/>
  <c r="E330" i="202"/>
  <c r="P329" i="202"/>
  <c r="O329" i="202"/>
  <c r="N329" i="202"/>
  <c r="M329" i="202"/>
  <c r="L329" i="202"/>
  <c r="K329" i="202"/>
  <c r="J329" i="202"/>
  <c r="I329" i="202"/>
  <c r="H329" i="202"/>
  <c r="G329" i="202"/>
  <c r="F329" i="202"/>
  <c r="E329" i="202"/>
  <c r="P328" i="202"/>
  <c r="O328" i="202"/>
  <c r="N328" i="202"/>
  <c r="M328" i="202"/>
  <c r="L328" i="202"/>
  <c r="K328" i="202"/>
  <c r="J328" i="202"/>
  <c r="I328" i="202"/>
  <c r="H328" i="202"/>
  <c r="G328" i="202"/>
  <c r="F328" i="202"/>
  <c r="E328" i="202"/>
  <c r="P327" i="202"/>
  <c r="O327" i="202"/>
  <c r="N327" i="202"/>
  <c r="M327" i="202"/>
  <c r="L327" i="202"/>
  <c r="K327" i="202"/>
  <c r="J327" i="202"/>
  <c r="I327" i="202"/>
  <c r="H327" i="202"/>
  <c r="G327" i="202"/>
  <c r="F327" i="202"/>
  <c r="E327" i="202"/>
  <c r="P326" i="202"/>
  <c r="O326" i="202"/>
  <c r="N326" i="202"/>
  <c r="M326" i="202"/>
  <c r="L326" i="202"/>
  <c r="K326" i="202"/>
  <c r="J326" i="202"/>
  <c r="I326" i="202"/>
  <c r="H326" i="202"/>
  <c r="G326" i="202"/>
  <c r="F326" i="202"/>
  <c r="E326" i="202"/>
  <c r="P325" i="202"/>
  <c r="O325" i="202"/>
  <c r="N325" i="202"/>
  <c r="M325" i="202"/>
  <c r="L325" i="202"/>
  <c r="K325" i="202"/>
  <c r="J325" i="202"/>
  <c r="I325" i="202"/>
  <c r="H325" i="202"/>
  <c r="G325" i="202"/>
  <c r="F325" i="202"/>
  <c r="E325" i="202"/>
  <c r="P324" i="202"/>
  <c r="O324" i="202"/>
  <c r="N324" i="202"/>
  <c r="M324" i="202"/>
  <c r="L324" i="202"/>
  <c r="K324" i="202"/>
  <c r="J324" i="202"/>
  <c r="I324" i="202"/>
  <c r="H324" i="202"/>
  <c r="G324" i="202"/>
  <c r="F324" i="202"/>
  <c r="E324" i="202"/>
  <c r="P323" i="202"/>
  <c r="O323" i="202"/>
  <c r="N323" i="202"/>
  <c r="M323" i="202"/>
  <c r="L323" i="202"/>
  <c r="K323" i="202"/>
  <c r="J323" i="202"/>
  <c r="I323" i="202"/>
  <c r="H323" i="202"/>
  <c r="G323" i="202"/>
  <c r="F323" i="202"/>
  <c r="E323" i="202"/>
  <c r="P322" i="202"/>
  <c r="O322" i="202"/>
  <c r="N322" i="202"/>
  <c r="M322" i="202"/>
  <c r="L322" i="202"/>
  <c r="K322" i="202"/>
  <c r="J322" i="202"/>
  <c r="I322" i="202"/>
  <c r="H322" i="202"/>
  <c r="G322" i="202"/>
  <c r="F322" i="202"/>
  <c r="E322" i="202"/>
  <c r="P315" i="202"/>
  <c r="O315" i="202"/>
  <c r="N315" i="202"/>
  <c r="M315" i="202"/>
  <c r="L315" i="202"/>
  <c r="K315" i="202"/>
  <c r="J315" i="202"/>
  <c r="I315" i="202"/>
  <c r="H315" i="202"/>
  <c r="G315" i="202"/>
  <c r="F315" i="202"/>
  <c r="E315" i="202"/>
  <c r="P314" i="202"/>
  <c r="O314" i="202"/>
  <c r="N314" i="202"/>
  <c r="M314" i="202"/>
  <c r="L314" i="202"/>
  <c r="K314" i="202"/>
  <c r="J314" i="202"/>
  <c r="I314" i="202"/>
  <c r="H314" i="202"/>
  <c r="G314" i="202"/>
  <c r="F314" i="202"/>
  <c r="E314" i="202"/>
  <c r="P311" i="202"/>
  <c r="O311" i="202"/>
  <c r="N311" i="202"/>
  <c r="M311" i="202"/>
  <c r="L311" i="202"/>
  <c r="K311" i="202"/>
  <c r="J311" i="202"/>
  <c r="I311" i="202"/>
  <c r="H311" i="202"/>
  <c r="G311" i="202"/>
  <c r="F311" i="202"/>
  <c r="E311" i="202"/>
  <c r="P310" i="202"/>
  <c r="O310" i="202"/>
  <c r="N310" i="202"/>
  <c r="M310" i="202"/>
  <c r="L310" i="202"/>
  <c r="K310" i="202"/>
  <c r="J310" i="202"/>
  <c r="I310" i="202"/>
  <c r="H310" i="202"/>
  <c r="G310" i="202"/>
  <c r="F310" i="202"/>
  <c r="E310" i="202"/>
  <c r="P309" i="202"/>
  <c r="O309" i="202"/>
  <c r="N309" i="202"/>
  <c r="M309" i="202"/>
  <c r="L309" i="202"/>
  <c r="K309" i="202"/>
  <c r="J309" i="202"/>
  <c r="I309" i="202"/>
  <c r="H309" i="202"/>
  <c r="G309" i="202"/>
  <c r="F309" i="202"/>
  <c r="E309" i="202"/>
  <c r="P308" i="202"/>
  <c r="O308" i="202"/>
  <c r="N308" i="202"/>
  <c r="M308" i="202"/>
  <c r="L308" i="202"/>
  <c r="K308" i="202"/>
  <c r="J308" i="202"/>
  <c r="I308" i="202"/>
  <c r="H308" i="202"/>
  <c r="G308" i="202"/>
  <c r="F308" i="202"/>
  <c r="E308" i="202"/>
  <c r="P307" i="202"/>
  <c r="O307" i="202"/>
  <c r="N307" i="202"/>
  <c r="M307" i="202"/>
  <c r="L307" i="202"/>
  <c r="K307" i="202"/>
  <c r="J307" i="202"/>
  <c r="I307" i="202"/>
  <c r="H307" i="202"/>
  <c r="G307" i="202"/>
  <c r="F307" i="202"/>
  <c r="E307" i="202"/>
  <c r="P306" i="202"/>
  <c r="O306" i="202"/>
  <c r="N306" i="202"/>
  <c r="M306" i="202"/>
  <c r="L306" i="202"/>
  <c r="K306" i="202"/>
  <c r="J306" i="202"/>
  <c r="I306" i="202"/>
  <c r="H306" i="202"/>
  <c r="G306" i="202"/>
  <c r="F306" i="202"/>
  <c r="E306" i="202"/>
  <c r="P305" i="202"/>
  <c r="O305" i="202"/>
  <c r="N305" i="202"/>
  <c r="M305" i="202"/>
  <c r="L305" i="202"/>
  <c r="K305" i="202"/>
  <c r="J305" i="202"/>
  <c r="I305" i="202"/>
  <c r="H305" i="202"/>
  <c r="G305" i="202"/>
  <c r="F305" i="202"/>
  <c r="E305" i="202"/>
  <c r="P304" i="202"/>
  <c r="O304" i="202"/>
  <c r="N304" i="202"/>
  <c r="M304" i="202"/>
  <c r="L304" i="202"/>
  <c r="K304" i="202"/>
  <c r="J304" i="202"/>
  <c r="I304" i="202"/>
  <c r="H304" i="202"/>
  <c r="G304" i="202"/>
  <c r="F304" i="202"/>
  <c r="E304" i="202"/>
  <c r="P303" i="202"/>
  <c r="O303" i="202"/>
  <c r="N303" i="202"/>
  <c r="M303" i="202"/>
  <c r="L303" i="202"/>
  <c r="K303" i="202"/>
  <c r="J303" i="202"/>
  <c r="I303" i="202"/>
  <c r="H303" i="202"/>
  <c r="G303" i="202"/>
  <c r="F303" i="202"/>
  <c r="E303" i="202"/>
  <c r="P302" i="202"/>
  <c r="O302" i="202"/>
  <c r="N302" i="202"/>
  <c r="M302" i="202"/>
  <c r="L302" i="202"/>
  <c r="K302" i="202"/>
  <c r="J302" i="202"/>
  <c r="I302" i="202"/>
  <c r="H302" i="202"/>
  <c r="G302" i="202"/>
  <c r="F302" i="202"/>
  <c r="E302" i="202"/>
  <c r="P301" i="202"/>
  <c r="O301" i="202"/>
  <c r="N301" i="202"/>
  <c r="M301" i="202"/>
  <c r="L301" i="202"/>
  <c r="K301" i="202"/>
  <c r="J301" i="202"/>
  <c r="I301" i="202"/>
  <c r="H301" i="202"/>
  <c r="G301" i="202"/>
  <c r="F301" i="202"/>
  <c r="E301" i="202"/>
  <c r="P300" i="202"/>
  <c r="O300" i="202"/>
  <c r="N300" i="202"/>
  <c r="M300" i="202"/>
  <c r="L300" i="202"/>
  <c r="K300" i="202"/>
  <c r="J300" i="202"/>
  <c r="I300" i="202"/>
  <c r="H300" i="202"/>
  <c r="G300" i="202"/>
  <c r="F300" i="202"/>
  <c r="E300" i="202"/>
  <c r="P299" i="202"/>
  <c r="O299" i="202"/>
  <c r="N299" i="202"/>
  <c r="M299" i="202"/>
  <c r="L299" i="202"/>
  <c r="K299" i="202"/>
  <c r="J299" i="202"/>
  <c r="I299" i="202"/>
  <c r="H299" i="202"/>
  <c r="G299" i="202"/>
  <c r="F299" i="202"/>
  <c r="E299" i="202"/>
  <c r="P298" i="202"/>
  <c r="O298" i="202"/>
  <c r="N298" i="202"/>
  <c r="M298" i="202"/>
  <c r="L298" i="202"/>
  <c r="K298" i="202"/>
  <c r="J298" i="202"/>
  <c r="I298" i="202"/>
  <c r="H298" i="202"/>
  <c r="G298" i="202"/>
  <c r="F298" i="202"/>
  <c r="E298" i="202"/>
  <c r="P297" i="202"/>
  <c r="O297" i="202"/>
  <c r="N297" i="202"/>
  <c r="M297" i="202"/>
  <c r="L297" i="202"/>
  <c r="K297" i="202"/>
  <c r="J297" i="202"/>
  <c r="I297" i="202"/>
  <c r="H297" i="202"/>
  <c r="G297" i="202"/>
  <c r="F297" i="202"/>
  <c r="E297" i="202"/>
  <c r="P296" i="202"/>
  <c r="O296" i="202"/>
  <c r="N296" i="202"/>
  <c r="M296" i="202"/>
  <c r="L296" i="202"/>
  <c r="K296" i="202"/>
  <c r="J296" i="202"/>
  <c r="I296" i="202"/>
  <c r="H296" i="202"/>
  <c r="G296" i="202"/>
  <c r="F296" i="202"/>
  <c r="E296" i="202"/>
  <c r="P295" i="202"/>
  <c r="O295" i="202"/>
  <c r="N295" i="202"/>
  <c r="M295" i="202"/>
  <c r="L295" i="202"/>
  <c r="K295" i="202"/>
  <c r="J295" i="202"/>
  <c r="I295" i="202"/>
  <c r="H295" i="202"/>
  <c r="G295" i="202"/>
  <c r="F295" i="202"/>
  <c r="E295" i="202"/>
  <c r="P294" i="202"/>
  <c r="O294" i="202"/>
  <c r="N294" i="202"/>
  <c r="M294" i="202"/>
  <c r="L294" i="202"/>
  <c r="K294" i="202"/>
  <c r="J294" i="202"/>
  <c r="I294" i="202"/>
  <c r="H294" i="202"/>
  <c r="G294" i="202"/>
  <c r="F294" i="202"/>
  <c r="E294" i="202"/>
  <c r="P293" i="202"/>
  <c r="O293" i="202"/>
  <c r="N293" i="202"/>
  <c r="M293" i="202"/>
  <c r="L293" i="202"/>
  <c r="K293" i="202"/>
  <c r="J293" i="202"/>
  <c r="I293" i="202"/>
  <c r="H293" i="202"/>
  <c r="G293" i="202"/>
  <c r="F293" i="202"/>
  <c r="E293" i="202"/>
  <c r="P292" i="202"/>
  <c r="O292" i="202"/>
  <c r="N292" i="202"/>
  <c r="M292" i="202"/>
  <c r="L292" i="202"/>
  <c r="K292" i="202"/>
  <c r="J292" i="202"/>
  <c r="I292" i="202"/>
  <c r="H292" i="202"/>
  <c r="G292" i="202"/>
  <c r="F292" i="202"/>
  <c r="E292" i="202"/>
  <c r="P291" i="202"/>
  <c r="O291" i="202"/>
  <c r="N291" i="202"/>
  <c r="M291" i="202"/>
  <c r="L291" i="202"/>
  <c r="K291" i="202"/>
  <c r="J291" i="202"/>
  <c r="I291" i="202"/>
  <c r="H291" i="202"/>
  <c r="G291" i="202"/>
  <c r="F291" i="202"/>
  <c r="E291" i="202"/>
  <c r="P290" i="202"/>
  <c r="O290" i="202"/>
  <c r="N290" i="202"/>
  <c r="M290" i="202"/>
  <c r="L290" i="202"/>
  <c r="K290" i="202"/>
  <c r="J290" i="202"/>
  <c r="I290" i="202"/>
  <c r="H290" i="202"/>
  <c r="G290" i="202"/>
  <c r="F290" i="202"/>
  <c r="E290" i="202"/>
  <c r="P289" i="202"/>
  <c r="O289" i="202"/>
  <c r="N289" i="202"/>
  <c r="M289" i="202"/>
  <c r="L289" i="202"/>
  <c r="K289" i="202"/>
  <c r="J289" i="202"/>
  <c r="I289" i="202"/>
  <c r="H289" i="202"/>
  <c r="G289" i="202"/>
  <c r="F289" i="202"/>
  <c r="E289" i="202"/>
  <c r="P288" i="202"/>
  <c r="O288" i="202"/>
  <c r="N288" i="202"/>
  <c r="M288" i="202"/>
  <c r="L288" i="202"/>
  <c r="K288" i="202"/>
  <c r="J288" i="202"/>
  <c r="I288" i="202"/>
  <c r="H288" i="202"/>
  <c r="G288" i="202"/>
  <c r="F288" i="202"/>
  <c r="E288" i="202"/>
  <c r="P287" i="202"/>
  <c r="O287" i="202"/>
  <c r="N287" i="202"/>
  <c r="M287" i="202"/>
  <c r="L287" i="202"/>
  <c r="K287" i="202"/>
  <c r="J287" i="202"/>
  <c r="I287" i="202"/>
  <c r="H287" i="202"/>
  <c r="G287" i="202"/>
  <c r="F287" i="202"/>
  <c r="E287" i="202"/>
  <c r="P282" i="202"/>
  <c r="O282" i="202"/>
  <c r="N282" i="202"/>
  <c r="M282" i="202"/>
  <c r="L282" i="202"/>
  <c r="K282" i="202"/>
  <c r="J282" i="202"/>
  <c r="I282" i="202"/>
  <c r="H282" i="202"/>
  <c r="G282" i="202"/>
  <c r="F282" i="202"/>
  <c r="E282" i="202"/>
  <c r="P281" i="202"/>
  <c r="O281" i="202"/>
  <c r="N281" i="202"/>
  <c r="M281" i="202"/>
  <c r="L281" i="202"/>
  <c r="K281" i="202"/>
  <c r="J281" i="202"/>
  <c r="I281" i="202"/>
  <c r="H281" i="202"/>
  <c r="G281" i="202"/>
  <c r="F281" i="202"/>
  <c r="E281" i="202"/>
  <c r="P280" i="202"/>
  <c r="O280" i="202"/>
  <c r="N280" i="202"/>
  <c r="M280" i="202"/>
  <c r="L280" i="202"/>
  <c r="K280" i="202"/>
  <c r="J280" i="202"/>
  <c r="I280" i="202"/>
  <c r="H280" i="202"/>
  <c r="G280" i="202"/>
  <c r="F280" i="202"/>
  <c r="E280" i="202"/>
  <c r="P279" i="202"/>
  <c r="O279" i="202"/>
  <c r="N279" i="202"/>
  <c r="M279" i="202"/>
  <c r="L279" i="202"/>
  <c r="K279" i="202"/>
  <c r="J279" i="202"/>
  <c r="I279" i="202"/>
  <c r="H279" i="202"/>
  <c r="G279" i="202"/>
  <c r="F279" i="202"/>
  <c r="E279" i="202"/>
  <c r="P278" i="202"/>
  <c r="O278" i="202"/>
  <c r="N278" i="202"/>
  <c r="M278" i="202"/>
  <c r="L278" i="202"/>
  <c r="K278" i="202"/>
  <c r="J278" i="202"/>
  <c r="I278" i="202"/>
  <c r="H278" i="202"/>
  <c r="G278" i="202"/>
  <c r="F278" i="202"/>
  <c r="E278" i="202"/>
  <c r="P277" i="202"/>
  <c r="O277" i="202"/>
  <c r="N277" i="202"/>
  <c r="M277" i="202"/>
  <c r="L277" i="202"/>
  <c r="K277" i="202"/>
  <c r="J277" i="202"/>
  <c r="I277" i="202"/>
  <c r="H277" i="202"/>
  <c r="G277" i="202"/>
  <c r="F277" i="202"/>
  <c r="E277" i="202"/>
  <c r="P276" i="202"/>
  <c r="O276" i="202"/>
  <c r="N276" i="202"/>
  <c r="M276" i="202"/>
  <c r="L276" i="202"/>
  <c r="K276" i="202"/>
  <c r="J276" i="202"/>
  <c r="I276" i="202"/>
  <c r="H276" i="202"/>
  <c r="G276" i="202"/>
  <c r="F276" i="202"/>
  <c r="E276" i="202"/>
  <c r="O275" i="202"/>
  <c r="N275" i="202"/>
  <c r="M275" i="202"/>
  <c r="L275" i="202"/>
  <c r="K275" i="202"/>
  <c r="J275" i="202"/>
  <c r="I275" i="202"/>
  <c r="H275" i="202"/>
  <c r="G275" i="202"/>
  <c r="F275" i="202"/>
  <c r="O274" i="202"/>
  <c r="N274" i="202"/>
  <c r="M274" i="202"/>
  <c r="L274" i="202"/>
  <c r="K274" i="202"/>
  <c r="J274" i="202"/>
  <c r="I274" i="202"/>
  <c r="H274" i="202"/>
  <c r="G274" i="202"/>
  <c r="P273" i="202"/>
  <c r="O273" i="202"/>
  <c r="N273" i="202"/>
  <c r="M273" i="202"/>
  <c r="L273" i="202"/>
  <c r="K273" i="202"/>
  <c r="J273" i="202"/>
  <c r="I273" i="202"/>
  <c r="H273" i="202"/>
  <c r="G273" i="202"/>
  <c r="F273" i="202"/>
  <c r="E273" i="202"/>
  <c r="P272" i="202"/>
  <c r="O272" i="202"/>
  <c r="N272" i="202"/>
  <c r="M272" i="202"/>
  <c r="L272" i="202"/>
  <c r="K272" i="202"/>
  <c r="J272" i="202"/>
  <c r="I272" i="202"/>
  <c r="H272" i="202"/>
  <c r="G272" i="202"/>
  <c r="F272" i="202"/>
  <c r="E272" i="202"/>
  <c r="O271" i="202"/>
  <c r="N271" i="202"/>
  <c r="M271" i="202"/>
  <c r="L271" i="202"/>
  <c r="K271" i="202"/>
  <c r="J271" i="202"/>
  <c r="I271" i="202"/>
  <c r="H271" i="202"/>
  <c r="G271" i="202"/>
  <c r="P270" i="202"/>
  <c r="O270" i="202"/>
  <c r="N270" i="202"/>
  <c r="M270" i="202"/>
  <c r="L270" i="202"/>
  <c r="K270" i="202"/>
  <c r="J270" i="202"/>
  <c r="I270" i="202"/>
  <c r="H270" i="202"/>
  <c r="G270" i="202"/>
  <c r="F270" i="202"/>
  <c r="E270" i="202"/>
  <c r="P269" i="202"/>
  <c r="O269" i="202"/>
  <c r="N269" i="202"/>
  <c r="M269" i="202"/>
  <c r="L269" i="202"/>
  <c r="K269" i="202"/>
  <c r="J269" i="202"/>
  <c r="I269" i="202"/>
  <c r="H269" i="202"/>
  <c r="G269" i="202"/>
  <c r="F269" i="202"/>
  <c r="E269" i="202"/>
  <c r="P268" i="202"/>
  <c r="O268" i="202"/>
  <c r="N268" i="202"/>
  <c r="M268" i="202"/>
  <c r="L268" i="202"/>
  <c r="K268" i="202"/>
  <c r="J268" i="202"/>
  <c r="I268" i="202"/>
  <c r="H268" i="202"/>
  <c r="G268" i="202"/>
  <c r="F268" i="202"/>
  <c r="E268" i="202"/>
  <c r="P267" i="202"/>
  <c r="O267" i="202"/>
  <c r="N267" i="202"/>
  <c r="M267" i="202"/>
  <c r="L267" i="202"/>
  <c r="K267" i="202"/>
  <c r="J267" i="202"/>
  <c r="I267" i="202"/>
  <c r="H267" i="202"/>
  <c r="G267" i="202"/>
  <c r="F267" i="202"/>
  <c r="E267" i="202"/>
  <c r="P266" i="202"/>
  <c r="O266" i="202"/>
  <c r="N266" i="202"/>
  <c r="M266" i="202"/>
  <c r="L266" i="202"/>
  <c r="K266" i="202"/>
  <c r="J266" i="202"/>
  <c r="I266" i="202"/>
  <c r="H266" i="202"/>
  <c r="G266" i="202"/>
  <c r="F266" i="202"/>
  <c r="E266" i="202"/>
  <c r="O265" i="202"/>
  <c r="N265" i="202"/>
  <c r="M265" i="202"/>
  <c r="L265" i="202"/>
  <c r="K265" i="202"/>
  <c r="J265" i="202"/>
  <c r="I265" i="202"/>
  <c r="H265" i="202"/>
  <c r="G265" i="202"/>
  <c r="F265" i="202"/>
  <c r="O264" i="202"/>
  <c r="N264" i="202"/>
  <c r="M264" i="202"/>
  <c r="L264" i="202"/>
  <c r="K264" i="202"/>
  <c r="J264" i="202"/>
  <c r="I264" i="202"/>
  <c r="H264" i="202"/>
  <c r="G264" i="202"/>
  <c r="O263" i="202"/>
  <c r="N263" i="202"/>
  <c r="M263" i="202"/>
  <c r="L263" i="202"/>
  <c r="K263" i="202"/>
  <c r="J263" i="202"/>
  <c r="I263" i="202"/>
  <c r="H263" i="202"/>
  <c r="G263" i="202"/>
  <c r="P262" i="202"/>
  <c r="O262" i="202"/>
  <c r="N262" i="202"/>
  <c r="M262" i="202"/>
  <c r="L262" i="202"/>
  <c r="K262" i="202"/>
  <c r="J262" i="202"/>
  <c r="I262" i="202"/>
  <c r="H262" i="202"/>
  <c r="G262" i="202"/>
  <c r="F262" i="202"/>
  <c r="E262" i="202"/>
  <c r="P261" i="202"/>
  <c r="O261" i="202"/>
  <c r="N261" i="202"/>
  <c r="M261" i="202"/>
  <c r="L261" i="202"/>
  <c r="K261" i="202"/>
  <c r="J261" i="202"/>
  <c r="I261" i="202"/>
  <c r="H261" i="202"/>
  <c r="G261" i="202"/>
  <c r="F261" i="202"/>
  <c r="E261" i="202"/>
  <c r="P260" i="202"/>
  <c r="O260" i="202"/>
  <c r="N260" i="202"/>
  <c r="M260" i="202"/>
  <c r="L260" i="202"/>
  <c r="K260" i="202"/>
  <c r="J260" i="202"/>
  <c r="I260" i="202"/>
  <c r="H260" i="202"/>
  <c r="G260" i="202"/>
  <c r="F260" i="202"/>
  <c r="E260" i="202"/>
  <c r="P259" i="202"/>
  <c r="O259" i="202"/>
  <c r="N259" i="202"/>
  <c r="M259" i="202"/>
  <c r="L259" i="202"/>
  <c r="K259" i="202"/>
  <c r="J259" i="202"/>
  <c r="I259" i="202"/>
  <c r="H259" i="202"/>
  <c r="G259" i="202"/>
  <c r="F259" i="202"/>
  <c r="E259" i="202"/>
  <c r="P243" i="202"/>
  <c r="O243" i="202"/>
  <c r="N243" i="202"/>
  <c r="M243" i="202"/>
  <c r="L243" i="202"/>
  <c r="K243" i="202"/>
  <c r="J243" i="202"/>
  <c r="I243" i="202"/>
  <c r="H243" i="202"/>
  <c r="G243" i="202"/>
  <c r="F243" i="202"/>
  <c r="E243" i="202"/>
  <c r="P242" i="202"/>
  <c r="O242" i="202"/>
  <c r="N242" i="202"/>
  <c r="M242" i="202"/>
  <c r="L242" i="202"/>
  <c r="K242" i="202"/>
  <c r="J242" i="202"/>
  <c r="I242" i="202"/>
  <c r="H242" i="202"/>
  <c r="G242" i="202"/>
  <c r="F242" i="202"/>
  <c r="E242" i="202"/>
  <c r="P241" i="202"/>
  <c r="O241" i="202"/>
  <c r="N241" i="202"/>
  <c r="M241" i="202"/>
  <c r="L241" i="202"/>
  <c r="K241" i="202"/>
  <c r="J241" i="202"/>
  <c r="I241" i="202"/>
  <c r="H241" i="202"/>
  <c r="G241" i="202"/>
  <c r="F241" i="202"/>
  <c r="E241" i="202"/>
  <c r="P240" i="202"/>
  <c r="O240" i="202"/>
  <c r="N240" i="202"/>
  <c r="M240" i="202"/>
  <c r="L240" i="202"/>
  <c r="K240" i="202"/>
  <c r="J240" i="202"/>
  <c r="I240" i="202"/>
  <c r="H240" i="202"/>
  <c r="G240" i="202"/>
  <c r="F240" i="202"/>
  <c r="E240" i="202"/>
  <c r="P239" i="202"/>
  <c r="O239" i="202"/>
  <c r="N239" i="202"/>
  <c r="M239" i="202"/>
  <c r="L239" i="202"/>
  <c r="K239" i="202"/>
  <c r="J239" i="202"/>
  <c r="I239" i="202"/>
  <c r="H239" i="202"/>
  <c r="G239" i="202"/>
  <c r="F239" i="202"/>
  <c r="E239" i="202"/>
  <c r="P238" i="202"/>
  <c r="O238" i="202"/>
  <c r="N238" i="202"/>
  <c r="M238" i="202"/>
  <c r="L238" i="202"/>
  <c r="K238" i="202"/>
  <c r="J238" i="202"/>
  <c r="I238" i="202"/>
  <c r="H238" i="202"/>
  <c r="G238" i="202"/>
  <c r="F238" i="202"/>
  <c r="E238" i="202"/>
  <c r="P237" i="202"/>
  <c r="O237" i="202"/>
  <c r="N237" i="202"/>
  <c r="M237" i="202"/>
  <c r="L237" i="202"/>
  <c r="K237" i="202"/>
  <c r="J237" i="202"/>
  <c r="I237" i="202"/>
  <c r="H237" i="202"/>
  <c r="G237" i="202"/>
  <c r="F237" i="202"/>
  <c r="E237" i="202"/>
  <c r="P236" i="202"/>
  <c r="O236" i="202"/>
  <c r="N236" i="202"/>
  <c r="M236" i="202"/>
  <c r="L236" i="202"/>
  <c r="K236" i="202"/>
  <c r="J236" i="202"/>
  <c r="I236" i="202"/>
  <c r="H236" i="202"/>
  <c r="G236" i="202"/>
  <c r="F236" i="202"/>
  <c r="E236" i="202"/>
  <c r="P235" i="202"/>
  <c r="O235" i="202"/>
  <c r="N235" i="202"/>
  <c r="M235" i="202"/>
  <c r="L235" i="202"/>
  <c r="K235" i="202"/>
  <c r="J235" i="202"/>
  <c r="I235" i="202"/>
  <c r="H235" i="202"/>
  <c r="G235" i="202"/>
  <c r="F235" i="202"/>
  <c r="E235" i="202"/>
  <c r="P234" i="202"/>
  <c r="O234" i="202"/>
  <c r="N234" i="202"/>
  <c r="M234" i="202"/>
  <c r="L234" i="202"/>
  <c r="K234" i="202"/>
  <c r="J234" i="202"/>
  <c r="I234" i="202"/>
  <c r="H234" i="202"/>
  <c r="G234" i="202"/>
  <c r="F234" i="202"/>
  <c r="E234" i="202"/>
  <c r="P233" i="202"/>
  <c r="O233" i="202"/>
  <c r="N233" i="202"/>
  <c r="M233" i="202"/>
  <c r="L233" i="202"/>
  <c r="K233" i="202"/>
  <c r="J233" i="202"/>
  <c r="I233" i="202"/>
  <c r="H233" i="202"/>
  <c r="G233" i="202"/>
  <c r="F233" i="202"/>
  <c r="E233" i="202"/>
  <c r="P232" i="202"/>
  <c r="O232" i="202"/>
  <c r="N232" i="202"/>
  <c r="M232" i="202"/>
  <c r="L232" i="202"/>
  <c r="K232" i="202"/>
  <c r="J232" i="202"/>
  <c r="I232" i="202"/>
  <c r="H232" i="202"/>
  <c r="G232" i="202"/>
  <c r="F232" i="202"/>
  <c r="E232" i="202"/>
  <c r="O231" i="202"/>
  <c r="N231" i="202"/>
  <c r="M231" i="202"/>
  <c r="L231" i="202"/>
  <c r="K231" i="202"/>
  <c r="J231" i="202"/>
  <c r="I231" i="202"/>
  <c r="H231" i="202"/>
  <c r="G231" i="202"/>
  <c r="F231" i="202"/>
  <c r="O230" i="202"/>
  <c r="N230" i="202"/>
  <c r="M230" i="202"/>
  <c r="L230" i="202"/>
  <c r="K230" i="202"/>
  <c r="J230" i="202"/>
  <c r="I230" i="202"/>
  <c r="H230" i="202"/>
  <c r="G230" i="202"/>
  <c r="O229" i="202"/>
  <c r="N229" i="202"/>
  <c r="M229" i="202"/>
  <c r="L229" i="202"/>
  <c r="K229" i="202"/>
  <c r="J229" i="202"/>
  <c r="I229" i="202"/>
  <c r="H229" i="202"/>
  <c r="G229" i="202"/>
  <c r="P228" i="202"/>
  <c r="O228" i="202"/>
  <c r="N228" i="202"/>
  <c r="M228" i="202"/>
  <c r="L228" i="202"/>
  <c r="K228" i="202"/>
  <c r="J228" i="202"/>
  <c r="I228" i="202"/>
  <c r="H228" i="202"/>
  <c r="G228" i="202"/>
  <c r="F228" i="202"/>
  <c r="E228" i="202"/>
  <c r="P227" i="202"/>
  <c r="O227" i="202"/>
  <c r="N227" i="202"/>
  <c r="M227" i="202"/>
  <c r="L227" i="202"/>
  <c r="K227" i="202"/>
  <c r="J227" i="202"/>
  <c r="I227" i="202"/>
  <c r="H227" i="202"/>
  <c r="G227" i="202"/>
  <c r="F227" i="202"/>
  <c r="E227" i="202"/>
  <c r="P226" i="202"/>
  <c r="O226" i="202"/>
  <c r="N226" i="202"/>
  <c r="M226" i="202"/>
  <c r="L226" i="202"/>
  <c r="K226" i="202"/>
  <c r="J226" i="202"/>
  <c r="I226" i="202"/>
  <c r="H226" i="202"/>
  <c r="G226" i="202"/>
  <c r="F226" i="202"/>
  <c r="E226" i="202"/>
  <c r="P225" i="202"/>
  <c r="O225" i="202"/>
  <c r="N225" i="202"/>
  <c r="M225" i="202"/>
  <c r="L225" i="202"/>
  <c r="K225" i="202"/>
  <c r="J225" i="202"/>
  <c r="I225" i="202"/>
  <c r="H225" i="202"/>
  <c r="G225" i="202"/>
  <c r="F225" i="202"/>
  <c r="E225" i="202"/>
  <c r="P224" i="202"/>
  <c r="O224" i="202"/>
  <c r="N224" i="202"/>
  <c r="M224" i="202"/>
  <c r="L224" i="202"/>
  <c r="K224" i="202"/>
  <c r="J224" i="202"/>
  <c r="I224" i="202"/>
  <c r="H224" i="202"/>
  <c r="G224" i="202"/>
  <c r="F224" i="202"/>
  <c r="E224" i="202"/>
  <c r="P223" i="202"/>
  <c r="O223" i="202"/>
  <c r="N223" i="202"/>
  <c r="M223" i="202"/>
  <c r="L223" i="202"/>
  <c r="K223" i="202"/>
  <c r="J223" i="202"/>
  <c r="I223" i="202"/>
  <c r="H223" i="202"/>
  <c r="G223" i="202"/>
  <c r="F223" i="202"/>
  <c r="E223" i="202"/>
  <c r="P215" i="202"/>
  <c r="O215" i="202"/>
  <c r="N215" i="202"/>
  <c r="M215" i="202"/>
  <c r="L215" i="202"/>
  <c r="K215" i="202"/>
  <c r="J215" i="202"/>
  <c r="I215" i="202"/>
  <c r="H215" i="202"/>
  <c r="G215" i="202"/>
  <c r="F215" i="202"/>
  <c r="E215" i="202"/>
  <c r="P214" i="202"/>
  <c r="O214" i="202"/>
  <c r="N214" i="202"/>
  <c r="M214" i="202"/>
  <c r="L214" i="202"/>
  <c r="K214" i="202"/>
  <c r="J214" i="202"/>
  <c r="I214" i="202"/>
  <c r="H214" i="202"/>
  <c r="G214" i="202"/>
  <c r="F214" i="202"/>
  <c r="E214" i="202"/>
  <c r="P213" i="202"/>
  <c r="O213" i="202"/>
  <c r="N213" i="202"/>
  <c r="M213" i="202"/>
  <c r="L213" i="202"/>
  <c r="K213" i="202"/>
  <c r="J213" i="202"/>
  <c r="I213" i="202"/>
  <c r="H213" i="202"/>
  <c r="G213" i="202"/>
  <c r="F213" i="202"/>
  <c r="E213" i="202"/>
  <c r="P212" i="202"/>
  <c r="O212" i="202"/>
  <c r="N212" i="202"/>
  <c r="M212" i="202"/>
  <c r="L212" i="202"/>
  <c r="K212" i="202"/>
  <c r="J212" i="202"/>
  <c r="I212" i="202"/>
  <c r="H212" i="202"/>
  <c r="G212" i="202"/>
  <c r="F212" i="202"/>
  <c r="E212" i="202"/>
  <c r="P211" i="202"/>
  <c r="O211" i="202"/>
  <c r="N211" i="202"/>
  <c r="M211" i="202"/>
  <c r="L211" i="202"/>
  <c r="K211" i="202"/>
  <c r="J211" i="202"/>
  <c r="I211" i="202"/>
  <c r="H211" i="202"/>
  <c r="G211" i="202"/>
  <c r="F211" i="202"/>
  <c r="E211" i="202"/>
  <c r="P210" i="202"/>
  <c r="O210" i="202"/>
  <c r="N210" i="202"/>
  <c r="M210" i="202"/>
  <c r="L210" i="202"/>
  <c r="K210" i="202"/>
  <c r="J210" i="202"/>
  <c r="I210" i="202"/>
  <c r="H210" i="202"/>
  <c r="G210" i="202"/>
  <c r="F210" i="202"/>
  <c r="E210" i="202"/>
  <c r="P209" i="202"/>
  <c r="O209" i="202"/>
  <c r="N209" i="202"/>
  <c r="M209" i="202"/>
  <c r="L209" i="202"/>
  <c r="K209" i="202"/>
  <c r="J209" i="202"/>
  <c r="I209" i="202"/>
  <c r="H209" i="202"/>
  <c r="G209" i="202"/>
  <c r="F209" i="202"/>
  <c r="E209" i="202"/>
  <c r="P208" i="202"/>
  <c r="O208" i="202"/>
  <c r="N208" i="202"/>
  <c r="M208" i="202"/>
  <c r="L208" i="202"/>
  <c r="K208" i="202"/>
  <c r="J208" i="202"/>
  <c r="I208" i="202"/>
  <c r="H208" i="202"/>
  <c r="G208" i="202"/>
  <c r="F208" i="202"/>
  <c r="E208" i="202"/>
  <c r="P207" i="202"/>
  <c r="O207" i="202"/>
  <c r="N207" i="202"/>
  <c r="M207" i="202"/>
  <c r="L207" i="202"/>
  <c r="K207" i="202"/>
  <c r="J207" i="202"/>
  <c r="I207" i="202"/>
  <c r="H207" i="202"/>
  <c r="G207" i="202"/>
  <c r="F207" i="202"/>
  <c r="E207" i="202"/>
  <c r="P206" i="202"/>
  <c r="O206" i="202"/>
  <c r="N206" i="202"/>
  <c r="M206" i="202"/>
  <c r="L206" i="202"/>
  <c r="K206" i="202"/>
  <c r="J206" i="202"/>
  <c r="I206" i="202"/>
  <c r="H206" i="202"/>
  <c r="G206" i="202"/>
  <c r="F206" i="202"/>
  <c r="E206" i="202"/>
  <c r="P205" i="202"/>
  <c r="O205" i="202"/>
  <c r="N205" i="202"/>
  <c r="M205" i="202"/>
  <c r="L205" i="202"/>
  <c r="K205" i="202"/>
  <c r="J205" i="202"/>
  <c r="I205" i="202"/>
  <c r="H205" i="202"/>
  <c r="G205" i="202"/>
  <c r="F205" i="202"/>
  <c r="E205" i="202"/>
  <c r="P204" i="202"/>
  <c r="O204" i="202"/>
  <c r="N204" i="202"/>
  <c r="M204" i="202"/>
  <c r="L204" i="202"/>
  <c r="K204" i="202"/>
  <c r="J204" i="202"/>
  <c r="I204" i="202"/>
  <c r="H204" i="202"/>
  <c r="G204" i="202"/>
  <c r="F204" i="202"/>
  <c r="E204" i="202"/>
  <c r="P203" i="202"/>
  <c r="O203" i="202"/>
  <c r="N203" i="202"/>
  <c r="M203" i="202"/>
  <c r="L203" i="202"/>
  <c r="K203" i="202"/>
  <c r="J203" i="202"/>
  <c r="I203" i="202"/>
  <c r="H203" i="202"/>
  <c r="G203" i="202"/>
  <c r="F203" i="202"/>
  <c r="E203" i="202"/>
  <c r="P202" i="202"/>
  <c r="O202" i="202"/>
  <c r="N202" i="202"/>
  <c r="M202" i="202"/>
  <c r="L202" i="202"/>
  <c r="K202" i="202"/>
  <c r="J202" i="202"/>
  <c r="I202" i="202"/>
  <c r="H202" i="202"/>
  <c r="G202" i="202"/>
  <c r="F202" i="202"/>
  <c r="E202" i="202"/>
  <c r="P196" i="202"/>
  <c r="O196" i="202"/>
  <c r="N196" i="202"/>
  <c r="M196" i="202"/>
  <c r="L196" i="202"/>
  <c r="K196" i="202"/>
  <c r="J196" i="202"/>
  <c r="I196" i="202"/>
  <c r="H196" i="202"/>
  <c r="G196" i="202"/>
  <c r="F196" i="202"/>
  <c r="E196" i="202"/>
  <c r="P195" i="202"/>
  <c r="O195" i="202"/>
  <c r="N195" i="202"/>
  <c r="M195" i="202"/>
  <c r="L195" i="202"/>
  <c r="K195" i="202"/>
  <c r="J195" i="202"/>
  <c r="I195" i="202"/>
  <c r="H195" i="202"/>
  <c r="G195" i="202"/>
  <c r="F195" i="202"/>
  <c r="E195" i="202"/>
  <c r="P194" i="202"/>
  <c r="O194" i="202"/>
  <c r="N194" i="202"/>
  <c r="M194" i="202"/>
  <c r="L194" i="202"/>
  <c r="K194" i="202"/>
  <c r="J194" i="202"/>
  <c r="I194" i="202"/>
  <c r="H194" i="202"/>
  <c r="G194" i="202"/>
  <c r="F194" i="202"/>
  <c r="E194" i="202"/>
  <c r="P193" i="202"/>
  <c r="O193" i="202"/>
  <c r="N193" i="202"/>
  <c r="M193" i="202"/>
  <c r="L193" i="202"/>
  <c r="K193" i="202"/>
  <c r="J193" i="202"/>
  <c r="I193" i="202"/>
  <c r="H193" i="202"/>
  <c r="G193" i="202"/>
  <c r="F193" i="202"/>
  <c r="E193" i="202"/>
  <c r="P192" i="202"/>
  <c r="O192" i="202"/>
  <c r="N192" i="202"/>
  <c r="M192" i="202"/>
  <c r="L192" i="202"/>
  <c r="K192" i="202"/>
  <c r="J192" i="202"/>
  <c r="I192" i="202"/>
  <c r="H192" i="202"/>
  <c r="G192" i="202"/>
  <c r="F192" i="202"/>
  <c r="E192" i="202"/>
  <c r="P191" i="202"/>
  <c r="O191" i="202"/>
  <c r="N191" i="202"/>
  <c r="M191" i="202"/>
  <c r="L191" i="202"/>
  <c r="K191" i="202"/>
  <c r="J191" i="202"/>
  <c r="I191" i="202"/>
  <c r="H191" i="202"/>
  <c r="G191" i="202"/>
  <c r="F191" i="202"/>
  <c r="E191" i="202"/>
  <c r="P190" i="202"/>
  <c r="O190" i="202"/>
  <c r="N190" i="202"/>
  <c r="M190" i="202"/>
  <c r="L190" i="202"/>
  <c r="K190" i="202"/>
  <c r="J190" i="202"/>
  <c r="I190" i="202"/>
  <c r="H190" i="202"/>
  <c r="G190" i="202"/>
  <c r="F190" i="202"/>
  <c r="E190" i="202"/>
  <c r="P189" i="202"/>
  <c r="O189" i="202"/>
  <c r="N189" i="202"/>
  <c r="M189" i="202"/>
  <c r="L189" i="202"/>
  <c r="K189" i="202"/>
  <c r="J189" i="202"/>
  <c r="I189" i="202"/>
  <c r="H189" i="202"/>
  <c r="G189" i="202"/>
  <c r="F189" i="202"/>
  <c r="E189" i="202"/>
  <c r="P188" i="202"/>
  <c r="O188" i="202"/>
  <c r="N188" i="202"/>
  <c r="M188" i="202"/>
  <c r="L188" i="202"/>
  <c r="K188" i="202"/>
  <c r="J188" i="202"/>
  <c r="I188" i="202"/>
  <c r="H188" i="202"/>
  <c r="G188" i="202"/>
  <c r="F188" i="202"/>
  <c r="E188" i="202"/>
  <c r="P187" i="202"/>
  <c r="O187" i="202"/>
  <c r="N187" i="202"/>
  <c r="M187" i="202"/>
  <c r="L187" i="202"/>
  <c r="K187" i="202"/>
  <c r="J187" i="202"/>
  <c r="I187" i="202"/>
  <c r="H187" i="202"/>
  <c r="G187" i="202"/>
  <c r="F187" i="202"/>
  <c r="E187" i="202"/>
  <c r="P186" i="202"/>
  <c r="O186" i="202"/>
  <c r="N186" i="202"/>
  <c r="M186" i="202"/>
  <c r="L186" i="202"/>
  <c r="K186" i="202"/>
  <c r="J186" i="202"/>
  <c r="I186" i="202"/>
  <c r="H186" i="202"/>
  <c r="G186" i="202"/>
  <c r="F186" i="202"/>
  <c r="E186" i="202"/>
  <c r="P185" i="202"/>
  <c r="O185" i="202"/>
  <c r="N185" i="202"/>
  <c r="M185" i="202"/>
  <c r="L185" i="202"/>
  <c r="K185" i="202"/>
  <c r="J185" i="202"/>
  <c r="I185" i="202"/>
  <c r="H185" i="202"/>
  <c r="G185" i="202"/>
  <c r="F185" i="202"/>
  <c r="E185" i="202"/>
  <c r="P184" i="202"/>
  <c r="O184" i="202"/>
  <c r="N184" i="202"/>
  <c r="M184" i="202"/>
  <c r="L184" i="202"/>
  <c r="K184" i="202"/>
  <c r="J184" i="202"/>
  <c r="I184" i="202"/>
  <c r="H184" i="202"/>
  <c r="G184" i="202"/>
  <c r="F184" i="202"/>
  <c r="E184" i="202"/>
  <c r="P183" i="202"/>
  <c r="O183" i="202"/>
  <c r="N183" i="202"/>
  <c r="M183" i="202"/>
  <c r="L183" i="202"/>
  <c r="K183" i="202"/>
  <c r="J183" i="202"/>
  <c r="I183" i="202"/>
  <c r="H183" i="202"/>
  <c r="G183" i="202"/>
  <c r="F183" i="202"/>
  <c r="E183" i="202"/>
  <c r="P182" i="202"/>
  <c r="O182" i="202"/>
  <c r="N182" i="202"/>
  <c r="M182" i="202"/>
  <c r="L182" i="202"/>
  <c r="K182" i="202"/>
  <c r="J182" i="202"/>
  <c r="I182" i="202"/>
  <c r="H182" i="202"/>
  <c r="G182" i="202"/>
  <c r="F182" i="202"/>
  <c r="E182" i="202"/>
  <c r="P181" i="202"/>
  <c r="O181" i="202"/>
  <c r="N181" i="202"/>
  <c r="M181" i="202"/>
  <c r="L181" i="202"/>
  <c r="K181" i="202"/>
  <c r="J181" i="202"/>
  <c r="I181" i="202"/>
  <c r="H181" i="202"/>
  <c r="G181" i="202"/>
  <c r="F181" i="202"/>
  <c r="E181" i="202"/>
  <c r="P180" i="202"/>
  <c r="O180" i="202"/>
  <c r="N180" i="202"/>
  <c r="M180" i="202"/>
  <c r="L180" i="202"/>
  <c r="K180" i="202"/>
  <c r="J180" i="202"/>
  <c r="I180" i="202"/>
  <c r="H180" i="202"/>
  <c r="G180" i="202"/>
  <c r="F180" i="202"/>
  <c r="E180" i="202"/>
  <c r="P179" i="202"/>
  <c r="O179" i="202"/>
  <c r="N179" i="202"/>
  <c r="M179" i="202"/>
  <c r="L179" i="202"/>
  <c r="K179" i="202"/>
  <c r="J179" i="202"/>
  <c r="I179" i="202"/>
  <c r="H179" i="202"/>
  <c r="G179" i="202"/>
  <c r="F179" i="202"/>
  <c r="P178" i="202"/>
  <c r="O178" i="202"/>
  <c r="N178" i="202"/>
  <c r="M178" i="202"/>
  <c r="L178" i="202"/>
  <c r="K178" i="202"/>
  <c r="J178" i="202"/>
  <c r="I178" i="202"/>
  <c r="H178" i="202"/>
  <c r="G178" i="202"/>
  <c r="F178" i="202"/>
  <c r="P177" i="202"/>
  <c r="O177" i="202"/>
  <c r="N177" i="202"/>
  <c r="M177" i="202"/>
  <c r="L177" i="202"/>
  <c r="K177" i="202"/>
  <c r="J177" i="202"/>
  <c r="I177" i="202"/>
  <c r="H177" i="202"/>
  <c r="G177" i="202"/>
  <c r="F177" i="202"/>
  <c r="E177" i="202"/>
  <c r="P176" i="202"/>
  <c r="O176" i="202"/>
  <c r="N176" i="202"/>
  <c r="M176" i="202"/>
  <c r="L176" i="202"/>
  <c r="K176" i="202"/>
  <c r="J176" i="202"/>
  <c r="I176" i="202"/>
  <c r="H176" i="202"/>
  <c r="G176" i="202"/>
  <c r="F176" i="202"/>
  <c r="P175" i="202"/>
  <c r="O175" i="202"/>
  <c r="N175" i="202"/>
  <c r="M175" i="202"/>
  <c r="L175" i="202"/>
  <c r="K175" i="202"/>
  <c r="J175" i="202"/>
  <c r="I175" i="202"/>
  <c r="H175" i="202"/>
  <c r="G175" i="202"/>
  <c r="F175" i="202"/>
  <c r="P174" i="202"/>
  <c r="O174" i="202"/>
  <c r="N174" i="202"/>
  <c r="M174" i="202"/>
  <c r="L174" i="202"/>
  <c r="K174" i="202"/>
  <c r="J174" i="202"/>
  <c r="I174" i="202"/>
  <c r="H174" i="202"/>
  <c r="G174" i="202"/>
  <c r="F174" i="202"/>
  <c r="P173" i="202"/>
  <c r="O173" i="202"/>
  <c r="N173" i="202"/>
  <c r="M173" i="202"/>
  <c r="L173" i="202"/>
  <c r="K173" i="202"/>
  <c r="J173" i="202"/>
  <c r="I173" i="202"/>
  <c r="H173" i="202"/>
  <c r="G173" i="202"/>
  <c r="F173" i="202"/>
  <c r="E173" i="202"/>
  <c r="P172" i="202"/>
  <c r="O172" i="202"/>
  <c r="N172" i="202"/>
  <c r="M172" i="202"/>
  <c r="L172" i="202"/>
  <c r="K172" i="202"/>
  <c r="J172" i="202"/>
  <c r="I172" i="202"/>
  <c r="H172" i="202"/>
  <c r="G172" i="202"/>
  <c r="F172" i="202"/>
  <c r="P171" i="202"/>
  <c r="O171" i="202"/>
  <c r="N171" i="202"/>
  <c r="M171" i="202"/>
  <c r="L171" i="202"/>
  <c r="K171" i="202"/>
  <c r="J171" i="202"/>
  <c r="I171" i="202"/>
  <c r="H171" i="202"/>
  <c r="G171" i="202"/>
  <c r="F171" i="202"/>
  <c r="P170" i="202"/>
  <c r="O170" i="202"/>
  <c r="N170" i="202"/>
  <c r="M170" i="202"/>
  <c r="L170" i="202"/>
  <c r="K170" i="202"/>
  <c r="J170" i="202"/>
  <c r="I170" i="202"/>
  <c r="H170" i="202"/>
  <c r="G170" i="202"/>
  <c r="F170" i="202"/>
  <c r="P169" i="202"/>
  <c r="O169" i="202"/>
  <c r="N169" i="202"/>
  <c r="M169" i="202"/>
  <c r="L169" i="202"/>
  <c r="K169" i="202"/>
  <c r="J169" i="202"/>
  <c r="I169" i="202"/>
  <c r="H169" i="202"/>
  <c r="G169" i="202"/>
  <c r="F169" i="202"/>
  <c r="E169" i="202"/>
  <c r="P168" i="202"/>
  <c r="O168" i="202"/>
  <c r="N168" i="202"/>
  <c r="M168" i="202"/>
  <c r="L168" i="202"/>
  <c r="K168" i="202"/>
  <c r="J168" i="202"/>
  <c r="I168" i="202"/>
  <c r="H168" i="202"/>
  <c r="G168" i="202"/>
  <c r="F168" i="202"/>
  <c r="E168" i="202"/>
  <c r="P167" i="202"/>
  <c r="O167" i="202"/>
  <c r="N167" i="202"/>
  <c r="M167" i="202"/>
  <c r="L167" i="202"/>
  <c r="K167" i="202"/>
  <c r="J167" i="202"/>
  <c r="I167" i="202"/>
  <c r="H167" i="202"/>
  <c r="G167" i="202"/>
  <c r="F167" i="202"/>
  <c r="E167" i="202"/>
  <c r="P166" i="202"/>
  <c r="O166" i="202"/>
  <c r="N166" i="202"/>
  <c r="M166" i="202"/>
  <c r="L166" i="202"/>
  <c r="K166" i="202"/>
  <c r="J166" i="202"/>
  <c r="I166" i="202"/>
  <c r="H166" i="202"/>
  <c r="G166" i="202"/>
  <c r="F166" i="202"/>
  <c r="E166" i="202"/>
  <c r="P165" i="202"/>
  <c r="O165" i="202"/>
  <c r="N165" i="202"/>
  <c r="M165" i="202"/>
  <c r="L165" i="202"/>
  <c r="K165" i="202"/>
  <c r="J165" i="202"/>
  <c r="I165" i="202"/>
  <c r="H165" i="202"/>
  <c r="G165" i="202"/>
  <c r="F165" i="202"/>
  <c r="E165" i="202"/>
  <c r="P164" i="202"/>
  <c r="O164" i="202"/>
  <c r="N164" i="202"/>
  <c r="M164" i="202"/>
  <c r="L164" i="202"/>
  <c r="K164" i="202"/>
  <c r="J164" i="202"/>
  <c r="I164" i="202"/>
  <c r="H164" i="202"/>
  <c r="G164" i="202"/>
  <c r="F164" i="202"/>
  <c r="E164" i="202"/>
  <c r="P163" i="202"/>
  <c r="O163" i="202"/>
  <c r="N163" i="202"/>
  <c r="M163" i="202"/>
  <c r="L163" i="202"/>
  <c r="K163" i="202"/>
  <c r="J163" i="202"/>
  <c r="I163" i="202"/>
  <c r="H163" i="202"/>
  <c r="G163" i="202"/>
  <c r="F163" i="202"/>
  <c r="E163" i="202"/>
  <c r="P162" i="202"/>
  <c r="O162" i="202"/>
  <c r="N162" i="202"/>
  <c r="M162" i="202"/>
  <c r="L162" i="202"/>
  <c r="K162" i="202"/>
  <c r="J162" i="202"/>
  <c r="I162" i="202"/>
  <c r="H162" i="202"/>
  <c r="G162" i="202"/>
  <c r="F162" i="202"/>
  <c r="E162" i="202"/>
  <c r="P161" i="202"/>
  <c r="O161" i="202"/>
  <c r="N161" i="202"/>
  <c r="M161" i="202"/>
  <c r="L161" i="202"/>
  <c r="K161" i="202"/>
  <c r="J161" i="202"/>
  <c r="I161" i="202"/>
  <c r="H161" i="202"/>
  <c r="G161" i="202"/>
  <c r="F161" i="202"/>
  <c r="E161" i="202"/>
  <c r="P160" i="202"/>
  <c r="O160" i="202"/>
  <c r="N160" i="202"/>
  <c r="M160" i="202"/>
  <c r="L160" i="202"/>
  <c r="K160" i="202"/>
  <c r="J160" i="202"/>
  <c r="I160" i="202"/>
  <c r="H160" i="202"/>
  <c r="G160" i="202"/>
  <c r="F160" i="202"/>
  <c r="E160" i="202"/>
  <c r="P159" i="202"/>
  <c r="O159" i="202"/>
  <c r="N159" i="202"/>
  <c r="M159" i="202"/>
  <c r="L159" i="202"/>
  <c r="K159" i="202"/>
  <c r="J159" i="202"/>
  <c r="I159" i="202"/>
  <c r="H159" i="202"/>
  <c r="G159" i="202"/>
  <c r="F159" i="202"/>
  <c r="E159" i="202"/>
  <c r="P158" i="202"/>
  <c r="O158" i="202"/>
  <c r="N158" i="202"/>
  <c r="M158" i="202"/>
  <c r="L158" i="202"/>
  <c r="K158" i="202"/>
  <c r="J158" i="202"/>
  <c r="I158" i="202"/>
  <c r="H158" i="202"/>
  <c r="G158" i="202"/>
  <c r="F158" i="202"/>
  <c r="E158" i="202"/>
  <c r="N157" i="202"/>
  <c r="M157" i="202"/>
  <c r="L157" i="202"/>
  <c r="K157" i="202"/>
  <c r="I157" i="202"/>
  <c r="H157" i="202"/>
  <c r="G157" i="202"/>
  <c r="F157" i="202"/>
  <c r="E157" i="202"/>
  <c r="P156" i="202"/>
  <c r="O156" i="202"/>
  <c r="N156" i="202"/>
  <c r="M156" i="202"/>
  <c r="L156" i="202"/>
  <c r="K156" i="202"/>
  <c r="J156" i="202"/>
  <c r="I156" i="202"/>
  <c r="H156" i="202"/>
  <c r="G156" i="202"/>
  <c r="F156" i="202"/>
  <c r="E156" i="202"/>
  <c r="N155" i="202"/>
  <c r="M155" i="202"/>
  <c r="L155" i="202"/>
  <c r="I155" i="202"/>
  <c r="H155" i="202"/>
  <c r="G155" i="202"/>
  <c r="F155" i="202"/>
  <c r="E155" i="202"/>
  <c r="P154" i="202"/>
  <c r="O154" i="202"/>
  <c r="N154" i="202"/>
  <c r="M154" i="202"/>
  <c r="L154" i="202"/>
  <c r="K154" i="202"/>
  <c r="J154" i="202"/>
  <c r="I154" i="202"/>
  <c r="H154" i="202"/>
  <c r="G154" i="202"/>
  <c r="F154" i="202"/>
  <c r="E154" i="202"/>
  <c r="P153" i="202"/>
  <c r="O153" i="202"/>
  <c r="N153" i="202"/>
  <c r="M153" i="202"/>
  <c r="L153" i="202"/>
  <c r="K153" i="202"/>
  <c r="J153" i="202"/>
  <c r="I153" i="202"/>
  <c r="H153" i="202"/>
  <c r="G153" i="202"/>
  <c r="F153" i="202"/>
  <c r="E153" i="202"/>
  <c r="P152" i="202"/>
  <c r="O152" i="202"/>
  <c r="N152" i="202"/>
  <c r="M152" i="202"/>
  <c r="L152" i="202"/>
  <c r="K152" i="202"/>
  <c r="J152" i="202"/>
  <c r="I152" i="202"/>
  <c r="H152" i="202"/>
  <c r="G152" i="202"/>
  <c r="F152" i="202"/>
  <c r="E152" i="202"/>
  <c r="P151" i="202"/>
  <c r="O151" i="202"/>
  <c r="N151" i="202"/>
  <c r="M151" i="202"/>
  <c r="L151" i="202"/>
  <c r="K151" i="202"/>
  <c r="J151" i="202"/>
  <c r="I151" i="202"/>
  <c r="H151" i="202"/>
  <c r="G151" i="202"/>
  <c r="F151" i="202"/>
  <c r="E151" i="202"/>
  <c r="P150" i="202"/>
  <c r="O150" i="202"/>
  <c r="N150" i="202"/>
  <c r="M150" i="202"/>
  <c r="L150" i="202"/>
  <c r="K150" i="202"/>
  <c r="J150" i="202"/>
  <c r="I150" i="202"/>
  <c r="H150" i="202"/>
  <c r="G150" i="202"/>
  <c r="F150" i="202"/>
  <c r="E150" i="202"/>
  <c r="P149" i="202"/>
  <c r="O149" i="202"/>
  <c r="N149" i="202"/>
  <c r="M149" i="202"/>
  <c r="L149" i="202"/>
  <c r="K149" i="202"/>
  <c r="J149" i="202"/>
  <c r="I149" i="202"/>
  <c r="H149" i="202"/>
  <c r="G149" i="202"/>
  <c r="F149" i="202"/>
  <c r="E149" i="202"/>
  <c r="P148" i="202"/>
  <c r="O148" i="202"/>
  <c r="N148" i="202"/>
  <c r="M148" i="202"/>
  <c r="L148" i="202"/>
  <c r="K148" i="202"/>
  <c r="J148" i="202"/>
  <c r="I148" i="202"/>
  <c r="H148" i="202"/>
  <c r="G148" i="202"/>
  <c r="F148" i="202"/>
  <c r="E148" i="202"/>
  <c r="P147" i="202"/>
  <c r="O147" i="202"/>
  <c r="N147" i="202"/>
  <c r="M147" i="202"/>
  <c r="L147" i="202"/>
  <c r="K147" i="202"/>
  <c r="J147" i="202"/>
  <c r="I147" i="202"/>
  <c r="H147" i="202"/>
  <c r="G147" i="202"/>
  <c r="F147" i="202"/>
  <c r="E147" i="202"/>
  <c r="P146" i="202"/>
  <c r="O146" i="202"/>
  <c r="N146" i="202"/>
  <c r="M146" i="202"/>
  <c r="L146" i="202"/>
  <c r="K146" i="202"/>
  <c r="J146" i="202"/>
  <c r="I146" i="202"/>
  <c r="H146" i="202"/>
  <c r="G146" i="202"/>
  <c r="F146" i="202"/>
  <c r="E146" i="202"/>
  <c r="N145" i="202"/>
  <c r="M145" i="202"/>
  <c r="L145" i="202"/>
  <c r="I145" i="202"/>
  <c r="H145" i="202"/>
  <c r="G145" i="202"/>
  <c r="F145" i="202"/>
  <c r="E145" i="202"/>
  <c r="P144" i="202"/>
  <c r="O144" i="202"/>
  <c r="N144" i="202"/>
  <c r="M144" i="202"/>
  <c r="L144" i="202"/>
  <c r="K144" i="202"/>
  <c r="J144" i="202"/>
  <c r="I144" i="202"/>
  <c r="H144" i="202"/>
  <c r="G144" i="202"/>
  <c r="F144" i="202"/>
  <c r="E144" i="202"/>
  <c r="P143" i="202"/>
  <c r="O143" i="202"/>
  <c r="N143" i="202"/>
  <c r="M143" i="202"/>
  <c r="L143" i="202"/>
  <c r="K143" i="202"/>
  <c r="J143" i="202"/>
  <c r="I143" i="202"/>
  <c r="H143" i="202"/>
  <c r="G143" i="202"/>
  <c r="F143" i="202"/>
  <c r="E143" i="202"/>
  <c r="O142" i="202"/>
  <c r="N142" i="202"/>
  <c r="M142" i="202"/>
  <c r="L142" i="202"/>
  <c r="K142" i="202"/>
  <c r="J142" i="202"/>
  <c r="I142" i="202"/>
  <c r="H142" i="202"/>
  <c r="G142" i="202"/>
  <c r="F142" i="202"/>
  <c r="O141" i="202"/>
  <c r="N141" i="202"/>
  <c r="M141" i="202"/>
  <c r="L141" i="202"/>
  <c r="K141" i="202"/>
  <c r="J141" i="202"/>
  <c r="I141" i="202"/>
  <c r="H141" i="202"/>
  <c r="G141" i="202"/>
  <c r="P136" i="202"/>
  <c r="O136" i="202"/>
  <c r="N136" i="202"/>
  <c r="M136" i="202"/>
  <c r="L136" i="202"/>
  <c r="K136" i="202"/>
  <c r="J136" i="202"/>
  <c r="I136" i="202"/>
  <c r="H136" i="202"/>
  <c r="G136" i="202"/>
  <c r="F136" i="202"/>
  <c r="E136" i="202"/>
  <c r="P135" i="202"/>
  <c r="O135" i="202"/>
  <c r="N135" i="202"/>
  <c r="M135" i="202"/>
  <c r="L135" i="202"/>
  <c r="K135" i="202"/>
  <c r="J135" i="202"/>
  <c r="I135" i="202"/>
  <c r="H135" i="202"/>
  <c r="G135" i="202"/>
  <c r="F135" i="202"/>
  <c r="E135" i="202"/>
  <c r="P134" i="202"/>
  <c r="O134" i="202"/>
  <c r="N134" i="202"/>
  <c r="M134" i="202"/>
  <c r="L134" i="202"/>
  <c r="K134" i="202"/>
  <c r="J134" i="202"/>
  <c r="I134" i="202"/>
  <c r="H134" i="202"/>
  <c r="G134" i="202"/>
  <c r="F134" i="202"/>
  <c r="E134" i="202"/>
  <c r="P133" i="202"/>
  <c r="O133" i="202"/>
  <c r="N133" i="202"/>
  <c r="M133" i="202"/>
  <c r="L133" i="202"/>
  <c r="K133" i="202"/>
  <c r="J133" i="202"/>
  <c r="I133" i="202"/>
  <c r="H133" i="202"/>
  <c r="G133" i="202"/>
  <c r="F133" i="202"/>
  <c r="E133" i="202"/>
  <c r="P132" i="202"/>
  <c r="O132" i="202"/>
  <c r="N132" i="202"/>
  <c r="M132" i="202"/>
  <c r="L132" i="202"/>
  <c r="K132" i="202"/>
  <c r="J132" i="202"/>
  <c r="I132" i="202"/>
  <c r="H132" i="202"/>
  <c r="G132" i="202"/>
  <c r="F132" i="202"/>
  <c r="E132" i="202"/>
  <c r="P131" i="202"/>
  <c r="O131" i="202"/>
  <c r="N131" i="202"/>
  <c r="M131" i="202"/>
  <c r="L131" i="202"/>
  <c r="K131" i="202"/>
  <c r="J131" i="202"/>
  <c r="I131" i="202"/>
  <c r="H131" i="202"/>
  <c r="G131" i="202"/>
  <c r="F131" i="202"/>
  <c r="E131" i="202"/>
  <c r="P130" i="202"/>
  <c r="O130" i="202"/>
  <c r="N130" i="202"/>
  <c r="M130" i="202"/>
  <c r="L130" i="202"/>
  <c r="K130" i="202"/>
  <c r="J130" i="202"/>
  <c r="I130" i="202"/>
  <c r="H130" i="202"/>
  <c r="G130" i="202"/>
  <c r="F130" i="202"/>
  <c r="E130" i="202"/>
  <c r="P129" i="202"/>
  <c r="O129" i="202"/>
  <c r="N129" i="202"/>
  <c r="M129" i="202"/>
  <c r="L129" i="202"/>
  <c r="K129" i="202"/>
  <c r="J129" i="202"/>
  <c r="I129" i="202"/>
  <c r="H129" i="202"/>
  <c r="G129" i="202"/>
  <c r="F129" i="202"/>
  <c r="E129" i="202"/>
  <c r="P128" i="202"/>
  <c r="O128" i="202"/>
  <c r="N128" i="202"/>
  <c r="M128" i="202"/>
  <c r="L128" i="202"/>
  <c r="K128" i="202"/>
  <c r="J128" i="202"/>
  <c r="I128" i="202"/>
  <c r="H128" i="202"/>
  <c r="G128" i="202"/>
  <c r="F128" i="202"/>
  <c r="E128" i="202"/>
  <c r="P127" i="202"/>
  <c r="O127" i="202"/>
  <c r="N127" i="202"/>
  <c r="M127" i="202"/>
  <c r="L127" i="202"/>
  <c r="K127" i="202"/>
  <c r="J127" i="202"/>
  <c r="I127" i="202"/>
  <c r="H127" i="202"/>
  <c r="G127" i="202"/>
  <c r="F127" i="202"/>
  <c r="E127" i="202"/>
  <c r="N126" i="202"/>
  <c r="M126" i="202"/>
  <c r="L126" i="202"/>
  <c r="K126" i="202"/>
  <c r="I126" i="202"/>
  <c r="H126" i="202"/>
  <c r="G126" i="202"/>
  <c r="F126" i="202"/>
  <c r="P124" i="202"/>
  <c r="O124" i="202"/>
  <c r="N124" i="202"/>
  <c r="M124" i="202"/>
  <c r="L124" i="202"/>
  <c r="K124" i="202"/>
  <c r="J124" i="202"/>
  <c r="I124" i="202"/>
  <c r="H124" i="202"/>
  <c r="G124" i="202"/>
  <c r="F124" i="202"/>
  <c r="E124" i="202"/>
  <c r="P123" i="202"/>
  <c r="O123" i="202"/>
  <c r="N123" i="202"/>
  <c r="M123" i="202"/>
  <c r="L123" i="202"/>
  <c r="K123" i="202"/>
  <c r="J123" i="202"/>
  <c r="I123" i="202"/>
  <c r="H123" i="202"/>
  <c r="G123" i="202"/>
  <c r="F123" i="202"/>
  <c r="E123" i="202"/>
  <c r="P122" i="202"/>
  <c r="O122" i="202"/>
  <c r="N122" i="202"/>
  <c r="M122" i="202"/>
  <c r="L122" i="202"/>
  <c r="K122" i="202"/>
  <c r="J122" i="202"/>
  <c r="I122" i="202"/>
  <c r="H122" i="202"/>
  <c r="G122" i="202"/>
  <c r="F122" i="202"/>
  <c r="E122" i="202"/>
  <c r="P121" i="202"/>
  <c r="O121" i="202"/>
  <c r="N121" i="202"/>
  <c r="M121" i="202"/>
  <c r="L121" i="202"/>
  <c r="K121" i="202"/>
  <c r="J121" i="202"/>
  <c r="I121" i="202"/>
  <c r="H121" i="202"/>
  <c r="G121" i="202"/>
  <c r="F121" i="202"/>
  <c r="E121" i="202"/>
  <c r="P120" i="202"/>
  <c r="O120" i="202"/>
  <c r="N120" i="202"/>
  <c r="M120" i="202"/>
  <c r="L120" i="202"/>
  <c r="K120" i="202"/>
  <c r="J120" i="202"/>
  <c r="I120" i="202"/>
  <c r="H120" i="202"/>
  <c r="G120" i="202"/>
  <c r="F120" i="202"/>
  <c r="E120" i="202"/>
  <c r="O119" i="202"/>
  <c r="N119" i="202"/>
  <c r="M119" i="202"/>
  <c r="L119" i="202"/>
  <c r="K119" i="202"/>
  <c r="J119" i="202"/>
  <c r="I119" i="202"/>
  <c r="H119" i="202"/>
  <c r="G119" i="202"/>
  <c r="F119" i="202"/>
  <c r="O118" i="202"/>
  <c r="N118" i="202"/>
  <c r="M118" i="202"/>
  <c r="L118" i="202"/>
  <c r="K118" i="202"/>
  <c r="J118" i="202"/>
  <c r="I118" i="202"/>
  <c r="H118" i="202"/>
  <c r="G118" i="202"/>
  <c r="P117" i="202"/>
  <c r="O117" i="202"/>
  <c r="N117" i="202"/>
  <c r="M117" i="202"/>
  <c r="L117" i="202"/>
  <c r="K117" i="202"/>
  <c r="J117" i="202"/>
  <c r="I117" i="202"/>
  <c r="H117" i="202"/>
  <c r="G117" i="202"/>
  <c r="F117" i="202"/>
  <c r="E117" i="202"/>
  <c r="P116" i="202"/>
  <c r="O116" i="202"/>
  <c r="N116" i="202"/>
  <c r="M116" i="202"/>
  <c r="L116" i="202"/>
  <c r="K116" i="202"/>
  <c r="J116" i="202"/>
  <c r="I116" i="202"/>
  <c r="H116" i="202"/>
  <c r="G116" i="202"/>
  <c r="F116" i="202"/>
  <c r="E116" i="202"/>
  <c r="O115" i="202"/>
  <c r="N115" i="202"/>
  <c r="M115" i="202"/>
  <c r="L115" i="202"/>
  <c r="K115" i="202"/>
  <c r="J115" i="202"/>
  <c r="I115" i="202"/>
  <c r="H115" i="202"/>
  <c r="G115" i="202"/>
  <c r="F115" i="202"/>
  <c r="O114" i="202"/>
  <c r="N114" i="202"/>
  <c r="M114" i="202"/>
  <c r="L114" i="202"/>
  <c r="K114" i="202"/>
  <c r="J114" i="202"/>
  <c r="I114" i="202"/>
  <c r="H114" i="202"/>
  <c r="G114" i="202"/>
  <c r="F114" i="202"/>
  <c r="P113" i="202"/>
  <c r="O113" i="202"/>
  <c r="N113" i="202"/>
  <c r="M113" i="202"/>
  <c r="L113" i="202"/>
  <c r="K113" i="202"/>
  <c r="J113" i="202"/>
  <c r="I113" i="202"/>
  <c r="H113" i="202"/>
  <c r="G113" i="202"/>
  <c r="F113" i="202"/>
  <c r="E113" i="202"/>
  <c r="P111" i="202"/>
  <c r="O111" i="202"/>
  <c r="N111" i="202"/>
  <c r="M111" i="202"/>
  <c r="L111" i="202"/>
  <c r="K111" i="202"/>
  <c r="J111" i="202"/>
  <c r="I111" i="202"/>
  <c r="H111" i="202"/>
  <c r="G111" i="202"/>
  <c r="F111" i="202"/>
  <c r="E111" i="202"/>
  <c r="P110" i="202"/>
  <c r="O110" i="202"/>
  <c r="N110" i="202"/>
  <c r="M110" i="202"/>
  <c r="L110" i="202"/>
  <c r="K110" i="202"/>
  <c r="J110" i="202"/>
  <c r="I110" i="202"/>
  <c r="H110" i="202"/>
  <c r="G110" i="202"/>
  <c r="F110" i="202"/>
  <c r="E110" i="202"/>
  <c r="P109" i="202"/>
  <c r="O109" i="202"/>
  <c r="N109" i="202"/>
  <c r="M109" i="202"/>
  <c r="L109" i="202"/>
  <c r="K109" i="202"/>
  <c r="J109" i="202"/>
  <c r="I109" i="202"/>
  <c r="H109" i="202"/>
  <c r="G109" i="202"/>
  <c r="F109" i="202"/>
  <c r="E109" i="202"/>
  <c r="P100" i="202"/>
  <c r="O100" i="202"/>
  <c r="N100" i="202"/>
  <c r="M100" i="202"/>
  <c r="L100" i="202"/>
  <c r="K100" i="202"/>
  <c r="J100" i="202"/>
  <c r="I100" i="202"/>
  <c r="H100" i="202"/>
  <c r="G100" i="202"/>
  <c r="F100" i="202"/>
  <c r="E100" i="202"/>
  <c r="P99" i="202"/>
  <c r="O99" i="202"/>
  <c r="N99" i="202"/>
  <c r="M99" i="202"/>
  <c r="L99" i="202"/>
  <c r="K99" i="202"/>
  <c r="J99" i="202"/>
  <c r="I99" i="202"/>
  <c r="H99" i="202"/>
  <c r="G99" i="202"/>
  <c r="F99" i="202"/>
  <c r="E99" i="202"/>
  <c r="P98" i="202"/>
  <c r="O98" i="202"/>
  <c r="N98" i="202"/>
  <c r="M98" i="202"/>
  <c r="L98" i="202"/>
  <c r="K98" i="202"/>
  <c r="J98" i="202"/>
  <c r="I98" i="202"/>
  <c r="H98" i="202"/>
  <c r="G98" i="202"/>
  <c r="F98" i="202"/>
  <c r="E98" i="202"/>
  <c r="P97" i="202"/>
  <c r="O97" i="202"/>
  <c r="N97" i="202"/>
  <c r="M97" i="202"/>
  <c r="L97" i="202"/>
  <c r="K97" i="202"/>
  <c r="J97" i="202"/>
  <c r="I97" i="202"/>
  <c r="H97" i="202"/>
  <c r="G97" i="202"/>
  <c r="F97" i="202"/>
  <c r="E97" i="202"/>
  <c r="P96" i="202"/>
  <c r="O96" i="202"/>
  <c r="N96" i="202"/>
  <c r="M96" i="202"/>
  <c r="L96" i="202"/>
  <c r="K96" i="202"/>
  <c r="J96" i="202"/>
  <c r="I96" i="202"/>
  <c r="H96" i="202"/>
  <c r="G96" i="202"/>
  <c r="F96" i="202"/>
  <c r="E96" i="202"/>
  <c r="P95" i="202"/>
  <c r="O95" i="202"/>
  <c r="N95" i="202"/>
  <c r="M95" i="202"/>
  <c r="L95" i="202"/>
  <c r="K95" i="202"/>
  <c r="J95" i="202"/>
  <c r="I95" i="202"/>
  <c r="H95" i="202"/>
  <c r="G95" i="202"/>
  <c r="F95" i="202"/>
  <c r="E95" i="202"/>
  <c r="P94" i="202"/>
  <c r="O94" i="202"/>
  <c r="N94" i="202"/>
  <c r="M94" i="202"/>
  <c r="L94" i="202"/>
  <c r="K94" i="202"/>
  <c r="J94" i="202"/>
  <c r="I94" i="202"/>
  <c r="H94" i="202"/>
  <c r="G94" i="202"/>
  <c r="F94" i="202"/>
  <c r="E94" i="202"/>
  <c r="P93" i="202"/>
  <c r="O93" i="202"/>
  <c r="N93" i="202"/>
  <c r="M93" i="202"/>
  <c r="L93" i="202"/>
  <c r="K93" i="202"/>
  <c r="J93" i="202"/>
  <c r="I93" i="202"/>
  <c r="H93" i="202"/>
  <c r="G93" i="202"/>
  <c r="F93" i="202"/>
  <c r="E93" i="202"/>
  <c r="P92" i="202"/>
  <c r="O92" i="202"/>
  <c r="N92" i="202"/>
  <c r="M92" i="202"/>
  <c r="L92" i="202"/>
  <c r="K92" i="202"/>
  <c r="J92" i="202"/>
  <c r="I92" i="202"/>
  <c r="H92" i="202"/>
  <c r="G92" i="202"/>
  <c r="F92" i="202"/>
  <c r="E92" i="202"/>
  <c r="P91" i="202"/>
  <c r="O91" i="202"/>
  <c r="N91" i="202"/>
  <c r="M91" i="202"/>
  <c r="L91" i="202"/>
  <c r="K91" i="202"/>
  <c r="J91" i="202"/>
  <c r="I91" i="202"/>
  <c r="H91" i="202"/>
  <c r="G91" i="202"/>
  <c r="F91" i="202"/>
  <c r="E91" i="202"/>
  <c r="P90" i="202"/>
  <c r="O90" i="202"/>
  <c r="N90" i="202"/>
  <c r="M90" i="202"/>
  <c r="L90" i="202"/>
  <c r="K90" i="202"/>
  <c r="J90" i="202"/>
  <c r="I90" i="202"/>
  <c r="H90" i="202"/>
  <c r="G90" i="202"/>
  <c r="F90" i="202"/>
  <c r="E90" i="202"/>
  <c r="P89" i="202"/>
  <c r="O89" i="202"/>
  <c r="N89" i="202"/>
  <c r="M89" i="202"/>
  <c r="L89" i="202"/>
  <c r="K89" i="202"/>
  <c r="J89" i="202"/>
  <c r="I89" i="202"/>
  <c r="H89" i="202"/>
  <c r="G89" i="202"/>
  <c r="F89" i="202"/>
  <c r="E89" i="202"/>
  <c r="P88" i="202"/>
  <c r="O88" i="202"/>
  <c r="N88" i="202"/>
  <c r="M88" i="202"/>
  <c r="L88" i="202"/>
  <c r="K88" i="202"/>
  <c r="J88" i="202"/>
  <c r="I88" i="202"/>
  <c r="H88" i="202"/>
  <c r="G88" i="202"/>
  <c r="F88" i="202"/>
  <c r="E88" i="202"/>
  <c r="P87" i="202"/>
  <c r="O87" i="202"/>
  <c r="N87" i="202"/>
  <c r="M87" i="202"/>
  <c r="L87" i="202"/>
  <c r="K87" i="202"/>
  <c r="J87" i="202"/>
  <c r="I87" i="202"/>
  <c r="H87" i="202"/>
  <c r="G87" i="202"/>
  <c r="F87" i="202"/>
  <c r="E87" i="202"/>
  <c r="P86" i="202"/>
  <c r="O86" i="202"/>
  <c r="N86" i="202"/>
  <c r="M86" i="202"/>
  <c r="L86" i="202"/>
  <c r="K86" i="202"/>
  <c r="J86" i="202"/>
  <c r="I86" i="202"/>
  <c r="H86" i="202"/>
  <c r="G86" i="202"/>
  <c r="F86" i="202"/>
  <c r="E86" i="202"/>
  <c r="P85" i="202"/>
  <c r="O85" i="202"/>
  <c r="N85" i="202"/>
  <c r="M85" i="202"/>
  <c r="L85" i="202"/>
  <c r="K85" i="202"/>
  <c r="J85" i="202"/>
  <c r="I85" i="202"/>
  <c r="H85" i="202"/>
  <c r="G85" i="202"/>
  <c r="F85" i="202"/>
  <c r="E85" i="202"/>
  <c r="P84" i="202"/>
  <c r="O84" i="202"/>
  <c r="N84" i="202"/>
  <c r="M84" i="202"/>
  <c r="L84" i="202"/>
  <c r="K84" i="202"/>
  <c r="J84" i="202"/>
  <c r="I84" i="202"/>
  <c r="H84" i="202"/>
  <c r="G84" i="202"/>
  <c r="F84" i="202"/>
  <c r="E84" i="202"/>
  <c r="P83" i="202"/>
  <c r="O83" i="202"/>
  <c r="N83" i="202"/>
  <c r="M83" i="202"/>
  <c r="L83" i="202"/>
  <c r="K83" i="202"/>
  <c r="J83" i="202"/>
  <c r="I83" i="202"/>
  <c r="H83" i="202"/>
  <c r="G83" i="202"/>
  <c r="F83" i="202"/>
  <c r="E83" i="202"/>
  <c r="P82" i="202"/>
  <c r="O82" i="202"/>
  <c r="N82" i="202"/>
  <c r="M82" i="202"/>
  <c r="L82" i="202"/>
  <c r="K82" i="202"/>
  <c r="J82" i="202"/>
  <c r="I82" i="202"/>
  <c r="H82" i="202"/>
  <c r="G82" i="202"/>
  <c r="F82" i="202"/>
  <c r="E82" i="202"/>
  <c r="P81" i="202"/>
  <c r="O81" i="202"/>
  <c r="N81" i="202"/>
  <c r="M81" i="202"/>
  <c r="L81" i="202"/>
  <c r="K81" i="202"/>
  <c r="J81" i="202"/>
  <c r="I81" i="202"/>
  <c r="H81" i="202"/>
  <c r="G81" i="202"/>
  <c r="F81" i="202"/>
  <c r="E81" i="202"/>
  <c r="P80" i="202"/>
  <c r="O80" i="202"/>
  <c r="N80" i="202"/>
  <c r="M80" i="202"/>
  <c r="L80" i="202"/>
  <c r="K80" i="202"/>
  <c r="J80" i="202"/>
  <c r="I80" i="202"/>
  <c r="H80" i="202"/>
  <c r="G80" i="202"/>
  <c r="F80" i="202"/>
  <c r="E80" i="202"/>
  <c r="P79" i="202"/>
  <c r="O79" i="202"/>
  <c r="N79" i="202"/>
  <c r="M79" i="202"/>
  <c r="L79" i="202"/>
  <c r="K79" i="202"/>
  <c r="J79" i="202"/>
  <c r="I79" i="202"/>
  <c r="H79" i="202"/>
  <c r="G79" i="202"/>
  <c r="F79" i="202"/>
  <c r="E79" i="202"/>
  <c r="P78" i="202"/>
  <c r="O78" i="202"/>
  <c r="N78" i="202"/>
  <c r="M78" i="202"/>
  <c r="L78" i="202"/>
  <c r="K78" i="202"/>
  <c r="J78" i="202"/>
  <c r="I78" i="202"/>
  <c r="H78" i="202"/>
  <c r="G78" i="202"/>
  <c r="F78" i="202"/>
  <c r="E78" i="202"/>
  <c r="P77" i="202"/>
  <c r="O77" i="202"/>
  <c r="N77" i="202"/>
  <c r="M77" i="202"/>
  <c r="L77" i="202"/>
  <c r="K77" i="202"/>
  <c r="J77" i="202"/>
  <c r="I77" i="202"/>
  <c r="H77" i="202"/>
  <c r="G77" i="202"/>
  <c r="F77" i="202"/>
  <c r="E77" i="202"/>
  <c r="P76" i="202"/>
  <c r="O76" i="202"/>
  <c r="N76" i="202"/>
  <c r="M76" i="202"/>
  <c r="L76" i="202"/>
  <c r="K76" i="202"/>
  <c r="J76" i="202"/>
  <c r="I76" i="202"/>
  <c r="H76" i="202"/>
  <c r="G76" i="202"/>
  <c r="F76" i="202"/>
  <c r="E76" i="202"/>
  <c r="P75" i="202"/>
  <c r="O75" i="202"/>
  <c r="N75" i="202"/>
  <c r="M75" i="202"/>
  <c r="L75" i="202"/>
  <c r="K75" i="202"/>
  <c r="J75" i="202"/>
  <c r="I75" i="202"/>
  <c r="H75" i="202"/>
  <c r="G75" i="202"/>
  <c r="F75" i="202"/>
  <c r="E75" i="202"/>
  <c r="P74" i="202"/>
  <c r="O74" i="202"/>
  <c r="N74" i="202"/>
  <c r="M74" i="202"/>
  <c r="L74" i="202"/>
  <c r="K74" i="202"/>
  <c r="J74" i="202"/>
  <c r="I74" i="202"/>
  <c r="H74" i="202"/>
  <c r="G74" i="202"/>
  <c r="F74" i="202"/>
  <c r="E74" i="202"/>
  <c r="P73" i="202"/>
  <c r="O73" i="202"/>
  <c r="N73" i="202"/>
  <c r="M73" i="202"/>
  <c r="L73" i="202"/>
  <c r="K73" i="202"/>
  <c r="J73" i="202"/>
  <c r="I73" i="202"/>
  <c r="H73" i="202"/>
  <c r="G73" i="202"/>
  <c r="F73" i="202"/>
  <c r="E73" i="202"/>
  <c r="P72" i="202"/>
  <c r="O72" i="202"/>
  <c r="N72" i="202"/>
  <c r="M72" i="202"/>
  <c r="L72" i="202"/>
  <c r="K72" i="202"/>
  <c r="J72" i="202"/>
  <c r="I72" i="202"/>
  <c r="H72" i="202"/>
  <c r="G72" i="202"/>
  <c r="F72" i="202"/>
  <c r="E72" i="202"/>
  <c r="P71" i="202"/>
  <c r="O71" i="202"/>
  <c r="N71" i="202"/>
  <c r="M71" i="202"/>
  <c r="L71" i="202"/>
  <c r="K71" i="202"/>
  <c r="J71" i="202"/>
  <c r="I71" i="202"/>
  <c r="H71" i="202"/>
  <c r="G71" i="202"/>
  <c r="F71" i="202"/>
  <c r="E71" i="202"/>
  <c r="P70" i="202"/>
  <c r="O70" i="202"/>
  <c r="N70" i="202"/>
  <c r="M70" i="202"/>
  <c r="L70" i="202"/>
  <c r="K70" i="202"/>
  <c r="J70" i="202"/>
  <c r="I70" i="202"/>
  <c r="H70" i="202"/>
  <c r="G70" i="202"/>
  <c r="F70" i="202"/>
  <c r="E70" i="202"/>
  <c r="P69" i="202"/>
  <c r="O69" i="202"/>
  <c r="N69" i="202"/>
  <c r="M69" i="202"/>
  <c r="L69" i="202"/>
  <c r="K69" i="202"/>
  <c r="J69" i="202"/>
  <c r="I69" i="202"/>
  <c r="H69" i="202"/>
  <c r="G69" i="202"/>
  <c r="F69" i="202"/>
  <c r="E69" i="202"/>
  <c r="P68" i="202"/>
  <c r="O68" i="202"/>
  <c r="N68" i="202"/>
  <c r="M68" i="202"/>
  <c r="L68" i="202"/>
  <c r="K68" i="202"/>
  <c r="J68" i="202"/>
  <c r="I68" i="202"/>
  <c r="H68" i="202"/>
  <c r="G68" i="202"/>
  <c r="F68" i="202"/>
  <c r="E68" i="202"/>
  <c r="P67" i="202"/>
  <c r="O67" i="202"/>
  <c r="N67" i="202"/>
  <c r="M67" i="202"/>
  <c r="L67" i="202"/>
  <c r="K67" i="202"/>
  <c r="J67" i="202"/>
  <c r="I67" i="202"/>
  <c r="H67" i="202"/>
  <c r="G67" i="202"/>
  <c r="F67" i="202"/>
  <c r="E67" i="202"/>
  <c r="P66" i="202"/>
  <c r="O66" i="202"/>
  <c r="N66" i="202"/>
  <c r="M66" i="202"/>
  <c r="L66" i="202"/>
  <c r="K66" i="202"/>
  <c r="J66" i="202"/>
  <c r="I66" i="202"/>
  <c r="H66" i="202"/>
  <c r="G66" i="202"/>
  <c r="F66" i="202"/>
  <c r="E66" i="202"/>
  <c r="P65" i="202"/>
  <c r="O65" i="202"/>
  <c r="N65" i="202"/>
  <c r="M65" i="202"/>
  <c r="L65" i="202"/>
  <c r="K65" i="202"/>
  <c r="J65" i="202"/>
  <c r="I65" i="202"/>
  <c r="H65" i="202"/>
  <c r="G65" i="202"/>
  <c r="F65" i="202"/>
  <c r="E65" i="202"/>
  <c r="P64" i="202"/>
  <c r="O64" i="202"/>
  <c r="N64" i="202"/>
  <c r="M64" i="202"/>
  <c r="L64" i="202"/>
  <c r="K64" i="202"/>
  <c r="J64" i="202"/>
  <c r="I64" i="202"/>
  <c r="H64" i="202"/>
  <c r="G64" i="202"/>
  <c r="F64" i="202"/>
  <c r="E64" i="202"/>
  <c r="P63" i="202"/>
  <c r="O63" i="202"/>
  <c r="N63" i="202"/>
  <c r="M63" i="202"/>
  <c r="L63" i="202"/>
  <c r="K63" i="202"/>
  <c r="J63" i="202"/>
  <c r="I63" i="202"/>
  <c r="H63" i="202"/>
  <c r="G63" i="202"/>
  <c r="F63" i="202"/>
  <c r="E63" i="202"/>
  <c r="P62" i="202"/>
  <c r="O62" i="202"/>
  <c r="N62" i="202"/>
  <c r="M62" i="202"/>
  <c r="L62" i="202"/>
  <c r="K62" i="202"/>
  <c r="J62" i="202"/>
  <c r="I62" i="202"/>
  <c r="H62" i="202"/>
  <c r="G62" i="202"/>
  <c r="F62" i="202"/>
  <c r="E62" i="202"/>
  <c r="P61" i="202"/>
  <c r="O61" i="202"/>
  <c r="N61" i="202"/>
  <c r="M61" i="202"/>
  <c r="L61" i="202"/>
  <c r="K61" i="202"/>
  <c r="J61" i="202"/>
  <c r="I61" i="202"/>
  <c r="H61" i="202"/>
  <c r="G61" i="202"/>
  <c r="F61" i="202"/>
  <c r="E61" i="202"/>
  <c r="P60" i="202"/>
  <c r="O60" i="202"/>
  <c r="N60" i="202"/>
  <c r="M60" i="202"/>
  <c r="L60" i="202"/>
  <c r="K60" i="202"/>
  <c r="J60" i="202"/>
  <c r="I60" i="202"/>
  <c r="H60" i="202"/>
  <c r="G60" i="202"/>
  <c r="F60" i="202"/>
  <c r="E60" i="202"/>
  <c r="P59" i="202"/>
  <c r="O59" i="202"/>
  <c r="N59" i="202"/>
  <c r="M59" i="202"/>
  <c r="L59" i="202"/>
  <c r="K59" i="202"/>
  <c r="J59" i="202"/>
  <c r="I59" i="202"/>
  <c r="H59" i="202"/>
  <c r="G59" i="202"/>
  <c r="F59" i="202"/>
  <c r="E59" i="202"/>
  <c r="P58" i="202"/>
  <c r="O58" i="202"/>
  <c r="N58" i="202"/>
  <c r="M58" i="202"/>
  <c r="L58" i="202"/>
  <c r="K58" i="202"/>
  <c r="J58" i="202"/>
  <c r="I58" i="202"/>
  <c r="H58" i="202"/>
  <c r="G58" i="202"/>
  <c r="F58" i="202"/>
  <c r="E58" i="202"/>
  <c r="P57" i="202"/>
  <c r="O57" i="202"/>
  <c r="N57" i="202"/>
  <c r="M57" i="202"/>
  <c r="L57" i="202"/>
  <c r="K57" i="202"/>
  <c r="J57" i="202"/>
  <c r="I57" i="202"/>
  <c r="H57" i="202"/>
  <c r="G57" i="202"/>
  <c r="F57" i="202"/>
  <c r="E57" i="202"/>
  <c r="P56" i="202"/>
  <c r="O56" i="202"/>
  <c r="N56" i="202"/>
  <c r="M56" i="202"/>
  <c r="L56" i="202"/>
  <c r="K56" i="202"/>
  <c r="J56" i="202"/>
  <c r="I56" i="202"/>
  <c r="H56" i="202"/>
  <c r="G56" i="202"/>
  <c r="F56" i="202"/>
  <c r="E56" i="202"/>
  <c r="P55" i="202"/>
  <c r="O55" i="202"/>
  <c r="N55" i="202"/>
  <c r="M55" i="202"/>
  <c r="L55" i="202"/>
  <c r="K55" i="202"/>
  <c r="J55" i="202"/>
  <c r="I55" i="202"/>
  <c r="H55" i="202"/>
  <c r="G55" i="202"/>
  <c r="F55" i="202"/>
  <c r="E55" i="202"/>
  <c r="O54" i="202"/>
  <c r="N54" i="202"/>
  <c r="M54" i="202"/>
  <c r="L54" i="202"/>
  <c r="K54" i="202"/>
  <c r="J54" i="202"/>
  <c r="I54" i="202"/>
  <c r="H54" i="202"/>
  <c r="G54" i="202"/>
  <c r="F54" i="202"/>
  <c r="P53" i="202"/>
  <c r="O53" i="202"/>
  <c r="N53" i="202"/>
  <c r="M53" i="202"/>
  <c r="L53" i="202"/>
  <c r="K53" i="202"/>
  <c r="J53" i="202"/>
  <c r="I53" i="202"/>
  <c r="H53" i="202"/>
  <c r="G53" i="202"/>
  <c r="F53" i="202"/>
  <c r="E53" i="202"/>
  <c r="O52" i="202"/>
  <c r="N52" i="202"/>
  <c r="M52" i="202"/>
  <c r="L52" i="202"/>
  <c r="K52" i="202"/>
  <c r="J52" i="202"/>
  <c r="I52" i="202"/>
  <c r="H52" i="202"/>
  <c r="G52" i="202"/>
  <c r="F52" i="202"/>
  <c r="O51" i="202"/>
  <c r="N51" i="202"/>
  <c r="M51" i="202"/>
  <c r="L51" i="202"/>
  <c r="K51" i="202"/>
  <c r="J51" i="202"/>
  <c r="I51" i="202"/>
  <c r="H51" i="202"/>
  <c r="O50" i="202"/>
  <c r="N50" i="202"/>
  <c r="M50" i="202"/>
  <c r="L50" i="202"/>
  <c r="K50" i="202"/>
  <c r="J50" i="202"/>
  <c r="I50" i="202"/>
  <c r="H50" i="202"/>
  <c r="G50" i="202"/>
  <c r="F50" i="202"/>
  <c r="O49" i="202"/>
  <c r="N49" i="202"/>
  <c r="M49" i="202"/>
  <c r="L49" i="202"/>
  <c r="K49" i="202"/>
  <c r="J49" i="202"/>
  <c r="I49" i="202"/>
  <c r="H49" i="202"/>
  <c r="N46" i="202"/>
  <c r="M46" i="202"/>
  <c r="L46" i="202"/>
  <c r="K46" i="202"/>
  <c r="I46" i="202"/>
  <c r="H46" i="202"/>
  <c r="G46" i="202"/>
  <c r="F46" i="202"/>
  <c r="P45" i="202"/>
  <c r="O45" i="202"/>
  <c r="N45" i="202"/>
  <c r="M45" i="202"/>
  <c r="L45" i="202"/>
  <c r="K45" i="202"/>
  <c r="J45" i="202"/>
  <c r="I45" i="202"/>
  <c r="H45" i="202"/>
  <c r="G45" i="202"/>
  <c r="F45" i="202"/>
  <c r="E45" i="202"/>
  <c r="P44" i="202"/>
  <c r="O44" i="202"/>
  <c r="N44" i="202"/>
  <c r="M44" i="202"/>
  <c r="L44" i="202"/>
  <c r="K44" i="202"/>
  <c r="J44" i="202"/>
  <c r="I44" i="202"/>
  <c r="H44" i="202"/>
  <c r="G44" i="202"/>
  <c r="F44" i="202"/>
  <c r="E44" i="202"/>
  <c r="P43" i="202"/>
  <c r="O43" i="202"/>
  <c r="N43" i="202"/>
  <c r="M43" i="202"/>
  <c r="L43" i="202"/>
  <c r="K43" i="202"/>
  <c r="J43" i="202"/>
  <c r="I43" i="202"/>
  <c r="H43" i="202"/>
  <c r="G43" i="202"/>
  <c r="F43" i="202"/>
  <c r="E43" i="202"/>
  <c r="N42" i="202"/>
  <c r="M42" i="202"/>
  <c r="L42" i="202"/>
  <c r="I42" i="202"/>
  <c r="H42" i="202"/>
  <c r="G42" i="202"/>
  <c r="P41" i="202"/>
  <c r="O41" i="202"/>
  <c r="N41" i="202"/>
  <c r="M41" i="202"/>
  <c r="L41" i="202"/>
  <c r="K41" i="202"/>
  <c r="J41" i="202"/>
  <c r="I41" i="202"/>
  <c r="H41" i="202"/>
  <c r="G41" i="202"/>
  <c r="F41" i="202"/>
  <c r="E41" i="202"/>
  <c r="P40" i="202"/>
  <c r="O40" i="202"/>
  <c r="N40" i="202"/>
  <c r="M40" i="202"/>
  <c r="L40" i="202"/>
  <c r="K40" i="202"/>
  <c r="J40" i="202"/>
  <c r="I40" i="202"/>
  <c r="H40" i="202"/>
  <c r="G40" i="202"/>
  <c r="F40" i="202"/>
  <c r="E40" i="202"/>
  <c r="N39" i="202"/>
  <c r="M39" i="202"/>
  <c r="L39" i="202"/>
  <c r="K39" i="202"/>
  <c r="I39" i="202"/>
  <c r="H39" i="202"/>
  <c r="G39" i="202"/>
  <c r="F39" i="202"/>
  <c r="N38" i="202"/>
  <c r="M38" i="202"/>
  <c r="L38" i="202"/>
  <c r="K38" i="202"/>
  <c r="I38" i="202"/>
  <c r="H38" i="202"/>
  <c r="G38" i="202"/>
  <c r="F38" i="202"/>
  <c r="N37" i="202"/>
  <c r="M37" i="202"/>
  <c r="L37" i="202"/>
  <c r="I37" i="202"/>
  <c r="H37" i="202"/>
  <c r="G37" i="202"/>
  <c r="N36" i="202"/>
  <c r="M36" i="202"/>
  <c r="L36" i="202"/>
  <c r="I36" i="202"/>
  <c r="H36" i="202"/>
  <c r="G36" i="202"/>
  <c r="P35" i="202"/>
  <c r="O35" i="202"/>
  <c r="N35" i="202"/>
  <c r="M35" i="202"/>
  <c r="L35" i="202"/>
  <c r="K35" i="202"/>
  <c r="J35" i="202"/>
  <c r="I35" i="202"/>
  <c r="H35" i="202"/>
  <c r="G35" i="202"/>
  <c r="F35" i="202"/>
  <c r="E35" i="202"/>
  <c r="O33" i="202"/>
  <c r="N33" i="202"/>
  <c r="M33" i="202"/>
  <c r="L33" i="202"/>
  <c r="K33" i="202"/>
  <c r="I33" i="202"/>
  <c r="H33" i="202"/>
  <c r="G33" i="202"/>
  <c r="F33" i="202"/>
  <c r="E33" i="202"/>
  <c r="N32" i="202"/>
  <c r="M32" i="202"/>
  <c r="K32" i="202"/>
  <c r="I32" i="202"/>
  <c r="H32" i="202"/>
  <c r="G32" i="202"/>
  <c r="F32" i="202"/>
  <c r="E32" i="202"/>
  <c r="P31" i="202"/>
  <c r="O31" i="202"/>
  <c r="N31" i="202"/>
  <c r="M31" i="202"/>
  <c r="L31" i="202"/>
  <c r="K31" i="202"/>
  <c r="J31" i="202"/>
  <c r="I31" i="202"/>
  <c r="H31" i="202"/>
  <c r="G31" i="202"/>
  <c r="F31" i="202"/>
  <c r="E31" i="202"/>
  <c r="P30" i="202"/>
  <c r="O30" i="202"/>
  <c r="N30" i="202"/>
  <c r="M30" i="202"/>
  <c r="L30" i="202"/>
  <c r="K30" i="202"/>
  <c r="J30" i="202"/>
  <c r="I30" i="202"/>
  <c r="H30" i="202"/>
  <c r="G30" i="202"/>
  <c r="F30" i="202"/>
  <c r="E30" i="202"/>
  <c r="N29" i="202"/>
  <c r="M29" i="202"/>
  <c r="K29" i="202"/>
  <c r="I29" i="202"/>
  <c r="H29" i="202"/>
  <c r="G29" i="202"/>
  <c r="F29" i="202"/>
  <c r="E29" i="202"/>
  <c r="P28" i="202"/>
  <c r="O28" i="202"/>
  <c r="N28" i="202"/>
  <c r="M28" i="202"/>
  <c r="L28" i="202"/>
  <c r="K28" i="202"/>
  <c r="J28" i="202"/>
  <c r="I28" i="202"/>
  <c r="H28" i="202"/>
  <c r="G28" i="202"/>
  <c r="F28" i="202"/>
  <c r="E28" i="202"/>
  <c r="P27" i="202"/>
  <c r="O27" i="202"/>
  <c r="N27" i="202"/>
  <c r="M27" i="202"/>
  <c r="L27" i="202"/>
  <c r="K27" i="202"/>
  <c r="J27" i="202"/>
  <c r="I27" i="202"/>
  <c r="H27" i="202"/>
  <c r="G27" i="202"/>
  <c r="F27" i="202"/>
  <c r="E27" i="202"/>
  <c r="P26" i="202"/>
  <c r="O26" i="202"/>
  <c r="N26" i="202"/>
  <c r="M26" i="202"/>
  <c r="L26" i="202"/>
  <c r="K26" i="202"/>
  <c r="J26" i="202"/>
  <c r="I26" i="202"/>
  <c r="H26" i="202"/>
  <c r="G26" i="202"/>
  <c r="F26" i="202"/>
  <c r="E26" i="202"/>
  <c r="N25" i="202"/>
  <c r="M25" i="202"/>
  <c r="K25" i="202"/>
  <c r="I25" i="202"/>
  <c r="H25" i="202"/>
  <c r="G25" i="202"/>
  <c r="F25" i="202"/>
  <c r="E25" i="202"/>
  <c r="O24" i="202"/>
  <c r="N24" i="202"/>
  <c r="M24" i="202"/>
  <c r="L24" i="202"/>
  <c r="K24" i="202"/>
  <c r="J24" i="202"/>
  <c r="I24" i="202"/>
  <c r="H24" i="202"/>
  <c r="G24" i="202"/>
  <c r="F24" i="202"/>
  <c r="O23" i="202"/>
  <c r="N23" i="202"/>
  <c r="M23" i="202"/>
  <c r="L23" i="202"/>
  <c r="K23" i="202"/>
  <c r="J23" i="202"/>
  <c r="I23" i="202"/>
  <c r="H23" i="202"/>
  <c r="G23" i="202"/>
  <c r="O22" i="202"/>
  <c r="N22" i="202"/>
  <c r="M22" i="202"/>
  <c r="L22" i="202"/>
  <c r="K22" i="202"/>
  <c r="J22" i="202"/>
  <c r="I22" i="202"/>
  <c r="H22" i="202"/>
  <c r="G22" i="202"/>
  <c r="O21" i="202"/>
  <c r="N21" i="202"/>
  <c r="M21" i="202"/>
  <c r="L21" i="202"/>
  <c r="K21" i="202"/>
  <c r="J21" i="202"/>
  <c r="I21" i="202"/>
  <c r="H21" i="202"/>
  <c r="G21" i="202"/>
  <c r="F21" i="202"/>
  <c r="O18" i="202"/>
  <c r="N18" i="202"/>
  <c r="M18" i="202"/>
  <c r="L18" i="202"/>
  <c r="K18" i="202"/>
  <c r="J18" i="202"/>
  <c r="I18" i="202"/>
  <c r="H18" i="202"/>
  <c r="G18" i="202"/>
  <c r="F18" i="202"/>
  <c r="H17" i="202"/>
  <c r="H16" i="202" s="1"/>
  <c r="I17" i="202"/>
  <c r="I16" i="202" s="1"/>
  <c r="J17" i="202"/>
  <c r="K17" i="202"/>
  <c r="L17" i="202"/>
  <c r="M17" i="202"/>
  <c r="N17" i="202"/>
  <c r="O17" i="202"/>
  <c r="O432" i="202"/>
  <c r="N432" i="202"/>
  <c r="M432" i="202"/>
  <c r="L432" i="202"/>
  <c r="K432" i="202"/>
  <c r="H432" i="202"/>
  <c r="G432" i="202"/>
  <c r="F432" i="202"/>
  <c r="P429" i="202"/>
  <c r="P428" i="202" s="1"/>
  <c r="P427" i="202" s="1"/>
  <c r="O429" i="202"/>
  <c r="J429" i="202" s="1"/>
  <c r="J428" i="202" s="1"/>
  <c r="J427" i="202" s="1"/>
  <c r="E429" i="202"/>
  <c r="O428" i="202"/>
  <c r="N428" i="202"/>
  <c r="M428" i="202"/>
  <c r="L428" i="202"/>
  <c r="L427" i="202" s="1"/>
  <c r="K428" i="202"/>
  <c r="I428" i="202"/>
  <c r="H428" i="202"/>
  <c r="G428" i="202"/>
  <c r="F428" i="202"/>
  <c r="E428" i="202"/>
  <c r="O427" i="202"/>
  <c r="N427" i="202"/>
  <c r="M427" i="202"/>
  <c r="K427" i="202"/>
  <c r="I427" i="202"/>
  <c r="H427" i="202"/>
  <c r="G427" i="202"/>
  <c r="F427" i="202"/>
  <c r="E427" i="202"/>
  <c r="O426" i="202"/>
  <c r="J426" i="202" s="1"/>
  <c r="J425" i="202" s="1"/>
  <c r="J424" i="202" s="1"/>
  <c r="F426" i="202"/>
  <c r="E426" i="202"/>
  <c r="N425" i="202"/>
  <c r="M425" i="202"/>
  <c r="L425" i="202"/>
  <c r="K425" i="202"/>
  <c r="I425" i="202"/>
  <c r="I424" i="202" s="1"/>
  <c r="H425" i="202"/>
  <c r="G425" i="202"/>
  <c r="F425" i="202"/>
  <c r="N424" i="202"/>
  <c r="M424" i="202"/>
  <c r="L424" i="202"/>
  <c r="K424" i="202"/>
  <c r="H424" i="202"/>
  <c r="G424" i="202"/>
  <c r="F424" i="202"/>
  <c r="K412" i="202"/>
  <c r="G412" i="202"/>
  <c r="L404" i="202"/>
  <c r="N404" i="202"/>
  <c r="N403" i="202" s="1"/>
  <c r="K404" i="202"/>
  <c r="K403" i="202" s="1"/>
  <c r="G404" i="202"/>
  <c r="G403" i="202" s="1"/>
  <c r="H404" i="202"/>
  <c r="H403" i="202" s="1"/>
  <c r="P402" i="202"/>
  <c r="P401" i="202" s="1"/>
  <c r="O402" i="202"/>
  <c r="J402" i="202" s="1"/>
  <c r="J401" i="202" s="1"/>
  <c r="E402" i="202"/>
  <c r="O401" i="202"/>
  <c r="N401" i="202"/>
  <c r="M401" i="202"/>
  <c r="L401" i="202"/>
  <c r="K401" i="202"/>
  <c r="I401" i="202"/>
  <c r="H401" i="202"/>
  <c r="G401" i="202"/>
  <c r="F401" i="202"/>
  <c r="E401" i="202"/>
  <c r="H394" i="202"/>
  <c r="H393" i="202" s="1"/>
  <c r="O394" i="202"/>
  <c r="O393" i="202" s="1"/>
  <c r="K394" i="202"/>
  <c r="K393" i="202" s="1"/>
  <c r="G394" i="202"/>
  <c r="G393" i="202" s="1"/>
  <c r="N394" i="202"/>
  <c r="N393" i="202" s="1"/>
  <c r="L394" i="202"/>
  <c r="L393" i="202" s="1"/>
  <c r="F394" i="202"/>
  <c r="F393" i="202" s="1"/>
  <c r="P392" i="202"/>
  <c r="O392" i="202"/>
  <c r="J392" i="202"/>
  <c r="E392" i="202"/>
  <c r="P391" i="202"/>
  <c r="O391" i="202"/>
  <c r="N391" i="202"/>
  <c r="M391" i="202"/>
  <c r="L391" i="202"/>
  <c r="K391" i="202"/>
  <c r="J391" i="202"/>
  <c r="I391" i="202"/>
  <c r="H391" i="202"/>
  <c r="G391" i="202"/>
  <c r="F391" i="202"/>
  <c r="E391" i="202"/>
  <c r="P390" i="202"/>
  <c r="O390" i="202"/>
  <c r="N390" i="202"/>
  <c r="M390" i="202"/>
  <c r="L390" i="202"/>
  <c r="K390" i="202"/>
  <c r="J390" i="202"/>
  <c r="I390" i="202"/>
  <c r="H390" i="202"/>
  <c r="G390" i="202"/>
  <c r="F390" i="202"/>
  <c r="E390" i="202"/>
  <c r="L374" i="202"/>
  <c r="G374" i="202"/>
  <c r="G373" i="202" s="1"/>
  <c r="O372" i="202"/>
  <c r="J372" i="202" s="1"/>
  <c r="J371" i="202" s="1"/>
  <c r="E372" i="202"/>
  <c r="O371" i="202"/>
  <c r="N371" i="202"/>
  <c r="M371" i="202"/>
  <c r="L371" i="202"/>
  <c r="K371" i="202"/>
  <c r="I371" i="202"/>
  <c r="H371" i="202"/>
  <c r="G371" i="202"/>
  <c r="F371" i="202"/>
  <c r="E371" i="202"/>
  <c r="L355" i="202"/>
  <c r="L354" i="202" s="1"/>
  <c r="N355" i="202"/>
  <c r="N354" i="202" s="1"/>
  <c r="G355" i="202"/>
  <c r="G354" i="202" s="1"/>
  <c r="H355" i="202"/>
  <c r="H354" i="202" s="1"/>
  <c r="O353" i="202"/>
  <c r="J353" i="202"/>
  <c r="P353" i="202" s="1"/>
  <c r="P352" i="202" s="1"/>
  <c r="P351" i="202" s="1"/>
  <c r="E353" i="202"/>
  <c r="O352" i="202"/>
  <c r="N352" i="202"/>
  <c r="N351" i="202" s="1"/>
  <c r="N346" i="202" s="1"/>
  <c r="N345" i="202" s="1"/>
  <c r="M352" i="202"/>
  <c r="L352" i="202"/>
  <c r="K352" i="202"/>
  <c r="J352" i="202"/>
  <c r="J351" i="202" s="1"/>
  <c r="I352" i="202"/>
  <c r="H352" i="202"/>
  <c r="G352" i="202"/>
  <c r="F352" i="202"/>
  <c r="F351" i="202" s="1"/>
  <c r="F346" i="202" s="1"/>
  <c r="F345" i="202" s="1"/>
  <c r="E352" i="202"/>
  <c r="O351" i="202"/>
  <c r="M351" i="202"/>
  <c r="L351" i="202"/>
  <c r="K351" i="202"/>
  <c r="I351" i="202"/>
  <c r="H351" i="202"/>
  <c r="G351" i="202"/>
  <c r="E351" i="202"/>
  <c r="L346" i="202"/>
  <c r="K346" i="202"/>
  <c r="K345" i="202" s="1"/>
  <c r="H346" i="202"/>
  <c r="H345" i="202" s="1"/>
  <c r="G346" i="202"/>
  <c r="G345" i="202" s="1"/>
  <c r="O344" i="202"/>
  <c r="J344" i="202"/>
  <c r="E344" i="202"/>
  <c r="P344" i="202" s="1"/>
  <c r="O342" i="202"/>
  <c r="J342" i="202"/>
  <c r="E342" i="202"/>
  <c r="P342" i="202" s="1"/>
  <c r="O341" i="202"/>
  <c r="N341" i="202"/>
  <c r="M341" i="202"/>
  <c r="L341" i="202"/>
  <c r="K341" i="202"/>
  <c r="J341" i="202"/>
  <c r="I341" i="202"/>
  <c r="H341" i="202"/>
  <c r="G341" i="202"/>
  <c r="F341" i="202"/>
  <c r="O340" i="202"/>
  <c r="N340" i="202"/>
  <c r="N321" i="202" s="1"/>
  <c r="N320" i="202" s="1"/>
  <c r="M340" i="202"/>
  <c r="L340" i="202"/>
  <c r="K340" i="202"/>
  <c r="J340" i="202"/>
  <c r="I340" i="202"/>
  <c r="H340" i="202"/>
  <c r="G340" i="202"/>
  <c r="F340" i="202"/>
  <c r="O339" i="202"/>
  <c r="J339" i="202"/>
  <c r="E339" i="202"/>
  <c r="P339" i="202" s="1"/>
  <c r="M321" i="202"/>
  <c r="M320" i="202" s="1"/>
  <c r="F321" i="202"/>
  <c r="F320" i="202" s="1"/>
  <c r="O316" i="202"/>
  <c r="J316" i="202" s="1"/>
  <c r="H316" i="202"/>
  <c r="G316" i="202"/>
  <c r="F316" i="202"/>
  <c r="E316" i="202" s="1"/>
  <c r="O284" i="202"/>
  <c r="E284" i="202"/>
  <c r="N283" i="202"/>
  <c r="M283" i="202"/>
  <c r="L283" i="202"/>
  <c r="K283" i="202"/>
  <c r="I283" i="202"/>
  <c r="H283" i="202"/>
  <c r="G283" i="202"/>
  <c r="F283" i="202"/>
  <c r="E283" i="202"/>
  <c r="O256" i="202"/>
  <c r="J256" i="202" s="1"/>
  <c r="P256" i="202" s="1"/>
  <c r="P255" i="202" s="1"/>
  <c r="P254" i="202" s="1"/>
  <c r="E256" i="202"/>
  <c r="O255" i="202"/>
  <c r="O254" i="202" s="1"/>
  <c r="N255" i="202"/>
  <c r="N254" i="202" s="1"/>
  <c r="M255" i="202"/>
  <c r="L255" i="202"/>
  <c r="K255" i="202"/>
  <c r="K254" i="202" s="1"/>
  <c r="J255" i="202"/>
  <c r="J254" i="202" s="1"/>
  <c r="I255" i="202"/>
  <c r="H255" i="202"/>
  <c r="G255" i="202"/>
  <c r="G254" i="202" s="1"/>
  <c r="F255" i="202"/>
  <c r="E255" i="202"/>
  <c r="M254" i="202"/>
  <c r="L254" i="202"/>
  <c r="I254" i="202"/>
  <c r="H254" i="202"/>
  <c r="F254" i="202"/>
  <c r="E254" i="202"/>
  <c r="O253" i="202"/>
  <c r="J253" i="202"/>
  <c r="P253" i="202" s="1"/>
  <c r="E253" i="202"/>
  <c r="O252" i="202"/>
  <c r="J252" i="202" s="1"/>
  <c r="P252" i="202" s="1"/>
  <c r="E252" i="202"/>
  <c r="O251" i="202"/>
  <c r="N251" i="202"/>
  <c r="N247" i="202" s="1"/>
  <c r="M251" i="202"/>
  <c r="L251" i="202"/>
  <c r="K251" i="202"/>
  <c r="J251" i="202"/>
  <c r="I251" i="202"/>
  <c r="H251" i="202"/>
  <c r="G251" i="202"/>
  <c r="G247" i="202" s="1"/>
  <c r="F251" i="202"/>
  <c r="F247" i="202" s="1"/>
  <c r="E251" i="202"/>
  <c r="K250" i="202"/>
  <c r="E250" i="202"/>
  <c r="N249" i="202"/>
  <c r="M249" i="202"/>
  <c r="M248" i="202" s="1"/>
  <c r="M247" i="202" s="1"/>
  <c r="L249" i="202"/>
  <c r="I249" i="202"/>
  <c r="H249" i="202"/>
  <c r="H248" i="202" s="1"/>
  <c r="H247" i="202" s="1"/>
  <c r="G249" i="202"/>
  <c r="F249" i="202"/>
  <c r="N248" i="202"/>
  <c r="L248" i="202"/>
  <c r="I248" i="202"/>
  <c r="G248" i="202"/>
  <c r="F248" i="202"/>
  <c r="L247" i="202"/>
  <c r="I247" i="202"/>
  <c r="P246" i="202"/>
  <c r="P245" i="202" s="1"/>
  <c r="O246" i="202"/>
  <c r="J246" i="202" s="1"/>
  <c r="J245" i="202" s="1"/>
  <c r="J244" i="202" s="1"/>
  <c r="E246" i="202"/>
  <c r="E245" i="202" s="1"/>
  <c r="O245" i="202"/>
  <c r="O244" i="202" s="1"/>
  <c r="N245" i="202"/>
  <c r="M245" i="202"/>
  <c r="M244" i="202" s="1"/>
  <c r="L245" i="202"/>
  <c r="K245" i="202"/>
  <c r="I245" i="202"/>
  <c r="H245" i="202"/>
  <c r="H244" i="202" s="1"/>
  <c r="G245" i="202"/>
  <c r="F245" i="202"/>
  <c r="P244" i="202"/>
  <c r="N244" i="202"/>
  <c r="L244" i="202"/>
  <c r="K244" i="202"/>
  <c r="I244" i="202"/>
  <c r="G244" i="202"/>
  <c r="F244" i="202"/>
  <c r="E244" i="202"/>
  <c r="I222" i="202"/>
  <c r="I221" i="202" s="1"/>
  <c r="L222" i="202"/>
  <c r="L221" i="202" s="1"/>
  <c r="O220" i="202"/>
  <c r="J220" i="202"/>
  <c r="J219" i="202" s="1"/>
  <c r="E220" i="202"/>
  <c r="O219" i="202"/>
  <c r="N219" i="202"/>
  <c r="M219" i="202"/>
  <c r="M218" i="202" s="1"/>
  <c r="M201" i="202" s="1"/>
  <c r="M200" i="202" s="1"/>
  <c r="L219" i="202"/>
  <c r="K219" i="202"/>
  <c r="I219" i="202"/>
  <c r="I218" i="202" s="1"/>
  <c r="H219" i="202"/>
  <c r="G219" i="202"/>
  <c r="F219" i="202"/>
  <c r="E219" i="202"/>
  <c r="E218" i="202" s="1"/>
  <c r="O218" i="202"/>
  <c r="N218" i="202"/>
  <c r="L218" i="202"/>
  <c r="K218" i="202"/>
  <c r="J218" i="202"/>
  <c r="H218" i="202"/>
  <c r="G218" i="202"/>
  <c r="F218" i="202"/>
  <c r="O217" i="202"/>
  <c r="K217" i="202"/>
  <c r="E217" i="202"/>
  <c r="P216" i="202"/>
  <c r="O216" i="202"/>
  <c r="J216" i="202"/>
  <c r="E216" i="202"/>
  <c r="H201" i="202"/>
  <c r="H200" i="202" s="1"/>
  <c r="F201" i="202"/>
  <c r="F200" i="202" s="1"/>
  <c r="K201" i="202"/>
  <c r="K200" i="202" s="1"/>
  <c r="I201" i="202"/>
  <c r="I200" i="202" s="1"/>
  <c r="N201" i="202"/>
  <c r="N200" i="202" s="1"/>
  <c r="P198" i="202"/>
  <c r="O198" i="202"/>
  <c r="J198" i="202"/>
  <c r="E198" i="202"/>
  <c r="P197" i="202"/>
  <c r="O197" i="202"/>
  <c r="N197" i="202"/>
  <c r="M197" i="202"/>
  <c r="L197" i="202"/>
  <c r="K197" i="202"/>
  <c r="J197" i="202"/>
  <c r="I197" i="202"/>
  <c r="H197" i="202"/>
  <c r="G197" i="202"/>
  <c r="F197" i="202"/>
  <c r="E197" i="202"/>
  <c r="H140" i="202"/>
  <c r="H139" i="202" s="1"/>
  <c r="G140" i="202"/>
  <c r="G139" i="202" s="1"/>
  <c r="O138" i="202"/>
  <c r="J138" i="202"/>
  <c r="P138" i="202" s="1"/>
  <c r="E138" i="202"/>
  <c r="O137" i="202"/>
  <c r="J137" i="202"/>
  <c r="P137" i="202" s="1"/>
  <c r="E137" i="202"/>
  <c r="O106" i="202"/>
  <c r="J106" i="202" s="1"/>
  <c r="J105" i="202" s="1"/>
  <c r="J104" i="202" s="1"/>
  <c r="E106" i="202"/>
  <c r="E105" i="202" s="1"/>
  <c r="E104" i="202" s="1"/>
  <c r="O105" i="202"/>
  <c r="N105" i="202"/>
  <c r="M105" i="202"/>
  <c r="M104" i="202" s="1"/>
  <c r="L105" i="202"/>
  <c r="K105" i="202"/>
  <c r="I105" i="202"/>
  <c r="H105" i="202"/>
  <c r="H104" i="202" s="1"/>
  <c r="G105" i="202"/>
  <c r="F105" i="202"/>
  <c r="O104" i="202"/>
  <c r="N104" i="202"/>
  <c r="L104" i="202"/>
  <c r="K104" i="202"/>
  <c r="I104" i="202"/>
  <c r="G104" i="202"/>
  <c r="F104" i="202"/>
  <c r="O103" i="202"/>
  <c r="E103" i="202"/>
  <c r="N102" i="202"/>
  <c r="M102" i="202"/>
  <c r="M101" i="202" s="1"/>
  <c r="L102" i="202"/>
  <c r="K102" i="202"/>
  <c r="I102" i="202"/>
  <c r="I101" i="202" s="1"/>
  <c r="H102" i="202"/>
  <c r="H101" i="202" s="1"/>
  <c r="H48" i="202" s="1"/>
  <c r="H47" i="202" s="1"/>
  <c r="G102" i="202"/>
  <c r="F102" i="202"/>
  <c r="E102" i="202"/>
  <c r="E101" i="202" s="1"/>
  <c r="N101" i="202"/>
  <c r="L101" i="202"/>
  <c r="K101" i="202"/>
  <c r="G101" i="202"/>
  <c r="F101" i="202"/>
  <c r="M48" i="202"/>
  <c r="M47" i="202" s="1"/>
  <c r="N48" i="202"/>
  <c r="N47" i="202" s="1"/>
  <c r="N16" i="202"/>
  <c r="M16" i="202"/>
  <c r="J155" i="167"/>
  <c r="I155" i="167"/>
  <c r="H155" i="167"/>
  <c r="H169" i="167"/>
  <c r="H166" i="167"/>
  <c r="H168" i="167"/>
  <c r="J166" i="167"/>
  <c r="I166" i="167"/>
  <c r="I412" i="202" l="1"/>
  <c r="H412" i="202"/>
  <c r="L412" i="202"/>
  <c r="M412" i="202"/>
  <c r="H15" i="202"/>
  <c r="M15" i="202"/>
  <c r="L403" i="202"/>
  <c r="I15" i="202"/>
  <c r="N15" i="202"/>
  <c r="K48" i="202"/>
  <c r="K47" i="202" s="1"/>
  <c r="N222" i="202"/>
  <c r="N221" i="202" s="1"/>
  <c r="J103" i="202"/>
  <c r="J102" i="202" s="1"/>
  <c r="J101" i="202" s="1"/>
  <c r="O102" i="202"/>
  <c r="O101" i="202" s="1"/>
  <c r="N140" i="202"/>
  <c r="N139" i="202" s="1"/>
  <c r="L140" i="202"/>
  <c r="L201" i="202"/>
  <c r="E201" i="202"/>
  <c r="I321" i="202"/>
  <c r="I320" i="202" s="1"/>
  <c r="E346" i="202"/>
  <c r="F404" i="202"/>
  <c r="F403" i="202" s="1"/>
  <c r="P426" i="202"/>
  <c r="P425" i="202" s="1"/>
  <c r="P424" i="202" s="1"/>
  <c r="E425" i="202"/>
  <c r="E424" i="202" s="1"/>
  <c r="M222" i="202"/>
  <c r="M221" i="202" s="1"/>
  <c r="E249" i="202"/>
  <c r="E248" i="202" s="1"/>
  <c r="E247" i="202" s="1"/>
  <c r="J284" i="202"/>
  <c r="O283" i="202"/>
  <c r="L345" i="202"/>
  <c r="Q400" i="202"/>
  <c r="P106" i="202"/>
  <c r="P105" i="202" s="1"/>
  <c r="P104" i="202" s="1"/>
  <c r="I140" i="202"/>
  <c r="I139" i="202" s="1"/>
  <c r="J217" i="202"/>
  <c r="H222" i="202"/>
  <c r="H221" i="202" s="1"/>
  <c r="G222" i="202"/>
  <c r="G221" i="202" s="1"/>
  <c r="K249" i="202"/>
  <c r="K248" i="202" s="1"/>
  <c r="K247" i="202" s="1"/>
  <c r="O250" i="202"/>
  <c r="N258" i="202"/>
  <c r="N257" i="202" s="1"/>
  <c r="G321" i="202"/>
  <c r="G320" i="202" s="1"/>
  <c r="L373" i="202"/>
  <c r="I48" i="202"/>
  <c r="I47" i="202" s="1"/>
  <c r="M140" i="202"/>
  <c r="M139" i="202" s="1"/>
  <c r="O201" i="202"/>
  <c r="O200" i="202" s="1"/>
  <c r="P220" i="202"/>
  <c r="P219" i="202" s="1"/>
  <c r="P218" i="202" s="1"/>
  <c r="I258" i="202"/>
  <c r="I257" i="202" s="1"/>
  <c r="P316" i="202"/>
  <c r="O346" i="202"/>
  <c r="O345" i="202" s="1"/>
  <c r="P251" i="202"/>
  <c r="M258" i="202"/>
  <c r="M257" i="202" s="1"/>
  <c r="P341" i="202"/>
  <c r="P340" i="202" s="1"/>
  <c r="N374" i="202"/>
  <c r="N373" i="202" s="1"/>
  <c r="J394" i="202"/>
  <c r="J393" i="202" s="1"/>
  <c r="L48" i="202"/>
  <c r="G201" i="202"/>
  <c r="G200" i="202" s="1"/>
  <c r="H258" i="202"/>
  <c r="H257" i="202" s="1"/>
  <c r="K258" i="202"/>
  <c r="K257" i="202" s="1"/>
  <c r="G258" i="202"/>
  <c r="G257" i="202" s="1"/>
  <c r="L258" i="202"/>
  <c r="H321" i="202"/>
  <c r="H320" i="202" s="1"/>
  <c r="L321" i="202"/>
  <c r="E341" i="202"/>
  <c r="E340" i="202" s="1"/>
  <c r="K355" i="202"/>
  <c r="K354" i="202" s="1"/>
  <c r="J412" i="202"/>
  <c r="N412" i="202"/>
  <c r="I355" i="202"/>
  <c r="I354" i="202" s="1"/>
  <c r="M355" i="202"/>
  <c r="M354" i="202" s="1"/>
  <c r="F355" i="202"/>
  <c r="F354" i="202" s="1"/>
  <c r="P372" i="202"/>
  <c r="P371" i="202" s="1"/>
  <c r="H374" i="202"/>
  <c r="H373" i="202" s="1"/>
  <c r="P394" i="202"/>
  <c r="E394" i="202"/>
  <c r="E393" i="202" s="1"/>
  <c r="O425" i="202"/>
  <c r="O424" i="202" s="1"/>
  <c r="O412" i="202" s="1"/>
  <c r="E432" i="202"/>
  <c r="F183" i="165"/>
  <c r="K186" i="165"/>
  <c r="F186" i="165"/>
  <c r="K185" i="165"/>
  <c r="H185" i="165"/>
  <c r="F185" i="165"/>
  <c r="O158" i="165"/>
  <c r="N158" i="165"/>
  <c r="M158" i="165"/>
  <c r="L158" i="165"/>
  <c r="K158" i="165"/>
  <c r="J158" i="165"/>
  <c r="I158" i="165"/>
  <c r="H158" i="165"/>
  <c r="G158" i="165"/>
  <c r="F158" i="165"/>
  <c r="E158" i="165"/>
  <c r="O160" i="165"/>
  <c r="J160" i="165" s="1"/>
  <c r="E160" i="165"/>
  <c r="F159" i="165"/>
  <c r="K183" i="165"/>
  <c r="K194" i="165"/>
  <c r="F157" i="165"/>
  <c r="K196" i="165"/>
  <c r="H150" i="167"/>
  <c r="G150" i="167"/>
  <c r="K156" i="165"/>
  <c r="J149" i="167" s="1"/>
  <c r="M149" i="167" s="1"/>
  <c r="F156" i="165"/>
  <c r="J138" i="167"/>
  <c r="I138" i="167"/>
  <c r="K142" i="165"/>
  <c r="L139" i="202" l="1"/>
  <c r="E200" i="202"/>
  <c r="E345" i="202"/>
  <c r="O48" i="202"/>
  <c r="J250" i="202"/>
  <c r="O249" i="202"/>
  <c r="O248" i="202" s="1"/>
  <c r="O247" i="202" s="1"/>
  <c r="J283" i="202"/>
  <c r="P284" i="202"/>
  <c r="P283" i="202" s="1"/>
  <c r="J346" i="202"/>
  <c r="J345" i="202" s="1"/>
  <c r="O355" i="202"/>
  <c r="O354" i="202" s="1"/>
  <c r="L47" i="202"/>
  <c r="P103" i="202"/>
  <c r="P102" i="202" s="1"/>
  <c r="P101" i="202" s="1"/>
  <c r="O258" i="202"/>
  <c r="J201" i="202"/>
  <c r="J200" i="202" s="1"/>
  <c r="L200" i="202"/>
  <c r="L320" i="202"/>
  <c r="K222" i="202"/>
  <c r="K221" i="202" s="1"/>
  <c r="L257" i="202"/>
  <c r="E321" i="202"/>
  <c r="K374" i="202"/>
  <c r="K373" i="202" s="1"/>
  <c r="E355" i="202"/>
  <c r="O404" i="202"/>
  <c r="Q394" i="202"/>
  <c r="P393" i="202"/>
  <c r="P217" i="202"/>
  <c r="O374" i="202"/>
  <c r="E404" i="202"/>
  <c r="O222" i="202"/>
  <c r="P160" i="165"/>
  <c r="P158" i="165" s="1"/>
  <c r="G265" i="167"/>
  <c r="P346" i="202" l="1"/>
  <c r="P201" i="202"/>
  <c r="Q201" i="202" s="1"/>
  <c r="E354" i="202"/>
  <c r="O47" i="202"/>
  <c r="J48" i="202"/>
  <c r="J47" i="202" s="1"/>
  <c r="O257" i="202"/>
  <c r="J258" i="202"/>
  <c r="O373" i="202"/>
  <c r="J374" i="202"/>
  <c r="E320" i="202"/>
  <c r="J222" i="202"/>
  <c r="J221" i="202" s="1"/>
  <c r="O221" i="202"/>
  <c r="Q346" i="202"/>
  <c r="P345" i="202"/>
  <c r="J355" i="202"/>
  <c r="J354" i="202" s="1"/>
  <c r="O403" i="202"/>
  <c r="J404" i="202"/>
  <c r="J403" i="202" s="1"/>
  <c r="E403" i="202"/>
  <c r="J249" i="202"/>
  <c r="J248" i="202" s="1"/>
  <c r="J247" i="202" s="1"/>
  <c r="P250" i="202"/>
  <c r="P249" i="202" s="1"/>
  <c r="P248" i="202" s="1"/>
  <c r="P247" i="202" s="1"/>
  <c r="K327" i="165"/>
  <c r="J305" i="167"/>
  <c r="I305" i="167"/>
  <c r="J118" i="184"/>
  <c r="J121" i="184"/>
  <c r="K338" i="165"/>
  <c r="J112" i="184"/>
  <c r="K336" i="165"/>
  <c r="J109" i="184"/>
  <c r="K307" i="165"/>
  <c r="P200" i="202" l="1"/>
  <c r="P404" i="202"/>
  <c r="J373" i="202"/>
  <c r="J257" i="202"/>
  <c r="P355" i="202"/>
  <c r="J65" i="184"/>
  <c r="K306" i="165"/>
  <c r="J64" i="184"/>
  <c r="K304" i="165"/>
  <c r="J264" i="167" s="1"/>
  <c r="M264" i="167" s="1"/>
  <c r="F315" i="165"/>
  <c r="H260" i="167"/>
  <c r="F297" i="165"/>
  <c r="H255" i="167"/>
  <c r="F294" i="165"/>
  <c r="F293" i="165"/>
  <c r="K266" i="165"/>
  <c r="H337" i="167"/>
  <c r="F383" i="165"/>
  <c r="J333" i="167"/>
  <c r="I333" i="167"/>
  <c r="K380" i="165"/>
  <c r="H335" i="167"/>
  <c r="F243" i="165"/>
  <c r="F242" i="165"/>
  <c r="G228" i="165"/>
  <c r="F228" i="165"/>
  <c r="K236" i="165"/>
  <c r="F236" i="165"/>
  <c r="H209" i="167"/>
  <c r="Q404" i="202" l="1"/>
  <c r="P403" i="202"/>
  <c r="Q355" i="202"/>
  <c r="P354" i="202"/>
  <c r="J183" i="167"/>
  <c r="I183" i="167"/>
  <c r="H183" i="167"/>
  <c r="K205" i="165"/>
  <c r="F205" i="165"/>
  <c r="K119" i="165"/>
  <c r="J118" i="167"/>
  <c r="I118" i="167"/>
  <c r="K116" i="165"/>
  <c r="K126" i="165"/>
  <c r="J114" i="167"/>
  <c r="I114" i="167"/>
  <c r="K113" i="165"/>
  <c r="F116" i="165"/>
  <c r="F113" i="165"/>
  <c r="F406" i="165"/>
  <c r="H396" i="165"/>
  <c r="F396" i="165"/>
  <c r="H354" i="167"/>
  <c r="F409" i="165"/>
  <c r="K411" i="165"/>
  <c r="N62" i="165"/>
  <c r="N52" i="165"/>
  <c r="M52" i="165"/>
  <c r="L52" i="165"/>
  <c r="N50" i="165"/>
  <c r="M50" i="165"/>
  <c r="L50" i="165"/>
  <c r="F66" i="165"/>
  <c r="F65" i="165"/>
  <c r="G77" i="167"/>
  <c r="K62" i="165"/>
  <c r="J76" i="167" s="1"/>
  <c r="M76" i="167" s="1"/>
  <c r="H62" i="165"/>
  <c r="F62" i="165"/>
  <c r="H74" i="167"/>
  <c r="G74" i="167" s="1"/>
  <c r="K60" i="165"/>
  <c r="J73" i="167" s="1"/>
  <c r="M73" i="167" s="1"/>
  <c r="F60" i="165"/>
  <c r="F53" i="165"/>
  <c r="K52" i="165"/>
  <c r="O52" i="165" s="1"/>
  <c r="J64" i="167"/>
  <c r="I64" i="167"/>
  <c r="H64" i="167"/>
  <c r="K50" i="165"/>
  <c r="O50" i="165" s="1"/>
  <c r="J20" i="184"/>
  <c r="I28" i="184"/>
  <c r="I20" i="184" s="1"/>
  <c r="J61" i="167"/>
  <c r="I61" i="167"/>
  <c r="H61" i="167"/>
  <c r="K100" i="165"/>
  <c r="K65" i="165"/>
  <c r="H20" i="184"/>
  <c r="K27" i="184"/>
  <c r="K98" i="165"/>
  <c r="J103" i="167"/>
  <c r="I103" i="167"/>
  <c r="J25" i="184"/>
  <c r="J27" i="184"/>
  <c r="J104" i="167"/>
  <c r="I104" i="167"/>
  <c r="J22" i="184" l="1"/>
  <c r="K84" i="165"/>
  <c r="H68" i="165"/>
  <c r="F68" i="165"/>
  <c r="H52" i="165"/>
  <c r="H432" i="165"/>
  <c r="L432" i="165"/>
  <c r="N432" i="165"/>
  <c r="M432" i="165"/>
  <c r="E112" i="188" l="1"/>
  <c r="F108" i="188"/>
  <c r="E108" i="188"/>
  <c r="F105" i="188"/>
  <c r="E105" i="188"/>
  <c r="D92" i="188"/>
  <c r="D91" i="188"/>
  <c r="D77" i="188"/>
  <c r="C83" i="188"/>
  <c r="D82" i="188"/>
  <c r="C82" i="188" s="1"/>
  <c r="D59" i="188"/>
  <c r="D21" i="188"/>
  <c r="D18" i="188"/>
  <c r="H156" i="165"/>
  <c r="K177" i="165"/>
  <c r="K173" i="165"/>
  <c r="K169" i="165"/>
  <c r="D35" i="170"/>
  <c r="D33" i="170"/>
  <c r="D31" i="170"/>
  <c r="D28" i="170"/>
  <c r="D119" i="188"/>
  <c r="D132" i="188"/>
  <c r="D131" i="188"/>
  <c r="D130" i="188"/>
  <c r="O431" i="201"/>
  <c r="N431" i="201"/>
  <c r="M431" i="201"/>
  <c r="L431" i="201"/>
  <c r="K431" i="201"/>
  <c r="H431" i="201"/>
  <c r="G431" i="201"/>
  <c r="F431" i="201"/>
  <c r="E431" i="201"/>
  <c r="P428" i="201"/>
  <c r="O428" i="201"/>
  <c r="J428" i="201"/>
  <c r="E428" i="201"/>
  <c r="P427" i="201"/>
  <c r="O427" i="201"/>
  <c r="N427" i="201"/>
  <c r="M427" i="201"/>
  <c r="L427" i="201"/>
  <c r="K427" i="201"/>
  <c r="J427" i="201"/>
  <c r="I427" i="201"/>
  <c r="H427" i="201"/>
  <c r="G427" i="201"/>
  <c r="F427" i="201"/>
  <c r="E427" i="201"/>
  <c r="P426" i="201"/>
  <c r="O426" i="201"/>
  <c r="N426" i="201"/>
  <c r="M426" i="201"/>
  <c r="L426" i="201"/>
  <c r="K426" i="201"/>
  <c r="J426" i="201"/>
  <c r="I426" i="201"/>
  <c r="H426" i="201"/>
  <c r="G426" i="201"/>
  <c r="F426" i="201"/>
  <c r="E426" i="201"/>
  <c r="O425" i="201"/>
  <c r="J425" i="201"/>
  <c r="F425" i="201"/>
  <c r="F424" i="201" s="1"/>
  <c r="F423" i="201" s="1"/>
  <c r="E425" i="201"/>
  <c r="E424" i="201" s="1"/>
  <c r="E423" i="201" s="1"/>
  <c r="O424" i="201"/>
  <c r="O423" i="201" s="1"/>
  <c r="N424" i="201"/>
  <c r="M424" i="201"/>
  <c r="M423" i="201" s="1"/>
  <c r="M419" i="201" s="1"/>
  <c r="L424" i="201"/>
  <c r="K424" i="201"/>
  <c r="K423" i="201" s="1"/>
  <c r="K419" i="201" s="1"/>
  <c r="J424" i="201"/>
  <c r="I424" i="201"/>
  <c r="I423" i="201" s="1"/>
  <c r="I419" i="201" s="1"/>
  <c r="H424" i="201"/>
  <c r="G424" i="201"/>
  <c r="N423" i="201"/>
  <c r="L423" i="201"/>
  <c r="J423" i="201"/>
  <c r="H423" i="201"/>
  <c r="G423" i="201"/>
  <c r="G419" i="201" s="1"/>
  <c r="O422" i="201"/>
  <c r="O421" i="201" s="1"/>
  <c r="O419" i="201" s="1"/>
  <c r="J422" i="201"/>
  <c r="J421" i="201" s="1"/>
  <c r="F422" i="201"/>
  <c r="N421" i="201"/>
  <c r="M421" i="201"/>
  <c r="L421" i="201"/>
  <c r="K421" i="201"/>
  <c r="I421" i="201"/>
  <c r="H421" i="201"/>
  <c r="G421" i="201"/>
  <c r="P420" i="201"/>
  <c r="O420" i="201"/>
  <c r="J420" i="201"/>
  <c r="E420" i="201"/>
  <c r="N419" i="201"/>
  <c r="L419" i="201"/>
  <c r="H419" i="201"/>
  <c r="H412" i="201" s="1"/>
  <c r="H411" i="201" s="1"/>
  <c r="O418" i="201"/>
  <c r="O417" i="201" s="1"/>
  <c r="O416" i="201" s="1"/>
  <c r="J418" i="201"/>
  <c r="E418" i="201"/>
  <c r="N417" i="201"/>
  <c r="N416" i="201" s="1"/>
  <c r="M417" i="201"/>
  <c r="L417" i="201"/>
  <c r="K417" i="201"/>
  <c r="I417" i="201"/>
  <c r="H417" i="201"/>
  <c r="G417" i="201"/>
  <c r="F417" i="201"/>
  <c r="F416" i="201" s="1"/>
  <c r="E417" i="201"/>
  <c r="M416" i="201"/>
  <c r="L416" i="201"/>
  <c r="K416" i="201"/>
  <c r="I416" i="201"/>
  <c r="H416" i="201"/>
  <c r="G416" i="201"/>
  <c r="E416" i="201"/>
  <c r="O415" i="201"/>
  <c r="J415" i="201" s="1"/>
  <c r="P415" i="201" s="1"/>
  <c r="E415" i="201"/>
  <c r="O414" i="201"/>
  <c r="J414" i="201"/>
  <c r="E414" i="201"/>
  <c r="N413" i="201"/>
  <c r="M413" i="201"/>
  <c r="L413" i="201"/>
  <c r="K413" i="201"/>
  <c r="I413" i="201"/>
  <c r="H413" i="201"/>
  <c r="G413" i="201"/>
  <c r="F413" i="201"/>
  <c r="E413" i="201"/>
  <c r="M412" i="201"/>
  <c r="M411" i="201" s="1"/>
  <c r="K412" i="201"/>
  <c r="K411" i="201" s="1"/>
  <c r="I412" i="201"/>
  <c r="I411" i="201"/>
  <c r="O410" i="201"/>
  <c r="O409" i="201" s="1"/>
  <c r="K410" i="201"/>
  <c r="J410" i="201"/>
  <c r="E410" i="201"/>
  <c r="P410" i="201" s="1"/>
  <c r="P409" i="201" s="1"/>
  <c r="N409" i="201"/>
  <c r="M409" i="201"/>
  <c r="M406" i="201" s="1"/>
  <c r="M403" i="201" s="1"/>
  <c r="M402" i="201" s="1"/>
  <c r="L409" i="201"/>
  <c r="K409" i="201"/>
  <c r="J409" i="201"/>
  <c r="I409" i="201"/>
  <c r="I406" i="201" s="1"/>
  <c r="I403" i="201" s="1"/>
  <c r="I402" i="201" s="1"/>
  <c r="H409" i="201"/>
  <c r="G409" i="201"/>
  <c r="F409" i="201"/>
  <c r="E409" i="201"/>
  <c r="K408" i="201"/>
  <c r="O408" i="201" s="1"/>
  <c r="J408" i="201"/>
  <c r="F408" i="201"/>
  <c r="E408" i="201" s="1"/>
  <c r="O407" i="201"/>
  <c r="N407" i="201"/>
  <c r="N406" i="201" s="1"/>
  <c r="M407" i="201"/>
  <c r="L407" i="201"/>
  <c r="K407" i="201"/>
  <c r="J407" i="201"/>
  <c r="J406" i="201" s="1"/>
  <c r="I407" i="201"/>
  <c r="H407" i="201"/>
  <c r="H406" i="201" s="1"/>
  <c r="G407" i="201"/>
  <c r="F407" i="201"/>
  <c r="F406" i="201" s="1"/>
  <c r="O406" i="201"/>
  <c r="L406" i="201"/>
  <c r="K406" i="201"/>
  <c r="K403" i="201" s="1"/>
  <c r="K402" i="201" s="1"/>
  <c r="G406" i="201"/>
  <c r="P405" i="201"/>
  <c r="O405" i="201"/>
  <c r="J405" i="201"/>
  <c r="E405" i="201"/>
  <c r="P404" i="201"/>
  <c r="O404" i="201"/>
  <c r="N404" i="201"/>
  <c r="M404" i="201"/>
  <c r="L404" i="201"/>
  <c r="L403" i="201" s="1"/>
  <c r="K404" i="201"/>
  <c r="J404" i="201"/>
  <c r="I404" i="201"/>
  <c r="H404" i="201"/>
  <c r="H403" i="201" s="1"/>
  <c r="H402" i="201" s="1"/>
  <c r="G404" i="201"/>
  <c r="F404" i="201"/>
  <c r="E404" i="201"/>
  <c r="O403" i="201"/>
  <c r="O402" i="201" s="1"/>
  <c r="G403" i="201"/>
  <c r="G402" i="201" s="1"/>
  <c r="O401" i="201"/>
  <c r="J401" i="201" s="1"/>
  <c r="J400" i="201" s="1"/>
  <c r="E401" i="201"/>
  <c r="N400" i="201"/>
  <c r="M400" i="201"/>
  <c r="L400" i="201"/>
  <c r="K400" i="201"/>
  <c r="I400" i="201"/>
  <c r="H400" i="201"/>
  <c r="G400" i="201"/>
  <c r="G393" i="201" s="1"/>
  <c r="F400" i="201"/>
  <c r="E400" i="201"/>
  <c r="P399" i="201"/>
  <c r="P398" i="201" s="1"/>
  <c r="P397" i="201" s="1"/>
  <c r="O399" i="201"/>
  <c r="L399" i="201"/>
  <c r="J399" i="201" s="1"/>
  <c r="Q399" i="201" s="1"/>
  <c r="O398" i="201"/>
  <c r="N398" i="201"/>
  <c r="N397" i="201" s="1"/>
  <c r="N393" i="201" s="1"/>
  <c r="N392" i="201" s="1"/>
  <c r="M398" i="201"/>
  <c r="L398" i="201"/>
  <c r="K398" i="201"/>
  <c r="J398" i="201"/>
  <c r="J397" i="201" s="1"/>
  <c r="I398" i="201"/>
  <c r="H398" i="201"/>
  <c r="G398" i="201"/>
  <c r="F398" i="201"/>
  <c r="F397" i="201" s="1"/>
  <c r="E398" i="201"/>
  <c r="O397" i="201"/>
  <c r="M397" i="201"/>
  <c r="L397" i="201"/>
  <c r="K397" i="201"/>
  <c r="I397" i="201"/>
  <c r="H397" i="201"/>
  <c r="G397" i="201"/>
  <c r="E397" i="201"/>
  <c r="O396" i="201"/>
  <c r="J396" i="201"/>
  <c r="P396" i="201" s="1"/>
  <c r="E396" i="201"/>
  <c r="O395" i="201"/>
  <c r="J395" i="201"/>
  <c r="P395" i="201" s="1"/>
  <c r="P394" i="201" s="1"/>
  <c r="E395" i="201"/>
  <c r="O394" i="201"/>
  <c r="N394" i="201"/>
  <c r="M394" i="201"/>
  <c r="L394" i="201"/>
  <c r="K394" i="201"/>
  <c r="J394" i="201"/>
  <c r="I394" i="201"/>
  <c r="H394" i="201"/>
  <c r="H393" i="201" s="1"/>
  <c r="H392" i="201" s="1"/>
  <c r="G394" i="201"/>
  <c r="F394" i="201"/>
  <c r="E394" i="201"/>
  <c r="M393" i="201"/>
  <c r="K393" i="201"/>
  <c r="I393" i="201"/>
  <c r="I392" i="201" s="1"/>
  <c r="E393" i="201"/>
  <c r="M392" i="201"/>
  <c r="K392" i="201"/>
  <c r="G392" i="201"/>
  <c r="E392" i="201"/>
  <c r="O391" i="201"/>
  <c r="J391" i="201"/>
  <c r="J390" i="201" s="1"/>
  <c r="J389" i="201" s="1"/>
  <c r="E391" i="201"/>
  <c r="O390" i="201"/>
  <c r="N390" i="201"/>
  <c r="M390" i="201"/>
  <c r="M389" i="201" s="1"/>
  <c r="L390" i="201"/>
  <c r="K390" i="201"/>
  <c r="I390" i="201"/>
  <c r="I389" i="201" s="1"/>
  <c r="H390" i="201"/>
  <c r="G390" i="201"/>
  <c r="G389" i="201" s="1"/>
  <c r="F390" i="201"/>
  <c r="O389" i="201"/>
  <c r="N389" i="201"/>
  <c r="L389" i="201"/>
  <c r="K389" i="201"/>
  <c r="H389" i="201"/>
  <c r="F389" i="201"/>
  <c r="K388" i="201"/>
  <c r="F388" i="201"/>
  <c r="E388" i="201"/>
  <c r="N387" i="201"/>
  <c r="M387" i="201"/>
  <c r="M386" i="201" s="1"/>
  <c r="L387" i="201"/>
  <c r="L386" i="201" s="1"/>
  <c r="I387" i="201"/>
  <c r="H387" i="201"/>
  <c r="H386" i="201" s="1"/>
  <c r="G387" i="201"/>
  <c r="G386" i="201" s="1"/>
  <c r="F387" i="201"/>
  <c r="N386" i="201"/>
  <c r="I386" i="201"/>
  <c r="F386" i="201"/>
  <c r="O385" i="201"/>
  <c r="E385" i="201"/>
  <c r="N384" i="201"/>
  <c r="M384" i="201"/>
  <c r="M380" i="201" s="1"/>
  <c r="L384" i="201"/>
  <c r="L380" i="201" s="1"/>
  <c r="K384" i="201"/>
  <c r="I384" i="201"/>
  <c r="I380" i="201" s="1"/>
  <c r="H384" i="201"/>
  <c r="H380" i="201" s="1"/>
  <c r="H377" i="201" s="1"/>
  <c r="G384" i="201"/>
  <c r="F384" i="201"/>
  <c r="O383" i="201"/>
  <c r="J383" i="201" s="1"/>
  <c r="K383" i="201"/>
  <c r="F383" i="201"/>
  <c r="O382" i="201"/>
  <c r="J382" i="201"/>
  <c r="E382" i="201"/>
  <c r="P382" i="201" s="1"/>
  <c r="O381" i="201"/>
  <c r="J381" i="201" s="1"/>
  <c r="F381" i="201"/>
  <c r="E381" i="201" s="1"/>
  <c r="N380" i="201"/>
  <c r="K380" i="201"/>
  <c r="G380" i="201"/>
  <c r="G377" i="201" s="1"/>
  <c r="K379" i="201"/>
  <c r="F379" i="201"/>
  <c r="N378" i="201"/>
  <c r="M378" i="201"/>
  <c r="L378" i="201"/>
  <c r="I378" i="201"/>
  <c r="H378" i="201"/>
  <c r="G378" i="201"/>
  <c r="N377" i="201"/>
  <c r="I377" i="201"/>
  <c r="K376" i="201"/>
  <c r="O376" i="201" s="1"/>
  <c r="J376" i="201"/>
  <c r="F376" i="201"/>
  <c r="E376" i="201" s="1"/>
  <c r="P376" i="201" s="1"/>
  <c r="K375" i="201"/>
  <c r="F375" i="201"/>
  <c r="E375" i="201"/>
  <c r="E374" i="201" s="1"/>
  <c r="N374" i="201"/>
  <c r="M374" i="201"/>
  <c r="L374" i="201"/>
  <c r="I374" i="201"/>
  <c r="H374" i="201"/>
  <c r="G374" i="201"/>
  <c r="G373" i="201"/>
  <c r="G372" i="201" s="1"/>
  <c r="O371" i="201"/>
  <c r="O370" i="201" s="1"/>
  <c r="J371" i="201"/>
  <c r="E371" i="201"/>
  <c r="N370" i="201"/>
  <c r="M370" i="201"/>
  <c r="L370" i="201"/>
  <c r="K370" i="201"/>
  <c r="J370" i="201"/>
  <c r="I370" i="201"/>
  <c r="H370" i="201"/>
  <c r="G370" i="201"/>
  <c r="F370" i="201"/>
  <c r="O369" i="201"/>
  <c r="J369" i="201" s="1"/>
  <c r="J368" i="201" s="1"/>
  <c r="F369" i="201"/>
  <c r="O368" i="201"/>
  <c r="N368" i="201"/>
  <c r="M368" i="201"/>
  <c r="L368" i="201"/>
  <c r="L367" i="201" s="1"/>
  <c r="K368" i="201"/>
  <c r="I368" i="201"/>
  <c r="H368" i="201"/>
  <c r="H367" i="201" s="1"/>
  <c r="G368" i="201"/>
  <c r="G367" i="201" s="1"/>
  <c r="O367" i="201"/>
  <c r="N367" i="201"/>
  <c r="N354" i="201" s="1"/>
  <c r="N353" i="201" s="1"/>
  <c r="M367" i="201"/>
  <c r="K367" i="201"/>
  <c r="J367" i="201"/>
  <c r="I367" i="201"/>
  <c r="O366" i="201"/>
  <c r="J366" i="201" s="1"/>
  <c r="J365" i="201" s="1"/>
  <c r="K366" i="201"/>
  <c r="E366" i="201"/>
  <c r="O365" i="201"/>
  <c r="N365" i="201"/>
  <c r="M365" i="201"/>
  <c r="L365" i="201"/>
  <c r="K365" i="201"/>
  <c r="I365" i="201"/>
  <c r="H365" i="201"/>
  <c r="G365" i="201"/>
  <c r="F365" i="201"/>
  <c r="E365" i="201"/>
  <c r="O364" i="201"/>
  <c r="J364" i="201" s="1"/>
  <c r="E364" i="201"/>
  <c r="P363" i="201"/>
  <c r="O363" i="201"/>
  <c r="J363" i="201" s="1"/>
  <c r="E363" i="201"/>
  <c r="P362" i="201"/>
  <c r="O362" i="201"/>
  <c r="N362" i="201"/>
  <c r="N359" i="201" s="1"/>
  <c r="N358" i="201" s="1"/>
  <c r="M362" i="201"/>
  <c r="L362" i="201"/>
  <c r="K362" i="201"/>
  <c r="J362" i="201"/>
  <c r="I362" i="201"/>
  <c r="H362" i="201"/>
  <c r="H359" i="201" s="1"/>
  <c r="H358" i="201" s="1"/>
  <c r="H354" i="201" s="1"/>
  <c r="H353" i="201" s="1"/>
  <c r="G362" i="201"/>
  <c r="F362" i="201"/>
  <c r="F359" i="201" s="1"/>
  <c r="F358" i="201" s="1"/>
  <c r="E362" i="201"/>
  <c r="O361" i="201"/>
  <c r="F361" i="201"/>
  <c r="E361" i="201"/>
  <c r="N360" i="201"/>
  <c r="M360" i="201"/>
  <c r="M359" i="201" s="1"/>
  <c r="M358" i="201" s="1"/>
  <c r="M354" i="201" s="1"/>
  <c r="M353" i="201" s="1"/>
  <c r="L360" i="201"/>
  <c r="K360" i="201"/>
  <c r="I360" i="201"/>
  <c r="H360" i="201"/>
  <c r="G360" i="201"/>
  <c r="F360" i="201"/>
  <c r="K359" i="201"/>
  <c r="K358" i="201" s="1"/>
  <c r="I359" i="201"/>
  <c r="I358" i="201" s="1"/>
  <c r="I354" i="201" s="1"/>
  <c r="I353" i="201" s="1"/>
  <c r="O357" i="201"/>
  <c r="J357" i="201" s="1"/>
  <c r="E357" i="201"/>
  <c r="P356" i="201"/>
  <c r="O356" i="201"/>
  <c r="J356" i="201" s="1"/>
  <c r="J355" i="201" s="1"/>
  <c r="E356" i="201"/>
  <c r="O355" i="201"/>
  <c r="N355" i="201"/>
  <c r="M355" i="201"/>
  <c r="L355" i="201"/>
  <c r="K355" i="201"/>
  <c r="I355" i="201"/>
  <c r="H355" i="201"/>
  <c r="G355" i="201"/>
  <c r="F355" i="201"/>
  <c r="O352" i="201"/>
  <c r="J352" i="201"/>
  <c r="P352" i="201" s="1"/>
  <c r="P351" i="201" s="1"/>
  <c r="P350" i="201" s="1"/>
  <c r="E352" i="201"/>
  <c r="O351" i="201"/>
  <c r="N351" i="201"/>
  <c r="N350" i="201" s="1"/>
  <c r="N345" i="201" s="1"/>
  <c r="N344" i="201" s="1"/>
  <c r="M351" i="201"/>
  <c r="L351" i="201"/>
  <c r="K351" i="201"/>
  <c r="J351" i="201"/>
  <c r="J350" i="201" s="1"/>
  <c r="I351" i="201"/>
  <c r="H351" i="201"/>
  <c r="G351" i="201"/>
  <c r="F351" i="201"/>
  <c r="F350" i="201" s="1"/>
  <c r="E351" i="201"/>
  <c r="O350" i="201"/>
  <c r="M350" i="201"/>
  <c r="L350" i="201"/>
  <c r="K350" i="201"/>
  <c r="I350" i="201"/>
  <c r="H350" i="201"/>
  <c r="G350" i="201"/>
  <c r="E350" i="201"/>
  <c r="O349" i="201"/>
  <c r="J349" i="201"/>
  <c r="F349" i="201"/>
  <c r="O348" i="201"/>
  <c r="J348" i="201"/>
  <c r="P348" i="201" s="1"/>
  <c r="E348" i="201"/>
  <c r="O347" i="201"/>
  <c r="J347" i="201" s="1"/>
  <c r="J346" i="201" s="1"/>
  <c r="E347" i="201"/>
  <c r="O346" i="201"/>
  <c r="O345" i="201" s="1"/>
  <c r="N346" i="201"/>
  <c r="M346" i="201"/>
  <c r="L346" i="201"/>
  <c r="K346" i="201"/>
  <c r="I346" i="201"/>
  <c r="H346" i="201"/>
  <c r="G346" i="201"/>
  <c r="G345" i="201" s="1"/>
  <c r="L345" i="201"/>
  <c r="K345" i="201"/>
  <c r="K344" i="201" s="1"/>
  <c r="H345" i="201"/>
  <c r="L344" i="201"/>
  <c r="H344" i="201"/>
  <c r="G344" i="201"/>
  <c r="O343" i="201"/>
  <c r="J343" i="201"/>
  <c r="E343" i="201"/>
  <c r="O341" i="201"/>
  <c r="J341" i="201"/>
  <c r="P341" i="201" s="1"/>
  <c r="E341" i="201"/>
  <c r="O340" i="201"/>
  <c r="N340" i="201"/>
  <c r="M340" i="201"/>
  <c r="L340" i="201"/>
  <c r="K340" i="201"/>
  <c r="I340" i="201"/>
  <c r="H340" i="201"/>
  <c r="G340" i="201"/>
  <c r="F340" i="201"/>
  <c r="E340" i="201"/>
  <c r="O339" i="201"/>
  <c r="N339" i="201"/>
  <c r="N330" i="201" s="1"/>
  <c r="M339" i="201"/>
  <c r="L339" i="201"/>
  <c r="L330" i="201" s="1"/>
  <c r="K339" i="201"/>
  <c r="I339" i="201"/>
  <c r="H339" i="201"/>
  <c r="H330" i="201" s="1"/>
  <c r="G339" i="201"/>
  <c r="F339" i="201"/>
  <c r="E339" i="201"/>
  <c r="O338" i="201"/>
  <c r="J338" i="201"/>
  <c r="P338" i="201" s="1"/>
  <c r="E338" i="201"/>
  <c r="K337" i="201"/>
  <c r="O337" i="201" s="1"/>
  <c r="J337" i="201" s="1"/>
  <c r="E337" i="201"/>
  <c r="O336" i="201"/>
  <c r="J336" i="201" s="1"/>
  <c r="E336" i="201"/>
  <c r="P336" i="201" s="1"/>
  <c r="O335" i="201"/>
  <c r="K335" i="201"/>
  <c r="J335" i="201"/>
  <c r="E335" i="201"/>
  <c r="P335" i="201" s="1"/>
  <c r="K334" i="201"/>
  <c r="O334" i="201" s="1"/>
  <c r="J334" i="201"/>
  <c r="E334" i="201"/>
  <c r="O333" i="201"/>
  <c r="N333" i="201"/>
  <c r="M333" i="201"/>
  <c r="M331" i="201" s="1"/>
  <c r="M330" i="201" s="1"/>
  <c r="L333" i="201"/>
  <c r="K333" i="201"/>
  <c r="I333" i="201"/>
  <c r="I331" i="201" s="1"/>
  <c r="H333" i="201"/>
  <c r="G333" i="201"/>
  <c r="F333" i="201"/>
  <c r="O332" i="201"/>
  <c r="E332" i="201"/>
  <c r="N331" i="201"/>
  <c r="L331" i="201"/>
  <c r="K331" i="201"/>
  <c r="K330" i="201" s="1"/>
  <c r="K320" i="201" s="1"/>
  <c r="K319" i="201" s="1"/>
  <c r="H331" i="201"/>
  <c r="G331" i="201"/>
  <c r="G330" i="201" s="1"/>
  <c r="G320" i="201" s="1"/>
  <c r="G319" i="201" s="1"/>
  <c r="F331" i="201"/>
  <c r="F330" i="201" s="1"/>
  <c r="I330" i="201"/>
  <c r="O329" i="201"/>
  <c r="O328" i="201" s="1"/>
  <c r="O327" i="201" s="1"/>
  <c r="E329" i="201"/>
  <c r="N328" i="201"/>
  <c r="N327" i="201" s="1"/>
  <c r="M328" i="201"/>
  <c r="M327" i="201" s="1"/>
  <c r="M320" i="201" s="1"/>
  <c r="M319" i="201" s="1"/>
  <c r="L328" i="201"/>
  <c r="K328" i="201"/>
  <c r="I328" i="201"/>
  <c r="H328" i="201"/>
  <c r="G328" i="201"/>
  <c r="F328" i="201"/>
  <c r="F327" i="201" s="1"/>
  <c r="E328" i="201"/>
  <c r="L327" i="201"/>
  <c r="K327" i="201"/>
  <c r="I327" i="201"/>
  <c r="H327" i="201"/>
  <c r="G327" i="201"/>
  <c r="E327" i="201"/>
  <c r="O326" i="201"/>
  <c r="K326" i="201"/>
  <c r="E326" i="201"/>
  <c r="N325" i="201"/>
  <c r="M325" i="201"/>
  <c r="L325" i="201"/>
  <c r="L320" i="201" s="1"/>
  <c r="K325" i="201"/>
  <c r="I325" i="201"/>
  <c r="H325" i="201"/>
  <c r="G325" i="201"/>
  <c r="F325" i="201"/>
  <c r="E325" i="201"/>
  <c r="O324" i="201"/>
  <c r="J324" i="201" s="1"/>
  <c r="P324" i="201" s="1"/>
  <c r="E324" i="201"/>
  <c r="P323" i="201"/>
  <c r="O323" i="201"/>
  <c r="J323" i="201" s="1"/>
  <c r="E323" i="201"/>
  <c r="P322" i="201"/>
  <c r="P321" i="201" s="1"/>
  <c r="O322" i="201"/>
  <c r="J322" i="201" s="1"/>
  <c r="E322" i="201"/>
  <c r="O321" i="201"/>
  <c r="N321" i="201"/>
  <c r="M321" i="201"/>
  <c r="L321" i="201"/>
  <c r="K321" i="201"/>
  <c r="I321" i="201"/>
  <c r="H321" i="201"/>
  <c r="G321" i="201"/>
  <c r="F321" i="201"/>
  <c r="E321" i="201"/>
  <c r="H320" i="201"/>
  <c r="H319" i="201" s="1"/>
  <c r="P318" i="201"/>
  <c r="P317" i="201" s="1"/>
  <c r="P316" i="201" s="1"/>
  <c r="O318" i="201"/>
  <c r="J318" i="201" s="1"/>
  <c r="J317" i="201" s="1"/>
  <c r="J316" i="201" s="1"/>
  <c r="E318" i="201"/>
  <c r="O317" i="201"/>
  <c r="O316" i="201" s="1"/>
  <c r="N317" i="201"/>
  <c r="M317" i="201"/>
  <c r="L317" i="201"/>
  <c r="L316" i="201" s="1"/>
  <c r="K317" i="201"/>
  <c r="K316" i="201" s="1"/>
  <c r="I317" i="201"/>
  <c r="H317" i="201"/>
  <c r="G317" i="201"/>
  <c r="G316" i="201" s="1"/>
  <c r="F317" i="201"/>
  <c r="E317" i="201"/>
  <c r="N316" i="201"/>
  <c r="M316" i="201"/>
  <c r="I316" i="201"/>
  <c r="H316" i="201"/>
  <c r="F316" i="201"/>
  <c r="E316" i="201"/>
  <c r="O315" i="201"/>
  <c r="J315" i="201" s="1"/>
  <c r="H315" i="201"/>
  <c r="G315" i="201"/>
  <c r="G312" i="201" s="1"/>
  <c r="G311" i="201" s="1"/>
  <c r="F315" i="201"/>
  <c r="O314" i="201"/>
  <c r="J314" i="201"/>
  <c r="H314" i="201"/>
  <c r="E314" i="201"/>
  <c r="P314" i="201" s="1"/>
  <c r="O313" i="201"/>
  <c r="E313" i="201"/>
  <c r="N312" i="201"/>
  <c r="M312" i="201"/>
  <c r="M311" i="201" s="1"/>
  <c r="L312" i="201"/>
  <c r="K312" i="201"/>
  <c r="I312" i="201"/>
  <c r="I311" i="201" s="1"/>
  <c r="H312" i="201"/>
  <c r="H311" i="201" s="1"/>
  <c r="N311" i="201"/>
  <c r="L311" i="201"/>
  <c r="K311" i="201"/>
  <c r="O310" i="201"/>
  <c r="J310" i="201" s="1"/>
  <c r="E310" i="201"/>
  <c r="P308" i="201"/>
  <c r="J308" i="201"/>
  <c r="O307" i="201"/>
  <c r="N307" i="201"/>
  <c r="N304" i="201" s="1"/>
  <c r="M307" i="201"/>
  <c r="L307" i="201"/>
  <c r="K307" i="201"/>
  <c r="J307" i="201"/>
  <c r="I307" i="201"/>
  <c r="I304" i="201" s="1"/>
  <c r="H307" i="201"/>
  <c r="G307" i="201"/>
  <c r="F307" i="201"/>
  <c r="F304" i="201" s="1"/>
  <c r="O306" i="201"/>
  <c r="K306" i="201"/>
  <c r="J306" i="201"/>
  <c r="E306" i="201"/>
  <c r="K305" i="201"/>
  <c r="E305" i="201"/>
  <c r="M304" i="201"/>
  <c r="L304" i="201"/>
  <c r="L298" i="201" s="1"/>
  <c r="H304" i="201"/>
  <c r="G304" i="201"/>
  <c r="O303" i="201"/>
  <c r="J303" i="201" s="1"/>
  <c r="K303" i="201"/>
  <c r="F303" i="201"/>
  <c r="E303" i="201"/>
  <c r="E302" i="201" s="1"/>
  <c r="E301" i="201" s="1"/>
  <c r="O302" i="201"/>
  <c r="O301" i="201" s="1"/>
  <c r="N302" i="201"/>
  <c r="M302" i="201"/>
  <c r="L302" i="201"/>
  <c r="K302" i="201"/>
  <c r="K301" i="201" s="1"/>
  <c r="I302" i="201"/>
  <c r="H302" i="201"/>
  <c r="G302" i="201"/>
  <c r="G301" i="201" s="1"/>
  <c r="F302" i="201"/>
  <c r="N301" i="201"/>
  <c r="M301" i="201"/>
  <c r="L301" i="201"/>
  <c r="I301" i="201"/>
  <c r="H301" i="201"/>
  <c r="F301" i="201"/>
  <c r="K300" i="201"/>
  <c r="E300" i="201"/>
  <c r="N299" i="201"/>
  <c r="M299" i="201"/>
  <c r="L299" i="201"/>
  <c r="I299" i="201"/>
  <c r="H299" i="201"/>
  <c r="G299" i="201"/>
  <c r="F299" i="201"/>
  <c r="F298" i="201" s="1"/>
  <c r="E299" i="201"/>
  <c r="H298" i="201"/>
  <c r="O297" i="201"/>
  <c r="J297" i="201" s="1"/>
  <c r="P297" i="201" s="1"/>
  <c r="E297" i="201"/>
  <c r="P296" i="201"/>
  <c r="O296" i="201"/>
  <c r="J296" i="201" s="1"/>
  <c r="F296" i="201"/>
  <c r="E296" i="201"/>
  <c r="P295" i="201"/>
  <c r="O295" i="201"/>
  <c r="J295" i="201" s="1"/>
  <c r="F295" i="201"/>
  <c r="E295" i="201"/>
  <c r="P294" i="201"/>
  <c r="O294" i="201"/>
  <c r="J294" i="201"/>
  <c r="E294" i="201"/>
  <c r="K293" i="201"/>
  <c r="O293" i="201" s="1"/>
  <c r="J293" i="201" s="1"/>
  <c r="F293" i="201"/>
  <c r="O292" i="201"/>
  <c r="J292" i="201" s="1"/>
  <c r="J291" i="201" s="1"/>
  <c r="J290" i="201" s="1"/>
  <c r="F292" i="201"/>
  <c r="E292" i="201"/>
  <c r="N291" i="201"/>
  <c r="M291" i="201"/>
  <c r="M290" i="201" s="1"/>
  <c r="L291" i="201"/>
  <c r="L290" i="201" s="1"/>
  <c r="I291" i="201"/>
  <c r="H291" i="201"/>
  <c r="H290" i="201" s="1"/>
  <c r="G291" i="201"/>
  <c r="N290" i="201"/>
  <c r="I290" i="201"/>
  <c r="G290" i="201"/>
  <c r="O289" i="201"/>
  <c r="J289" i="201" s="1"/>
  <c r="E289" i="201"/>
  <c r="P289" i="201" s="1"/>
  <c r="O288" i="201"/>
  <c r="J288" i="201" s="1"/>
  <c r="P288" i="201" s="1"/>
  <c r="E288" i="201"/>
  <c r="P287" i="201"/>
  <c r="O287" i="201"/>
  <c r="J287" i="201" s="1"/>
  <c r="E287" i="201"/>
  <c r="O286" i="201"/>
  <c r="N286" i="201"/>
  <c r="M286" i="201"/>
  <c r="L286" i="201"/>
  <c r="K286" i="201"/>
  <c r="I286" i="201"/>
  <c r="H286" i="201"/>
  <c r="G286" i="201"/>
  <c r="F286" i="201"/>
  <c r="E286" i="201"/>
  <c r="L285" i="201"/>
  <c r="P283" i="201"/>
  <c r="O283" i="201"/>
  <c r="J283" i="201"/>
  <c r="E283" i="201"/>
  <c r="P282" i="201"/>
  <c r="O282" i="201"/>
  <c r="N282" i="201"/>
  <c r="M282" i="201"/>
  <c r="M279" i="201" s="1"/>
  <c r="L282" i="201"/>
  <c r="K282" i="201"/>
  <c r="J282" i="201"/>
  <c r="I282" i="201"/>
  <c r="I280" i="201" s="1"/>
  <c r="H282" i="201"/>
  <c r="G282" i="201"/>
  <c r="F282" i="201"/>
  <c r="E282" i="201"/>
  <c r="O281" i="201"/>
  <c r="J281" i="201"/>
  <c r="F281" i="201"/>
  <c r="E281" i="201"/>
  <c r="P281" i="201" s="1"/>
  <c r="P280" i="201" s="1"/>
  <c r="O280" i="201"/>
  <c r="O279" i="201" s="1"/>
  <c r="N280" i="201"/>
  <c r="M280" i="201"/>
  <c r="K280" i="201"/>
  <c r="K279" i="201" s="1"/>
  <c r="J280" i="201"/>
  <c r="J279" i="201" s="1"/>
  <c r="G280" i="201"/>
  <c r="F280" i="201"/>
  <c r="F279" i="201" s="1"/>
  <c r="E280" i="201"/>
  <c r="N279" i="201"/>
  <c r="I279" i="201"/>
  <c r="G279" i="201"/>
  <c r="O277" i="201"/>
  <c r="O276" i="201" s="1"/>
  <c r="J277" i="201"/>
  <c r="J276" i="201" s="1"/>
  <c r="E277" i="201"/>
  <c r="N276" i="201"/>
  <c r="N273" i="201" s="1"/>
  <c r="M276" i="201"/>
  <c r="M273" i="201" s="1"/>
  <c r="M270" i="201" s="1"/>
  <c r="L276" i="201"/>
  <c r="K276" i="201"/>
  <c r="I276" i="201"/>
  <c r="H276" i="201"/>
  <c r="G276" i="201"/>
  <c r="F276" i="201"/>
  <c r="F273" i="201" s="1"/>
  <c r="O275" i="201"/>
  <c r="J275" i="201" s="1"/>
  <c r="K275" i="201"/>
  <c r="E275" i="201"/>
  <c r="O274" i="201"/>
  <c r="J274" i="201"/>
  <c r="F274" i="201"/>
  <c r="E274" i="201"/>
  <c r="O273" i="201"/>
  <c r="L273" i="201"/>
  <c r="K273" i="201"/>
  <c r="I273" i="201"/>
  <c r="I270" i="201" s="1"/>
  <c r="H273" i="201"/>
  <c r="G273" i="201"/>
  <c r="O272" i="201"/>
  <c r="K272" i="201"/>
  <c r="E272" i="201"/>
  <c r="E271" i="201" s="1"/>
  <c r="N271" i="201"/>
  <c r="N270" i="201" s="1"/>
  <c r="M271" i="201"/>
  <c r="L271" i="201"/>
  <c r="K271" i="201"/>
  <c r="I271" i="201"/>
  <c r="H271" i="201"/>
  <c r="G271" i="201"/>
  <c r="F271" i="201"/>
  <c r="K270" i="201"/>
  <c r="G270" i="201"/>
  <c r="F270" i="201"/>
  <c r="O269" i="201"/>
  <c r="J269" i="201"/>
  <c r="E269" i="201"/>
  <c r="K268" i="201"/>
  <c r="O268" i="201" s="1"/>
  <c r="J268" i="201"/>
  <c r="F268" i="201"/>
  <c r="E268" i="201"/>
  <c r="O267" i="201"/>
  <c r="J267" i="201" s="1"/>
  <c r="F267" i="201"/>
  <c r="E267" i="201" s="1"/>
  <c r="O266" i="201"/>
  <c r="J266" i="201"/>
  <c r="P266" i="201" s="1"/>
  <c r="F266" i="201"/>
  <c r="E266" i="201"/>
  <c r="O265" i="201"/>
  <c r="J265" i="201" s="1"/>
  <c r="P265" i="201" s="1"/>
  <c r="K265" i="201"/>
  <c r="E265" i="201"/>
  <c r="O264" i="201"/>
  <c r="K264" i="201"/>
  <c r="F264" i="201"/>
  <c r="E264" i="201"/>
  <c r="E263" i="201" s="1"/>
  <c r="E262" i="201" s="1"/>
  <c r="N263" i="201"/>
  <c r="M263" i="201"/>
  <c r="L263" i="201"/>
  <c r="L262" i="201" s="1"/>
  <c r="I263" i="201"/>
  <c r="H263" i="201"/>
  <c r="G263" i="201"/>
  <c r="F263" i="201"/>
  <c r="F262" i="201" s="1"/>
  <c r="N262" i="201"/>
  <c r="N257" i="201" s="1"/>
  <c r="M262" i="201"/>
  <c r="I262" i="201"/>
  <c r="H262" i="201"/>
  <c r="G262" i="201"/>
  <c r="P261" i="201"/>
  <c r="J261" i="201"/>
  <c r="E261" i="201"/>
  <c r="O260" i="201"/>
  <c r="J260" i="201" s="1"/>
  <c r="P260" i="201" s="1"/>
  <c r="E260" i="201"/>
  <c r="O259" i="201"/>
  <c r="E259" i="201"/>
  <c r="N258" i="201"/>
  <c r="M258" i="201"/>
  <c r="M257" i="201" s="1"/>
  <c r="M256" i="201" s="1"/>
  <c r="L258" i="201"/>
  <c r="K258" i="201"/>
  <c r="I258" i="201"/>
  <c r="I257" i="201" s="1"/>
  <c r="H258" i="201"/>
  <c r="G258" i="201"/>
  <c r="F258" i="201"/>
  <c r="E258" i="201"/>
  <c r="F257" i="201"/>
  <c r="F256" i="201" s="1"/>
  <c r="N256" i="201"/>
  <c r="I256" i="201"/>
  <c r="P255" i="201"/>
  <c r="O255" i="201"/>
  <c r="J255" i="201"/>
  <c r="E255" i="201"/>
  <c r="P254" i="201"/>
  <c r="O254" i="201"/>
  <c r="N254" i="201"/>
  <c r="M254" i="201"/>
  <c r="L254" i="201"/>
  <c r="K254" i="201"/>
  <c r="J254" i="201"/>
  <c r="I254" i="201"/>
  <c r="H254" i="201"/>
  <c r="G254" i="201"/>
  <c r="F254" i="201"/>
  <c r="E254" i="201"/>
  <c r="P253" i="201"/>
  <c r="O253" i="201"/>
  <c r="N253" i="201"/>
  <c r="M253" i="201"/>
  <c r="L253" i="201"/>
  <c r="K253" i="201"/>
  <c r="J253" i="201"/>
  <c r="I253" i="201"/>
  <c r="H253" i="201"/>
  <c r="G253" i="201"/>
  <c r="F253" i="201"/>
  <c r="E253" i="201"/>
  <c r="P252" i="201"/>
  <c r="O252" i="201"/>
  <c r="J252" i="201"/>
  <c r="E252" i="201"/>
  <c r="P251" i="201"/>
  <c r="O251" i="201"/>
  <c r="J251" i="201"/>
  <c r="E251" i="201"/>
  <c r="P250" i="201"/>
  <c r="O250" i="201"/>
  <c r="N250" i="201"/>
  <c r="M250" i="201"/>
  <c r="L250" i="201"/>
  <c r="L246" i="201" s="1"/>
  <c r="K250" i="201"/>
  <c r="J250" i="201"/>
  <c r="I250" i="201"/>
  <c r="H250" i="201"/>
  <c r="H246" i="201" s="1"/>
  <c r="G250" i="201"/>
  <c r="F250" i="201"/>
  <c r="E250" i="201"/>
  <c r="P249" i="201"/>
  <c r="P248" i="201" s="1"/>
  <c r="P247" i="201" s="1"/>
  <c r="K249" i="201"/>
  <c r="O249" i="201" s="1"/>
  <c r="J249" i="201" s="1"/>
  <c r="E249" i="201"/>
  <c r="E248" i="201" s="1"/>
  <c r="E247" i="201" s="1"/>
  <c r="O248" i="201"/>
  <c r="O247" i="201" s="1"/>
  <c r="O246" i="201" s="1"/>
  <c r="N248" i="201"/>
  <c r="N247" i="201" s="1"/>
  <c r="N246" i="201" s="1"/>
  <c r="N221" i="201" s="1"/>
  <c r="N220" i="201" s="1"/>
  <c r="M248" i="201"/>
  <c r="L248" i="201"/>
  <c r="K248" i="201"/>
  <c r="K247" i="201" s="1"/>
  <c r="K246" i="201" s="1"/>
  <c r="J248" i="201"/>
  <c r="I248" i="201"/>
  <c r="H248" i="201"/>
  <c r="G248" i="201"/>
  <c r="G247" i="201" s="1"/>
  <c r="F248" i="201"/>
  <c r="M247" i="201"/>
  <c r="M246" i="201" s="1"/>
  <c r="L247" i="201"/>
  <c r="J247" i="201"/>
  <c r="J246" i="201" s="1"/>
  <c r="I247" i="201"/>
  <c r="I246" i="201" s="1"/>
  <c r="H247" i="201"/>
  <c r="F247" i="201"/>
  <c r="F246" i="201" s="1"/>
  <c r="G246" i="201"/>
  <c r="G221" i="201" s="1"/>
  <c r="G220" i="201" s="1"/>
  <c r="O245" i="201"/>
  <c r="O244" i="201" s="1"/>
  <c r="J245" i="201"/>
  <c r="J244" i="201" s="1"/>
  <c r="J243" i="201" s="1"/>
  <c r="E245" i="201"/>
  <c r="P245" i="201" s="1"/>
  <c r="P244" i="201" s="1"/>
  <c r="P243" i="201" s="1"/>
  <c r="N244" i="201"/>
  <c r="N243" i="201" s="1"/>
  <c r="M244" i="201"/>
  <c r="M243" i="201" s="1"/>
  <c r="L244" i="201"/>
  <c r="K244" i="201"/>
  <c r="I244" i="201"/>
  <c r="I243" i="201" s="1"/>
  <c r="H244" i="201"/>
  <c r="G244" i="201"/>
  <c r="F244" i="201"/>
  <c r="F243" i="201" s="1"/>
  <c r="O243" i="201"/>
  <c r="L243" i="201"/>
  <c r="K243" i="201"/>
  <c r="H243" i="201"/>
  <c r="G243" i="201"/>
  <c r="O242" i="201"/>
  <c r="O239" i="201" s="1"/>
  <c r="J242" i="201"/>
  <c r="E242" i="201"/>
  <c r="O241" i="201"/>
  <c r="J241" i="201"/>
  <c r="F241" i="201"/>
  <c r="O240" i="201"/>
  <c r="J240" i="201"/>
  <c r="F240" i="201"/>
  <c r="E240" i="201"/>
  <c r="P240" i="201" s="1"/>
  <c r="N239" i="201"/>
  <c r="M239" i="201"/>
  <c r="L239" i="201"/>
  <c r="K239" i="201"/>
  <c r="I239" i="201"/>
  <c r="H239" i="201"/>
  <c r="G239" i="201"/>
  <c r="P238" i="201"/>
  <c r="O238" i="201"/>
  <c r="J238" i="201" s="1"/>
  <c r="J237" i="201" s="1"/>
  <c r="E238" i="201"/>
  <c r="E237" i="201" s="1"/>
  <c r="P237" i="201"/>
  <c r="O237" i="201"/>
  <c r="N237" i="201"/>
  <c r="M237" i="201"/>
  <c r="L237" i="201"/>
  <c r="K237" i="201"/>
  <c r="I237" i="201"/>
  <c r="H237" i="201"/>
  <c r="G237" i="201"/>
  <c r="G228" i="201" s="1"/>
  <c r="F237" i="201"/>
  <c r="O236" i="201"/>
  <c r="J236" i="201" s="1"/>
  <c r="E236" i="201"/>
  <c r="P236" i="201" s="1"/>
  <c r="L235" i="201"/>
  <c r="K235" i="201"/>
  <c r="H235" i="201"/>
  <c r="G235" i="201"/>
  <c r="F235" i="201"/>
  <c r="N234" i="201"/>
  <c r="M234" i="201"/>
  <c r="L234" i="201"/>
  <c r="I234" i="201"/>
  <c r="H234" i="201"/>
  <c r="G234" i="201"/>
  <c r="O233" i="201"/>
  <c r="J233" i="201"/>
  <c r="E233" i="201"/>
  <c r="P233" i="201" s="1"/>
  <c r="P232" i="201" s="1"/>
  <c r="O232" i="201"/>
  <c r="N232" i="201"/>
  <c r="M232" i="201"/>
  <c r="M228" i="201" s="1"/>
  <c r="L232" i="201"/>
  <c r="K232" i="201"/>
  <c r="J232" i="201"/>
  <c r="I232" i="201"/>
  <c r="I228" i="201" s="1"/>
  <c r="H232" i="201"/>
  <c r="G232" i="201"/>
  <c r="F232" i="201"/>
  <c r="E232" i="201"/>
  <c r="O231" i="201"/>
  <c r="J231" i="201"/>
  <c r="F231" i="201"/>
  <c r="E231" i="201" s="1"/>
  <c r="P231" i="201" s="1"/>
  <c r="O230" i="201"/>
  <c r="J230" i="201"/>
  <c r="F230" i="201"/>
  <c r="O229" i="201"/>
  <c r="N229" i="201"/>
  <c r="N228" i="201" s="1"/>
  <c r="M229" i="201"/>
  <c r="L229" i="201"/>
  <c r="L228" i="201" s="1"/>
  <c r="K229" i="201"/>
  <c r="J229" i="201"/>
  <c r="I229" i="201"/>
  <c r="H229" i="201"/>
  <c r="H228" i="201" s="1"/>
  <c r="G229" i="201"/>
  <c r="O227" i="201"/>
  <c r="J227" i="201"/>
  <c r="H227" i="201"/>
  <c r="F227" i="201"/>
  <c r="K226" i="201"/>
  <c r="O226" i="201" s="1"/>
  <c r="J226" i="201" s="1"/>
  <c r="H226" i="201"/>
  <c r="E226" i="201"/>
  <c r="N225" i="201"/>
  <c r="M225" i="201"/>
  <c r="L225" i="201"/>
  <c r="L222" i="201" s="1"/>
  <c r="I225" i="201"/>
  <c r="H225" i="201"/>
  <c r="H222" i="201" s="1"/>
  <c r="H221" i="201" s="1"/>
  <c r="H220" i="201" s="1"/>
  <c r="G225" i="201"/>
  <c r="O224" i="201"/>
  <c r="O223" i="201" s="1"/>
  <c r="J224" i="201"/>
  <c r="H224" i="201"/>
  <c r="G224" i="201"/>
  <c r="G223" i="201" s="1"/>
  <c r="G222" i="201" s="1"/>
  <c r="F224" i="201"/>
  <c r="F223" i="201" s="1"/>
  <c r="E224" i="201"/>
  <c r="E223" i="201" s="1"/>
  <c r="N223" i="201"/>
  <c r="N222" i="201" s="1"/>
  <c r="M223" i="201"/>
  <c r="M222" i="201" s="1"/>
  <c r="L223" i="201"/>
  <c r="K223" i="201"/>
  <c r="I223" i="201"/>
  <c r="I222" i="201" s="1"/>
  <c r="I221" i="201" s="1"/>
  <c r="I220" i="201" s="1"/>
  <c r="H223" i="201"/>
  <c r="L221" i="201"/>
  <c r="P219" i="201"/>
  <c r="P218" i="201" s="1"/>
  <c r="P217" i="201" s="1"/>
  <c r="O219" i="201"/>
  <c r="J219" i="201" s="1"/>
  <c r="J218" i="201" s="1"/>
  <c r="J217" i="201" s="1"/>
  <c r="E219" i="201"/>
  <c r="O218" i="201"/>
  <c r="O217" i="201" s="1"/>
  <c r="N218" i="201"/>
  <c r="M218" i="201"/>
  <c r="L218" i="201"/>
  <c r="L217" i="201" s="1"/>
  <c r="K218" i="201"/>
  <c r="K217" i="201" s="1"/>
  <c r="I218" i="201"/>
  <c r="H218" i="201"/>
  <c r="G218" i="201"/>
  <c r="G217" i="201" s="1"/>
  <c r="F218" i="201"/>
  <c r="E218" i="201"/>
  <c r="N217" i="201"/>
  <c r="M217" i="201"/>
  <c r="I217" i="201"/>
  <c r="H217" i="201"/>
  <c r="F217" i="201"/>
  <c r="E217" i="201"/>
  <c r="P216" i="201"/>
  <c r="O216" i="201"/>
  <c r="J216" i="201" s="1"/>
  <c r="K216" i="201"/>
  <c r="E216" i="201"/>
  <c r="P215" i="201"/>
  <c r="O215" i="201"/>
  <c r="J215" i="201" s="1"/>
  <c r="E215" i="201"/>
  <c r="O214" i="201"/>
  <c r="E214" i="201"/>
  <c r="E213" i="201" s="1"/>
  <c r="E212" i="201" s="1"/>
  <c r="E211" i="201" s="1"/>
  <c r="N213" i="201"/>
  <c r="M213" i="201"/>
  <c r="M212" i="201" s="1"/>
  <c r="M211" i="201" s="1"/>
  <c r="L213" i="201"/>
  <c r="K213" i="201"/>
  <c r="K212" i="201" s="1"/>
  <c r="K211" i="201" s="1"/>
  <c r="I213" i="201"/>
  <c r="I212" i="201" s="1"/>
  <c r="I211" i="201" s="1"/>
  <c r="H213" i="201"/>
  <c r="G213" i="201"/>
  <c r="F213" i="201"/>
  <c r="N212" i="201"/>
  <c r="L212" i="201"/>
  <c r="H212" i="201"/>
  <c r="H211" i="201" s="1"/>
  <c r="G212" i="201"/>
  <c r="G211" i="201" s="1"/>
  <c r="F212" i="201"/>
  <c r="N211" i="201"/>
  <c r="L211" i="201"/>
  <c r="F211" i="201"/>
  <c r="O210" i="201"/>
  <c r="J210" i="201" s="1"/>
  <c r="E210" i="201"/>
  <c r="O209" i="201"/>
  <c r="L209" i="201"/>
  <c r="J209" i="201"/>
  <c r="H209" i="201"/>
  <c r="H208" i="201" s="1"/>
  <c r="E209" i="201"/>
  <c r="P209" i="201" s="1"/>
  <c r="O208" i="201"/>
  <c r="O203" i="201" s="1"/>
  <c r="N208" i="201"/>
  <c r="N203" i="201" s="1"/>
  <c r="N200" i="201" s="1"/>
  <c r="M208" i="201"/>
  <c r="L208" i="201"/>
  <c r="K208" i="201"/>
  <c r="J208" i="201"/>
  <c r="I208" i="201"/>
  <c r="G208" i="201"/>
  <c r="F208" i="201"/>
  <c r="F203" i="201" s="1"/>
  <c r="E208" i="201"/>
  <c r="O207" i="201"/>
  <c r="J207" i="201"/>
  <c r="E207" i="201"/>
  <c r="P207" i="201" s="1"/>
  <c r="O206" i="201"/>
  <c r="J206" i="201" s="1"/>
  <c r="L206" i="201"/>
  <c r="L203" i="201" s="1"/>
  <c r="H206" i="201"/>
  <c r="F206" i="201"/>
  <c r="E206" i="201" s="1"/>
  <c r="P206" i="201" s="1"/>
  <c r="O205" i="201"/>
  <c r="J205" i="201"/>
  <c r="H205" i="201"/>
  <c r="F205" i="201"/>
  <c r="E205" i="201" s="1"/>
  <c r="P205" i="201" s="1"/>
  <c r="O204" i="201"/>
  <c r="J204" i="201" s="1"/>
  <c r="K204" i="201"/>
  <c r="H204" i="201"/>
  <c r="F204" i="201"/>
  <c r="E204" i="201" s="1"/>
  <c r="P204" i="201" s="1"/>
  <c r="M203" i="201"/>
  <c r="K203" i="201"/>
  <c r="I203" i="201"/>
  <c r="G203" i="201"/>
  <c r="O202" i="201"/>
  <c r="O201" i="201" s="1"/>
  <c r="L202" i="201"/>
  <c r="J202" i="201" s="1"/>
  <c r="J201" i="201" s="1"/>
  <c r="H202" i="201"/>
  <c r="F202" i="201"/>
  <c r="F201" i="201" s="1"/>
  <c r="F200" i="201" s="1"/>
  <c r="F199" i="201" s="1"/>
  <c r="E202" i="201"/>
  <c r="N201" i="201"/>
  <c r="M201" i="201"/>
  <c r="L201" i="201"/>
  <c r="K201" i="201"/>
  <c r="I201" i="201"/>
  <c r="I200" i="201" s="1"/>
  <c r="H201" i="201"/>
  <c r="G201" i="201"/>
  <c r="N199" i="201"/>
  <c r="I199" i="201"/>
  <c r="O197" i="201"/>
  <c r="O196" i="201" s="1"/>
  <c r="J197" i="201"/>
  <c r="J196" i="201" s="1"/>
  <c r="J194" i="201" s="1"/>
  <c r="J190" i="201" s="1"/>
  <c r="E197" i="201"/>
  <c r="N196" i="201"/>
  <c r="M196" i="201"/>
  <c r="M194" i="201" s="1"/>
  <c r="M190" i="201" s="1"/>
  <c r="L196" i="201"/>
  <c r="K196" i="201"/>
  <c r="I196" i="201"/>
  <c r="H196" i="201"/>
  <c r="G196" i="201"/>
  <c r="F196" i="201"/>
  <c r="F194" i="201" s="1"/>
  <c r="E196" i="201"/>
  <c r="O195" i="201"/>
  <c r="J195" i="201" s="1"/>
  <c r="K195" i="201"/>
  <c r="E195" i="201"/>
  <c r="N194" i="201"/>
  <c r="L194" i="201"/>
  <c r="K194" i="201"/>
  <c r="K190" i="201" s="1"/>
  <c r="I194" i="201"/>
  <c r="H194" i="201"/>
  <c r="G194" i="201"/>
  <c r="G190" i="201" s="1"/>
  <c r="E194" i="201"/>
  <c r="O193" i="201"/>
  <c r="O192" i="201" s="1"/>
  <c r="O191" i="201" s="1"/>
  <c r="K193" i="201"/>
  <c r="J193" i="201"/>
  <c r="J192" i="201" s="1"/>
  <c r="J191" i="201" s="1"/>
  <c r="E193" i="201"/>
  <c r="E192" i="201" s="1"/>
  <c r="E191" i="201" s="1"/>
  <c r="E190" i="201" s="1"/>
  <c r="N192" i="201"/>
  <c r="M192" i="201"/>
  <c r="M191" i="201" s="1"/>
  <c r="L192" i="201"/>
  <c r="L191" i="201" s="1"/>
  <c r="L190" i="201" s="1"/>
  <c r="K192" i="201"/>
  <c r="I192" i="201"/>
  <c r="I191" i="201" s="1"/>
  <c r="I190" i="201" s="1"/>
  <c r="H192" i="201"/>
  <c r="H191" i="201" s="1"/>
  <c r="H190" i="201" s="1"/>
  <c r="G192" i="201"/>
  <c r="F192" i="201"/>
  <c r="N191" i="201"/>
  <c r="K191" i="201"/>
  <c r="G191" i="201"/>
  <c r="F191" i="201"/>
  <c r="F190" i="201" s="1"/>
  <c r="N190" i="201"/>
  <c r="P189" i="201"/>
  <c r="O189" i="201"/>
  <c r="J189" i="201"/>
  <c r="E189" i="201"/>
  <c r="K188" i="201"/>
  <c r="O188" i="201" s="1"/>
  <c r="J188" i="201" s="1"/>
  <c r="E188" i="201"/>
  <c r="E187" i="201" s="1"/>
  <c r="E186" i="201" s="1"/>
  <c r="O187" i="201"/>
  <c r="O186" i="201" s="1"/>
  <c r="N187" i="201"/>
  <c r="M187" i="201"/>
  <c r="L187" i="201"/>
  <c r="K187" i="201"/>
  <c r="K186" i="201" s="1"/>
  <c r="I187" i="201"/>
  <c r="H187" i="201"/>
  <c r="G187" i="201"/>
  <c r="G186" i="201" s="1"/>
  <c r="F187" i="201"/>
  <c r="N186" i="201"/>
  <c r="M186" i="201"/>
  <c r="L186" i="201"/>
  <c r="I186" i="201"/>
  <c r="H186" i="201"/>
  <c r="F186" i="201"/>
  <c r="K185" i="201"/>
  <c r="O185" i="201" s="1"/>
  <c r="J185" i="201" s="1"/>
  <c r="F185" i="201"/>
  <c r="E185" i="201"/>
  <c r="O184" i="201"/>
  <c r="N184" i="201"/>
  <c r="L184" i="201"/>
  <c r="L183" i="201" s="1"/>
  <c r="K184" i="201"/>
  <c r="J184" i="201"/>
  <c r="H184" i="201"/>
  <c r="G184" i="201"/>
  <c r="F184" i="201"/>
  <c r="F183" i="201" s="1"/>
  <c r="E184" i="201"/>
  <c r="E183" i="201" s="1"/>
  <c r="N183" i="201"/>
  <c r="M183" i="201"/>
  <c r="K183" i="201"/>
  <c r="K145" i="201" s="1"/>
  <c r="I183" i="201"/>
  <c r="H183" i="201"/>
  <c r="G183" i="201"/>
  <c r="K182" i="201"/>
  <c r="O182" i="201" s="1"/>
  <c r="J182" i="201" s="1"/>
  <c r="F182" i="201"/>
  <c r="E182" i="201"/>
  <c r="P179" i="201"/>
  <c r="O179" i="201"/>
  <c r="J179" i="201" s="1"/>
  <c r="E179" i="201"/>
  <c r="O176" i="201"/>
  <c r="J176" i="201" s="1"/>
  <c r="P176" i="201" s="1"/>
  <c r="E176" i="201"/>
  <c r="O172" i="201"/>
  <c r="J172" i="201" s="1"/>
  <c r="E172" i="201"/>
  <c r="P172" i="201" s="1"/>
  <c r="O168" i="201"/>
  <c r="J168" i="201" s="1"/>
  <c r="E168" i="201"/>
  <c r="P168" i="201" s="1"/>
  <c r="P167" i="201" s="1"/>
  <c r="N167" i="201"/>
  <c r="M167" i="201"/>
  <c r="L167" i="201"/>
  <c r="K167" i="201"/>
  <c r="I167" i="201"/>
  <c r="H167" i="201"/>
  <c r="G167" i="201"/>
  <c r="F167" i="201"/>
  <c r="O166" i="201"/>
  <c r="J166" i="201" s="1"/>
  <c r="P166" i="201" s="1"/>
  <c r="E166" i="201"/>
  <c r="O165" i="201"/>
  <c r="J165" i="201" s="1"/>
  <c r="J164" i="201" s="1"/>
  <c r="E165" i="201"/>
  <c r="P165" i="201" s="1"/>
  <c r="P164" i="201" s="1"/>
  <c r="N164" i="201"/>
  <c r="M164" i="201"/>
  <c r="M145" i="201" s="1"/>
  <c r="L164" i="201"/>
  <c r="K164" i="201"/>
  <c r="I164" i="201"/>
  <c r="H164" i="201"/>
  <c r="G164" i="201"/>
  <c r="F164" i="201"/>
  <c r="P163" i="201"/>
  <c r="O163" i="201"/>
  <c r="J163" i="201" s="1"/>
  <c r="E163" i="201"/>
  <c r="O162" i="201"/>
  <c r="J162" i="201" s="1"/>
  <c r="P162" i="201" s="1"/>
  <c r="E162" i="201"/>
  <c r="N161" i="201"/>
  <c r="M161" i="201"/>
  <c r="L161" i="201"/>
  <c r="K161" i="201"/>
  <c r="O161" i="201" s="1"/>
  <c r="I161" i="201"/>
  <c r="H161" i="201"/>
  <c r="G161" i="201"/>
  <c r="F161" i="201"/>
  <c r="E161" i="201"/>
  <c r="O160" i="201"/>
  <c r="J160" i="201" s="1"/>
  <c r="E160" i="201"/>
  <c r="P160" i="201" s="1"/>
  <c r="O159" i="201"/>
  <c r="J159" i="201" s="1"/>
  <c r="J158" i="201" s="1"/>
  <c r="H159" i="201"/>
  <c r="H158" i="201" s="1"/>
  <c r="F159" i="201"/>
  <c r="F158" i="201" s="1"/>
  <c r="E159" i="201"/>
  <c r="P159" i="201" s="1"/>
  <c r="P158" i="201" s="1"/>
  <c r="O158" i="201"/>
  <c r="N158" i="201"/>
  <c r="M158" i="201"/>
  <c r="L158" i="201"/>
  <c r="K158" i="201"/>
  <c r="I158" i="201"/>
  <c r="G158" i="201"/>
  <c r="O157" i="201"/>
  <c r="J157" i="201"/>
  <c r="H157" i="201"/>
  <c r="H155" i="201" s="1"/>
  <c r="G157" i="201"/>
  <c r="F157" i="201"/>
  <c r="E157" i="201"/>
  <c r="P157" i="201" s="1"/>
  <c r="O156" i="201"/>
  <c r="N156" i="201"/>
  <c r="J156" i="201"/>
  <c r="F156" i="201"/>
  <c r="E156" i="201" s="1"/>
  <c r="O155" i="201"/>
  <c r="N155" i="201"/>
  <c r="N145" i="201" s="1"/>
  <c r="N140" i="201" s="1"/>
  <c r="N139" i="201" s="1"/>
  <c r="M155" i="201"/>
  <c r="L155" i="201"/>
  <c r="K155" i="201"/>
  <c r="J155" i="201"/>
  <c r="I155" i="201"/>
  <c r="G155" i="201"/>
  <c r="F155" i="201"/>
  <c r="O154" i="201"/>
  <c r="J154" i="201"/>
  <c r="P154" i="201" s="1"/>
  <c r="E154" i="201"/>
  <c r="O153" i="201"/>
  <c r="J153" i="201"/>
  <c r="F153" i="201"/>
  <c r="E153" i="201"/>
  <c r="P153" i="201" s="1"/>
  <c r="O152" i="201"/>
  <c r="J152" i="201" s="1"/>
  <c r="E152" i="201"/>
  <c r="P152" i="201" s="1"/>
  <c r="O151" i="201"/>
  <c r="J151" i="201" s="1"/>
  <c r="F151" i="201"/>
  <c r="E151" i="201"/>
  <c r="P151" i="201" s="1"/>
  <c r="O150" i="201"/>
  <c r="J150" i="201"/>
  <c r="E150" i="201"/>
  <c r="P150" i="201" s="1"/>
  <c r="O149" i="201"/>
  <c r="J149" i="201"/>
  <c r="F149" i="201"/>
  <c r="E149" i="201" s="1"/>
  <c r="P149" i="201" s="1"/>
  <c r="O148" i="201"/>
  <c r="J148" i="201"/>
  <c r="E148" i="201"/>
  <c r="P148" i="201" s="1"/>
  <c r="O147" i="201"/>
  <c r="J147" i="201" s="1"/>
  <c r="J146" i="201" s="1"/>
  <c r="F147" i="201"/>
  <c r="E147" i="201" s="1"/>
  <c r="O146" i="201"/>
  <c r="N146" i="201"/>
  <c r="M146" i="201"/>
  <c r="L146" i="201"/>
  <c r="L145" i="201" s="1"/>
  <c r="L140" i="201" s="1"/>
  <c r="K146" i="201"/>
  <c r="I146" i="201"/>
  <c r="H146" i="201"/>
  <c r="H145" i="201" s="1"/>
  <c r="H140" i="201" s="1"/>
  <c r="H139" i="201" s="1"/>
  <c r="G146" i="201"/>
  <c r="G145" i="201" s="1"/>
  <c r="G140" i="201" s="1"/>
  <c r="G139" i="201" s="1"/>
  <c r="P144" i="201"/>
  <c r="J144" i="201"/>
  <c r="E144" i="201"/>
  <c r="O143" i="201"/>
  <c r="O141" i="201" s="1"/>
  <c r="J143" i="201"/>
  <c r="E143" i="201"/>
  <c r="O142" i="201"/>
  <c r="J142" i="201"/>
  <c r="J141" i="201" s="1"/>
  <c r="E142" i="201"/>
  <c r="P142" i="201" s="1"/>
  <c r="N141" i="201"/>
  <c r="M141" i="201"/>
  <c r="L141" i="201"/>
  <c r="K141" i="201"/>
  <c r="I141" i="201"/>
  <c r="H141" i="201"/>
  <c r="G141" i="201"/>
  <c r="F141" i="201"/>
  <c r="O138" i="201"/>
  <c r="J138" i="201"/>
  <c r="P138" i="201" s="1"/>
  <c r="E138" i="201"/>
  <c r="O137" i="201"/>
  <c r="J137" i="201"/>
  <c r="P137" i="201" s="1"/>
  <c r="E137" i="201"/>
  <c r="K136" i="201"/>
  <c r="O136" i="201" s="1"/>
  <c r="E136" i="201"/>
  <c r="N135" i="201"/>
  <c r="M135" i="201"/>
  <c r="L135" i="201"/>
  <c r="I135" i="201"/>
  <c r="H135" i="201"/>
  <c r="G135" i="201"/>
  <c r="F135" i="201"/>
  <c r="E135" i="201"/>
  <c r="O134" i="201"/>
  <c r="J134" i="201" s="1"/>
  <c r="J133" i="201" s="1"/>
  <c r="E134" i="201"/>
  <c r="P134" i="201" s="1"/>
  <c r="P133" i="201" s="1"/>
  <c r="O133" i="201"/>
  <c r="N133" i="201"/>
  <c r="M133" i="201"/>
  <c r="M130" i="201" s="1"/>
  <c r="M129" i="201" s="1"/>
  <c r="L133" i="201"/>
  <c r="L130" i="201" s="1"/>
  <c r="L129" i="201" s="1"/>
  <c r="K133" i="201"/>
  <c r="K130" i="201" s="1"/>
  <c r="I133" i="201"/>
  <c r="H133" i="201"/>
  <c r="H130" i="201" s="1"/>
  <c r="H129" i="201" s="1"/>
  <c r="H108" i="201" s="1"/>
  <c r="H107" i="201" s="1"/>
  <c r="G133" i="201"/>
  <c r="G130" i="201" s="1"/>
  <c r="G129" i="201" s="1"/>
  <c r="F133" i="201"/>
  <c r="O132" i="201"/>
  <c r="O131" i="201" s="1"/>
  <c r="K132" i="201"/>
  <c r="E132" i="201"/>
  <c r="N131" i="201"/>
  <c r="M131" i="201"/>
  <c r="L131" i="201"/>
  <c r="K131" i="201"/>
  <c r="I131" i="201"/>
  <c r="H131" i="201"/>
  <c r="G131" i="201"/>
  <c r="F131" i="201"/>
  <c r="F130" i="201" s="1"/>
  <c r="F129" i="201" s="1"/>
  <c r="N130" i="201"/>
  <c r="N129" i="201" s="1"/>
  <c r="I130" i="201"/>
  <c r="I129" i="201" s="1"/>
  <c r="O128" i="201"/>
  <c r="J128" i="201"/>
  <c r="E128" i="201"/>
  <c r="P128" i="201" s="1"/>
  <c r="P127" i="201" s="1"/>
  <c r="O127" i="201"/>
  <c r="N127" i="201"/>
  <c r="M127" i="201"/>
  <c r="L127" i="201"/>
  <c r="K127" i="201"/>
  <c r="J127" i="201"/>
  <c r="I127" i="201"/>
  <c r="H127" i="201"/>
  <c r="G127" i="201"/>
  <c r="F127" i="201"/>
  <c r="E127" i="201"/>
  <c r="O126" i="201"/>
  <c r="J126" i="201"/>
  <c r="E126" i="201"/>
  <c r="P126" i="201" s="1"/>
  <c r="P125" i="201" s="1"/>
  <c r="O125" i="201"/>
  <c r="N125" i="201"/>
  <c r="M125" i="201"/>
  <c r="L125" i="201"/>
  <c r="K125" i="201"/>
  <c r="J125" i="201"/>
  <c r="I125" i="201"/>
  <c r="H125" i="201"/>
  <c r="G125" i="201"/>
  <c r="F125" i="201"/>
  <c r="E125" i="201"/>
  <c r="O124" i="201"/>
  <c r="J124" i="201"/>
  <c r="E124" i="201"/>
  <c r="P124" i="201" s="1"/>
  <c r="O123" i="201"/>
  <c r="J123" i="201"/>
  <c r="E123" i="201"/>
  <c r="P123" i="201" s="1"/>
  <c r="O122" i="201"/>
  <c r="N122" i="201"/>
  <c r="M122" i="201"/>
  <c r="L122" i="201"/>
  <c r="K122" i="201"/>
  <c r="J122" i="201"/>
  <c r="I122" i="201"/>
  <c r="H122" i="201"/>
  <c r="G122" i="201"/>
  <c r="F122" i="201"/>
  <c r="E122" i="201"/>
  <c r="O121" i="201"/>
  <c r="J121" i="201"/>
  <c r="E121" i="201"/>
  <c r="P121" i="201" s="1"/>
  <c r="P120" i="201" s="1"/>
  <c r="O120" i="201"/>
  <c r="N120" i="201"/>
  <c r="M120" i="201"/>
  <c r="L120" i="201"/>
  <c r="L112" i="201" s="1"/>
  <c r="K120" i="201"/>
  <c r="J120" i="201"/>
  <c r="I120" i="201"/>
  <c r="H120" i="201"/>
  <c r="H112" i="201" s="1"/>
  <c r="G120" i="201"/>
  <c r="F120" i="201"/>
  <c r="E120" i="201"/>
  <c r="O119" i="201"/>
  <c r="J119" i="201"/>
  <c r="F119" i="201"/>
  <c r="E119" i="201" s="1"/>
  <c r="O118" i="201"/>
  <c r="N118" i="201"/>
  <c r="N112" i="201" s="1"/>
  <c r="M118" i="201"/>
  <c r="M112" i="201" s="1"/>
  <c r="L118" i="201"/>
  <c r="K118" i="201"/>
  <c r="J118" i="201"/>
  <c r="I118" i="201"/>
  <c r="I112" i="201" s="1"/>
  <c r="H118" i="201"/>
  <c r="G118" i="201"/>
  <c r="O117" i="201"/>
  <c r="K117" i="201"/>
  <c r="J117" i="201"/>
  <c r="F117" i="201"/>
  <c r="E117" i="201"/>
  <c r="O116" i="201"/>
  <c r="J116" i="201" s="1"/>
  <c r="F116" i="201"/>
  <c r="E116" i="201" s="1"/>
  <c r="P116" i="201" s="1"/>
  <c r="K115" i="201"/>
  <c r="O115" i="201" s="1"/>
  <c r="J115" i="201"/>
  <c r="F115" i="201"/>
  <c r="E115" i="201" s="1"/>
  <c r="P115" i="201" s="1"/>
  <c r="O114" i="201"/>
  <c r="J114" i="201"/>
  <c r="F114" i="201"/>
  <c r="E114" i="201"/>
  <c r="P114" i="201" s="1"/>
  <c r="O113" i="201"/>
  <c r="O112" i="201" s="1"/>
  <c r="K113" i="201"/>
  <c r="F113" i="201"/>
  <c r="E113" i="201"/>
  <c r="K112" i="201"/>
  <c r="G112" i="201"/>
  <c r="O111" i="201"/>
  <c r="J111" i="201"/>
  <c r="E111" i="201"/>
  <c r="P111" i="201" s="1"/>
  <c r="O110" i="201"/>
  <c r="J110" i="201" s="1"/>
  <c r="J109" i="201" s="1"/>
  <c r="E110" i="201"/>
  <c r="E109" i="201" s="1"/>
  <c r="O109" i="201"/>
  <c r="N109" i="201"/>
  <c r="M109" i="201"/>
  <c r="L109" i="201"/>
  <c r="K109" i="201"/>
  <c r="I109" i="201"/>
  <c r="H109" i="201"/>
  <c r="G109" i="201"/>
  <c r="G108" i="201" s="1"/>
  <c r="G107" i="201" s="1"/>
  <c r="F109" i="201"/>
  <c r="O106" i="201"/>
  <c r="J106" i="201"/>
  <c r="P106" i="201" s="1"/>
  <c r="P105" i="201" s="1"/>
  <c r="P104" i="201" s="1"/>
  <c r="E106" i="201"/>
  <c r="O105" i="201"/>
  <c r="N105" i="201"/>
  <c r="M105" i="201"/>
  <c r="L105" i="201"/>
  <c r="K105" i="201"/>
  <c r="J105" i="201"/>
  <c r="I105" i="201"/>
  <c r="H105" i="201"/>
  <c r="G105" i="201"/>
  <c r="F105" i="201"/>
  <c r="E105" i="201"/>
  <c r="O104" i="201"/>
  <c r="N104" i="201"/>
  <c r="M104" i="201"/>
  <c r="L104" i="201"/>
  <c r="K104" i="201"/>
  <c r="J104" i="201"/>
  <c r="I104" i="201"/>
  <c r="H104" i="201"/>
  <c r="G104" i="201"/>
  <c r="F104" i="201"/>
  <c r="E104" i="201"/>
  <c r="O103" i="201"/>
  <c r="J103" i="201"/>
  <c r="P103" i="201" s="1"/>
  <c r="P102" i="201" s="1"/>
  <c r="P101" i="201" s="1"/>
  <c r="E103" i="201"/>
  <c r="O102" i="201"/>
  <c r="N102" i="201"/>
  <c r="M102" i="201"/>
  <c r="L102" i="201"/>
  <c r="K102" i="201"/>
  <c r="J102" i="201"/>
  <c r="I102" i="201"/>
  <c r="H102" i="201"/>
  <c r="G102" i="201"/>
  <c r="F102" i="201"/>
  <c r="E102" i="201"/>
  <c r="O101" i="201"/>
  <c r="N101" i="201"/>
  <c r="M101" i="201"/>
  <c r="L101" i="201"/>
  <c r="K101" i="201"/>
  <c r="J101" i="201"/>
  <c r="I101" i="201"/>
  <c r="H101" i="201"/>
  <c r="G101" i="201"/>
  <c r="F101" i="201"/>
  <c r="E101" i="201"/>
  <c r="K100" i="201"/>
  <c r="O100" i="201" s="1"/>
  <c r="E100" i="201"/>
  <c r="N99" i="201"/>
  <c r="M99" i="201"/>
  <c r="L99" i="201"/>
  <c r="I99" i="201"/>
  <c r="H99" i="201"/>
  <c r="G99" i="201"/>
  <c r="G95" i="201" s="1"/>
  <c r="F99" i="201"/>
  <c r="O98" i="201"/>
  <c r="O97" i="201" s="1"/>
  <c r="O96" i="201" s="1"/>
  <c r="K98" i="201"/>
  <c r="J98" i="201"/>
  <c r="J97" i="201" s="1"/>
  <c r="J96" i="201" s="1"/>
  <c r="E98" i="201"/>
  <c r="E97" i="201" s="1"/>
  <c r="E96" i="201" s="1"/>
  <c r="N97" i="201"/>
  <c r="M97" i="201"/>
  <c r="M96" i="201" s="1"/>
  <c r="M95" i="201" s="1"/>
  <c r="L97" i="201"/>
  <c r="L96" i="201" s="1"/>
  <c r="L95" i="201" s="1"/>
  <c r="K97" i="201"/>
  <c r="I97" i="201"/>
  <c r="I96" i="201" s="1"/>
  <c r="I95" i="201" s="1"/>
  <c r="H97" i="201"/>
  <c r="H96" i="201" s="1"/>
  <c r="H95" i="201" s="1"/>
  <c r="G97" i="201"/>
  <c r="F97" i="201"/>
  <c r="N96" i="201"/>
  <c r="K96" i="201"/>
  <c r="G96" i="201"/>
  <c r="F96" i="201"/>
  <c r="F95" i="201" s="1"/>
  <c r="N95" i="201"/>
  <c r="P94" i="201"/>
  <c r="O94" i="201"/>
  <c r="J94" i="201"/>
  <c r="E94" i="201"/>
  <c r="P93" i="201"/>
  <c r="O93" i="201"/>
  <c r="J93" i="201"/>
  <c r="E93" i="201"/>
  <c r="P92" i="201"/>
  <c r="O92" i="201"/>
  <c r="N92" i="201"/>
  <c r="M92" i="201"/>
  <c r="L92" i="201"/>
  <c r="K92" i="201"/>
  <c r="J92" i="201"/>
  <c r="I92" i="201"/>
  <c r="H92" i="201"/>
  <c r="G92" i="201"/>
  <c r="F92" i="201"/>
  <c r="E92" i="201"/>
  <c r="P91" i="201"/>
  <c r="O91" i="201"/>
  <c r="J91" i="201"/>
  <c r="E91" i="201"/>
  <c r="K90" i="201"/>
  <c r="O90" i="201" s="1"/>
  <c r="J90" i="201" s="1"/>
  <c r="E90" i="201"/>
  <c r="E89" i="201" s="1"/>
  <c r="O89" i="201"/>
  <c r="N89" i="201"/>
  <c r="M89" i="201"/>
  <c r="L89" i="201"/>
  <c r="K89" i="201"/>
  <c r="I89" i="201"/>
  <c r="H89" i="201"/>
  <c r="G89" i="201"/>
  <c r="F89" i="201"/>
  <c r="O88" i="201"/>
  <c r="O86" i="201" s="1"/>
  <c r="J88" i="201"/>
  <c r="E88" i="201"/>
  <c r="O87" i="201"/>
  <c r="J87" i="201"/>
  <c r="J86" i="201" s="1"/>
  <c r="E87" i="201"/>
  <c r="P87" i="201" s="1"/>
  <c r="N86" i="201"/>
  <c r="M86" i="201"/>
  <c r="L86" i="201"/>
  <c r="K86" i="201"/>
  <c r="I86" i="201"/>
  <c r="H86" i="201"/>
  <c r="G86" i="201"/>
  <c r="F86" i="201"/>
  <c r="O85" i="201"/>
  <c r="J85" i="201" s="1"/>
  <c r="E85" i="201"/>
  <c r="K84" i="201"/>
  <c r="O84" i="201" s="1"/>
  <c r="E84" i="201"/>
  <c r="N83" i="201"/>
  <c r="M83" i="201"/>
  <c r="L83" i="201"/>
  <c r="K83" i="201"/>
  <c r="I83" i="201"/>
  <c r="H83" i="201"/>
  <c r="G83" i="201"/>
  <c r="F83" i="201"/>
  <c r="O82" i="201"/>
  <c r="J82" i="201"/>
  <c r="F82" i="201"/>
  <c r="E82" i="201"/>
  <c r="P82" i="201" s="1"/>
  <c r="O81" i="201"/>
  <c r="J81" i="201" s="1"/>
  <c r="P81" i="201" s="1"/>
  <c r="E81" i="201"/>
  <c r="N80" i="201"/>
  <c r="M80" i="201"/>
  <c r="L80" i="201"/>
  <c r="K80" i="201"/>
  <c r="I80" i="201"/>
  <c r="H80" i="201"/>
  <c r="G80" i="201"/>
  <c r="F80" i="201"/>
  <c r="E80" i="201"/>
  <c r="O79" i="201"/>
  <c r="J79" i="201" s="1"/>
  <c r="E79" i="201"/>
  <c r="P79" i="201" s="1"/>
  <c r="P78" i="201"/>
  <c r="O78" i="201"/>
  <c r="J78" i="201" s="1"/>
  <c r="E78" i="201"/>
  <c r="O76" i="201"/>
  <c r="J76" i="201" s="1"/>
  <c r="K76" i="201"/>
  <c r="E76" i="201"/>
  <c r="K75" i="201"/>
  <c r="O75" i="201" s="1"/>
  <c r="J75" i="201" s="1"/>
  <c r="P75" i="201" s="1"/>
  <c r="E75" i="201"/>
  <c r="E74" i="201" s="1"/>
  <c r="P74" i="201" s="1"/>
  <c r="O74" i="201"/>
  <c r="J74" i="201" s="1"/>
  <c r="N74" i="201"/>
  <c r="M74" i="201"/>
  <c r="L74" i="201"/>
  <c r="K74" i="201"/>
  <c r="I74" i="201"/>
  <c r="H74" i="201"/>
  <c r="G74" i="201"/>
  <c r="F74" i="201"/>
  <c r="O73" i="201"/>
  <c r="O71" i="201" s="1"/>
  <c r="J71" i="201" s="1"/>
  <c r="J73" i="201"/>
  <c r="E73" i="201"/>
  <c r="O72" i="201"/>
  <c r="J72" i="201"/>
  <c r="E72" i="201"/>
  <c r="P72" i="201" s="1"/>
  <c r="N71" i="201"/>
  <c r="M71" i="201"/>
  <c r="L71" i="201"/>
  <c r="K71" i="201"/>
  <c r="I71" i="201"/>
  <c r="H71" i="201"/>
  <c r="G71" i="201"/>
  <c r="F71" i="201"/>
  <c r="E71" i="201"/>
  <c r="O70" i="201"/>
  <c r="J70" i="201" s="1"/>
  <c r="H70" i="201"/>
  <c r="F70" i="201"/>
  <c r="E70" i="201"/>
  <c r="O69" i="201"/>
  <c r="J69" i="201" s="1"/>
  <c r="F69" i="201"/>
  <c r="E69" i="201"/>
  <c r="P69" i="201" s="1"/>
  <c r="O68" i="201"/>
  <c r="J68" i="201"/>
  <c r="H68" i="201"/>
  <c r="H67" i="201" s="1"/>
  <c r="F68" i="201"/>
  <c r="E68" i="201" s="1"/>
  <c r="O67" i="201"/>
  <c r="N67" i="201"/>
  <c r="M67" i="201"/>
  <c r="L67" i="201"/>
  <c r="K67" i="201"/>
  <c r="J67" i="201"/>
  <c r="I67" i="201"/>
  <c r="G67" i="201"/>
  <c r="F67" i="201"/>
  <c r="O66" i="201"/>
  <c r="J66" i="201"/>
  <c r="P66" i="201" s="1"/>
  <c r="E66" i="201"/>
  <c r="K65" i="201"/>
  <c r="O65" i="201" s="1"/>
  <c r="H65" i="201"/>
  <c r="H64" i="201" s="1"/>
  <c r="G65" i="201"/>
  <c r="F65" i="201"/>
  <c r="E65" i="201" s="1"/>
  <c r="E64" i="201" s="1"/>
  <c r="N64" i="201"/>
  <c r="M64" i="201"/>
  <c r="L64" i="201"/>
  <c r="K64" i="201"/>
  <c r="I64" i="201"/>
  <c r="G64" i="201"/>
  <c r="F64" i="201"/>
  <c r="J63" i="201"/>
  <c r="F63" i="201"/>
  <c r="E63" i="201" s="1"/>
  <c r="P63" i="201" s="1"/>
  <c r="M62" i="201"/>
  <c r="M61" i="201" s="1"/>
  <c r="L62" i="201"/>
  <c r="K62" i="201"/>
  <c r="O62" i="201" s="1"/>
  <c r="E62" i="201"/>
  <c r="N61" i="201"/>
  <c r="L61" i="201"/>
  <c r="K61" i="201"/>
  <c r="I61" i="201"/>
  <c r="H61" i="201"/>
  <c r="G61" i="201"/>
  <c r="G49" i="201" s="1"/>
  <c r="G48" i="201" s="1"/>
  <c r="G47" i="201" s="1"/>
  <c r="K60" i="201"/>
  <c r="O60" i="201" s="1"/>
  <c r="J60" i="201" s="1"/>
  <c r="H60" i="201"/>
  <c r="F60" i="201"/>
  <c r="E60" i="201"/>
  <c r="O59" i="201"/>
  <c r="J59" i="201"/>
  <c r="E59" i="201"/>
  <c r="P59" i="201" s="1"/>
  <c r="O58" i="201"/>
  <c r="N58" i="201"/>
  <c r="M58" i="201"/>
  <c r="L58" i="201"/>
  <c r="K58" i="201"/>
  <c r="J58" i="201"/>
  <c r="I58" i="201"/>
  <c r="H58" i="201"/>
  <c r="G58" i="201"/>
  <c r="F58" i="201"/>
  <c r="E58" i="201"/>
  <c r="P58" i="201" s="1"/>
  <c r="J57" i="201"/>
  <c r="F57" i="201"/>
  <c r="E57" i="201"/>
  <c r="P57" i="201" s="1"/>
  <c r="O56" i="201"/>
  <c r="J56" i="201"/>
  <c r="E56" i="201"/>
  <c r="P56" i="201" s="1"/>
  <c r="O55" i="201"/>
  <c r="N55" i="201"/>
  <c r="M55" i="201"/>
  <c r="L55" i="201"/>
  <c r="K55" i="201"/>
  <c r="J55" i="201"/>
  <c r="I55" i="201"/>
  <c r="H55" i="201"/>
  <c r="G55" i="201"/>
  <c r="F55" i="201"/>
  <c r="E55" i="201"/>
  <c r="K54" i="201"/>
  <c r="O54" i="201" s="1"/>
  <c r="J54" i="201"/>
  <c r="P54" i="201" s="1"/>
  <c r="H54" i="201"/>
  <c r="F54" i="201"/>
  <c r="E54" i="201"/>
  <c r="O53" i="201"/>
  <c r="J53" i="201" s="1"/>
  <c r="K53" i="201"/>
  <c r="H53" i="201"/>
  <c r="F53" i="201"/>
  <c r="E53" i="201" s="1"/>
  <c r="M52" i="201"/>
  <c r="M51" i="201" s="1"/>
  <c r="L52" i="201"/>
  <c r="K52" i="201"/>
  <c r="K51" i="201" s="1"/>
  <c r="H52" i="201"/>
  <c r="H51" i="201" s="1"/>
  <c r="G52" i="201"/>
  <c r="F52" i="201"/>
  <c r="E52" i="201" s="1"/>
  <c r="N51" i="201"/>
  <c r="N49" i="201" s="1"/>
  <c r="N48" i="201" s="1"/>
  <c r="N47" i="201" s="1"/>
  <c r="L51" i="201"/>
  <c r="I51" i="201"/>
  <c r="I49" i="201" s="1"/>
  <c r="I48" i="201" s="1"/>
  <c r="I47" i="201" s="1"/>
  <c r="G51" i="201"/>
  <c r="M50" i="201"/>
  <c r="L50" i="201"/>
  <c r="K50" i="201"/>
  <c r="O50" i="201" s="1"/>
  <c r="H50" i="201"/>
  <c r="H49" i="201" s="1"/>
  <c r="H48" i="201" s="1"/>
  <c r="H47" i="201" s="1"/>
  <c r="G50" i="201"/>
  <c r="F50" i="201"/>
  <c r="E50" i="201" s="1"/>
  <c r="L49" i="201"/>
  <c r="K49" i="201"/>
  <c r="O46" i="201"/>
  <c r="K46" i="201"/>
  <c r="J46" i="201"/>
  <c r="F46" i="201"/>
  <c r="E46" i="201" s="1"/>
  <c r="K45" i="201"/>
  <c r="O45" i="201" s="1"/>
  <c r="E45" i="201"/>
  <c r="O44" i="201"/>
  <c r="J44" i="201"/>
  <c r="P44" i="201" s="1"/>
  <c r="E44" i="201"/>
  <c r="N43" i="201"/>
  <c r="M43" i="201"/>
  <c r="L43" i="201"/>
  <c r="K43" i="201"/>
  <c r="I43" i="201"/>
  <c r="H43" i="201"/>
  <c r="G43" i="201"/>
  <c r="F43" i="201"/>
  <c r="E43" i="201"/>
  <c r="N42" i="201"/>
  <c r="M42" i="201"/>
  <c r="L42" i="201"/>
  <c r="K42" i="201"/>
  <c r="I42" i="201"/>
  <c r="H42" i="201"/>
  <c r="G42" i="201"/>
  <c r="F42" i="201"/>
  <c r="O41" i="201"/>
  <c r="J41" i="201"/>
  <c r="P41" i="201" s="1"/>
  <c r="P40" i="201" s="1"/>
  <c r="E41" i="201"/>
  <c r="O40" i="201"/>
  <c r="N40" i="201"/>
  <c r="M40" i="201"/>
  <c r="L40" i="201"/>
  <c r="K40" i="201"/>
  <c r="J40" i="201"/>
  <c r="I40" i="201"/>
  <c r="H40" i="201"/>
  <c r="G40" i="201"/>
  <c r="F40" i="201"/>
  <c r="E40" i="201"/>
  <c r="K39" i="201"/>
  <c r="O39" i="201" s="1"/>
  <c r="F39" i="201"/>
  <c r="E39" i="201" s="1"/>
  <c r="K38" i="201"/>
  <c r="O38" i="201" s="1"/>
  <c r="J38" i="201"/>
  <c r="F38" i="201"/>
  <c r="E38" i="201" s="1"/>
  <c r="P38" i="201" s="1"/>
  <c r="N37" i="201"/>
  <c r="N36" i="201" s="1"/>
  <c r="M37" i="201"/>
  <c r="L37" i="201"/>
  <c r="K37" i="201"/>
  <c r="K36" i="201" s="1"/>
  <c r="I37" i="201"/>
  <c r="H37" i="201"/>
  <c r="G37" i="201"/>
  <c r="G36" i="201" s="1"/>
  <c r="F37" i="201"/>
  <c r="F36" i="201" s="1"/>
  <c r="M36" i="201"/>
  <c r="L36" i="201"/>
  <c r="I36" i="201"/>
  <c r="H36" i="201"/>
  <c r="P35" i="201"/>
  <c r="J35" i="201"/>
  <c r="E35" i="201"/>
  <c r="L33" i="201"/>
  <c r="L32" i="201" s="1"/>
  <c r="L29" i="201" s="1"/>
  <c r="L25" i="201" s="1"/>
  <c r="J33" i="201"/>
  <c r="J32" i="201" s="1"/>
  <c r="J29" i="201" s="1"/>
  <c r="E33" i="201"/>
  <c r="O32" i="201"/>
  <c r="N32" i="201"/>
  <c r="M32" i="201"/>
  <c r="K32" i="201"/>
  <c r="I32" i="201"/>
  <c r="H32" i="201"/>
  <c r="G32" i="201"/>
  <c r="F32" i="201"/>
  <c r="E32" i="201"/>
  <c r="O31" i="201"/>
  <c r="J31" i="201" s="1"/>
  <c r="P31" i="201" s="1"/>
  <c r="E31" i="201"/>
  <c r="O30" i="201"/>
  <c r="O29" i="201" s="1"/>
  <c r="J30" i="201"/>
  <c r="P30" i="201" s="1"/>
  <c r="E30" i="201"/>
  <c r="N29" i="201"/>
  <c r="M29" i="201"/>
  <c r="K29" i="201"/>
  <c r="I29" i="201"/>
  <c r="H29" i="201"/>
  <c r="G29" i="201"/>
  <c r="F29" i="201"/>
  <c r="E29" i="201"/>
  <c r="J28" i="201"/>
  <c r="P28" i="201" s="1"/>
  <c r="E28" i="201"/>
  <c r="O27" i="201"/>
  <c r="J27" i="201"/>
  <c r="F27" i="201"/>
  <c r="E27" i="201" s="1"/>
  <c r="E26" i="201" s="1"/>
  <c r="E25" i="201" s="1"/>
  <c r="O26" i="201"/>
  <c r="O25" i="201" s="1"/>
  <c r="N26" i="201"/>
  <c r="N25" i="201" s="1"/>
  <c r="N16" i="201" s="1"/>
  <c r="M26" i="201"/>
  <c r="L26" i="201"/>
  <c r="K26" i="201"/>
  <c r="K25" i="201" s="1"/>
  <c r="K16" i="201" s="1"/>
  <c r="J26" i="201"/>
  <c r="J25" i="201" s="1"/>
  <c r="I26" i="201"/>
  <c r="H26" i="201"/>
  <c r="G26" i="201"/>
  <c r="G25" i="201" s="1"/>
  <c r="F26" i="201"/>
  <c r="F25" i="201" s="1"/>
  <c r="M25" i="201"/>
  <c r="I25" i="201"/>
  <c r="I16" i="201" s="1"/>
  <c r="H25" i="201"/>
  <c r="O24" i="201"/>
  <c r="J24" i="201" s="1"/>
  <c r="J23" i="201" s="1"/>
  <c r="J22" i="201" s="1"/>
  <c r="E24" i="201"/>
  <c r="N23" i="201"/>
  <c r="N22" i="201" s="1"/>
  <c r="M23" i="201"/>
  <c r="L23" i="201"/>
  <c r="K23" i="201"/>
  <c r="K22" i="201" s="1"/>
  <c r="I23" i="201"/>
  <c r="H23" i="201"/>
  <c r="G23" i="201"/>
  <c r="G22" i="201" s="1"/>
  <c r="F23" i="201"/>
  <c r="F22" i="201" s="1"/>
  <c r="E23" i="201"/>
  <c r="M22" i="201"/>
  <c r="L22" i="201"/>
  <c r="I22" i="201"/>
  <c r="H22" i="201"/>
  <c r="E22" i="201"/>
  <c r="O21" i="201"/>
  <c r="J21" i="201" s="1"/>
  <c r="F21" i="201"/>
  <c r="E21" i="201" s="1"/>
  <c r="O20" i="201"/>
  <c r="J20" i="201" s="1"/>
  <c r="P20" i="201" s="1"/>
  <c r="E20" i="201"/>
  <c r="O19" i="201"/>
  <c r="J19" i="201" s="1"/>
  <c r="P19" i="201" s="1"/>
  <c r="E19" i="201"/>
  <c r="O18" i="201"/>
  <c r="K18" i="201"/>
  <c r="K17" i="201" s="1"/>
  <c r="H18" i="201"/>
  <c r="E18" i="201"/>
  <c r="E17" i="201" s="1"/>
  <c r="N17" i="201"/>
  <c r="M17" i="201"/>
  <c r="M16" i="201" s="1"/>
  <c r="L17" i="201"/>
  <c r="L16" i="201" s="1"/>
  <c r="I17" i="201"/>
  <c r="H17" i="201"/>
  <c r="H16" i="201" s="1"/>
  <c r="G17" i="201"/>
  <c r="C149" i="200"/>
  <c r="C148" i="200"/>
  <c r="C147" i="200"/>
  <c r="C146" i="200"/>
  <c r="C145" i="200"/>
  <c r="C144" i="200"/>
  <c r="C143" i="200"/>
  <c r="C142" i="200"/>
  <c r="F141" i="200"/>
  <c r="E141" i="200"/>
  <c r="E127" i="200" s="1"/>
  <c r="E118" i="200" s="1"/>
  <c r="E112" i="200" s="1"/>
  <c r="D141" i="200"/>
  <c r="C141" i="200" s="1"/>
  <c r="C140" i="200"/>
  <c r="C139" i="200"/>
  <c r="C138" i="200"/>
  <c r="D137" i="200"/>
  <c r="C137" i="200"/>
  <c r="C136" i="200"/>
  <c r="C135" i="200"/>
  <c r="C134" i="200"/>
  <c r="C133" i="200"/>
  <c r="C132" i="200"/>
  <c r="C131" i="200"/>
  <c r="C130" i="200"/>
  <c r="C129" i="200"/>
  <c r="C128" i="200"/>
  <c r="F127" i="200"/>
  <c r="F118" i="200" s="1"/>
  <c r="F112" i="200" s="1"/>
  <c r="C126" i="200"/>
  <c r="C125" i="200"/>
  <c r="C124" i="200"/>
  <c r="C123" i="200"/>
  <c r="D122" i="200"/>
  <c r="C122" i="200" s="1"/>
  <c r="D121" i="200"/>
  <c r="C121" i="200"/>
  <c r="C120" i="200"/>
  <c r="F119" i="200"/>
  <c r="E119" i="200"/>
  <c r="C117" i="200"/>
  <c r="C116" i="200"/>
  <c r="D115" i="200"/>
  <c r="C115" i="200"/>
  <c r="C114" i="200"/>
  <c r="D113" i="200"/>
  <c r="C113" i="200"/>
  <c r="C110" i="200"/>
  <c r="F109" i="200"/>
  <c r="E109" i="200"/>
  <c r="D109" i="200"/>
  <c r="C109" i="200"/>
  <c r="C108" i="200"/>
  <c r="C107" i="200"/>
  <c r="C106" i="200"/>
  <c r="F105" i="200"/>
  <c r="E105" i="200"/>
  <c r="D105" i="200"/>
  <c r="C105" i="200"/>
  <c r="F104" i="200"/>
  <c r="F99" i="200" s="1"/>
  <c r="F111" i="200" s="1"/>
  <c r="F150" i="200" s="1"/>
  <c r="J150" i="200" s="1"/>
  <c r="E104" i="200"/>
  <c r="D104" i="200"/>
  <c r="C104" i="200"/>
  <c r="F103" i="200"/>
  <c r="F100" i="200" s="1"/>
  <c r="E103" i="200"/>
  <c r="C103" i="200" s="1"/>
  <c r="C102" i="200"/>
  <c r="D101" i="200"/>
  <c r="C101" i="200" s="1"/>
  <c r="E100" i="200"/>
  <c r="E99" i="200" s="1"/>
  <c r="E98" i="200"/>
  <c r="C98" i="200"/>
  <c r="E97" i="200"/>
  <c r="C97" i="200" s="1"/>
  <c r="C96" i="200"/>
  <c r="E95" i="200"/>
  <c r="E94" i="200" s="1"/>
  <c r="C95" i="200"/>
  <c r="D93" i="200"/>
  <c r="F92" i="200"/>
  <c r="E92" i="200"/>
  <c r="E88" i="200" s="1"/>
  <c r="C92" i="200"/>
  <c r="C91" i="200"/>
  <c r="C90" i="200"/>
  <c r="C89" i="200"/>
  <c r="F88" i="200"/>
  <c r="F66" i="200" s="1"/>
  <c r="D88" i="200"/>
  <c r="C87" i="200"/>
  <c r="C86" i="200"/>
  <c r="C85" i="200"/>
  <c r="D84" i="200"/>
  <c r="C84" i="200"/>
  <c r="C83" i="200"/>
  <c r="D82" i="200"/>
  <c r="C82" i="200"/>
  <c r="C81" i="200"/>
  <c r="D80" i="200"/>
  <c r="C80" i="200" s="1"/>
  <c r="C79" i="200"/>
  <c r="D78" i="200"/>
  <c r="C78" i="200" s="1"/>
  <c r="C76" i="200"/>
  <c r="C75" i="200"/>
  <c r="C74" i="200"/>
  <c r="C73" i="200"/>
  <c r="C72" i="200"/>
  <c r="D71" i="200"/>
  <c r="C71" i="200" s="1"/>
  <c r="C70" i="200"/>
  <c r="C69" i="200"/>
  <c r="D68" i="200"/>
  <c r="C68" i="200" s="1"/>
  <c r="D67" i="200"/>
  <c r="C67" i="200"/>
  <c r="C65" i="200"/>
  <c r="C64" i="200"/>
  <c r="C63" i="200"/>
  <c r="E62" i="200"/>
  <c r="D62" i="200"/>
  <c r="C62" i="200" s="1"/>
  <c r="E61" i="200"/>
  <c r="C61" i="200"/>
  <c r="C60" i="200"/>
  <c r="D59" i="200"/>
  <c r="C59" i="200"/>
  <c r="C58" i="200"/>
  <c r="D57" i="200"/>
  <c r="C57" i="200" s="1"/>
  <c r="C56" i="200"/>
  <c r="C55" i="200"/>
  <c r="D54" i="200"/>
  <c r="C54" i="200" s="1"/>
  <c r="C53" i="200"/>
  <c r="D52" i="200"/>
  <c r="C52" i="200" s="1"/>
  <c r="C51" i="200"/>
  <c r="C50" i="200"/>
  <c r="C49" i="200"/>
  <c r="C48" i="200"/>
  <c r="C47" i="200"/>
  <c r="C46" i="200"/>
  <c r="D45" i="200"/>
  <c r="C45" i="200" s="1"/>
  <c r="D44" i="200"/>
  <c r="C44" i="200"/>
  <c r="D43" i="200"/>
  <c r="C43" i="200" s="1"/>
  <c r="C42" i="200"/>
  <c r="C39" i="200"/>
  <c r="C38" i="200"/>
  <c r="C37" i="200" s="1"/>
  <c r="D37" i="200"/>
  <c r="C36" i="200"/>
  <c r="D35" i="200"/>
  <c r="C35" i="200" s="1"/>
  <c r="C34" i="200"/>
  <c r="D33" i="200"/>
  <c r="D32" i="200" s="1"/>
  <c r="C32" i="200" s="1"/>
  <c r="C33" i="200"/>
  <c r="C31" i="200"/>
  <c r="D30" i="200"/>
  <c r="C30" i="200" s="1"/>
  <c r="C29" i="200"/>
  <c r="C28" i="200"/>
  <c r="D27" i="200"/>
  <c r="C27" i="200" s="1"/>
  <c r="C25" i="200"/>
  <c r="D24" i="200"/>
  <c r="C24" i="200"/>
  <c r="C23" i="200"/>
  <c r="C22" i="200"/>
  <c r="D21" i="200"/>
  <c r="C21" i="200"/>
  <c r="C20" i="200"/>
  <c r="C19" i="200"/>
  <c r="D18" i="200"/>
  <c r="C18" i="200"/>
  <c r="D17" i="200"/>
  <c r="D16" i="200" s="1"/>
  <c r="C17" i="200"/>
  <c r="F15" i="200"/>
  <c r="E15" i="200"/>
  <c r="N15" i="201" l="1"/>
  <c r="E42" i="201"/>
  <c r="P46" i="201"/>
  <c r="K48" i="201"/>
  <c r="K47" i="201" s="1"/>
  <c r="E51" i="201"/>
  <c r="J136" i="201"/>
  <c r="J135" i="201" s="1"/>
  <c r="O135" i="201"/>
  <c r="L139" i="201"/>
  <c r="M15" i="201"/>
  <c r="G16" i="201"/>
  <c r="K15" i="201"/>
  <c r="L48" i="201"/>
  <c r="O61" i="201"/>
  <c r="J62" i="201"/>
  <c r="J61" i="201" s="1"/>
  <c r="J89" i="201"/>
  <c r="P90" i="201"/>
  <c r="P89" i="201" s="1"/>
  <c r="O108" i="201"/>
  <c r="O107" i="201" s="1"/>
  <c r="P119" i="201"/>
  <c r="P118" i="201" s="1"/>
  <c r="E118" i="201"/>
  <c r="E112" i="201" s="1"/>
  <c r="P122" i="201"/>
  <c r="P132" i="201"/>
  <c r="P131" i="201" s="1"/>
  <c r="P130" i="201" s="1"/>
  <c r="K200" i="201"/>
  <c r="K199" i="201" s="1"/>
  <c r="I15" i="201"/>
  <c r="P53" i="201"/>
  <c r="P55" i="201"/>
  <c r="P76" i="201"/>
  <c r="J84" i="201"/>
  <c r="J83" i="201" s="1"/>
  <c r="O83" i="201"/>
  <c r="P100" i="201"/>
  <c r="P99" i="201" s="1"/>
  <c r="K108" i="201"/>
  <c r="K107" i="201" s="1"/>
  <c r="G200" i="201"/>
  <c r="G199" i="201" s="1"/>
  <c r="J225" i="201"/>
  <c r="P226" i="201"/>
  <c r="P27" i="201"/>
  <c r="P26" i="201" s="1"/>
  <c r="J39" i="201"/>
  <c r="J37" i="201" s="1"/>
  <c r="J36" i="201" s="1"/>
  <c r="O37" i="201"/>
  <c r="O36" i="201" s="1"/>
  <c r="O43" i="201"/>
  <c r="O42" i="201" s="1"/>
  <c r="J45" i="201"/>
  <c r="J43" i="201" s="1"/>
  <c r="J42" i="201" s="1"/>
  <c r="J100" i="201"/>
  <c r="J99" i="201" s="1"/>
  <c r="J95" i="201" s="1"/>
  <c r="O99" i="201"/>
  <c r="J112" i="201"/>
  <c r="N108" i="201"/>
  <c r="N107" i="201" s="1"/>
  <c r="L108" i="201"/>
  <c r="L107" i="201" s="1"/>
  <c r="J183" i="201"/>
  <c r="O183" i="201"/>
  <c r="J187" i="201"/>
  <c r="J186" i="201" s="1"/>
  <c r="P188" i="201"/>
  <c r="P187" i="201" s="1"/>
  <c r="P186" i="201" s="1"/>
  <c r="P62" i="201"/>
  <c r="J65" i="201"/>
  <c r="O64" i="201"/>
  <c r="K140" i="201"/>
  <c r="K139" i="201" s="1"/>
  <c r="P193" i="201"/>
  <c r="P192" i="201" s="1"/>
  <c r="P191" i="201" s="1"/>
  <c r="H200" i="201"/>
  <c r="H199" i="201" s="1"/>
  <c r="E230" i="201"/>
  <c r="F229" i="201"/>
  <c r="E241" i="201"/>
  <c r="F239" i="201"/>
  <c r="E246" i="201"/>
  <c r="J264" i="201"/>
  <c r="O263" i="201"/>
  <c r="O262" i="201" s="1"/>
  <c r="P279" i="201"/>
  <c r="J302" i="201"/>
  <c r="J301" i="201" s="1"/>
  <c r="P303" i="201"/>
  <c r="P302" i="201" s="1"/>
  <c r="P301" i="201" s="1"/>
  <c r="J313" i="201"/>
  <c r="J312" i="201" s="1"/>
  <c r="J311" i="201" s="1"/>
  <c r="O312" i="201"/>
  <c r="O311" i="201" s="1"/>
  <c r="O344" i="201"/>
  <c r="J345" i="201"/>
  <c r="J344" i="201" s="1"/>
  <c r="P414" i="201"/>
  <c r="P413" i="201" s="1"/>
  <c r="J413" i="201"/>
  <c r="J412" i="201" s="1"/>
  <c r="J411" i="201" s="1"/>
  <c r="P21" i="201"/>
  <c r="J50" i="201"/>
  <c r="P71" i="201"/>
  <c r="E99" i="201"/>
  <c r="E95" i="201" s="1"/>
  <c r="F118" i="201"/>
  <c r="F112" i="201" s="1"/>
  <c r="F108" i="201" s="1"/>
  <c r="F107" i="201" s="1"/>
  <c r="E141" i="201"/>
  <c r="P147" i="201"/>
  <c r="P146" i="201" s="1"/>
  <c r="E146" i="201"/>
  <c r="E164" i="201"/>
  <c r="P182" i="201"/>
  <c r="P184" i="201"/>
  <c r="P183" i="201" s="1"/>
  <c r="L284" i="201"/>
  <c r="H285" i="201"/>
  <c r="H284" i="201" s="1"/>
  <c r="O300" i="201"/>
  <c r="K299" i="201"/>
  <c r="E298" i="201"/>
  <c r="E315" i="201"/>
  <c r="P315" i="201" s="1"/>
  <c r="F312" i="201"/>
  <c r="F311" i="201" s="1"/>
  <c r="P334" i="201"/>
  <c r="P333" i="201" s="1"/>
  <c r="E333" i="201"/>
  <c r="E331" i="201" s="1"/>
  <c r="E330" i="201" s="1"/>
  <c r="P24" i="201"/>
  <c r="P23" i="201" s="1"/>
  <c r="P22" i="201" s="1"/>
  <c r="M49" i="201"/>
  <c r="M48" i="201" s="1"/>
  <c r="M47" i="201" s="1"/>
  <c r="O52" i="201"/>
  <c r="E61" i="201"/>
  <c r="P61" i="201" s="1"/>
  <c r="P84" i="201"/>
  <c r="P85" i="201"/>
  <c r="E83" i="201"/>
  <c r="K99" i="201"/>
  <c r="K95" i="201" s="1"/>
  <c r="I108" i="201"/>
  <c r="I107" i="201" s="1"/>
  <c r="M108" i="201"/>
  <c r="M107" i="201" s="1"/>
  <c r="J113" i="201"/>
  <c r="P113" i="201" s="1"/>
  <c r="E131" i="201"/>
  <c r="J132" i="201"/>
  <c r="J131" i="201" s="1"/>
  <c r="J130" i="201" s="1"/>
  <c r="E133" i="201"/>
  <c r="E130" i="201" s="1"/>
  <c r="E129" i="201" s="1"/>
  <c r="E108" i="201" s="1"/>
  <c r="E107" i="201" s="1"/>
  <c r="F146" i="201"/>
  <c r="F145" i="201" s="1"/>
  <c r="F140" i="201" s="1"/>
  <c r="F139" i="201" s="1"/>
  <c r="E158" i="201"/>
  <c r="J161" i="201"/>
  <c r="P161" i="201" s="1"/>
  <c r="O164" i="201"/>
  <c r="O145" i="201" s="1"/>
  <c r="O140" i="201" s="1"/>
  <c r="E167" i="201"/>
  <c r="J167" i="201"/>
  <c r="J145" i="201" s="1"/>
  <c r="P185" i="201"/>
  <c r="P210" i="201"/>
  <c r="P208" i="201" s="1"/>
  <c r="P203" i="201" s="1"/>
  <c r="K225" i="201"/>
  <c r="K222" i="201" s="1"/>
  <c r="O225" i="201"/>
  <c r="O222" i="201" s="1"/>
  <c r="K234" i="201"/>
  <c r="K228" i="201" s="1"/>
  <c r="O235" i="201"/>
  <c r="J239" i="201"/>
  <c r="P267" i="201"/>
  <c r="O271" i="201"/>
  <c r="O270" i="201" s="1"/>
  <c r="J272" i="201"/>
  <c r="P274" i="201"/>
  <c r="P277" i="201"/>
  <c r="P276" i="201" s="1"/>
  <c r="E276" i="201"/>
  <c r="E273" i="201" s="1"/>
  <c r="E270" i="201" s="1"/>
  <c r="E257" i="201" s="1"/>
  <c r="P292" i="201"/>
  <c r="N298" i="201"/>
  <c r="N285" i="201" s="1"/>
  <c r="N284" i="201" s="1"/>
  <c r="E320" i="201"/>
  <c r="G354" i="201"/>
  <c r="G353" i="201" s="1"/>
  <c r="P357" i="201"/>
  <c r="P355" i="201" s="1"/>
  <c r="E355" i="201"/>
  <c r="L15" i="201"/>
  <c r="P60" i="201"/>
  <c r="P70" i="201"/>
  <c r="P86" i="201"/>
  <c r="P98" i="201"/>
  <c r="P97" i="201" s="1"/>
  <c r="P96" i="201" s="1"/>
  <c r="J214" i="201"/>
  <c r="J213" i="201" s="1"/>
  <c r="J212" i="201" s="1"/>
  <c r="J211" i="201" s="1"/>
  <c r="O213" i="201"/>
  <c r="O212" i="201" s="1"/>
  <c r="O211" i="201" s="1"/>
  <c r="O200" i="201" s="1"/>
  <c r="O199" i="201" s="1"/>
  <c r="E227" i="201"/>
  <c r="F225" i="201"/>
  <c r="F222" i="201" s="1"/>
  <c r="H280" i="201"/>
  <c r="H279" i="201" s="1"/>
  <c r="L280" i="201"/>
  <c r="L279" i="201"/>
  <c r="P343" i="201"/>
  <c r="J340" i="201"/>
  <c r="J339" i="201" s="1"/>
  <c r="K378" i="201"/>
  <c r="K377" i="201" s="1"/>
  <c r="K373" i="201" s="1"/>
  <c r="K372" i="201" s="1"/>
  <c r="O379" i="201"/>
  <c r="H15" i="201"/>
  <c r="O23" i="201"/>
  <c r="O22" i="201" s="1"/>
  <c r="P32" i="201"/>
  <c r="P29" i="201" s="1"/>
  <c r="F51" i="201"/>
  <c r="O80" i="201"/>
  <c r="J80" i="201" s="1"/>
  <c r="P80" i="201" s="1"/>
  <c r="E86" i="201"/>
  <c r="P110" i="201"/>
  <c r="P109" i="201" s="1"/>
  <c r="K135" i="201"/>
  <c r="M140" i="201"/>
  <c r="M139" i="201" s="1"/>
  <c r="I145" i="201"/>
  <c r="I140" i="201" s="1"/>
  <c r="I139" i="201" s="1"/>
  <c r="P195" i="201"/>
  <c r="O194" i="201"/>
  <c r="O190" i="201" s="1"/>
  <c r="M200" i="201"/>
  <c r="M199" i="201" s="1"/>
  <c r="P224" i="201"/>
  <c r="P223" i="201" s="1"/>
  <c r="J223" i="201"/>
  <c r="F17" i="201"/>
  <c r="F16" i="201" s="1"/>
  <c r="J18" i="201"/>
  <c r="O17" i="201"/>
  <c r="P33" i="201"/>
  <c r="E37" i="201"/>
  <c r="E36" i="201" s="1"/>
  <c r="E16" i="201" s="1"/>
  <c r="P45" i="201"/>
  <c r="P43" i="201" s="1"/>
  <c r="P42" i="201" s="1"/>
  <c r="P50" i="201"/>
  <c r="F61" i="201"/>
  <c r="E67" i="201"/>
  <c r="P67" i="201" s="1"/>
  <c r="P68" i="201"/>
  <c r="P73" i="201"/>
  <c r="P88" i="201"/>
  <c r="O95" i="201"/>
  <c r="P117" i="201"/>
  <c r="K129" i="201"/>
  <c r="O130" i="201"/>
  <c r="O129" i="201" s="1"/>
  <c r="P143" i="201"/>
  <c r="P141" i="201" s="1"/>
  <c r="E155" i="201"/>
  <c r="P156" i="201"/>
  <c r="P155" i="201" s="1"/>
  <c r="O167" i="201"/>
  <c r="P197" i="201"/>
  <c r="P196" i="201" s="1"/>
  <c r="P194" i="201" s="1"/>
  <c r="P190" i="201" s="1"/>
  <c r="L200" i="201"/>
  <c r="P202" i="201"/>
  <c r="P201" i="201" s="1"/>
  <c r="E201" i="201"/>
  <c r="E203" i="201"/>
  <c r="J203" i="201"/>
  <c r="L220" i="201"/>
  <c r="M221" i="201"/>
  <c r="M220" i="201" s="1"/>
  <c r="E235" i="201"/>
  <c r="F234" i="201"/>
  <c r="E244" i="201"/>
  <c r="E243" i="201" s="1"/>
  <c r="P246" i="201"/>
  <c r="J259" i="201"/>
  <c r="O258" i="201"/>
  <c r="P269" i="201"/>
  <c r="P286" i="201"/>
  <c r="P310" i="201"/>
  <c r="P307" i="201" s="1"/>
  <c r="E307" i="201"/>
  <c r="E304" i="201" s="1"/>
  <c r="L319" i="201"/>
  <c r="P326" i="201"/>
  <c r="P325" i="201" s="1"/>
  <c r="E360" i="201"/>
  <c r="K387" i="201"/>
  <c r="K386" i="201" s="1"/>
  <c r="O388" i="201"/>
  <c r="P418" i="201"/>
  <c r="P417" i="201" s="1"/>
  <c r="P416" i="201" s="1"/>
  <c r="J417" i="201"/>
  <c r="J416" i="201" s="1"/>
  <c r="K257" i="201"/>
  <c r="K256" i="201" s="1"/>
  <c r="L270" i="201"/>
  <c r="L257" i="201" s="1"/>
  <c r="P275" i="201"/>
  <c r="E279" i="201"/>
  <c r="E293" i="201"/>
  <c r="P293" i="201" s="1"/>
  <c r="F291" i="201"/>
  <c r="F290" i="201" s="1"/>
  <c r="G298" i="201"/>
  <c r="K304" i="201"/>
  <c r="O305" i="201"/>
  <c r="J333" i="201"/>
  <c r="P347" i="201"/>
  <c r="P385" i="201"/>
  <c r="P384" i="201" s="1"/>
  <c r="E384" i="201"/>
  <c r="F393" i="201"/>
  <c r="F392" i="201" s="1"/>
  <c r="J393" i="201"/>
  <c r="J392" i="201" s="1"/>
  <c r="J403" i="201"/>
  <c r="J402" i="201" s="1"/>
  <c r="L402" i="201"/>
  <c r="H203" i="201"/>
  <c r="P242" i="201"/>
  <c r="G257" i="201"/>
  <c r="G256" i="201" s="1"/>
  <c r="K263" i="201"/>
  <c r="K262" i="201" s="1"/>
  <c r="P268" i="201"/>
  <c r="H270" i="201"/>
  <c r="H257" i="201" s="1"/>
  <c r="H256" i="201" s="1"/>
  <c r="J273" i="201"/>
  <c r="J286" i="201"/>
  <c r="P306" i="201"/>
  <c r="P313" i="201"/>
  <c r="P312" i="201" s="1"/>
  <c r="P311" i="201" s="1"/>
  <c r="E312" i="201"/>
  <c r="E311" i="201" s="1"/>
  <c r="J332" i="201"/>
  <c r="O331" i="201"/>
  <c r="O330" i="201" s="1"/>
  <c r="E349" i="201"/>
  <c r="P349" i="201" s="1"/>
  <c r="F346" i="201"/>
  <c r="F345" i="201" s="1"/>
  <c r="F344" i="201" s="1"/>
  <c r="L359" i="201"/>
  <c r="L358" i="201" s="1"/>
  <c r="L354" i="201" s="1"/>
  <c r="L353" i="201" s="1"/>
  <c r="P364" i="201"/>
  <c r="E359" i="201"/>
  <c r="E358" i="201" s="1"/>
  <c r="F380" i="201"/>
  <c r="E383" i="201"/>
  <c r="P383" i="201" s="1"/>
  <c r="L377" i="201"/>
  <c r="L373" i="201" s="1"/>
  <c r="J385" i="201"/>
  <c r="J384" i="201" s="1"/>
  <c r="J380" i="201" s="1"/>
  <c r="O384" i="201"/>
  <c r="O380" i="201" s="1"/>
  <c r="G285" i="201"/>
  <c r="G284" i="201" s="1"/>
  <c r="K291" i="201"/>
  <c r="K290" i="201" s="1"/>
  <c r="O291" i="201"/>
  <c r="O290" i="201" s="1"/>
  <c r="J329" i="201"/>
  <c r="J328" i="201" s="1"/>
  <c r="J327" i="201" s="1"/>
  <c r="P337" i="201"/>
  <c r="P340" i="201"/>
  <c r="P339" i="201" s="1"/>
  <c r="P371" i="201"/>
  <c r="P370" i="201" s="1"/>
  <c r="E370" i="201"/>
  <c r="H373" i="201"/>
  <c r="H372" i="201" s="1"/>
  <c r="M377" i="201"/>
  <c r="M373" i="201" s="1"/>
  <c r="M372" i="201" s="1"/>
  <c r="E407" i="201"/>
  <c r="E406" i="201" s="1"/>
  <c r="E403" i="201" s="1"/>
  <c r="P408" i="201"/>
  <c r="P407" i="201" s="1"/>
  <c r="P406" i="201" s="1"/>
  <c r="O413" i="201"/>
  <c r="O412" i="201" s="1"/>
  <c r="O411" i="201" s="1"/>
  <c r="E422" i="201"/>
  <c r="F421" i="201"/>
  <c r="F419" i="201" s="1"/>
  <c r="I298" i="201"/>
  <c r="I285" i="201" s="1"/>
  <c r="I284" i="201" s="1"/>
  <c r="M298" i="201"/>
  <c r="M285" i="201" s="1"/>
  <c r="M284" i="201" s="1"/>
  <c r="J321" i="201"/>
  <c r="O325" i="201"/>
  <c r="J326" i="201"/>
  <c r="J325" i="201" s="1"/>
  <c r="I320" i="201"/>
  <c r="I319" i="201" s="1"/>
  <c r="O320" i="201"/>
  <c r="O319" i="201" s="1"/>
  <c r="K354" i="201"/>
  <c r="K353" i="201" s="1"/>
  <c r="J361" i="201"/>
  <c r="J360" i="201" s="1"/>
  <c r="O360" i="201"/>
  <c r="O359" i="201" s="1"/>
  <c r="O358" i="201" s="1"/>
  <c r="O354" i="201" s="1"/>
  <c r="O353" i="201" s="1"/>
  <c r="G359" i="201"/>
  <c r="G358" i="201" s="1"/>
  <c r="E369" i="201"/>
  <c r="F368" i="201"/>
  <c r="F367" i="201" s="1"/>
  <c r="F354" i="201" s="1"/>
  <c r="F353" i="201" s="1"/>
  <c r="F378" i="201"/>
  <c r="E379" i="201"/>
  <c r="E387" i="201"/>
  <c r="E386" i="201" s="1"/>
  <c r="P391" i="201"/>
  <c r="P390" i="201" s="1"/>
  <c r="P389" i="201" s="1"/>
  <c r="E390" i="201"/>
  <c r="E389" i="201" s="1"/>
  <c r="P425" i="201"/>
  <c r="P424" i="201" s="1"/>
  <c r="P423" i="201" s="1"/>
  <c r="F320" i="201"/>
  <c r="F319" i="201" s="1"/>
  <c r="N320" i="201"/>
  <c r="N319" i="201" s="1"/>
  <c r="P332" i="201"/>
  <c r="I345" i="201"/>
  <c r="I344" i="201" s="1"/>
  <c r="M345" i="201"/>
  <c r="M344" i="201" s="1"/>
  <c r="P366" i="201"/>
  <c r="P365" i="201" s="1"/>
  <c r="F374" i="201"/>
  <c r="N373" i="201"/>
  <c r="N372" i="201" s="1"/>
  <c r="L393" i="201"/>
  <c r="L392" i="201" s="1"/>
  <c r="F412" i="201"/>
  <c r="F411" i="201" s="1"/>
  <c r="N412" i="201"/>
  <c r="N411" i="201" s="1"/>
  <c r="P329" i="201"/>
  <c r="P328" i="201" s="1"/>
  <c r="P327" i="201" s="1"/>
  <c r="J359" i="201"/>
  <c r="J358" i="201" s="1"/>
  <c r="J354" i="201" s="1"/>
  <c r="J353" i="201" s="1"/>
  <c r="K374" i="201"/>
  <c r="O375" i="201"/>
  <c r="I373" i="201"/>
  <c r="I372" i="201" s="1"/>
  <c r="P381" i="201"/>
  <c r="O400" i="201"/>
  <c r="O393" i="201" s="1"/>
  <c r="O392" i="201" s="1"/>
  <c r="P401" i="201"/>
  <c r="P400" i="201" s="1"/>
  <c r="P393" i="201" s="1"/>
  <c r="F403" i="201"/>
  <c r="F402" i="201" s="1"/>
  <c r="N403" i="201"/>
  <c r="N402" i="201" s="1"/>
  <c r="G412" i="201"/>
  <c r="G411" i="201" s="1"/>
  <c r="L412" i="201"/>
  <c r="L411" i="201" s="1"/>
  <c r="J419" i="201"/>
  <c r="C16" i="200"/>
  <c r="C93" i="200"/>
  <c r="C88" i="200"/>
  <c r="E66" i="200"/>
  <c r="E111" i="200" s="1"/>
  <c r="E150" i="200" s="1"/>
  <c r="I150" i="200" s="1"/>
  <c r="E93" i="200"/>
  <c r="C94" i="200"/>
  <c r="D41" i="200"/>
  <c r="D119" i="200"/>
  <c r="D26" i="200"/>
  <c r="C26" i="200" s="1"/>
  <c r="D77" i="200"/>
  <c r="C77" i="200" s="1"/>
  <c r="D127" i="200"/>
  <c r="C127" i="200" s="1"/>
  <c r="D100" i="200"/>
  <c r="F362" i="165"/>
  <c r="F370" i="165"/>
  <c r="E15" i="201" l="1"/>
  <c r="O139" i="201"/>
  <c r="J140" i="201"/>
  <c r="J139" i="201" s="1"/>
  <c r="P359" i="201"/>
  <c r="P358" i="201" s="1"/>
  <c r="L256" i="201"/>
  <c r="E256" i="201"/>
  <c r="P392" i="201"/>
  <c r="Q393" i="201"/>
  <c r="L429" i="201"/>
  <c r="L440" i="201" s="1"/>
  <c r="J108" i="201"/>
  <c r="J107" i="201" s="1"/>
  <c r="L372" i="201"/>
  <c r="P380" i="201"/>
  <c r="P377" i="201" s="1"/>
  <c r="J305" i="201"/>
  <c r="O304" i="201"/>
  <c r="J388" i="201"/>
  <c r="O387" i="201"/>
  <c r="O386" i="201" s="1"/>
  <c r="J379" i="201"/>
  <c r="J378" i="201" s="1"/>
  <c r="O378" i="201"/>
  <c r="P331" i="201"/>
  <c r="P330" i="201" s="1"/>
  <c r="P230" i="201"/>
  <c r="P229" i="201" s="1"/>
  <c r="E229" i="201"/>
  <c r="P39" i="201"/>
  <c r="P37" i="201" s="1"/>
  <c r="P36" i="201" s="1"/>
  <c r="E346" i="201"/>
  <c r="E345" i="201" s="1"/>
  <c r="E291" i="201"/>
  <c r="E290" i="201" s="1"/>
  <c r="E285" i="201" s="1"/>
  <c r="E319" i="201"/>
  <c r="K298" i="201"/>
  <c r="K285" i="201" s="1"/>
  <c r="K284" i="201" s="1"/>
  <c r="P136" i="201"/>
  <c r="P135" i="201" s="1"/>
  <c r="P129" i="201" s="1"/>
  <c r="G429" i="201"/>
  <c r="G440" i="201" s="1"/>
  <c r="G15" i="201"/>
  <c r="J375" i="201"/>
  <c r="O374" i="201"/>
  <c r="P369" i="201"/>
  <c r="P368" i="201" s="1"/>
  <c r="P367" i="201" s="1"/>
  <c r="E368" i="201"/>
  <c r="E367" i="201" s="1"/>
  <c r="E354" i="201" s="1"/>
  <c r="P422" i="201"/>
  <c r="P421" i="201" s="1"/>
  <c r="P419" i="201" s="1"/>
  <c r="E421" i="201"/>
  <c r="E419" i="201" s="1"/>
  <c r="E412" i="201" s="1"/>
  <c r="E411" i="201" s="1"/>
  <c r="P403" i="201"/>
  <c r="E402" i="201"/>
  <c r="O377" i="201"/>
  <c r="O373" i="201" s="1"/>
  <c r="O372" i="201" s="1"/>
  <c r="F377" i="201"/>
  <c r="F373" i="201" s="1"/>
  <c r="F372" i="201" s="1"/>
  <c r="P346" i="201"/>
  <c r="P361" i="201"/>
  <c r="P360" i="201" s="1"/>
  <c r="J320" i="201"/>
  <c r="J319" i="201" s="1"/>
  <c r="O257" i="201"/>
  <c r="O256" i="201" s="1"/>
  <c r="E200" i="201"/>
  <c r="F49" i="201"/>
  <c r="F48" i="201" s="1"/>
  <c r="F47" i="201" s="1"/>
  <c r="F221" i="201"/>
  <c r="F220" i="201" s="1"/>
  <c r="P273" i="201"/>
  <c r="O299" i="201"/>
  <c r="O298" i="201" s="1"/>
  <c r="O285" i="201" s="1"/>
  <c r="J300" i="201"/>
  <c r="P241" i="201"/>
  <c r="P239" i="201" s="1"/>
  <c r="E239" i="201"/>
  <c r="P65" i="201"/>
  <c r="J64" i="201"/>
  <c r="P64" i="201" s="1"/>
  <c r="P25" i="201"/>
  <c r="L47" i="201"/>
  <c r="J270" i="201"/>
  <c r="L199" i="201"/>
  <c r="J200" i="201"/>
  <c r="J199" i="201" s="1"/>
  <c r="J17" i="201"/>
  <c r="P18" i="201"/>
  <c r="P17" i="201" s="1"/>
  <c r="P272" i="201"/>
  <c r="P271" i="201" s="1"/>
  <c r="J271" i="201"/>
  <c r="O234" i="201"/>
  <c r="O228" i="201" s="1"/>
  <c r="O221" i="201" s="1"/>
  <c r="J235" i="201"/>
  <c r="J234" i="201" s="1"/>
  <c r="J228" i="201" s="1"/>
  <c r="O51" i="201"/>
  <c r="O49" i="201" s="1"/>
  <c r="O48" i="201" s="1"/>
  <c r="O47" i="201" s="1"/>
  <c r="J52" i="201"/>
  <c r="P145" i="201"/>
  <c r="F15" i="201"/>
  <c r="J129" i="201"/>
  <c r="P83" i="201"/>
  <c r="P412" i="201"/>
  <c r="I429" i="201"/>
  <c r="I440" i="201" s="1"/>
  <c r="P379" i="201"/>
  <c r="P378" i="201" s="1"/>
  <c r="E378" i="201"/>
  <c r="J377" i="201"/>
  <c r="E380" i="201"/>
  <c r="J331" i="201"/>
  <c r="J330" i="201" s="1"/>
  <c r="F285" i="201"/>
  <c r="F284" i="201" s="1"/>
  <c r="J258" i="201"/>
  <c r="P259" i="201"/>
  <c r="P258" i="201" s="1"/>
  <c r="E234" i="201"/>
  <c r="P214" i="201"/>
  <c r="P213" i="201" s="1"/>
  <c r="P212" i="201" s="1"/>
  <c r="P211" i="201" s="1"/>
  <c r="O16" i="201"/>
  <c r="J222" i="201"/>
  <c r="E49" i="201"/>
  <c r="E48" i="201" s="1"/>
  <c r="H429" i="201"/>
  <c r="E225" i="201"/>
  <c r="E222" i="201" s="1"/>
  <c r="P227" i="201"/>
  <c r="P225" i="201" s="1"/>
  <c r="P222" i="201" s="1"/>
  <c r="P95" i="201"/>
  <c r="P291" i="201"/>
  <c r="P290" i="201" s="1"/>
  <c r="K221" i="201"/>
  <c r="E145" i="201"/>
  <c r="E140" i="201" s="1"/>
  <c r="J263" i="201"/>
  <c r="J262" i="201" s="1"/>
  <c r="P264" i="201"/>
  <c r="P263" i="201" s="1"/>
  <c r="P262" i="201" s="1"/>
  <c r="F228" i="201"/>
  <c r="P112" i="201"/>
  <c r="P108" i="201" s="1"/>
  <c r="M429" i="201"/>
  <c r="M440" i="201" s="1"/>
  <c r="N429" i="201"/>
  <c r="N440" i="201" s="1"/>
  <c r="C100" i="200"/>
  <c r="D99" i="200"/>
  <c r="D66" i="200"/>
  <c r="C66" i="200" s="1"/>
  <c r="D118" i="200"/>
  <c r="C119" i="200"/>
  <c r="D40" i="200"/>
  <c r="C41" i="200"/>
  <c r="F423" i="165"/>
  <c r="F151" i="165"/>
  <c r="F149" i="165"/>
  <c r="J53" i="167"/>
  <c r="I53" i="167"/>
  <c r="H51" i="167"/>
  <c r="J29" i="167"/>
  <c r="N22" i="165"/>
  <c r="O24" i="165"/>
  <c r="N23" i="165"/>
  <c r="M23" i="165"/>
  <c r="M22" i="165" s="1"/>
  <c r="L23" i="165"/>
  <c r="K23" i="165"/>
  <c r="I23" i="165"/>
  <c r="I22" i="165" s="1"/>
  <c r="H23" i="165"/>
  <c r="G23" i="165"/>
  <c r="F23" i="165"/>
  <c r="F23" i="202" s="1"/>
  <c r="E24" i="165"/>
  <c r="E24" i="202" s="1"/>
  <c r="F27" i="165"/>
  <c r="F207" i="165"/>
  <c r="J41" i="184"/>
  <c r="J100" i="184"/>
  <c r="J270" i="167"/>
  <c r="I270" i="167"/>
  <c r="K276" i="165"/>
  <c r="J24" i="184"/>
  <c r="H40" i="167"/>
  <c r="G38" i="167"/>
  <c r="Q108" i="201" l="1"/>
  <c r="P107" i="201"/>
  <c r="E139" i="201"/>
  <c r="P140" i="201"/>
  <c r="O220" i="201"/>
  <c r="J221" i="201"/>
  <c r="J220" i="201" s="1"/>
  <c r="P354" i="201"/>
  <c r="E353" i="201"/>
  <c r="K220" i="201"/>
  <c r="K429" i="201"/>
  <c r="Q412" i="201"/>
  <c r="P411" i="201"/>
  <c r="J48" i="201"/>
  <c r="J47" i="201" s="1"/>
  <c r="J299" i="201"/>
  <c r="J298" i="201" s="1"/>
  <c r="P300" i="201"/>
  <c r="P299" i="201" s="1"/>
  <c r="J374" i="201"/>
  <c r="P375" i="201"/>
  <c r="P374" i="201" s="1"/>
  <c r="E344" i="201"/>
  <c r="P345" i="201"/>
  <c r="F429" i="201"/>
  <c r="F440" i="201" s="1"/>
  <c r="O284" i="201"/>
  <c r="J285" i="201"/>
  <c r="J284" i="201" s="1"/>
  <c r="J387" i="201"/>
  <c r="J386" i="201" s="1"/>
  <c r="P388" i="201"/>
  <c r="P387" i="201" s="1"/>
  <c r="P386" i="201" s="1"/>
  <c r="J373" i="201"/>
  <c r="J372" i="201" s="1"/>
  <c r="H440" i="201"/>
  <c r="H442" i="201"/>
  <c r="O429" i="201"/>
  <c r="O15" i="201"/>
  <c r="J16" i="201"/>
  <c r="P235" i="201"/>
  <c r="P234" i="201" s="1"/>
  <c r="P228" i="201" s="1"/>
  <c r="P200" i="201"/>
  <c r="E199" i="201"/>
  <c r="P402" i="201"/>
  <c r="Q403" i="201"/>
  <c r="P320" i="201"/>
  <c r="E47" i="201"/>
  <c r="P48" i="201"/>
  <c r="E377" i="201"/>
  <c r="E373" i="201" s="1"/>
  <c r="J51" i="201"/>
  <c r="P52" i="201"/>
  <c r="P270" i="201"/>
  <c r="E284" i="201"/>
  <c r="E228" i="201"/>
  <c r="E221" i="201" s="1"/>
  <c r="P305" i="201"/>
  <c r="P304" i="201" s="1"/>
  <c r="J304" i="201"/>
  <c r="J257" i="201"/>
  <c r="C40" i="200"/>
  <c r="D15" i="200"/>
  <c r="C15" i="200" s="1"/>
  <c r="C99" i="200"/>
  <c r="D111" i="200"/>
  <c r="D112" i="200"/>
  <c r="C112" i="200" s="1"/>
  <c r="C118" i="200"/>
  <c r="E23" i="165"/>
  <c r="E23" i="202" s="1"/>
  <c r="G22" i="165"/>
  <c r="K22" i="165"/>
  <c r="F22" i="165"/>
  <c r="F22" i="202" s="1"/>
  <c r="O23" i="165"/>
  <c r="H22" i="165"/>
  <c r="L22" i="165"/>
  <c r="H29" i="167"/>
  <c r="J24" i="165"/>
  <c r="E220" i="201" l="1"/>
  <c r="P221" i="201"/>
  <c r="E429" i="201"/>
  <c r="Q48" i="201"/>
  <c r="P47" i="201"/>
  <c r="Q345" i="201"/>
  <c r="P344" i="201"/>
  <c r="Q140" i="201"/>
  <c r="P139" i="201"/>
  <c r="K443" i="201"/>
  <c r="K440" i="201"/>
  <c r="Q354" i="201"/>
  <c r="P353" i="201"/>
  <c r="J256" i="201"/>
  <c r="P257" i="201"/>
  <c r="J49" i="201"/>
  <c r="P51" i="201"/>
  <c r="P49" i="201" s="1"/>
  <c r="P319" i="201"/>
  <c r="Q320" i="201"/>
  <c r="P199" i="201"/>
  <c r="Q200" i="201"/>
  <c r="O443" i="201"/>
  <c r="O440" i="201"/>
  <c r="J429" i="201"/>
  <c r="J15" i="201"/>
  <c r="P16" i="201"/>
  <c r="P298" i="201"/>
  <c r="P285" i="201"/>
  <c r="P373" i="201"/>
  <c r="E372" i="201"/>
  <c r="C111" i="200"/>
  <c r="D150" i="200"/>
  <c r="O22" i="165"/>
  <c r="J23" i="165"/>
  <c r="I29" i="167"/>
  <c r="G29" i="167" s="1"/>
  <c r="E22" i="165"/>
  <c r="E22" i="202" s="1"/>
  <c r="P24" i="165"/>
  <c r="P24" i="202" s="1"/>
  <c r="Q285" i="201" l="1"/>
  <c r="P284" i="201"/>
  <c r="P256" i="201"/>
  <c r="Q257" i="201"/>
  <c r="E443" i="201"/>
  <c r="E441" i="201"/>
  <c r="F443" i="201"/>
  <c r="F441" i="201"/>
  <c r="E440" i="201"/>
  <c r="P429" i="201"/>
  <c r="P15" i="201"/>
  <c r="Q16" i="201"/>
  <c r="Q221" i="201"/>
  <c r="P220" i="201"/>
  <c r="P372" i="201"/>
  <c r="Q373" i="201"/>
  <c r="C150" i="200"/>
  <c r="H150" i="200"/>
  <c r="J22" i="165"/>
  <c r="P23" i="165"/>
  <c r="P23" i="202" s="1"/>
  <c r="K18" i="165"/>
  <c r="D123" i="188"/>
  <c r="E100" i="188"/>
  <c r="E99" i="188"/>
  <c r="E97" i="188"/>
  <c r="F94" i="188"/>
  <c r="E94" i="188"/>
  <c r="D80" i="188"/>
  <c r="D45" i="188"/>
  <c r="D44" i="188"/>
  <c r="D43" i="188"/>
  <c r="Q429" i="201" l="1"/>
  <c r="P441" i="201"/>
  <c r="G150" i="200"/>
  <c r="P22" i="165"/>
  <c r="P22" i="202" s="1"/>
  <c r="K389" i="165"/>
  <c r="F389" i="165"/>
  <c r="K376" i="165"/>
  <c r="F376" i="165"/>
  <c r="K377" i="165"/>
  <c r="F377" i="165"/>
  <c r="N375" i="165"/>
  <c r="M375" i="165"/>
  <c r="L375" i="165"/>
  <c r="I375" i="165"/>
  <c r="H375" i="165"/>
  <c r="G375" i="165"/>
  <c r="K384" i="165"/>
  <c r="F384" i="165"/>
  <c r="G333" i="167"/>
  <c r="M332" i="167"/>
  <c r="F380" i="165"/>
  <c r="K227" i="165"/>
  <c r="F232" i="165"/>
  <c r="F206" i="165"/>
  <c r="F203" i="165"/>
  <c r="D61" i="170"/>
  <c r="D47" i="170"/>
  <c r="D41" i="170"/>
  <c r="D39" i="170"/>
  <c r="D20" i="170"/>
  <c r="H232" i="167"/>
  <c r="F268" i="165"/>
  <c r="J331" i="167" l="1"/>
  <c r="F375" i="165"/>
  <c r="E377" i="165"/>
  <c r="H331" i="167"/>
  <c r="K375" i="165"/>
  <c r="O377" i="165"/>
  <c r="F153" i="165"/>
  <c r="J377" i="165" l="1"/>
  <c r="H38" i="184"/>
  <c r="I41" i="184"/>
  <c r="K41" i="184" s="1"/>
  <c r="E194" i="165"/>
  <c r="H171" i="167"/>
  <c r="F350" i="165"/>
  <c r="F15" i="197"/>
  <c r="F19" i="197"/>
  <c r="F16" i="197"/>
  <c r="J325" i="167"/>
  <c r="I325" i="167"/>
  <c r="K367" i="165"/>
  <c r="I118" i="184"/>
  <c r="H102" i="184"/>
  <c r="L112" i="184"/>
  <c r="I112" i="184"/>
  <c r="J111" i="184"/>
  <c r="J226" i="167"/>
  <c r="I226" i="167"/>
  <c r="J225" i="167"/>
  <c r="I225" i="167"/>
  <c r="K265" i="165"/>
  <c r="F282" i="165"/>
  <c r="G232" i="167"/>
  <c r="J231" i="167"/>
  <c r="I63" i="184"/>
  <c r="H56" i="184"/>
  <c r="I100" i="184"/>
  <c r="K100" i="184" s="1"/>
  <c r="I96" i="184"/>
  <c r="J272" i="167"/>
  <c r="I272" i="167"/>
  <c r="K63" i="184"/>
  <c r="K301" i="165"/>
  <c r="F304" i="165"/>
  <c r="F296" i="165"/>
  <c r="K115" i="165"/>
  <c r="K136" i="165"/>
  <c r="J125" i="167"/>
  <c r="N125" i="165"/>
  <c r="N125" i="202" s="1"/>
  <c r="M125" i="165"/>
  <c r="M125" i="202" s="1"/>
  <c r="L125" i="165"/>
  <c r="L125" i="202" s="1"/>
  <c r="K125" i="165"/>
  <c r="K125" i="202" s="1"/>
  <c r="I125" i="165"/>
  <c r="I125" i="202" s="1"/>
  <c r="H125" i="165"/>
  <c r="H125" i="202" s="1"/>
  <c r="G125" i="165"/>
  <c r="G125" i="202" s="1"/>
  <c r="F125" i="165"/>
  <c r="F125" i="202" s="1"/>
  <c r="O126" i="165"/>
  <c r="O126" i="202" s="1"/>
  <c r="E126" i="165"/>
  <c r="E126" i="202" s="1"/>
  <c r="L62" i="165"/>
  <c r="M62" i="165"/>
  <c r="K90" i="165"/>
  <c r="J63" i="167"/>
  <c r="H48" i="167"/>
  <c r="H54" i="167"/>
  <c r="G54" i="167" s="1"/>
  <c r="C135" i="188"/>
  <c r="D124" i="188"/>
  <c r="O91" i="165"/>
  <c r="M37" i="167" l="1"/>
  <c r="O125" i="165"/>
  <c r="O125" i="202" s="1"/>
  <c r="I331" i="167"/>
  <c r="G331" i="167" s="1"/>
  <c r="P377" i="165"/>
  <c r="E125" i="165"/>
  <c r="E125" i="202" s="1"/>
  <c r="H125" i="167"/>
  <c r="J126" i="165"/>
  <c r="J126" i="202" s="1"/>
  <c r="J21" i="184"/>
  <c r="J125" i="165" l="1"/>
  <c r="J125" i="202" s="1"/>
  <c r="I125" i="167"/>
  <c r="G125" i="167" s="1"/>
  <c r="P126" i="165"/>
  <c r="P126" i="202" s="1"/>
  <c r="C18" i="188"/>
  <c r="P125" i="165" l="1"/>
  <c r="P125" i="202" s="1"/>
  <c r="F26" i="172"/>
  <c r="J39" i="184" l="1"/>
  <c r="J27" i="107"/>
  <c r="I27" i="107"/>
  <c r="H27" i="107"/>
  <c r="G27" i="107"/>
  <c r="F27" i="107"/>
  <c r="F25" i="107"/>
  <c r="N28" i="107"/>
  <c r="N27" i="107" s="1"/>
  <c r="L28" i="107"/>
  <c r="P28" i="107" s="1"/>
  <c r="P27" i="107" s="1"/>
  <c r="K28" i="107"/>
  <c r="M28" i="107" s="1"/>
  <c r="Q28" i="107" s="1"/>
  <c r="Q27" i="107" s="1"/>
  <c r="G26" i="107"/>
  <c r="H26" i="107"/>
  <c r="P26" i="107" s="1"/>
  <c r="J48" i="167"/>
  <c r="M45" i="167" s="1"/>
  <c r="I48" i="167"/>
  <c r="I85" i="184"/>
  <c r="I84" i="184"/>
  <c r="I83" i="184"/>
  <c r="I82" i="184"/>
  <c r="I75" i="184"/>
  <c r="K27" i="107" l="1"/>
  <c r="L27" i="107"/>
  <c r="M27" i="107"/>
  <c r="F24" i="107"/>
  <c r="O28" i="107"/>
  <c r="O27" i="107" s="1"/>
  <c r="J56" i="184"/>
  <c r="I49" i="184"/>
  <c r="K49" i="184" s="1"/>
  <c r="K294" i="165"/>
  <c r="H257" i="167"/>
  <c r="J239" i="167"/>
  <c r="I239" i="167"/>
  <c r="K273" i="165"/>
  <c r="K269" i="165"/>
  <c r="F269" i="165"/>
  <c r="I65" i="184" l="1"/>
  <c r="I64" i="184"/>
  <c r="I26" i="184"/>
  <c r="I27" i="184"/>
  <c r="I56" i="184" l="1"/>
  <c r="I22" i="184"/>
  <c r="I25" i="184"/>
  <c r="K25" i="184" s="1"/>
  <c r="I24" i="184"/>
  <c r="I21" i="184"/>
  <c r="K21" i="184" s="1"/>
  <c r="J100" i="167" l="1"/>
  <c r="J99" i="167"/>
  <c r="E91" i="165"/>
  <c r="O90" i="165"/>
  <c r="E90" i="165"/>
  <c r="N89" i="165"/>
  <c r="M89" i="165"/>
  <c r="L89" i="165"/>
  <c r="K89" i="165"/>
  <c r="I89" i="165"/>
  <c r="H89" i="165"/>
  <c r="G89" i="165"/>
  <c r="F89" i="165"/>
  <c r="K53" i="165"/>
  <c r="G65" i="165"/>
  <c r="G50" i="165"/>
  <c r="H100" i="167" l="1"/>
  <c r="H99" i="167"/>
  <c r="J91" i="165"/>
  <c r="O89" i="165"/>
  <c r="J90" i="165"/>
  <c r="E89" i="165"/>
  <c r="H31" i="184"/>
  <c r="J34" i="184"/>
  <c r="I34" i="184" s="1"/>
  <c r="I31" i="184" s="1"/>
  <c r="I100" i="167" l="1"/>
  <c r="G100" i="167" s="1"/>
  <c r="P91" i="165"/>
  <c r="P90" i="165"/>
  <c r="I99" i="167"/>
  <c r="G99" i="167" s="1"/>
  <c r="J31" i="184"/>
  <c r="J89" i="165"/>
  <c r="K132" i="165"/>
  <c r="F241" i="165"/>
  <c r="K189" i="165"/>
  <c r="P89" i="165" l="1"/>
  <c r="F147" i="165"/>
  <c r="J40" i="184" l="1"/>
  <c r="I40" i="184" l="1"/>
  <c r="J38" i="184"/>
  <c r="I39" i="184"/>
  <c r="I38" i="184" l="1"/>
  <c r="K39" i="184"/>
  <c r="G185" i="165"/>
  <c r="H159" i="165"/>
  <c r="I121" i="184"/>
  <c r="I111" i="184"/>
  <c r="J110" i="184"/>
  <c r="I110" i="184" s="1"/>
  <c r="I109" i="184"/>
  <c r="K409" i="165"/>
  <c r="J102" i="184" l="1"/>
  <c r="I108" i="184"/>
  <c r="M335" i="167"/>
  <c r="G334" i="167"/>
  <c r="H26" i="167"/>
  <c r="H25" i="167"/>
  <c r="G28" i="167" l="1"/>
  <c r="D29" i="170" l="1"/>
  <c r="D14" i="170"/>
  <c r="D71" i="188"/>
  <c r="C89" i="188"/>
  <c r="C76" i="188"/>
  <c r="C75" i="188"/>
  <c r="C28" i="188"/>
  <c r="D27" i="188"/>
  <c r="D17" i="188"/>
  <c r="C23" i="188"/>
  <c r="C22" i="188"/>
  <c r="C71" i="188" l="1"/>
  <c r="O210" i="165"/>
  <c r="L210" i="165"/>
  <c r="O203" i="165"/>
  <c r="L203" i="165"/>
  <c r="O207" i="165"/>
  <c r="L207" i="165"/>
  <c r="H210" i="165"/>
  <c r="H207" i="165"/>
  <c r="H206" i="165"/>
  <c r="H205" i="165"/>
  <c r="H203" i="165"/>
  <c r="J47" i="184"/>
  <c r="H47" i="184"/>
  <c r="I47" i="184"/>
  <c r="O236" i="165"/>
  <c r="L236" i="165"/>
  <c r="H236" i="165"/>
  <c r="G236" i="165"/>
  <c r="H228" i="165"/>
  <c r="H227" i="165"/>
  <c r="D103" i="170"/>
  <c r="H18" i="165"/>
  <c r="O88" i="165"/>
  <c r="O60" i="165"/>
  <c r="K54" i="165"/>
  <c r="F70" i="165"/>
  <c r="H70" i="165"/>
  <c r="H65" i="165"/>
  <c r="H60" i="165"/>
  <c r="H54" i="165"/>
  <c r="H53" i="165"/>
  <c r="H50" i="165"/>
  <c r="F69" i="165"/>
  <c r="F63" i="165"/>
  <c r="F57" i="165"/>
  <c r="L185" i="165"/>
  <c r="O62" i="165" l="1"/>
  <c r="O156" i="165"/>
  <c r="N156" i="165"/>
  <c r="O185" i="165"/>
  <c r="N185" i="165"/>
  <c r="H157" i="165" l="1"/>
  <c r="G157" i="165"/>
  <c r="D21" i="172"/>
  <c r="J361" i="167"/>
  <c r="I26" i="107"/>
  <c r="I25" i="107" s="1"/>
  <c r="I24" i="107" s="1"/>
  <c r="G138" i="167"/>
  <c r="O409" i="165" l="1"/>
  <c r="O400" i="165" l="1"/>
  <c r="L400" i="165"/>
  <c r="M260" i="167"/>
  <c r="I120" i="184"/>
  <c r="I102" i="184" s="1"/>
  <c r="K120" i="184" l="1"/>
  <c r="J286" i="167"/>
  <c r="H315" i="165" l="1"/>
  <c r="J242" i="167"/>
  <c r="J238" i="167"/>
  <c r="G239" i="167"/>
  <c r="J246" i="167"/>
  <c r="O282" i="165"/>
  <c r="E282" i="165"/>
  <c r="M241" i="167"/>
  <c r="J235" i="167"/>
  <c r="G236" i="167"/>
  <c r="H246" i="167" l="1"/>
  <c r="J282" i="165"/>
  <c r="I246" i="167" l="1"/>
  <c r="G246" i="167" s="1"/>
  <c r="P282" i="165"/>
  <c r="K64" i="184" l="1"/>
  <c r="G111" i="167" l="1"/>
  <c r="K26" i="184" l="1"/>
  <c r="K111" i="184" l="1"/>
  <c r="K110" i="184"/>
  <c r="K109" i="184"/>
  <c r="K108" i="184"/>
  <c r="J57" i="184"/>
  <c r="G240" i="167"/>
  <c r="H336" i="167"/>
  <c r="J86" i="184" l="1"/>
  <c r="G288" i="167"/>
  <c r="O319" i="165" l="1"/>
  <c r="J319" i="165" s="1"/>
  <c r="J318" i="165" s="1"/>
  <c r="J317" i="165" s="1"/>
  <c r="E319" i="165"/>
  <c r="N318" i="165"/>
  <c r="M318" i="165"/>
  <c r="M317" i="165" s="1"/>
  <c r="L318" i="165"/>
  <c r="L317" i="165" s="1"/>
  <c r="K318" i="165"/>
  <c r="K317" i="165" s="1"/>
  <c r="I318" i="165"/>
  <c r="I317" i="165" s="1"/>
  <c r="H318" i="165"/>
  <c r="H317" i="165" s="1"/>
  <c r="G318" i="165"/>
  <c r="G317" i="165" s="1"/>
  <c r="F318" i="165"/>
  <c r="F317" i="165" s="1"/>
  <c r="N317" i="165"/>
  <c r="F111" i="188"/>
  <c r="D111" i="188"/>
  <c r="D107" i="188"/>
  <c r="D106" i="188" l="1"/>
  <c r="O318" i="165"/>
  <c r="O317" i="165" s="1"/>
  <c r="E101" i="170"/>
  <c r="P319" i="165"/>
  <c r="P318" i="165" s="1"/>
  <c r="P317" i="165" s="1"/>
  <c r="E318" i="165"/>
  <c r="E317" i="165" s="1"/>
  <c r="C53" i="172" l="1"/>
  <c r="C52" i="172" s="1"/>
  <c r="C51" i="172"/>
  <c r="C50" i="172" s="1"/>
  <c r="F52" i="172"/>
  <c r="E52" i="172"/>
  <c r="F50" i="172"/>
  <c r="E50" i="172"/>
  <c r="D50" i="172"/>
  <c r="D23" i="172"/>
  <c r="F21" i="172"/>
  <c r="E21" i="172"/>
  <c r="F23" i="172"/>
  <c r="E23" i="172"/>
  <c r="F20" i="172" l="1"/>
  <c r="E49" i="172"/>
  <c r="D20" i="172"/>
  <c r="C22" i="172"/>
  <c r="C21" i="172" s="1"/>
  <c r="C20" i="172" s="1"/>
  <c r="F49" i="172"/>
  <c r="D52" i="172"/>
  <c r="D49" i="172" s="1"/>
  <c r="C49" i="172"/>
  <c r="E20" i="172"/>
  <c r="C24" i="172"/>
  <c r="C23" i="172" s="1"/>
  <c r="J114" i="184"/>
  <c r="J116" i="184"/>
  <c r="J103" i="184"/>
  <c r="I103" i="184" s="1"/>
  <c r="H105" i="184"/>
  <c r="J105" i="184"/>
  <c r="I105" i="184" s="1"/>
  <c r="G304" i="167"/>
  <c r="J98" i="167"/>
  <c r="F86" i="165"/>
  <c r="G86" i="165"/>
  <c r="H86" i="165"/>
  <c r="I86" i="165"/>
  <c r="L86" i="165"/>
  <c r="M86" i="165"/>
  <c r="N86" i="165"/>
  <c r="E88" i="165"/>
  <c r="O87" i="165"/>
  <c r="E87" i="165"/>
  <c r="I23" i="184"/>
  <c r="K23" i="184" l="1"/>
  <c r="K22" i="184"/>
  <c r="O86" i="165"/>
  <c r="H98" i="167"/>
  <c r="K86" i="165"/>
  <c r="E86" i="165"/>
  <c r="H97" i="167"/>
  <c r="J87" i="165"/>
  <c r="J88" i="165"/>
  <c r="J97" i="167"/>
  <c r="P87" i="165" l="1"/>
  <c r="P88" i="165"/>
  <c r="J86" i="165"/>
  <c r="I98" i="167"/>
  <c r="G98" i="167" s="1"/>
  <c r="I97" i="167"/>
  <c r="G97" i="167" s="1"/>
  <c r="K40" i="184"/>
  <c r="G227" i="167"/>
  <c r="J97" i="184"/>
  <c r="J95" i="184"/>
  <c r="J94" i="184"/>
  <c r="J93" i="184"/>
  <c r="H76" i="184"/>
  <c r="J76" i="184"/>
  <c r="J74" i="184"/>
  <c r="J70" i="184"/>
  <c r="P86" i="165" l="1"/>
  <c r="G270" i="167"/>
  <c r="G269" i="167"/>
  <c r="E215" i="165" l="1"/>
  <c r="G258" i="167" l="1"/>
  <c r="J319" i="167" l="1"/>
  <c r="G291" i="167"/>
  <c r="G57" i="167"/>
  <c r="K217" i="165" l="1"/>
  <c r="G37" i="167" l="1"/>
  <c r="J229" i="167" l="1"/>
  <c r="I229" i="167"/>
  <c r="H229" i="167"/>
  <c r="F267" i="165"/>
  <c r="G237" i="167" l="1"/>
  <c r="E55" i="172"/>
  <c r="J35" i="184"/>
  <c r="J153" i="167" l="1"/>
  <c r="G154" i="167"/>
  <c r="H362" i="167"/>
  <c r="J362" i="167"/>
  <c r="J358" i="167" s="1"/>
  <c r="I362" i="167"/>
  <c r="K97" i="184"/>
  <c r="K96" i="184"/>
  <c r="K95" i="184"/>
  <c r="K94" i="184"/>
  <c r="K93" i="184"/>
  <c r="J92" i="184"/>
  <c r="J79" i="184"/>
  <c r="J78" i="184"/>
  <c r="J77" i="184"/>
  <c r="I57" i="184"/>
  <c r="K57" i="184" s="1"/>
  <c r="G278" i="167"/>
  <c r="O295" i="165"/>
  <c r="E295" i="165"/>
  <c r="N292" i="165"/>
  <c r="M292" i="165"/>
  <c r="L292" i="165"/>
  <c r="K292" i="165"/>
  <c r="I292" i="165"/>
  <c r="H292" i="165"/>
  <c r="G292" i="165"/>
  <c r="F292" i="165"/>
  <c r="G243" i="167"/>
  <c r="G233" i="167"/>
  <c r="J230" i="167"/>
  <c r="G229" i="167"/>
  <c r="I70" i="184"/>
  <c r="K70" i="184" s="1"/>
  <c r="G52" i="167"/>
  <c r="D90" i="170"/>
  <c r="G27" i="167"/>
  <c r="M32" i="167"/>
  <c r="G32" i="167"/>
  <c r="O30" i="165"/>
  <c r="E30" i="165"/>
  <c r="J295" i="165" l="1"/>
  <c r="H256" i="167"/>
  <c r="G256" i="167" s="1"/>
  <c r="K32" i="167"/>
  <c r="J30" i="165"/>
  <c r="G362" i="167"/>
  <c r="P295" i="165" l="1"/>
  <c r="P30" i="165"/>
  <c r="L32" i="167"/>
  <c r="G21" i="167"/>
  <c r="J96" i="167" l="1"/>
  <c r="J95" i="167"/>
  <c r="C151" i="188" l="1"/>
  <c r="D117" i="188"/>
  <c r="C110" i="188"/>
  <c r="F107" i="188"/>
  <c r="E107" i="188"/>
  <c r="C117" i="188" l="1"/>
  <c r="G303" i="167" l="1"/>
  <c r="G298" i="167"/>
  <c r="J119" i="184"/>
  <c r="H107" i="184"/>
  <c r="H106" i="184"/>
  <c r="J115" i="184"/>
  <c r="J104" i="184"/>
  <c r="J107" i="184"/>
  <c r="I107" i="184" s="1"/>
  <c r="J106" i="184"/>
  <c r="I106" i="184" s="1"/>
  <c r="G299" i="167" l="1"/>
  <c r="N83" i="165" l="1"/>
  <c r="M83" i="165"/>
  <c r="L83" i="165"/>
  <c r="K83" i="165"/>
  <c r="I83" i="165"/>
  <c r="H83" i="165"/>
  <c r="G83" i="165"/>
  <c r="F83" i="165"/>
  <c r="O85" i="165"/>
  <c r="E85" i="165"/>
  <c r="O84" i="165"/>
  <c r="E84" i="165"/>
  <c r="H96" i="167" l="1"/>
  <c r="H95" i="167"/>
  <c r="E83" i="165"/>
  <c r="J85" i="165"/>
  <c r="J84" i="165"/>
  <c r="O83" i="165"/>
  <c r="P85" i="165" l="1"/>
  <c r="P84" i="165"/>
  <c r="J83" i="165"/>
  <c r="I95" i="167"/>
  <c r="G95" i="167" s="1"/>
  <c r="I96" i="167"/>
  <c r="G96" i="167" s="1"/>
  <c r="J326" i="167"/>
  <c r="J185" i="167"/>
  <c r="G203" i="167"/>
  <c r="G186" i="167"/>
  <c r="G181" i="167"/>
  <c r="J180" i="167"/>
  <c r="G152" i="167"/>
  <c r="G167" i="167"/>
  <c r="J117" i="167"/>
  <c r="G118" i="167"/>
  <c r="G114" i="167"/>
  <c r="P83" i="165" l="1"/>
  <c r="D84" i="170"/>
  <c r="J151" i="167"/>
  <c r="J202" i="167"/>
  <c r="D91" i="170" l="1"/>
  <c r="G65" i="167"/>
  <c r="J113" i="167" l="1"/>
  <c r="J211" i="167"/>
  <c r="O239" i="165"/>
  <c r="E239" i="165"/>
  <c r="N238" i="165"/>
  <c r="M238" i="165"/>
  <c r="L238" i="165"/>
  <c r="K238" i="165"/>
  <c r="I238" i="165"/>
  <c r="H238" i="165"/>
  <c r="G238" i="165"/>
  <c r="F238" i="165"/>
  <c r="O238" i="165" l="1"/>
  <c r="J239" i="165"/>
  <c r="H211" i="167"/>
  <c r="E238" i="165"/>
  <c r="J160" i="184"/>
  <c r="J133" i="197"/>
  <c r="I160" i="184"/>
  <c r="I133" i="197"/>
  <c r="H160" i="184"/>
  <c r="H133" i="197"/>
  <c r="G160" i="184"/>
  <c r="G142" i="108"/>
  <c r="G133" i="197"/>
  <c r="C150" i="188"/>
  <c r="D139" i="184"/>
  <c r="D121" i="108"/>
  <c r="D112" i="197"/>
  <c r="J88" i="184"/>
  <c r="I88" i="184" s="1"/>
  <c r="P239" i="165" l="1"/>
  <c r="J238" i="165"/>
  <c r="I211" i="167"/>
  <c r="G211" i="167" s="1"/>
  <c r="P238" i="165" l="1"/>
  <c r="O26" i="107"/>
  <c r="N26" i="107"/>
  <c r="M26" i="107"/>
  <c r="Q26" i="107" s="1"/>
  <c r="L25" i="107"/>
  <c r="K25" i="107"/>
  <c r="J25" i="107"/>
  <c r="I23" i="107"/>
  <c r="I22" i="107" s="1"/>
  <c r="I21" i="107" s="1"/>
  <c r="H25" i="107"/>
  <c r="G25" i="107"/>
  <c r="P25" i="107"/>
  <c r="P24" i="107" s="1"/>
  <c r="F23" i="107"/>
  <c r="F22" i="107" s="1"/>
  <c r="F21" i="107" s="1"/>
  <c r="F20" i="107" s="1"/>
  <c r="L24" i="107" l="1"/>
  <c r="L23" i="107" s="1"/>
  <c r="L22" i="107" s="1"/>
  <c r="L21" i="107" s="1"/>
  <c r="L20" i="107" s="1"/>
  <c r="J24" i="107"/>
  <c r="J23" i="107" s="1"/>
  <c r="J22" i="107" s="1"/>
  <c r="J21" i="107" s="1"/>
  <c r="J20" i="107" s="1"/>
  <c r="G24" i="107"/>
  <c r="G23" i="107" s="1"/>
  <c r="G22" i="107" s="1"/>
  <c r="G21" i="107" s="1"/>
  <c r="G20" i="107" s="1"/>
  <c r="H24" i="107"/>
  <c r="H23" i="107" s="1"/>
  <c r="H22" i="107" s="1"/>
  <c r="H21" i="107" s="1"/>
  <c r="H20" i="107" s="1"/>
  <c r="K24" i="107"/>
  <c r="K23" i="107" s="1"/>
  <c r="K22" i="107" s="1"/>
  <c r="K21" i="107" s="1"/>
  <c r="K20" i="107" s="1"/>
  <c r="M25" i="107"/>
  <c r="Q25" i="107" s="1"/>
  <c r="N25" i="107"/>
  <c r="P23" i="107"/>
  <c r="P22" i="107" s="1"/>
  <c r="P21" i="107" s="1"/>
  <c r="P20" i="107" s="1"/>
  <c r="O25" i="107"/>
  <c r="J280" i="167"/>
  <c r="I280" i="167"/>
  <c r="J275" i="167"/>
  <c r="I275" i="167"/>
  <c r="O24" i="107" l="1"/>
  <c r="O23" i="107" s="1"/>
  <c r="O22" i="107" s="1"/>
  <c r="O21" i="107" s="1"/>
  <c r="O20" i="107" s="1"/>
  <c r="Q24" i="107"/>
  <c r="Q23" i="107" s="1"/>
  <c r="Q22" i="107" s="1"/>
  <c r="Q21" i="107" s="1"/>
  <c r="Q20" i="107" s="1"/>
  <c r="N24" i="107"/>
  <c r="N23" i="107" s="1"/>
  <c r="N22" i="107" s="1"/>
  <c r="N21" i="107" s="1"/>
  <c r="N20" i="107" s="1"/>
  <c r="M24" i="107"/>
  <c r="M23" i="107" s="1"/>
  <c r="M22" i="107" s="1"/>
  <c r="M21" i="107" s="1"/>
  <c r="M20" i="107" s="1"/>
  <c r="M279" i="167"/>
  <c r="I20" i="107"/>
  <c r="G268" i="167"/>
  <c r="J158" i="167" l="1"/>
  <c r="M158" i="167" s="1"/>
  <c r="G160" i="167"/>
  <c r="G171" i="167" l="1"/>
  <c r="I119" i="184" l="1"/>
  <c r="I117" i="184"/>
  <c r="I115" i="184"/>
  <c r="L119" i="184"/>
  <c r="L117" i="184"/>
  <c r="L115" i="184"/>
  <c r="L107" i="184"/>
  <c r="L106" i="184"/>
  <c r="K107" i="184" l="1"/>
  <c r="K106" i="184"/>
  <c r="L105" i="184" l="1"/>
  <c r="L114" i="184"/>
  <c r="I114" i="184"/>
  <c r="D16" i="170" l="1"/>
  <c r="D115" i="188"/>
  <c r="C116" i="188"/>
  <c r="C115" i="188" l="1"/>
  <c r="I92" i="184"/>
  <c r="K92" i="184" s="1"/>
  <c r="I91" i="184"/>
  <c r="G170" i="167"/>
  <c r="J217" i="167" l="1"/>
  <c r="O252" i="165"/>
  <c r="E252" i="165"/>
  <c r="N251" i="165"/>
  <c r="M251" i="165"/>
  <c r="L251" i="165"/>
  <c r="K251" i="165"/>
  <c r="I251" i="165"/>
  <c r="H251" i="165"/>
  <c r="G251" i="165"/>
  <c r="F251" i="165"/>
  <c r="K250" i="165"/>
  <c r="G327" i="167"/>
  <c r="O372" i="165"/>
  <c r="E372" i="165"/>
  <c r="N371" i="165"/>
  <c r="M371" i="165"/>
  <c r="L371" i="165"/>
  <c r="K371" i="165"/>
  <c r="I371" i="165"/>
  <c r="H371" i="165"/>
  <c r="G371" i="165"/>
  <c r="F371" i="165"/>
  <c r="H217" i="167" l="1"/>
  <c r="J252" i="165"/>
  <c r="E82" i="170"/>
  <c r="E371" i="165"/>
  <c r="O371" i="165"/>
  <c r="J372" i="165"/>
  <c r="G55" i="167"/>
  <c r="P252" i="165" l="1"/>
  <c r="J371" i="165"/>
  <c r="I217" i="167"/>
  <c r="G217" i="167" s="1"/>
  <c r="P372" i="165"/>
  <c r="P371" i="165" l="1"/>
  <c r="G271" i="167" l="1"/>
  <c r="G280" i="167"/>
  <c r="G279" i="167"/>
  <c r="G277" i="167"/>
  <c r="G276" i="167"/>
  <c r="G275" i="167"/>
  <c r="G255" i="167"/>
  <c r="G274" i="167"/>
  <c r="G273" i="167"/>
  <c r="G272" i="167"/>
  <c r="I68" i="184"/>
  <c r="K68" i="184" s="1"/>
  <c r="I72" i="184"/>
  <c r="K88" i="184"/>
  <c r="I87" i="184"/>
  <c r="K87" i="184" s="1"/>
  <c r="I86" i="184"/>
  <c r="K86" i="184" s="1"/>
  <c r="J81" i="184"/>
  <c r="J80" i="184"/>
  <c r="M225" i="167"/>
  <c r="G53" i="167"/>
  <c r="I74" i="184" l="1"/>
  <c r="K72" i="184"/>
  <c r="J175" i="167" l="1"/>
  <c r="E196" i="165"/>
  <c r="H175" i="167" l="1"/>
  <c r="M166" i="167"/>
  <c r="O196" i="165"/>
  <c r="J196" i="165" l="1"/>
  <c r="M324" i="167"/>
  <c r="I175" i="167" l="1"/>
  <c r="G175" i="167" s="1"/>
  <c r="P196" i="165"/>
  <c r="J189" i="167"/>
  <c r="J350" i="167" l="1"/>
  <c r="F20" i="197"/>
  <c r="K161" i="197" l="1"/>
  <c r="D98" i="170" l="1"/>
  <c r="D105" i="170" s="1"/>
  <c r="O402" i="165"/>
  <c r="J330" i="167"/>
  <c r="O376" i="165"/>
  <c r="E376" i="165"/>
  <c r="J342" i="167"/>
  <c r="O389" i="165"/>
  <c r="E389" i="165"/>
  <c r="N388" i="165"/>
  <c r="M388" i="165"/>
  <c r="L388" i="165"/>
  <c r="K388" i="165"/>
  <c r="I388" i="165"/>
  <c r="H388" i="165"/>
  <c r="G388" i="165"/>
  <c r="F388" i="165"/>
  <c r="N387" i="165"/>
  <c r="J338" i="167"/>
  <c r="O384" i="165"/>
  <c r="E384" i="165"/>
  <c r="O375" i="165" l="1"/>
  <c r="E375" i="165"/>
  <c r="M387" i="165"/>
  <c r="L387" i="165"/>
  <c r="F387" i="165"/>
  <c r="G387" i="165"/>
  <c r="H387" i="165"/>
  <c r="I387" i="165"/>
  <c r="J376" i="165"/>
  <c r="H330" i="167"/>
  <c r="K387" i="165"/>
  <c r="J389" i="165"/>
  <c r="E388" i="165"/>
  <c r="J384" i="165"/>
  <c r="H338" i="167"/>
  <c r="H342" i="167"/>
  <c r="O388" i="165"/>
  <c r="J375" i="165" l="1"/>
  <c r="P376" i="165"/>
  <c r="I342" i="167"/>
  <c r="G342" i="167" s="1"/>
  <c r="P384" i="165"/>
  <c r="I330" i="167"/>
  <c r="G330" i="167" s="1"/>
  <c r="O387" i="165"/>
  <c r="J388" i="165"/>
  <c r="P389" i="165"/>
  <c r="E387" i="165"/>
  <c r="I338" i="167"/>
  <c r="G338" i="167" s="1"/>
  <c r="P375" i="165" l="1"/>
  <c r="P388" i="165"/>
  <c r="J387" i="165"/>
  <c r="P387" i="165" l="1"/>
  <c r="K119" i="184"/>
  <c r="L118" i="184"/>
  <c r="K117" i="184"/>
  <c r="K115" i="184"/>
  <c r="K114" i="184"/>
  <c r="J113" i="184"/>
  <c r="L116" i="184" l="1"/>
  <c r="I116" i="184"/>
  <c r="K116" i="184" s="1"/>
  <c r="K112" i="184"/>
  <c r="I113" i="184"/>
  <c r="K113" i="184" s="1"/>
  <c r="L113" i="184"/>
  <c r="K121" i="184"/>
  <c r="L121" i="184"/>
  <c r="L104" i="184"/>
  <c r="I104" i="184"/>
  <c r="K118" i="184"/>
  <c r="K105" i="184"/>
  <c r="K104" i="184" l="1"/>
  <c r="I81" i="184"/>
  <c r="K81" i="184" s="1"/>
  <c r="I80" i="184"/>
  <c r="K80" i="184" s="1"/>
  <c r="I79" i="184"/>
  <c r="I78" i="184"/>
  <c r="I77" i="184"/>
  <c r="I76" i="184"/>
  <c r="L49" i="184"/>
  <c r="I48" i="184"/>
  <c r="K48" i="184" s="1"/>
  <c r="I35" i="184"/>
  <c r="D85" i="170" l="1"/>
  <c r="D89" i="170"/>
  <c r="C136" i="188" l="1"/>
  <c r="D143" i="188" l="1"/>
  <c r="G110" i="167" l="1"/>
  <c r="J196" i="167" l="1"/>
  <c r="O216" i="165"/>
  <c r="E216" i="165"/>
  <c r="E265" i="165"/>
  <c r="E265" i="202" s="1"/>
  <c r="O270" i="165"/>
  <c r="E270" i="165"/>
  <c r="J314" i="167"/>
  <c r="N347" i="165"/>
  <c r="M347" i="165"/>
  <c r="L347" i="165"/>
  <c r="K347" i="165"/>
  <c r="I347" i="165"/>
  <c r="G347" i="165"/>
  <c r="F347" i="165"/>
  <c r="O350" i="165"/>
  <c r="E350" i="165"/>
  <c r="H235" i="167" l="1"/>
  <c r="K225" i="167"/>
  <c r="J216" i="165"/>
  <c r="J350" i="165"/>
  <c r="J270" i="165"/>
  <c r="H196" i="167"/>
  <c r="H314" i="167"/>
  <c r="P350" i="165" l="1"/>
  <c r="P270" i="165"/>
  <c r="I235" i="167"/>
  <c r="G235" i="167" s="1"/>
  <c r="P216" i="165"/>
  <c r="I314" i="167"/>
  <c r="G314" i="167" s="1"/>
  <c r="I196" i="167"/>
  <c r="G196" i="167" s="1"/>
  <c r="J112" i="167"/>
  <c r="O111" i="165"/>
  <c r="E111" i="165"/>
  <c r="N109" i="165"/>
  <c r="M109" i="165"/>
  <c r="L109" i="165"/>
  <c r="K109" i="165"/>
  <c r="I109" i="165"/>
  <c r="G109" i="165"/>
  <c r="F109" i="165"/>
  <c r="J129" i="167"/>
  <c r="N135" i="165"/>
  <c r="M135" i="165"/>
  <c r="L135" i="165"/>
  <c r="I135" i="165"/>
  <c r="H135" i="165"/>
  <c r="G135" i="165"/>
  <c r="F135" i="165"/>
  <c r="O136" i="165"/>
  <c r="E136" i="165"/>
  <c r="H109" i="165" l="1"/>
  <c r="H112" i="167"/>
  <c r="J111" i="165"/>
  <c r="J136" i="165"/>
  <c r="K135" i="165"/>
  <c r="O135" i="165"/>
  <c r="E135" i="165"/>
  <c r="H129" i="167"/>
  <c r="I112" i="167" l="1"/>
  <c r="G112" i="167" s="1"/>
  <c r="I129" i="167"/>
  <c r="G129" i="167" s="1"/>
  <c r="J135" i="165"/>
  <c r="P111" i="165"/>
  <c r="P136" i="165"/>
  <c r="G78" i="167"/>
  <c r="G75" i="167"/>
  <c r="G66" i="167"/>
  <c r="G62" i="167"/>
  <c r="P135" i="165" l="1"/>
  <c r="M104" i="167"/>
  <c r="G103" i="167"/>
  <c r="G22" i="167"/>
  <c r="F51" i="165" l="1"/>
  <c r="F51" i="202" s="1"/>
  <c r="G349" i="167" l="1"/>
  <c r="O401" i="165" l="1"/>
  <c r="N401" i="165"/>
  <c r="M401" i="165"/>
  <c r="L401" i="165"/>
  <c r="K401" i="165"/>
  <c r="I401" i="165"/>
  <c r="H401" i="165"/>
  <c r="G401" i="165"/>
  <c r="F401" i="165"/>
  <c r="E402" i="165"/>
  <c r="E83" i="170" l="1"/>
  <c r="E401" i="165"/>
  <c r="H350" i="167"/>
  <c r="J402" i="165"/>
  <c r="I350" i="167" s="1"/>
  <c r="I345" i="167" l="1"/>
  <c r="E97" i="170"/>
  <c r="J401" i="165"/>
  <c r="P402" i="165"/>
  <c r="D21" i="108"/>
  <c r="G350" i="167" l="1"/>
  <c r="P401" i="165"/>
  <c r="E96" i="170"/>
  <c r="H347" i="165"/>
  <c r="J294" i="167"/>
  <c r="O327" i="165"/>
  <c r="E327" i="165"/>
  <c r="N326" i="165"/>
  <c r="M326" i="165"/>
  <c r="L326" i="165"/>
  <c r="K326" i="165"/>
  <c r="I326" i="165"/>
  <c r="H326" i="165"/>
  <c r="G326" i="165"/>
  <c r="G325" i="167"/>
  <c r="H294" i="167" l="1"/>
  <c r="J327" i="165"/>
  <c r="O326" i="165"/>
  <c r="E326" i="165"/>
  <c r="F326" i="165"/>
  <c r="P327" i="165" l="1"/>
  <c r="J326" i="165"/>
  <c r="I294" i="167"/>
  <c r="G294" i="167" s="1"/>
  <c r="K117" i="165"/>
  <c r="F117" i="165"/>
  <c r="P326" i="165" l="1"/>
  <c r="J102" i="167"/>
  <c r="N92" i="165"/>
  <c r="M92" i="165"/>
  <c r="L92" i="165"/>
  <c r="K92" i="165"/>
  <c r="I92" i="165"/>
  <c r="H92" i="165"/>
  <c r="G92" i="165"/>
  <c r="F92" i="165"/>
  <c r="O94" i="165"/>
  <c r="E94" i="165"/>
  <c r="H102" i="167" l="1"/>
  <c r="J94" i="165"/>
  <c r="P94" i="165" l="1"/>
  <c r="I102" i="167"/>
  <c r="G102" i="167" s="1"/>
  <c r="J247" i="167"/>
  <c r="O284" i="165"/>
  <c r="J284" i="165" s="1"/>
  <c r="J283" i="165" s="1"/>
  <c r="J281" i="165" s="1"/>
  <c r="E284" i="165"/>
  <c r="H247" i="167" s="1"/>
  <c r="N283" i="165"/>
  <c r="M283" i="165"/>
  <c r="L283" i="165"/>
  <c r="K283" i="165"/>
  <c r="K281" i="165" s="1"/>
  <c r="I283" i="165"/>
  <c r="H283" i="165"/>
  <c r="G283" i="165"/>
  <c r="F283" i="165"/>
  <c r="D33" i="108"/>
  <c r="J280" i="165" l="1"/>
  <c r="K280" i="165"/>
  <c r="F281" i="165"/>
  <c r="G281" i="165"/>
  <c r="L281" i="165"/>
  <c r="H281" i="165"/>
  <c r="M281" i="165"/>
  <c r="I281" i="165"/>
  <c r="N281" i="165"/>
  <c r="I247" i="167"/>
  <c r="G247" i="167" s="1"/>
  <c r="P284" i="165"/>
  <c r="P283" i="165" s="1"/>
  <c r="P281" i="165" s="1"/>
  <c r="E283" i="165"/>
  <c r="E281" i="165" s="1"/>
  <c r="O283" i="165"/>
  <c r="O281" i="165" s="1"/>
  <c r="I53" i="184"/>
  <c r="H53" i="184"/>
  <c r="O280" i="165" l="1"/>
  <c r="H280" i="165"/>
  <c r="E280" i="165"/>
  <c r="I280" i="165"/>
  <c r="L280" i="165"/>
  <c r="N280" i="165"/>
  <c r="G280" i="165"/>
  <c r="P280" i="165"/>
  <c r="M280" i="165"/>
  <c r="F280" i="165"/>
  <c r="O278" i="165"/>
  <c r="G25" i="167" l="1"/>
  <c r="M40" i="167" l="1"/>
  <c r="G41" i="167" l="1"/>
  <c r="J29" i="184"/>
  <c r="J44" i="184" l="1"/>
  <c r="J106" i="167" l="1"/>
  <c r="N102" i="165"/>
  <c r="M102" i="165"/>
  <c r="L102" i="165"/>
  <c r="K102" i="165"/>
  <c r="I102" i="165"/>
  <c r="H102" i="165"/>
  <c r="G102" i="165"/>
  <c r="F102" i="165"/>
  <c r="O103" i="165"/>
  <c r="E103" i="165"/>
  <c r="N101" i="165" l="1"/>
  <c r="G101" i="165"/>
  <c r="K101" i="165"/>
  <c r="L101" i="165"/>
  <c r="F101" i="165"/>
  <c r="E102" i="165"/>
  <c r="H101" i="165"/>
  <c r="O102" i="165"/>
  <c r="I101" i="165"/>
  <c r="M101" i="165"/>
  <c r="H106" i="167"/>
  <c r="J103" i="165"/>
  <c r="E101" i="165" l="1"/>
  <c r="O101" i="165"/>
  <c r="J102" i="165"/>
  <c r="I106" i="167"/>
  <c r="G106" i="167" s="1"/>
  <c r="P103" i="165"/>
  <c r="P102" i="165" l="1"/>
  <c r="J101" i="165"/>
  <c r="N369" i="165"/>
  <c r="M369" i="165"/>
  <c r="L369" i="165"/>
  <c r="K369" i="165"/>
  <c r="I369" i="165"/>
  <c r="H369" i="165"/>
  <c r="G369" i="165"/>
  <c r="F369" i="165"/>
  <c r="O370" i="165"/>
  <c r="E370" i="165"/>
  <c r="H326" i="167" l="1"/>
  <c r="J370" i="165"/>
  <c r="L368" i="165"/>
  <c r="I368" i="165"/>
  <c r="N368" i="165"/>
  <c r="F368" i="165"/>
  <c r="K368" i="165"/>
  <c r="G368" i="165"/>
  <c r="E369" i="165"/>
  <c r="H368" i="165"/>
  <c r="M368" i="165"/>
  <c r="P101" i="165"/>
  <c r="O369" i="165"/>
  <c r="P370" i="165"/>
  <c r="D26" i="170"/>
  <c r="C119" i="188"/>
  <c r="I326" i="167" l="1"/>
  <c r="G326" i="167" s="1"/>
  <c r="P369" i="165"/>
  <c r="O368" i="165"/>
  <c r="E368" i="165"/>
  <c r="J369" i="165"/>
  <c r="J89" i="184"/>
  <c r="J98" i="184"/>
  <c r="J90" i="184"/>
  <c r="J58" i="184"/>
  <c r="J53" i="184"/>
  <c r="J368" i="165" l="1"/>
  <c r="P368" i="165"/>
  <c r="H225" i="165"/>
  <c r="G225" i="165"/>
  <c r="F225" i="165"/>
  <c r="E159" i="165"/>
  <c r="O159" i="165"/>
  <c r="G50" i="167"/>
  <c r="G318" i="167"/>
  <c r="F37" i="165"/>
  <c r="F37" i="202" s="1"/>
  <c r="N37" i="165"/>
  <c r="M37" i="165"/>
  <c r="L37" i="165"/>
  <c r="K37" i="165"/>
  <c r="K37" i="202" s="1"/>
  <c r="I37" i="165"/>
  <c r="H37" i="165"/>
  <c r="G37" i="165"/>
  <c r="O38" i="165"/>
  <c r="O38" i="202" s="1"/>
  <c r="E38" i="165"/>
  <c r="E38" i="202" s="1"/>
  <c r="K37" i="167" l="1"/>
  <c r="H153" i="167"/>
  <c r="J159" i="165"/>
  <c r="J38" i="165"/>
  <c r="J38" i="202" s="1"/>
  <c r="G39" i="167"/>
  <c r="L37" i="167" l="1"/>
  <c r="I153" i="167"/>
  <c r="G153" i="167" s="1"/>
  <c r="P38" i="165"/>
  <c r="P38" i="202" s="1"/>
  <c r="P159" i="165"/>
  <c r="D37" i="188" l="1"/>
  <c r="C39" i="188"/>
  <c r="D55" i="172" l="1"/>
  <c r="G355" i="167" l="1"/>
  <c r="F426" i="165" l="1"/>
  <c r="N418" i="165"/>
  <c r="M418" i="165"/>
  <c r="L418" i="165"/>
  <c r="K418" i="165"/>
  <c r="I418" i="165"/>
  <c r="H418" i="165"/>
  <c r="G418" i="165"/>
  <c r="F418" i="165"/>
  <c r="O419" i="165"/>
  <c r="E419" i="165"/>
  <c r="G417" i="165" l="1"/>
  <c r="H417" i="165"/>
  <c r="M417" i="165"/>
  <c r="E418" i="165"/>
  <c r="I417" i="165"/>
  <c r="N417" i="165"/>
  <c r="J419" i="165"/>
  <c r="F417" i="165"/>
  <c r="K417" i="165"/>
  <c r="L417" i="165"/>
  <c r="O418" i="165"/>
  <c r="O417" i="165" l="1"/>
  <c r="J418" i="165"/>
  <c r="E417" i="165"/>
  <c r="P419" i="165"/>
  <c r="P418" i="165" l="1"/>
  <c r="J417" i="165"/>
  <c r="J163" i="167"/>
  <c r="O183" i="165"/>
  <c r="E183" i="165"/>
  <c r="J126" i="167"/>
  <c r="F127" i="165"/>
  <c r="G127" i="165"/>
  <c r="H127" i="165"/>
  <c r="I127" i="165"/>
  <c r="K127" i="165"/>
  <c r="L127" i="165"/>
  <c r="M127" i="165"/>
  <c r="N127" i="165"/>
  <c r="O128" i="165"/>
  <c r="E128" i="165"/>
  <c r="H163" i="167" l="1"/>
  <c r="E127" i="165"/>
  <c r="J183" i="165"/>
  <c r="J128" i="165"/>
  <c r="P417" i="165"/>
  <c r="H126" i="167"/>
  <c r="O127" i="165"/>
  <c r="P128" i="165" l="1"/>
  <c r="P183" i="165"/>
  <c r="J127" i="165"/>
  <c r="I126" i="167"/>
  <c r="G126" i="167" s="1"/>
  <c r="I163" i="167"/>
  <c r="G163" i="167" s="1"/>
  <c r="P127" i="165" l="1"/>
  <c r="O208" i="165"/>
  <c r="E208" i="165"/>
  <c r="H189" i="167" l="1"/>
  <c r="J208" i="165"/>
  <c r="P208" i="165" l="1"/>
  <c r="I189" i="167"/>
  <c r="G189" i="167" s="1"/>
  <c r="G309" i="167"/>
  <c r="G308" i="167"/>
  <c r="G305" i="167"/>
  <c r="N341" i="165" l="1"/>
  <c r="M341" i="165"/>
  <c r="L341" i="165"/>
  <c r="K341" i="165"/>
  <c r="I341" i="165"/>
  <c r="H341" i="165"/>
  <c r="G341" i="165"/>
  <c r="F341" i="165"/>
  <c r="O344" i="165"/>
  <c r="E344" i="165"/>
  <c r="O365" i="165"/>
  <c r="E365" i="165"/>
  <c r="J365" i="165" l="1"/>
  <c r="J344" i="165"/>
  <c r="P344" i="165" s="1"/>
  <c r="G284" i="167"/>
  <c r="P365" i="165" l="1"/>
  <c r="O39" i="165" l="1"/>
  <c r="O39" i="202" s="1"/>
  <c r="E39" i="165"/>
  <c r="E39" i="202" s="1"/>
  <c r="N308" i="165"/>
  <c r="M308" i="165"/>
  <c r="L308" i="165"/>
  <c r="K308" i="165"/>
  <c r="I308" i="165"/>
  <c r="H308" i="165"/>
  <c r="G308" i="165"/>
  <c r="F308" i="165"/>
  <c r="O311" i="165"/>
  <c r="E311" i="165"/>
  <c r="J127" i="167"/>
  <c r="K36" i="184"/>
  <c r="O37" i="165" l="1"/>
  <c r="O37" i="202" s="1"/>
  <c r="E37" i="165"/>
  <c r="E37" i="202" s="1"/>
  <c r="K40" i="167"/>
  <c r="J311" i="165"/>
  <c r="I305" i="165"/>
  <c r="N305" i="165"/>
  <c r="F305" i="165"/>
  <c r="K305" i="165"/>
  <c r="O308" i="165"/>
  <c r="M305" i="165"/>
  <c r="E308" i="165"/>
  <c r="G305" i="165"/>
  <c r="L305" i="165"/>
  <c r="H305" i="165"/>
  <c r="J39" i="165"/>
  <c r="J39" i="202" s="1"/>
  <c r="L40" i="167" l="1"/>
  <c r="P311" i="165"/>
  <c r="P39" i="165"/>
  <c r="P39" i="202" s="1"/>
  <c r="J37" i="165"/>
  <c r="J37" i="202" s="1"/>
  <c r="G40" i="167"/>
  <c r="N131" i="165"/>
  <c r="M131" i="165"/>
  <c r="L131" i="165"/>
  <c r="K131" i="165"/>
  <c r="I131" i="165"/>
  <c r="H131" i="165"/>
  <c r="G131" i="165"/>
  <c r="F131" i="165"/>
  <c r="O132" i="165"/>
  <c r="E132" i="165"/>
  <c r="O131" i="165" l="1"/>
  <c r="E131" i="165"/>
  <c r="P37" i="165"/>
  <c r="P37" i="202" s="1"/>
  <c r="J132" i="165"/>
  <c r="H127" i="167"/>
  <c r="F55" i="172"/>
  <c r="P132" i="165" l="1"/>
  <c r="J131" i="165"/>
  <c r="I127" i="167"/>
  <c r="P131" i="165" l="1"/>
  <c r="G127" i="167"/>
  <c r="K45" i="165"/>
  <c r="G226" i="167" l="1"/>
  <c r="N366" i="165" l="1"/>
  <c r="M366" i="165"/>
  <c r="L366" i="165"/>
  <c r="K366" i="165"/>
  <c r="I366" i="165"/>
  <c r="H366" i="165"/>
  <c r="G366" i="165"/>
  <c r="F366" i="165"/>
  <c r="I62" i="184" l="1"/>
  <c r="K62" i="184" l="1"/>
  <c r="C53" i="188" l="1"/>
  <c r="D52" i="188"/>
  <c r="C52" i="188" l="1"/>
  <c r="D41" i="188"/>
  <c r="E111" i="188"/>
  <c r="D103" i="188"/>
  <c r="E61" i="188" l="1"/>
  <c r="H43" i="184" l="1"/>
  <c r="G339" i="167"/>
  <c r="M341" i="167"/>
  <c r="O411" i="165"/>
  <c r="C46" i="172"/>
  <c r="C47" i="172"/>
  <c r="P432" i="165" l="1"/>
  <c r="P432" i="202"/>
  <c r="P431" i="201"/>
  <c r="P440" i="201" s="1"/>
  <c r="O426" i="165"/>
  <c r="E426" i="165"/>
  <c r="N425" i="165"/>
  <c r="N424" i="165" s="1"/>
  <c r="M425" i="165"/>
  <c r="L425" i="165"/>
  <c r="K425" i="165"/>
  <c r="I425" i="165"/>
  <c r="H425" i="165"/>
  <c r="G425" i="165"/>
  <c r="F425" i="165"/>
  <c r="F13" i="107"/>
  <c r="H13" i="107"/>
  <c r="J13" i="107"/>
  <c r="K13" i="107"/>
  <c r="L13" i="107"/>
  <c r="H424" i="165" l="1"/>
  <c r="O227" i="165"/>
  <c r="I424" i="165"/>
  <c r="F424" i="165"/>
  <c r="K424" i="165"/>
  <c r="E425" i="165"/>
  <c r="M424" i="165"/>
  <c r="G424" i="165"/>
  <c r="L424" i="165"/>
  <c r="J426" i="165"/>
  <c r="O425" i="165"/>
  <c r="E424" i="165" l="1"/>
  <c r="O424" i="165"/>
  <c r="J425" i="165"/>
  <c r="P426" i="165"/>
  <c r="P425" i="165" l="1"/>
  <c r="J424" i="165"/>
  <c r="J52" i="184"/>
  <c r="I52" i="184"/>
  <c r="H52" i="184"/>
  <c r="K54" i="184"/>
  <c r="P424" i="165" l="1"/>
  <c r="G20" i="167"/>
  <c r="O304" i="165"/>
  <c r="J262" i="167" l="1"/>
  <c r="F291" i="165"/>
  <c r="O298" i="165"/>
  <c r="E298" i="165"/>
  <c r="O273" i="165"/>
  <c r="E273" i="165"/>
  <c r="N272" i="165"/>
  <c r="M272" i="165"/>
  <c r="L272" i="165"/>
  <c r="K272" i="165"/>
  <c r="I272" i="165"/>
  <c r="H272" i="165"/>
  <c r="G272" i="165"/>
  <c r="F272" i="165"/>
  <c r="H238" i="167" l="1"/>
  <c r="E272" i="165"/>
  <c r="J298" i="165"/>
  <c r="J273" i="165"/>
  <c r="H262" i="167"/>
  <c r="O272" i="165"/>
  <c r="O342" i="165"/>
  <c r="J262" i="165"/>
  <c r="E262" i="165"/>
  <c r="N259" i="165"/>
  <c r="M259" i="165"/>
  <c r="L259" i="165"/>
  <c r="K259" i="165"/>
  <c r="I259" i="165"/>
  <c r="G259" i="165"/>
  <c r="F259" i="165"/>
  <c r="K59" i="184"/>
  <c r="K60" i="184"/>
  <c r="K61" i="184"/>
  <c r="K89" i="184"/>
  <c r="K90" i="184"/>
  <c r="K98" i="184"/>
  <c r="I67" i="184"/>
  <c r="I238" i="167" l="1"/>
  <c r="G238" i="167" s="1"/>
  <c r="J342" i="165"/>
  <c r="O341" i="165"/>
  <c r="J272" i="165"/>
  <c r="P298" i="165"/>
  <c r="P273" i="165"/>
  <c r="I262" i="167"/>
  <c r="G262" i="167" s="1"/>
  <c r="K58" i="184"/>
  <c r="P262" i="165"/>
  <c r="K67" i="184"/>
  <c r="H42" i="184"/>
  <c r="I44" i="184"/>
  <c r="K44" i="184" s="1"/>
  <c r="I55" i="184"/>
  <c r="H55" i="184"/>
  <c r="H46" i="184"/>
  <c r="H30" i="184"/>
  <c r="H19" i="184"/>
  <c r="J341" i="165" l="1"/>
  <c r="P272" i="165"/>
  <c r="I43" i="184"/>
  <c r="J71" i="167" l="1"/>
  <c r="J19" i="184" l="1"/>
  <c r="I29" i="184"/>
  <c r="K29" i="184" s="1"/>
  <c r="O65" i="165" l="1"/>
  <c r="I19" i="184"/>
  <c r="E57" i="165" l="1"/>
  <c r="J57" i="165"/>
  <c r="K55" i="165"/>
  <c r="L55" i="165"/>
  <c r="M55" i="165"/>
  <c r="N55" i="165"/>
  <c r="I55" i="165"/>
  <c r="H55" i="165"/>
  <c r="G55" i="165"/>
  <c r="F55" i="165"/>
  <c r="N399" i="165"/>
  <c r="M399" i="165"/>
  <c r="L399" i="165"/>
  <c r="K399" i="165"/>
  <c r="I399" i="165"/>
  <c r="H399" i="165"/>
  <c r="G399" i="165"/>
  <c r="F399" i="165"/>
  <c r="E399" i="165"/>
  <c r="I71" i="167" l="1"/>
  <c r="H71" i="167"/>
  <c r="P57" i="165"/>
  <c r="G71" i="167" l="1"/>
  <c r="O399" i="165"/>
  <c r="H101" i="184"/>
  <c r="I33" i="184" l="1"/>
  <c r="O114" i="165" l="1"/>
  <c r="K33" i="184"/>
  <c r="I30" i="184"/>
  <c r="H259" i="165" l="1"/>
  <c r="J220" i="167"/>
  <c r="O256" i="165"/>
  <c r="J256" i="165" s="1"/>
  <c r="E100" i="170" s="1"/>
  <c r="E256" i="165"/>
  <c r="N255" i="165"/>
  <c r="N254" i="165" s="1"/>
  <c r="M255" i="165"/>
  <c r="M254" i="165" s="1"/>
  <c r="L255" i="165"/>
  <c r="L254" i="165" s="1"/>
  <c r="K255" i="165"/>
  <c r="K254" i="165" s="1"/>
  <c r="I255" i="165"/>
  <c r="I254" i="165" s="1"/>
  <c r="H255" i="165"/>
  <c r="H254" i="165" s="1"/>
  <c r="G255" i="165"/>
  <c r="G254" i="165" s="1"/>
  <c r="F255" i="165"/>
  <c r="F254" i="165" s="1"/>
  <c r="E255" i="165" l="1"/>
  <c r="E254" i="165" s="1"/>
  <c r="E87" i="170"/>
  <c r="H220" i="167"/>
  <c r="I220" i="167"/>
  <c r="O255" i="165"/>
  <c r="O254" i="165" s="1"/>
  <c r="J255" i="165"/>
  <c r="J254" i="165" s="1"/>
  <c r="P256" i="165"/>
  <c r="P255" i="165" s="1"/>
  <c r="P254" i="165" s="1"/>
  <c r="G220" i="167" l="1"/>
  <c r="J30" i="184"/>
  <c r="D121" i="188"/>
  <c r="D17" i="170" l="1"/>
  <c r="D25" i="170" s="1"/>
  <c r="F82" i="165" l="1"/>
  <c r="D63" i="170" l="1"/>
  <c r="J216" i="167" l="1"/>
  <c r="O250" i="165"/>
  <c r="E250" i="165"/>
  <c r="N249" i="165"/>
  <c r="M249" i="165"/>
  <c r="L249" i="165"/>
  <c r="K249" i="165"/>
  <c r="I249" i="165"/>
  <c r="H249" i="165"/>
  <c r="G249" i="165"/>
  <c r="F249" i="165"/>
  <c r="J43" i="184"/>
  <c r="H216" i="167" l="1"/>
  <c r="E249" i="165"/>
  <c r="I248" i="165"/>
  <c r="K248" i="165"/>
  <c r="M248" i="165"/>
  <c r="F248" i="165"/>
  <c r="G248" i="165"/>
  <c r="J250" i="165"/>
  <c r="L248" i="165"/>
  <c r="H248" i="165"/>
  <c r="N248" i="165"/>
  <c r="O249" i="165"/>
  <c r="O367" i="165"/>
  <c r="E367" i="165"/>
  <c r="H324" i="167" l="1"/>
  <c r="K324" i="167" s="1"/>
  <c r="E248" i="165"/>
  <c r="O366" i="165"/>
  <c r="E366" i="165"/>
  <c r="P250" i="165"/>
  <c r="O248" i="165"/>
  <c r="J249" i="165"/>
  <c r="I216" i="167"/>
  <c r="G216" i="167" s="1"/>
  <c r="J367" i="165"/>
  <c r="L324" i="167" l="1"/>
  <c r="P249" i="165"/>
  <c r="J366" i="165"/>
  <c r="P367" i="165"/>
  <c r="G322" i="167"/>
  <c r="J248" i="165"/>
  <c r="P248" i="165" l="1"/>
  <c r="G324" i="167"/>
  <c r="P366" i="165"/>
  <c r="G18" i="167"/>
  <c r="J105" i="167"/>
  <c r="N99" i="165"/>
  <c r="M99" i="165"/>
  <c r="L99" i="165"/>
  <c r="K99" i="165"/>
  <c r="I99" i="165"/>
  <c r="H99" i="165"/>
  <c r="G99" i="165"/>
  <c r="O100" i="165"/>
  <c r="F97" i="165"/>
  <c r="G97" i="165"/>
  <c r="H97" i="165"/>
  <c r="I97" i="165"/>
  <c r="K97" i="165"/>
  <c r="L97" i="165"/>
  <c r="M97" i="165"/>
  <c r="N97" i="165"/>
  <c r="O98" i="165"/>
  <c r="E98" i="165"/>
  <c r="K104" i="167" l="1"/>
  <c r="N96" i="165"/>
  <c r="K96" i="165"/>
  <c r="I96" i="165"/>
  <c r="H96" i="165"/>
  <c r="M96" i="165"/>
  <c r="G96" i="165"/>
  <c r="J100" i="165"/>
  <c r="L96" i="165"/>
  <c r="J98" i="165"/>
  <c r="F96" i="165"/>
  <c r="E100" i="165"/>
  <c r="E97" i="165"/>
  <c r="F99" i="165"/>
  <c r="O99" i="165"/>
  <c r="O97" i="165"/>
  <c r="L104" i="167" l="1"/>
  <c r="J97" i="165"/>
  <c r="P100" i="165"/>
  <c r="H105" i="167"/>
  <c r="J99" i="165"/>
  <c r="P98" i="165"/>
  <c r="G104" i="167"/>
  <c r="M95" i="165"/>
  <c r="G95" i="165"/>
  <c r="E96" i="165"/>
  <c r="E99" i="165"/>
  <c r="I105" i="167"/>
  <c r="I95" i="165"/>
  <c r="K95" i="165"/>
  <c r="F95" i="165"/>
  <c r="O96" i="165"/>
  <c r="L95" i="165"/>
  <c r="H95" i="165"/>
  <c r="N95" i="165"/>
  <c r="F143" i="188"/>
  <c r="C149" i="188"/>
  <c r="C148" i="188"/>
  <c r="D84" i="188"/>
  <c r="E95" i="165" l="1"/>
  <c r="G105" i="167"/>
  <c r="J96" i="165"/>
  <c r="P99" i="165"/>
  <c r="D57" i="188"/>
  <c r="D78" i="188"/>
  <c r="E143" i="188"/>
  <c r="O95" i="165"/>
  <c r="P97" i="165"/>
  <c r="E129" i="188" l="1"/>
  <c r="J95" i="165"/>
  <c r="P96" i="165"/>
  <c r="P95" i="165" l="1"/>
  <c r="D53" i="170" l="1"/>
  <c r="D55" i="170" s="1"/>
  <c r="D66" i="170" s="1"/>
  <c r="J173" i="167" l="1"/>
  <c r="O190" i="165"/>
  <c r="E190" i="165"/>
  <c r="N188" i="165"/>
  <c r="M188" i="165"/>
  <c r="L188" i="165"/>
  <c r="K188" i="165"/>
  <c r="I188" i="165"/>
  <c r="H188" i="165"/>
  <c r="G188" i="165"/>
  <c r="F188" i="165"/>
  <c r="J190" i="165" l="1"/>
  <c r="H173" i="167"/>
  <c r="N168" i="165"/>
  <c r="M168" i="165"/>
  <c r="L168" i="165"/>
  <c r="K168" i="165"/>
  <c r="I168" i="165"/>
  <c r="H168" i="165"/>
  <c r="G168" i="165"/>
  <c r="F168" i="165"/>
  <c r="I173" i="167" l="1"/>
  <c r="G173" i="167" s="1"/>
  <c r="P190" i="165"/>
  <c r="O180" i="165"/>
  <c r="E180" i="165"/>
  <c r="O177" i="165"/>
  <c r="E177" i="165"/>
  <c r="O173" i="165"/>
  <c r="E173" i="165"/>
  <c r="O169" i="165"/>
  <c r="E169" i="165"/>
  <c r="J173" i="165" l="1"/>
  <c r="J180" i="165"/>
  <c r="J177" i="165"/>
  <c r="E168" i="165"/>
  <c r="O168" i="165"/>
  <c r="J169" i="165"/>
  <c r="J128" i="167"/>
  <c r="P173" i="165" l="1"/>
  <c r="P180" i="165"/>
  <c r="P177" i="165"/>
  <c r="P169" i="165"/>
  <c r="J168" i="165"/>
  <c r="O134" i="165"/>
  <c r="E134" i="165"/>
  <c r="N133" i="165"/>
  <c r="M133" i="165"/>
  <c r="L133" i="165"/>
  <c r="K133" i="165"/>
  <c r="I133" i="165"/>
  <c r="H133" i="165"/>
  <c r="G133" i="165"/>
  <c r="F133" i="165"/>
  <c r="F130" i="165" l="1"/>
  <c r="K130" i="165"/>
  <c r="G130" i="165"/>
  <c r="I130" i="165"/>
  <c r="N130" i="165"/>
  <c r="L130" i="165"/>
  <c r="J134" i="165"/>
  <c r="H130" i="165"/>
  <c r="M130" i="165"/>
  <c r="P168" i="165"/>
  <c r="E133" i="165"/>
  <c r="H128" i="167"/>
  <c r="O133" i="165"/>
  <c r="P134" i="165" l="1"/>
  <c r="J133" i="165"/>
  <c r="I128" i="167"/>
  <c r="G128" i="167" s="1"/>
  <c r="O130" i="165"/>
  <c r="E130" i="165"/>
  <c r="P133" i="165" l="1"/>
  <c r="J130" i="165"/>
  <c r="P130" i="165"/>
  <c r="E129" i="165"/>
  <c r="J94" i="167"/>
  <c r="O82" i="165"/>
  <c r="E82" i="165"/>
  <c r="N80" i="165"/>
  <c r="M80" i="165"/>
  <c r="L80" i="165"/>
  <c r="I80" i="165"/>
  <c r="H80" i="165"/>
  <c r="G80" i="165"/>
  <c r="F80" i="165"/>
  <c r="C142" i="188"/>
  <c r="C133" i="188"/>
  <c r="C132" i="188"/>
  <c r="C131" i="188"/>
  <c r="C130" i="188"/>
  <c r="C134" i="188"/>
  <c r="F121" i="188"/>
  <c r="E121" i="188"/>
  <c r="C125" i="188"/>
  <c r="C123" i="188"/>
  <c r="E120" i="188" l="1"/>
  <c r="H94" i="167"/>
  <c r="J82" i="165"/>
  <c r="C144" i="188"/>
  <c r="C93" i="188"/>
  <c r="C20" i="188"/>
  <c r="C19" i="188"/>
  <c r="P82" i="165" l="1"/>
  <c r="I94" i="167"/>
  <c r="G94" i="167" s="1"/>
  <c r="C118" i="188"/>
  <c r="C137" i="188"/>
  <c r="F129" i="188"/>
  <c r="C143" i="188"/>
  <c r="F102" i="188"/>
  <c r="E102" i="188"/>
  <c r="C112" i="188"/>
  <c r="C122" i="188"/>
  <c r="C124" i="188"/>
  <c r="C126" i="188"/>
  <c r="C127" i="188"/>
  <c r="C128" i="188"/>
  <c r="C138" i="188"/>
  <c r="C140" i="188"/>
  <c r="C141" i="188"/>
  <c r="C145" i="188"/>
  <c r="C146" i="188"/>
  <c r="C147" i="188"/>
  <c r="C109" i="188"/>
  <c r="C97" i="188"/>
  <c r="C98" i="188"/>
  <c r="C99" i="188"/>
  <c r="C100" i="188"/>
  <c r="E96" i="188"/>
  <c r="D90" i="188"/>
  <c r="F90" i="188"/>
  <c r="E90" i="188"/>
  <c r="C78" i="188"/>
  <c r="D68" i="188"/>
  <c r="F15" i="188"/>
  <c r="C65" i="188"/>
  <c r="C64" i="188"/>
  <c r="C63" i="188"/>
  <c r="E62" i="188"/>
  <c r="C57" i="188"/>
  <c r="D54" i="188"/>
  <c r="C41" i="188"/>
  <c r="C56" i="188"/>
  <c r="C55" i="188"/>
  <c r="D30" i="188"/>
  <c r="D24" i="188"/>
  <c r="C25" i="188"/>
  <c r="F66" i="188" l="1"/>
  <c r="C24" i="188"/>
  <c r="D16" i="188"/>
  <c r="D40" i="188"/>
  <c r="F120" i="188"/>
  <c r="C103" i="188"/>
  <c r="C30" i="188"/>
  <c r="E95" i="188"/>
  <c r="C107" i="188"/>
  <c r="D67" i="188"/>
  <c r="D26" i="188"/>
  <c r="D102" i="188"/>
  <c r="C27" i="188"/>
  <c r="C111" i="188"/>
  <c r="C17" i="188"/>
  <c r="C96" i="188"/>
  <c r="C54" i="188"/>
  <c r="E66" i="188" l="1"/>
  <c r="F114" i="188"/>
  <c r="C67" i="188"/>
  <c r="C16" i="188"/>
  <c r="D101" i="188"/>
  <c r="C102" i="188"/>
  <c r="C26" i="188"/>
  <c r="J195" i="167"/>
  <c r="N214" i="165"/>
  <c r="M214" i="165"/>
  <c r="L214" i="165"/>
  <c r="K214" i="165"/>
  <c r="I214" i="165"/>
  <c r="H214" i="165"/>
  <c r="G214" i="165"/>
  <c r="F214" i="165"/>
  <c r="O215" i="165"/>
  <c r="J107" i="167"/>
  <c r="K75" i="165"/>
  <c r="O106" i="165"/>
  <c r="E106" i="165"/>
  <c r="N105" i="165"/>
  <c r="M105" i="165"/>
  <c r="L105" i="165"/>
  <c r="K105" i="165"/>
  <c r="I105" i="165"/>
  <c r="H105" i="165"/>
  <c r="G105" i="165"/>
  <c r="F105" i="165"/>
  <c r="K76" i="165"/>
  <c r="D46" i="170"/>
  <c r="D49" i="170" s="1"/>
  <c r="D139" i="188"/>
  <c r="D129" i="188" l="1"/>
  <c r="I213" i="165"/>
  <c r="N213" i="165"/>
  <c r="F213" i="165"/>
  <c r="K213" i="165"/>
  <c r="G213" i="165"/>
  <c r="L213" i="165"/>
  <c r="H213" i="165"/>
  <c r="M213" i="165"/>
  <c r="M104" i="165"/>
  <c r="N104" i="165"/>
  <c r="F104" i="165"/>
  <c r="H195" i="167"/>
  <c r="H107" i="167"/>
  <c r="I104" i="165"/>
  <c r="L104" i="165"/>
  <c r="E105" i="165"/>
  <c r="E214" i="165"/>
  <c r="C139" i="188"/>
  <c r="H104" i="165"/>
  <c r="G104" i="165"/>
  <c r="K104" i="165"/>
  <c r="J106" i="165"/>
  <c r="J215" i="165"/>
  <c r="O214" i="165"/>
  <c r="O105" i="165"/>
  <c r="D120" i="188" l="1"/>
  <c r="E104" i="165"/>
  <c r="P106" i="165"/>
  <c r="C129" i="188"/>
  <c r="J105" i="165"/>
  <c r="E99" i="170"/>
  <c r="I107" i="167"/>
  <c r="G107" i="167" s="1"/>
  <c r="O104" i="165"/>
  <c r="J214" i="165"/>
  <c r="I195" i="167"/>
  <c r="G195" i="167" s="1"/>
  <c r="P215" i="165"/>
  <c r="D114" i="188" l="1"/>
  <c r="P105" i="165"/>
  <c r="P104" i="165" s="1"/>
  <c r="P214" i="165"/>
  <c r="J104" i="165"/>
  <c r="C108" i="188" l="1"/>
  <c r="E106" i="188"/>
  <c r="C105" i="188"/>
  <c r="C104" i="188"/>
  <c r="D95" i="188"/>
  <c r="C94" i="188"/>
  <c r="C92" i="188"/>
  <c r="C91" i="188"/>
  <c r="C90" i="188"/>
  <c r="C88" i="188"/>
  <c r="C87" i="188"/>
  <c r="D86" i="188"/>
  <c r="C85" i="188"/>
  <c r="C84" i="188"/>
  <c r="C81" i="188"/>
  <c r="C80" i="188"/>
  <c r="C79" i="188"/>
  <c r="C74" i="188"/>
  <c r="C73" i="188"/>
  <c r="C72" i="188"/>
  <c r="C70" i="188"/>
  <c r="C69" i="188"/>
  <c r="C68" i="188"/>
  <c r="D62" i="188"/>
  <c r="C61" i="188"/>
  <c r="C60" i="188"/>
  <c r="C59" i="188"/>
  <c r="C58" i="188"/>
  <c r="C51" i="188"/>
  <c r="C50" i="188"/>
  <c r="C49" i="188"/>
  <c r="C48" i="188"/>
  <c r="C47" i="188"/>
  <c r="C46" i="188"/>
  <c r="C45" i="188"/>
  <c r="C44" i="188"/>
  <c r="C43" i="188"/>
  <c r="C42" i="188"/>
  <c r="C38" i="188"/>
  <c r="C36" i="188"/>
  <c r="D35" i="188"/>
  <c r="C34" i="188"/>
  <c r="D33" i="188"/>
  <c r="C31" i="188"/>
  <c r="C29" i="188"/>
  <c r="C21" i="188"/>
  <c r="E101" i="188" l="1"/>
  <c r="C101" i="188" s="1"/>
  <c r="C37" i="188"/>
  <c r="D32" i="188"/>
  <c r="C95" i="188"/>
  <c r="C35" i="188"/>
  <c r="E15" i="188"/>
  <c r="C62" i="188"/>
  <c r="F106" i="188"/>
  <c r="C33" i="188"/>
  <c r="C86" i="188"/>
  <c r="C121" i="188"/>
  <c r="C106" i="188"/>
  <c r="F101" i="188" l="1"/>
  <c r="D66" i="188"/>
  <c r="E114" i="188"/>
  <c r="C114" i="188" s="1"/>
  <c r="D15" i="188"/>
  <c r="C15" i="188" s="1"/>
  <c r="C32" i="188"/>
  <c r="E113" i="188"/>
  <c r="C77" i="188"/>
  <c r="C120" i="188"/>
  <c r="C40" i="188"/>
  <c r="E152" i="188" l="1"/>
  <c r="I152" i="188" s="1"/>
  <c r="F113" i="188"/>
  <c r="D113" i="188"/>
  <c r="D152" i="188" s="1"/>
  <c r="H152" i="188" s="1"/>
  <c r="C66" i="188"/>
  <c r="F152" i="188" l="1"/>
  <c r="J152" i="188" s="1"/>
  <c r="C152" i="188"/>
  <c r="C113" i="188"/>
  <c r="C44" i="172"/>
  <c r="C43" i="172" s="1"/>
  <c r="F43" i="172"/>
  <c r="E43" i="172"/>
  <c r="D43" i="172"/>
  <c r="D42" i="172" s="1"/>
  <c r="C19" i="172"/>
  <c r="C18" i="172"/>
  <c r="F17" i="172"/>
  <c r="E17" i="172"/>
  <c r="E16" i="172" s="1"/>
  <c r="D17" i="172"/>
  <c r="G51" i="167"/>
  <c r="J90" i="167"/>
  <c r="I90" i="167"/>
  <c r="J89" i="167"/>
  <c r="N74" i="165"/>
  <c r="M74" i="165"/>
  <c r="L74" i="165"/>
  <c r="K74" i="165"/>
  <c r="I74" i="165"/>
  <c r="H74" i="165"/>
  <c r="G74" i="165"/>
  <c r="F74" i="165"/>
  <c r="O76" i="165"/>
  <c r="E76" i="165"/>
  <c r="G152" i="188" l="1"/>
  <c r="H89" i="167"/>
  <c r="J76" i="165"/>
  <c r="F422" i="165"/>
  <c r="J320" i="167"/>
  <c r="J321" i="167"/>
  <c r="N361" i="165"/>
  <c r="M361" i="165"/>
  <c r="L361" i="165"/>
  <c r="K361" i="165"/>
  <c r="I361" i="165"/>
  <c r="H361" i="165"/>
  <c r="G361" i="165"/>
  <c r="F361" i="165"/>
  <c r="O362" i="165"/>
  <c r="E362" i="165"/>
  <c r="G332" i="167"/>
  <c r="J317" i="167" l="1"/>
  <c r="F420" i="165"/>
  <c r="F420" i="202" s="1"/>
  <c r="F413" i="202" s="1"/>
  <c r="F412" i="202" s="1"/>
  <c r="O361" i="165"/>
  <c r="H320" i="167"/>
  <c r="J362" i="165"/>
  <c r="E361" i="165"/>
  <c r="I89" i="167"/>
  <c r="G89" i="167" s="1"/>
  <c r="P76" i="165"/>
  <c r="F379" i="165"/>
  <c r="N379" i="165"/>
  <c r="M379" i="165"/>
  <c r="L379" i="165"/>
  <c r="K379" i="165"/>
  <c r="I379" i="165"/>
  <c r="H379" i="165"/>
  <c r="G379" i="165"/>
  <c r="O380" i="165"/>
  <c r="E380" i="165"/>
  <c r="K332" i="167" l="1"/>
  <c r="P362" i="165"/>
  <c r="G155" i="167"/>
  <c r="J380" i="165"/>
  <c r="O379" i="165"/>
  <c r="E379" i="165"/>
  <c r="J361" i="165"/>
  <c r="I320" i="167"/>
  <c r="L332" i="167" l="1"/>
  <c r="G320" i="167"/>
  <c r="P361" i="165"/>
  <c r="P380" i="165"/>
  <c r="J379" i="165"/>
  <c r="P379" i="165" l="1"/>
  <c r="E81" i="165"/>
  <c r="E80" i="165"/>
  <c r="J88" i="167"/>
  <c r="O75" i="165"/>
  <c r="E75" i="165"/>
  <c r="J69" i="167"/>
  <c r="K51" i="165"/>
  <c r="I51" i="165"/>
  <c r="O54" i="165"/>
  <c r="E54" i="165"/>
  <c r="E54" i="202" s="1"/>
  <c r="J60" i="167" l="1"/>
  <c r="M60" i="167" s="1"/>
  <c r="K80" i="165"/>
  <c r="J93" i="167"/>
  <c r="G51" i="165"/>
  <c r="G51" i="202" s="1"/>
  <c r="H69" i="167"/>
  <c r="H51" i="165"/>
  <c r="O81" i="165"/>
  <c r="H93" i="167"/>
  <c r="J75" i="165"/>
  <c r="O74" i="165"/>
  <c r="E74" i="165"/>
  <c r="H88" i="167"/>
  <c r="J54" i="165"/>
  <c r="O80" i="165" l="1"/>
  <c r="P54" i="165"/>
  <c r="P54" i="202" s="1"/>
  <c r="P75" i="165"/>
  <c r="J81" i="165"/>
  <c r="I88" i="167"/>
  <c r="G88" i="167" s="1"/>
  <c r="J74" i="165"/>
  <c r="I69" i="167"/>
  <c r="G69" i="167" s="1"/>
  <c r="P81" i="165" l="1"/>
  <c r="J80" i="165"/>
  <c r="I93" i="167"/>
  <c r="G93" i="167" s="1"/>
  <c r="P74" i="165"/>
  <c r="J307" i="167"/>
  <c r="E342" i="165"/>
  <c r="E341" i="165" l="1"/>
  <c r="P80" i="165"/>
  <c r="H340" i="165"/>
  <c r="N340" i="165"/>
  <c r="I340" i="165"/>
  <c r="G340" i="165"/>
  <c r="M340" i="165"/>
  <c r="L340" i="165"/>
  <c r="H307" i="167"/>
  <c r="F340" i="165"/>
  <c r="K340" i="165"/>
  <c r="O340" i="165" l="1"/>
  <c r="E340" i="165"/>
  <c r="I307" i="167"/>
  <c r="G307" i="167" s="1"/>
  <c r="P342" i="165"/>
  <c r="P341" i="165" l="1"/>
  <c r="J340" i="165"/>
  <c r="P340" i="165" l="1"/>
  <c r="H359" i="167"/>
  <c r="G359" i="167" s="1"/>
  <c r="J87" i="167" l="1"/>
  <c r="O73" i="165"/>
  <c r="E73" i="165"/>
  <c r="N71" i="165"/>
  <c r="M71" i="165"/>
  <c r="L71" i="165"/>
  <c r="K71" i="165"/>
  <c r="I71" i="165"/>
  <c r="H71" i="165"/>
  <c r="G71" i="165"/>
  <c r="J31" i="167"/>
  <c r="M31" i="167" s="1"/>
  <c r="J28" i="165"/>
  <c r="E28" i="165"/>
  <c r="N26" i="165"/>
  <c r="M26" i="165"/>
  <c r="L26" i="165"/>
  <c r="K26" i="165"/>
  <c r="I26" i="165"/>
  <c r="H26" i="165"/>
  <c r="G26" i="165"/>
  <c r="F26" i="165"/>
  <c r="I31" i="167" l="1"/>
  <c r="L31" i="167" s="1"/>
  <c r="H87" i="167"/>
  <c r="J73" i="165"/>
  <c r="P28" i="165"/>
  <c r="H31" i="167"/>
  <c r="P73" i="165" l="1"/>
  <c r="I87" i="167"/>
  <c r="G87" i="167" s="1"/>
  <c r="K31" i="167"/>
  <c r="G31" i="167"/>
  <c r="D56" i="172" l="1"/>
  <c r="E57" i="172"/>
  <c r="E56" i="172" s="1"/>
  <c r="F56" i="172" s="1"/>
  <c r="E28" i="172"/>
  <c r="E27" i="172" s="1"/>
  <c r="D27" i="172"/>
  <c r="C55" i="172"/>
  <c r="C26" i="172"/>
  <c r="F38" i="172"/>
  <c r="E38" i="172"/>
  <c r="D38" i="172"/>
  <c r="D37" i="172" s="1"/>
  <c r="D31" i="172"/>
  <c r="D30" i="172" s="1"/>
  <c r="F16" i="172"/>
  <c r="D36" i="172" l="1"/>
  <c r="F57" i="172"/>
  <c r="C28" i="172"/>
  <c r="F28" i="172"/>
  <c r="F27" i="172" s="1"/>
  <c r="C56" i="172"/>
  <c r="C57" i="172"/>
  <c r="C27" i="172"/>
  <c r="C17" i="172"/>
  <c r="D16" i="172"/>
  <c r="C16" i="172" l="1"/>
  <c r="C39" i="172" l="1"/>
  <c r="C38" i="172" s="1"/>
  <c r="C41" i="172"/>
  <c r="F31" i="172"/>
  <c r="F30" i="172" s="1"/>
  <c r="E31" i="172"/>
  <c r="E30" i="172" s="1"/>
  <c r="I46" i="184" l="1"/>
  <c r="I42" i="184"/>
  <c r="H37" i="184" l="1"/>
  <c r="H122" i="184" s="1"/>
  <c r="L122" i="184" s="1"/>
  <c r="I37" i="184"/>
  <c r="J12" i="184"/>
  <c r="J11" i="184" s="1"/>
  <c r="J42" i="184"/>
  <c r="J37" i="184"/>
  <c r="J46" i="184" l="1"/>
  <c r="J101" i="184"/>
  <c r="J55" i="184"/>
  <c r="F40" i="172"/>
  <c r="F37" i="172" s="1"/>
  <c r="E40" i="172"/>
  <c r="E37" i="172" s="1"/>
  <c r="C45" i="172"/>
  <c r="C42" i="172" s="1"/>
  <c r="C33" i="172"/>
  <c r="C32" i="172"/>
  <c r="J122" i="184" l="1"/>
  <c r="N122" i="184" s="1"/>
  <c r="C31" i="172"/>
  <c r="C30" i="172" s="1"/>
  <c r="C40" i="172"/>
  <c r="C37" i="172" s="1"/>
  <c r="N303" i="165"/>
  <c r="M303" i="165"/>
  <c r="L303" i="165"/>
  <c r="I303" i="165"/>
  <c r="H303" i="165"/>
  <c r="G303" i="165"/>
  <c r="G153" i="203" l="1"/>
  <c r="G151" i="200"/>
  <c r="G153" i="188"/>
  <c r="G161" i="184"/>
  <c r="G134" i="197"/>
  <c r="G143" i="108"/>
  <c r="C36" i="172"/>
  <c r="H302" i="165"/>
  <c r="L302" i="165"/>
  <c r="I302" i="165"/>
  <c r="M302" i="165"/>
  <c r="G302" i="165"/>
  <c r="N302" i="165"/>
  <c r="J92" i="167" l="1"/>
  <c r="O79" i="165"/>
  <c r="E79" i="165" l="1"/>
  <c r="J79" i="165"/>
  <c r="E138" i="165"/>
  <c r="O138" i="165"/>
  <c r="J138" i="165" s="1"/>
  <c r="H92" i="167" l="1"/>
  <c r="I92" i="167"/>
  <c r="K303" i="165"/>
  <c r="P79" i="165"/>
  <c r="P138" i="165"/>
  <c r="G92" i="167" l="1"/>
  <c r="K302" i="165"/>
  <c r="G341" i="167" l="1"/>
  <c r="G56" i="167" l="1"/>
  <c r="G49" i="167" l="1"/>
  <c r="G48" i="167"/>
  <c r="G47" i="167"/>
  <c r="G46" i="167"/>
  <c r="E46" i="165"/>
  <c r="E46" i="202" s="1"/>
  <c r="G340" i="167"/>
  <c r="K45" i="167" l="1"/>
  <c r="E81" i="170"/>
  <c r="O46" i="165"/>
  <c r="O46" i="202" s="1"/>
  <c r="J46" i="165" l="1"/>
  <c r="J46" i="202" s="1"/>
  <c r="L45" i="167" l="1"/>
  <c r="E95" i="170"/>
  <c r="P46" i="165"/>
  <c r="P46" i="202" s="1"/>
  <c r="N58" i="165"/>
  <c r="M58" i="165"/>
  <c r="L58" i="165"/>
  <c r="I58" i="165"/>
  <c r="H58" i="165"/>
  <c r="G58" i="165"/>
  <c r="F58" i="165"/>
  <c r="E59" i="165"/>
  <c r="O268" i="165"/>
  <c r="E268" i="165"/>
  <c r="H231" i="167" l="1"/>
  <c r="K58" i="165"/>
  <c r="E58" i="165"/>
  <c r="O59" i="165"/>
  <c r="H72" i="167"/>
  <c r="J268" i="165"/>
  <c r="J72" i="167"/>
  <c r="I231" i="167" l="1"/>
  <c r="G231" i="167" s="1"/>
  <c r="J59" i="165"/>
  <c r="O58" i="165"/>
  <c r="P268" i="165"/>
  <c r="J58" i="165" l="1"/>
  <c r="P59" i="165"/>
  <c r="I72" i="167"/>
  <c r="G72" i="167" s="1"/>
  <c r="P58" i="165" l="1"/>
  <c r="J296" i="167"/>
  <c r="J293" i="167"/>
  <c r="N322" i="165" l="1"/>
  <c r="M322" i="165"/>
  <c r="L322" i="165"/>
  <c r="K322" i="165"/>
  <c r="I322" i="165"/>
  <c r="G322" i="165"/>
  <c r="O325" i="165"/>
  <c r="E325" i="165"/>
  <c r="O333" i="165"/>
  <c r="E333" i="165"/>
  <c r="J333" i="165" l="1"/>
  <c r="H293" i="167"/>
  <c r="J325" i="165"/>
  <c r="H296" i="167"/>
  <c r="N193" i="165"/>
  <c r="M193" i="165"/>
  <c r="L193" i="165"/>
  <c r="I193" i="165"/>
  <c r="H193" i="165"/>
  <c r="G193" i="165"/>
  <c r="F193" i="165"/>
  <c r="G137" i="167"/>
  <c r="P333" i="165" l="1"/>
  <c r="K193" i="165"/>
  <c r="H192" i="165"/>
  <c r="M192" i="165"/>
  <c r="I192" i="165"/>
  <c r="N192" i="165"/>
  <c r="P325" i="165"/>
  <c r="I293" i="167"/>
  <c r="F192" i="165"/>
  <c r="O194" i="165"/>
  <c r="J174" i="167"/>
  <c r="G192" i="165"/>
  <c r="L192" i="165"/>
  <c r="I296" i="167"/>
  <c r="G296" i="167" s="1"/>
  <c r="K192" i="165" l="1"/>
  <c r="J194" i="165"/>
  <c r="G293" i="167"/>
  <c r="O193" i="165"/>
  <c r="J193" i="165" l="1"/>
  <c r="I174" i="167"/>
  <c r="O192" i="165"/>
  <c r="J147" i="167"/>
  <c r="O153" i="165"/>
  <c r="E153" i="165"/>
  <c r="J139" i="167"/>
  <c r="J140" i="167"/>
  <c r="N141" i="165"/>
  <c r="M141" i="165"/>
  <c r="L141" i="165"/>
  <c r="I141" i="165"/>
  <c r="G141" i="165"/>
  <c r="J144" i="165"/>
  <c r="E144" i="165"/>
  <c r="J192" i="165" l="1"/>
  <c r="I140" i="167"/>
  <c r="H147" i="167"/>
  <c r="J153" i="165"/>
  <c r="K141" i="165"/>
  <c r="P144" i="165"/>
  <c r="H140" i="167"/>
  <c r="I147" i="167" l="1"/>
  <c r="G147" i="167" s="1"/>
  <c r="G140" i="167"/>
  <c r="P153" i="165"/>
  <c r="F316" i="165"/>
  <c r="G316" i="165"/>
  <c r="H316" i="165"/>
  <c r="O276" i="165"/>
  <c r="E276" i="165"/>
  <c r="H242" i="167" l="1"/>
  <c r="F303" i="165"/>
  <c r="O303" i="165"/>
  <c r="J276" i="165"/>
  <c r="I242" i="167" l="1"/>
  <c r="G242" i="167" s="1"/>
  <c r="P276" i="165"/>
  <c r="F302" i="165"/>
  <c r="O302" i="165"/>
  <c r="F141" i="165" l="1"/>
  <c r="F141" i="202" s="1"/>
  <c r="F140" i="202" s="1"/>
  <c r="F139" i="202" s="1"/>
  <c r="J197" i="167" l="1"/>
  <c r="O217" i="165" l="1"/>
  <c r="E217" i="165"/>
  <c r="L212" i="165"/>
  <c r="G184" i="167"/>
  <c r="E213" i="165" l="1"/>
  <c r="O213" i="165"/>
  <c r="M212" i="165"/>
  <c r="K212" i="165"/>
  <c r="I212" i="165"/>
  <c r="N212" i="165"/>
  <c r="F212" i="165"/>
  <c r="H197" i="167"/>
  <c r="G212" i="165"/>
  <c r="H212" i="165"/>
  <c r="J217" i="165"/>
  <c r="E212" i="165" l="1"/>
  <c r="J213" i="165"/>
  <c r="O212" i="165"/>
  <c r="I197" i="167"/>
  <c r="G197" i="167" s="1"/>
  <c r="P217" i="165"/>
  <c r="P213" i="165" l="1"/>
  <c r="J212" i="165"/>
  <c r="P212" i="165" l="1"/>
  <c r="G353" i="167"/>
  <c r="D36" i="108"/>
  <c r="H142" i="108" s="1"/>
  <c r="F322" i="165" l="1"/>
  <c r="J36" i="167"/>
  <c r="J35" i="165" l="1"/>
  <c r="J33" i="165"/>
  <c r="J33" i="202" s="1"/>
  <c r="O32" i="165"/>
  <c r="O32" i="202" s="1"/>
  <c r="L32" i="165"/>
  <c r="L32" i="202" s="1"/>
  <c r="F32" i="165"/>
  <c r="N32" i="165"/>
  <c r="M32" i="165"/>
  <c r="K32" i="165"/>
  <c r="I32" i="165"/>
  <c r="H32" i="165"/>
  <c r="G32" i="165"/>
  <c r="E35" i="165"/>
  <c r="G29" i="165" l="1"/>
  <c r="M29" i="165"/>
  <c r="H29" i="165"/>
  <c r="N29" i="165"/>
  <c r="I29" i="165"/>
  <c r="F29" i="165"/>
  <c r="K29" i="165"/>
  <c r="L29" i="165"/>
  <c r="L29" i="202" s="1"/>
  <c r="I36" i="167"/>
  <c r="H36" i="167"/>
  <c r="J32" i="165"/>
  <c r="J32" i="202" s="1"/>
  <c r="P35" i="165"/>
  <c r="J315" i="167"/>
  <c r="J311" i="167" s="1"/>
  <c r="G36" i="167" l="1"/>
  <c r="O353" i="165"/>
  <c r="E353" i="165"/>
  <c r="N352" i="165"/>
  <c r="M352" i="165"/>
  <c r="L352" i="165"/>
  <c r="K352" i="165"/>
  <c r="I352" i="165"/>
  <c r="H352" i="165"/>
  <c r="G352" i="165"/>
  <c r="F352" i="165"/>
  <c r="L351" i="165" l="1"/>
  <c r="N351" i="165"/>
  <c r="H351" i="165"/>
  <c r="M351" i="165"/>
  <c r="F351" i="165"/>
  <c r="K351" i="165"/>
  <c r="J353" i="165"/>
  <c r="G351" i="165"/>
  <c r="I351" i="165"/>
  <c r="E352" i="165"/>
  <c r="H315" i="167"/>
  <c r="O352" i="165"/>
  <c r="J352" i="165" l="1"/>
  <c r="P353" i="165"/>
  <c r="E351" i="165"/>
  <c r="O351" i="165"/>
  <c r="I315" i="167"/>
  <c r="G315" i="167" l="1"/>
  <c r="I311" i="167"/>
  <c r="J351" i="165"/>
  <c r="P352" i="165"/>
  <c r="P351" i="165" l="1"/>
  <c r="J343" i="167" l="1"/>
  <c r="J329" i="167" s="1"/>
  <c r="O392" i="165" l="1"/>
  <c r="E392" i="165"/>
  <c r="N391" i="165"/>
  <c r="M391" i="165"/>
  <c r="L391" i="165"/>
  <c r="K391" i="165"/>
  <c r="I391" i="165"/>
  <c r="H391" i="165"/>
  <c r="G391" i="165"/>
  <c r="F391" i="165"/>
  <c r="E88" i="170" l="1"/>
  <c r="M390" i="165"/>
  <c r="N390" i="165"/>
  <c r="H390" i="165"/>
  <c r="I390" i="165"/>
  <c r="F390" i="165"/>
  <c r="K390" i="165"/>
  <c r="H343" i="167"/>
  <c r="H329" i="167" s="1"/>
  <c r="G390" i="165"/>
  <c r="L390" i="165"/>
  <c r="J392" i="165"/>
  <c r="O391" i="165"/>
  <c r="E391" i="165"/>
  <c r="E102" i="170" l="1"/>
  <c r="E390" i="165"/>
  <c r="J391" i="165"/>
  <c r="I343" i="167"/>
  <c r="I329" i="167" s="1"/>
  <c r="P392" i="165"/>
  <c r="O390" i="165"/>
  <c r="G343" i="167" l="1"/>
  <c r="P391" i="165"/>
  <c r="J390" i="165"/>
  <c r="P390" i="165" l="1"/>
  <c r="J157" i="167" l="1"/>
  <c r="N162" i="165"/>
  <c r="M162" i="165"/>
  <c r="L162" i="165"/>
  <c r="K162" i="165"/>
  <c r="I162" i="165"/>
  <c r="H162" i="165"/>
  <c r="G162" i="165"/>
  <c r="F162" i="165"/>
  <c r="J148" i="167"/>
  <c r="J146" i="167"/>
  <c r="E162" i="165" l="1"/>
  <c r="O162" i="165"/>
  <c r="J162" i="165" l="1"/>
  <c r="F17" i="165" l="1"/>
  <c r="F17" i="202" s="1"/>
  <c r="P162" i="165"/>
  <c r="G261" i="167"/>
  <c r="P16" i="107" l="1"/>
  <c r="P15" i="107" s="1"/>
  <c r="P14" i="107" s="1"/>
  <c r="L16" i="107"/>
  <c r="L15" i="107" s="1"/>
  <c r="L14" i="107" s="1"/>
  <c r="K16" i="107"/>
  <c r="K15" i="107" s="1"/>
  <c r="K14" i="107" s="1"/>
  <c r="J16" i="107"/>
  <c r="J15" i="107" s="1"/>
  <c r="J14" i="107" s="1"/>
  <c r="H16" i="107"/>
  <c r="H15" i="107" s="1"/>
  <c r="H14" i="107" s="1"/>
  <c r="F16" i="107"/>
  <c r="F15" i="107" s="1"/>
  <c r="F14" i="107" s="1"/>
  <c r="N428" i="165"/>
  <c r="M428" i="165"/>
  <c r="L428" i="165"/>
  <c r="K428" i="165"/>
  <c r="I428" i="165"/>
  <c r="H428" i="165"/>
  <c r="G428" i="165"/>
  <c r="F428" i="165"/>
  <c r="N422" i="165"/>
  <c r="M422" i="165"/>
  <c r="L422" i="165"/>
  <c r="K422" i="165"/>
  <c r="I422" i="165"/>
  <c r="H422" i="165"/>
  <c r="G422" i="165"/>
  <c r="O421" i="165"/>
  <c r="N414" i="165"/>
  <c r="M414" i="165"/>
  <c r="L414" i="165"/>
  <c r="K414" i="165"/>
  <c r="I414" i="165"/>
  <c r="G414" i="165"/>
  <c r="O408" i="165"/>
  <c r="N408" i="165"/>
  <c r="M408" i="165"/>
  <c r="L408" i="165"/>
  <c r="K408" i="165"/>
  <c r="I408" i="165"/>
  <c r="H408" i="165"/>
  <c r="G408" i="165"/>
  <c r="F408" i="165"/>
  <c r="N410" i="165"/>
  <c r="M410" i="165"/>
  <c r="L410" i="165"/>
  <c r="K410" i="165"/>
  <c r="I410" i="165"/>
  <c r="H410" i="165"/>
  <c r="G410" i="165"/>
  <c r="F410" i="165"/>
  <c r="N405" i="165"/>
  <c r="M405" i="165"/>
  <c r="L405" i="165"/>
  <c r="K405" i="165"/>
  <c r="I405" i="165"/>
  <c r="G405" i="165"/>
  <c r="F405" i="165"/>
  <c r="N395" i="165"/>
  <c r="M395" i="165"/>
  <c r="L395" i="165"/>
  <c r="K395" i="165"/>
  <c r="I395" i="165"/>
  <c r="G395" i="165"/>
  <c r="N67" i="165"/>
  <c r="M67" i="165"/>
  <c r="L67" i="165"/>
  <c r="K67" i="165"/>
  <c r="I67" i="165"/>
  <c r="M64" i="165"/>
  <c r="K64" i="165"/>
  <c r="I64" i="165"/>
  <c r="M61" i="165"/>
  <c r="K61" i="165"/>
  <c r="I61" i="165"/>
  <c r="N385" i="165"/>
  <c r="M385" i="165"/>
  <c r="L385" i="165"/>
  <c r="I385" i="165"/>
  <c r="H385" i="165"/>
  <c r="G385" i="165"/>
  <c r="N363" i="165"/>
  <c r="M363" i="165"/>
  <c r="L363" i="165"/>
  <c r="K363" i="165"/>
  <c r="I363" i="165"/>
  <c r="H363" i="165"/>
  <c r="G363" i="165"/>
  <c r="F363" i="165"/>
  <c r="N356" i="165"/>
  <c r="M356" i="165"/>
  <c r="L356" i="165"/>
  <c r="K356" i="165"/>
  <c r="I356" i="165"/>
  <c r="G356" i="165"/>
  <c r="N334" i="165"/>
  <c r="M334" i="165"/>
  <c r="L334" i="165"/>
  <c r="K334" i="165"/>
  <c r="K334" i="202" s="1"/>
  <c r="I334" i="165"/>
  <c r="H334" i="165"/>
  <c r="G334" i="165"/>
  <c r="F334" i="165"/>
  <c r="N329" i="165"/>
  <c r="M329" i="165"/>
  <c r="L329" i="165"/>
  <c r="I329" i="165"/>
  <c r="H329" i="165"/>
  <c r="G329" i="165"/>
  <c r="F329" i="165"/>
  <c r="I49" i="165" l="1"/>
  <c r="K49" i="165"/>
  <c r="L360" i="165"/>
  <c r="H360" i="165"/>
  <c r="M360" i="165"/>
  <c r="I360" i="165"/>
  <c r="N360" i="165"/>
  <c r="G360" i="165"/>
  <c r="F360" i="165"/>
  <c r="K360" i="165"/>
  <c r="I420" i="165"/>
  <c r="N420" i="165"/>
  <c r="K420" i="165"/>
  <c r="L420" i="165"/>
  <c r="G420" i="165"/>
  <c r="H420" i="165"/>
  <c r="M420" i="165"/>
  <c r="L427" i="165"/>
  <c r="G427" i="165"/>
  <c r="M346" i="165"/>
  <c r="G381" i="165"/>
  <c r="M381" i="165"/>
  <c r="H427" i="165"/>
  <c r="M427" i="165"/>
  <c r="G328" i="165"/>
  <c r="I328" i="165"/>
  <c r="F332" i="165"/>
  <c r="G346" i="165"/>
  <c r="F328" i="165"/>
  <c r="L328" i="165"/>
  <c r="G332" i="165"/>
  <c r="L332" i="165"/>
  <c r="I346" i="165"/>
  <c r="N346" i="165"/>
  <c r="H381" i="165"/>
  <c r="N381" i="165"/>
  <c r="I427" i="165"/>
  <c r="N427" i="165"/>
  <c r="M328" i="165"/>
  <c r="M332" i="165"/>
  <c r="K346" i="165"/>
  <c r="I381" i="165"/>
  <c r="J421" i="165"/>
  <c r="F427" i="165"/>
  <c r="K427" i="165"/>
  <c r="H332" i="165"/>
  <c r="H328" i="165"/>
  <c r="N328" i="165"/>
  <c r="I332" i="165"/>
  <c r="N332" i="165"/>
  <c r="L346" i="165"/>
  <c r="L381" i="165"/>
  <c r="K332" i="165"/>
  <c r="K332" i="202" s="1"/>
  <c r="H407" i="165"/>
  <c r="K407" i="165"/>
  <c r="G407" i="165"/>
  <c r="L407" i="165"/>
  <c r="I407" i="165"/>
  <c r="M407" i="165"/>
  <c r="F407" i="165"/>
  <c r="N407" i="165"/>
  <c r="N313" i="165"/>
  <c r="N313" i="202" s="1"/>
  <c r="M313" i="165"/>
  <c r="M313" i="202" s="1"/>
  <c r="L313" i="165"/>
  <c r="L313" i="202" s="1"/>
  <c r="K313" i="165"/>
  <c r="K313" i="202" s="1"/>
  <c r="I313" i="165"/>
  <c r="I313" i="202" s="1"/>
  <c r="F313" i="165"/>
  <c r="F313" i="202" s="1"/>
  <c r="N300" i="165"/>
  <c r="M300" i="165"/>
  <c r="L300" i="165"/>
  <c r="K300" i="165"/>
  <c r="I300" i="165"/>
  <c r="H300" i="165"/>
  <c r="G300" i="165"/>
  <c r="F300" i="165"/>
  <c r="N287" i="165"/>
  <c r="M287" i="165"/>
  <c r="L287" i="165"/>
  <c r="K287" i="165"/>
  <c r="I287" i="165"/>
  <c r="G287" i="165"/>
  <c r="N277" i="165"/>
  <c r="M277" i="165"/>
  <c r="L277" i="165"/>
  <c r="K277" i="165"/>
  <c r="I277" i="165"/>
  <c r="H277" i="165"/>
  <c r="G277" i="165"/>
  <c r="F277" i="165"/>
  <c r="N264" i="165"/>
  <c r="M264" i="165"/>
  <c r="L264" i="165"/>
  <c r="I264" i="165"/>
  <c r="H264" i="165"/>
  <c r="G264" i="165"/>
  <c r="F264" i="165"/>
  <c r="F264" i="202" s="1"/>
  <c r="N245" i="165"/>
  <c r="M245" i="165"/>
  <c r="L245" i="165"/>
  <c r="K245" i="165"/>
  <c r="I245" i="165"/>
  <c r="H245" i="165"/>
  <c r="G245" i="165"/>
  <c r="F245" i="165"/>
  <c r="N240" i="165"/>
  <c r="M240" i="165"/>
  <c r="L240" i="165"/>
  <c r="I240" i="165"/>
  <c r="H240" i="165"/>
  <c r="G240" i="165"/>
  <c r="M235" i="165"/>
  <c r="I235" i="165"/>
  <c r="G235" i="165"/>
  <c r="N233" i="165"/>
  <c r="M233" i="165"/>
  <c r="L233" i="165"/>
  <c r="K233" i="165"/>
  <c r="I233" i="165"/>
  <c r="H233" i="165"/>
  <c r="G233" i="165"/>
  <c r="N230" i="165"/>
  <c r="M230" i="165"/>
  <c r="L230" i="165"/>
  <c r="K230" i="165"/>
  <c r="I230" i="165"/>
  <c r="H230" i="165"/>
  <c r="G230" i="165"/>
  <c r="M226" i="165"/>
  <c r="I226" i="165"/>
  <c r="G226" i="165"/>
  <c r="N224" i="165"/>
  <c r="M224" i="165"/>
  <c r="L224" i="165"/>
  <c r="K224" i="165"/>
  <c r="I224" i="165"/>
  <c r="G224" i="165"/>
  <c r="N219" i="165"/>
  <c r="M219" i="165"/>
  <c r="L219" i="165"/>
  <c r="K219" i="165"/>
  <c r="I219" i="165"/>
  <c r="H219" i="165"/>
  <c r="G219" i="165"/>
  <c r="F219" i="165"/>
  <c r="N209" i="165"/>
  <c r="M209" i="165"/>
  <c r="K209" i="165"/>
  <c r="I209" i="165"/>
  <c r="G209" i="165"/>
  <c r="M202" i="165"/>
  <c r="K202" i="165"/>
  <c r="I202" i="165"/>
  <c r="N197" i="165"/>
  <c r="N195" i="165" s="1"/>
  <c r="M197" i="165"/>
  <c r="M195" i="165" s="1"/>
  <c r="L197" i="165"/>
  <c r="L195" i="165" s="1"/>
  <c r="K197" i="165"/>
  <c r="K195" i="165" s="1"/>
  <c r="I197" i="165"/>
  <c r="I195" i="165" s="1"/>
  <c r="H197" i="165"/>
  <c r="H195" i="165" s="1"/>
  <c r="G197" i="165"/>
  <c r="G195" i="165" s="1"/>
  <c r="F197" i="165"/>
  <c r="F195" i="165" s="1"/>
  <c r="M184" i="165"/>
  <c r="I184" i="165"/>
  <c r="N165" i="165"/>
  <c r="M165" i="165"/>
  <c r="L165" i="165"/>
  <c r="K165" i="165"/>
  <c r="I165" i="165"/>
  <c r="H165" i="165"/>
  <c r="G165" i="165"/>
  <c r="M155" i="165"/>
  <c r="K155" i="165"/>
  <c r="K155" i="202" s="1"/>
  <c r="I155" i="165"/>
  <c r="F155" i="165"/>
  <c r="N146" i="165"/>
  <c r="M146" i="165"/>
  <c r="L146" i="165"/>
  <c r="K146" i="165"/>
  <c r="I146" i="165"/>
  <c r="H146" i="165"/>
  <c r="G146" i="165"/>
  <c r="I361" i="167" l="1"/>
  <c r="I358" i="167" s="1"/>
  <c r="M263" i="165"/>
  <c r="M229" i="165"/>
  <c r="H263" i="165"/>
  <c r="N263" i="165"/>
  <c r="G263" i="165"/>
  <c r="I229" i="165"/>
  <c r="I263" i="165"/>
  <c r="G229" i="165"/>
  <c r="L263" i="165"/>
  <c r="F263" i="165"/>
  <c r="F263" i="202" s="1"/>
  <c r="L413" i="165"/>
  <c r="M413" i="165"/>
  <c r="K413" i="165"/>
  <c r="N413" i="165"/>
  <c r="G413" i="165"/>
  <c r="I413" i="165"/>
  <c r="H359" i="165"/>
  <c r="L359" i="165"/>
  <c r="F359" i="165"/>
  <c r="N359" i="165"/>
  <c r="M359" i="165"/>
  <c r="G359" i="165"/>
  <c r="K359" i="165"/>
  <c r="I359" i="165"/>
  <c r="K291" i="165"/>
  <c r="N244" i="165"/>
  <c r="I291" i="165"/>
  <c r="G291" i="165"/>
  <c r="L291" i="165"/>
  <c r="N291" i="165"/>
  <c r="H291" i="165"/>
  <c r="M291" i="165"/>
  <c r="I247" i="165"/>
  <c r="K247" i="165"/>
  <c r="L247" i="165"/>
  <c r="M247" i="165"/>
  <c r="N247" i="165"/>
  <c r="M145" i="165"/>
  <c r="F247" i="165"/>
  <c r="G247" i="165"/>
  <c r="H247" i="165"/>
  <c r="I145" i="165"/>
  <c r="N331" i="165"/>
  <c r="H331" i="165"/>
  <c r="I378" i="165"/>
  <c r="M378" i="165"/>
  <c r="K331" i="165"/>
  <c r="K331" i="202" s="1"/>
  <c r="K321" i="202" s="1"/>
  <c r="K320" i="202" s="1"/>
  <c r="I331" i="165"/>
  <c r="G378" i="165"/>
  <c r="L378" i="165"/>
  <c r="M331" i="165"/>
  <c r="N378" i="165"/>
  <c r="L331" i="165"/>
  <c r="H378" i="165"/>
  <c r="G331" i="165"/>
  <c r="F331" i="165"/>
  <c r="F187" i="165"/>
  <c r="K187" i="165"/>
  <c r="I204" i="165"/>
  <c r="F218" i="165"/>
  <c r="K218" i="165"/>
  <c r="M223" i="165"/>
  <c r="I244" i="165"/>
  <c r="L312" i="165"/>
  <c r="L312" i="202" s="1"/>
  <c r="L286" i="202" s="1"/>
  <c r="F404" i="165"/>
  <c r="L404" i="165"/>
  <c r="M398" i="165"/>
  <c r="L398" i="165"/>
  <c r="G187" i="165"/>
  <c r="L187" i="165"/>
  <c r="G218" i="165"/>
  <c r="L218" i="165"/>
  <c r="F244" i="165"/>
  <c r="K244" i="165"/>
  <c r="F312" i="165"/>
  <c r="F312" i="202" s="1"/>
  <c r="F286" i="202" s="1"/>
  <c r="F285" i="202" s="1"/>
  <c r="M312" i="165"/>
  <c r="M312" i="202" s="1"/>
  <c r="M286" i="202" s="1"/>
  <c r="M285" i="202" s="1"/>
  <c r="M404" i="165"/>
  <c r="G404" i="165"/>
  <c r="N398" i="165"/>
  <c r="K398" i="165"/>
  <c r="H187" i="165"/>
  <c r="M187" i="165"/>
  <c r="M204" i="165"/>
  <c r="H218" i="165"/>
  <c r="M218" i="165"/>
  <c r="G244" i="165"/>
  <c r="L244" i="165"/>
  <c r="I312" i="165"/>
  <c r="I312" i="202" s="1"/>
  <c r="I286" i="202" s="1"/>
  <c r="I285" i="202" s="1"/>
  <c r="N312" i="165"/>
  <c r="N312" i="202" s="1"/>
  <c r="N286" i="202" s="1"/>
  <c r="N285" i="202" s="1"/>
  <c r="I404" i="165"/>
  <c r="H398" i="165"/>
  <c r="G398" i="165"/>
  <c r="I187" i="165"/>
  <c r="N187" i="165"/>
  <c r="G204" i="165"/>
  <c r="I218" i="165"/>
  <c r="N218" i="165"/>
  <c r="H244" i="165"/>
  <c r="M244" i="165"/>
  <c r="K312" i="165"/>
  <c r="K312" i="202" s="1"/>
  <c r="K286" i="202" s="1"/>
  <c r="K285" i="202" s="1"/>
  <c r="N404" i="165"/>
  <c r="K404" i="165"/>
  <c r="I398" i="165"/>
  <c r="F398" i="165"/>
  <c r="I274" i="165"/>
  <c r="F274" i="165"/>
  <c r="F274" i="202" s="1"/>
  <c r="K274" i="165"/>
  <c r="G274" i="165"/>
  <c r="L274" i="165"/>
  <c r="N274" i="165"/>
  <c r="G223" i="165"/>
  <c r="H274" i="165"/>
  <c r="M274" i="165"/>
  <c r="I223" i="165"/>
  <c r="N122" i="165"/>
  <c r="M122" i="165"/>
  <c r="L122" i="165"/>
  <c r="K122" i="165"/>
  <c r="I122" i="165"/>
  <c r="N120" i="165"/>
  <c r="M120" i="165"/>
  <c r="L120" i="165"/>
  <c r="K120" i="165"/>
  <c r="I120" i="165"/>
  <c r="H120" i="165"/>
  <c r="G120" i="165"/>
  <c r="F120" i="165"/>
  <c r="N118" i="165"/>
  <c r="M118" i="165"/>
  <c r="L118" i="165"/>
  <c r="K118" i="165"/>
  <c r="I118" i="165"/>
  <c r="H118" i="165"/>
  <c r="G118" i="165"/>
  <c r="F118" i="165"/>
  <c r="F118" i="202" s="1"/>
  <c r="O117" i="165"/>
  <c r="K48" i="165"/>
  <c r="I48" i="165"/>
  <c r="N43" i="165"/>
  <c r="M43" i="165"/>
  <c r="L43" i="165"/>
  <c r="K43" i="165"/>
  <c r="I43" i="165"/>
  <c r="H43" i="165"/>
  <c r="G43" i="165"/>
  <c r="F43" i="165"/>
  <c r="E41" i="165"/>
  <c r="N40" i="165"/>
  <c r="M40" i="165"/>
  <c r="L40" i="165"/>
  <c r="K40" i="165"/>
  <c r="I40" i="165"/>
  <c r="H40" i="165"/>
  <c r="G40" i="165"/>
  <c r="F40" i="165"/>
  <c r="N17" i="165"/>
  <c r="M17" i="165"/>
  <c r="L17" i="165"/>
  <c r="I17" i="165"/>
  <c r="J84" i="167"/>
  <c r="J83" i="167"/>
  <c r="J81" i="167"/>
  <c r="M81" i="167" s="1"/>
  <c r="J80" i="167"/>
  <c r="L285" i="202" l="1"/>
  <c r="K112" i="165"/>
  <c r="K112" i="202" s="1"/>
  <c r="K108" i="202" s="1"/>
  <c r="L112" i="165"/>
  <c r="L112" i="202" s="1"/>
  <c r="L108" i="202" s="1"/>
  <c r="M112" i="165"/>
  <c r="M112" i="202" s="1"/>
  <c r="M108" i="202" s="1"/>
  <c r="I112" i="165"/>
  <c r="I112" i="202" s="1"/>
  <c r="I108" i="202" s="1"/>
  <c r="N112" i="165"/>
  <c r="N112" i="202" s="1"/>
  <c r="N108" i="202" s="1"/>
  <c r="G42" i="165"/>
  <c r="L42" i="165"/>
  <c r="I42" i="165"/>
  <c r="N42" i="165"/>
  <c r="F42" i="165"/>
  <c r="F42" i="202" s="1"/>
  <c r="H42" i="165"/>
  <c r="M42" i="165"/>
  <c r="K42" i="165"/>
  <c r="K42" i="202" s="1"/>
  <c r="L355" i="165"/>
  <c r="L321" i="165"/>
  <c r="G374" i="165"/>
  <c r="I374" i="165"/>
  <c r="M355" i="165"/>
  <c r="G355" i="165"/>
  <c r="G394" i="165"/>
  <c r="K394" i="165"/>
  <c r="L394" i="165"/>
  <c r="F321" i="165"/>
  <c r="N374" i="165"/>
  <c r="I321" i="165"/>
  <c r="I355" i="165"/>
  <c r="N355" i="165"/>
  <c r="H374" i="165"/>
  <c r="L374" i="165"/>
  <c r="M374" i="165"/>
  <c r="I394" i="165"/>
  <c r="N394" i="165"/>
  <c r="M394" i="165"/>
  <c r="G321" i="165"/>
  <c r="M321" i="165"/>
  <c r="N321" i="165"/>
  <c r="K355" i="165"/>
  <c r="G36" i="165"/>
  <c r="L36" i="165"/>
  <c r="H36" i="165"/>
  <c r="M36" i="165"/>
  <c r="I36" i="165"/>
  <c r="N36" i="165"/>
  <c r="F36" i="165"/>
  <c r="F36" i="202" s="1"/>
  <c r="K36" i="165"/>
  <c r="K36" i="202" s="1"/>
  <c r="K271" i="165"/>
  <c r="N271" i="165"/>
  <c r="F271" i="165"/>
  <c r="F271" i="202" s="1"/>
  <c r="F258" i="202" s="1"/>
  <c r="F257" i="202" s="1"/>
  <c r="M271" i="165"/>
  <c r="L271" i="165"/>
  <c r="I271" i="165"/>
  <c r="H271" i="165"/>
  <c r="G271" i="165"/>
  <c r="N299" i="165"/>
  <c r="M222" i="165"/>
  <c r="G222" i="165"/>
  <c r="I222" i="165"/>
  <c r="F129" i="165"/>
  <c r="G129" i="165"/>
  <c r="H129" i="165"/>
  <c r="I129" i="165"/>
  <c r="L129" i="165"/>
  <c r="M129" i="165"/>
  <c r="N129" i="165"/>
  <c r="H299" i="165"/>
  <c r="L299" i="165"/>
  <c r="K299" i="165"/>
  <c r="M299" i="165"/>
  <c r="I299" i="165"/>
  <c r="I201" i="165"/>
  <c r="M201" i="165"/>
  <c r="G299" i="165"/>
  <c r="F299" i="165"/>
  <c r="I25" i="165"/>
  <c r="N25" i="165"/>
  <c r="E40" i="165"/>
  <c r="F25" i="165"/>
  <c r="K25" i="165"/>
  <c r="I191" i="165"/>
  <c r="H191" i="165"/>
  <c r="L191" i="165"/>
  <c r="G25" i="165"/>
  <c r="K191" i="165"/>
  <c r="H25" i="165"/>
  <c r="J117" i="165"/>
  <c r="N191" i="165"/>
  <c r="M191" i="165"/>
  <c r="G191" i="165"/>
  <c r="F191" i="165"/>
  <c r="M25" i="165"/>
  <c r="G82" i="167"/>
  <c r="J79" i="167"/>
  <c r="K16" i="202" l="1"/>
  <c r="K15" i="202" s="1"/>
  <c r="F16" i="202"/>
  <c r="F15" i="202" s="1"/>
  <c r="I107" i="202"/>
  <c r="I430" i="202"/>
  <c r="I441" i="202" s="1"/>
  <c r="M107" i="202"/>
  <c r="M430" i="202"/>
  <c r="M441" i="202" s="1"/>
  <c r="L107" i="202"/>
  <c r="N107" i="202"/>
  <c r="N430" i="202"/>
  <c r="N441" i="202" s="1"/>
  <c r="K107" i="202"/>
  <c r="I16" i="165"/>
  <c r="N16" i="165"/>
  <c r="M16" i="165"/>
  <c r="F16" i="165"/>
  <c r="M286" i="165"/>
  <c r="L286" i="165"/>
  <c r="N286" i="165"/>
  <c r="I286" i="165"/>
  <c r="K286" i="165"/>
  <c r="L258" i="165"/>
  <c r="I258" i="165"/>
  <c r="G258" i="165"/>
  <c r="M258" i="165"/>
  <c r="N258" i="165"/>
  <c r="H258" i="165"/>
  <c r="F258" i="165"/>
  <c r="I108" i="165"/>
  <c r="L108" i="165"/>
  <c r="M108" i="165"/>
  <c r="N108" i="165"/>
  <c r="E36" i="165"/>
  <c r="E36" i="202" s="1"/>
  <c r="M140" i="165"/>
  <c r="I140" i="165"/>
  <c r="L25" i="165"/>
  <c r="L25" i="202" s="1"/>
  <c r="L16" i="202" s="1"/>
  <c r="L430" i="202" s="1"/>
  <c r="L441" i="202" s="1"/>
  <c r="J70" i="167"/>
  <c r="L15" i="202" l="1"/>
  <c r="L16" i="165"/>
  <c r="O69" i="165"/>
  <c r="G61" i="165"/>
  <c r="F61" i="165"/>
  <c r="J63" i="165"/>
  <c r="E63" i="165"/>
  <c r="O56" i="165"/>
  <c r="E56" i="165"/>
  <c r="J86" i="167"/>
  <c r="E55" i="165" l="1"/>
  <c r="O55" i="165"/>
  <c r="E69" i="165"/>
  <c r="H79" i="167"/>
  <c r="J69" i="165"/>
  <c r="I79" i="167"/>
  <c r="F67" i="165"/>
  <c r="G67" i="165"/>
  <c r="H70" i="167"/>
  <c r="P63" i="165"/>
  <c r="F71" i="165"/>
  <c r="O72" i="165"/>
  <c r="J67" i="167"/>
  <c r="J85" i="167"/>
  <c r="M67" i="167" l="1"/>
  <c r="M51" i="165"/>
  <c r="O71" i="165"/>
  <c r="G79" i="167"/>
  <c r="I84" i="167"/>
  <c r="H84" i="167"/>
  <c r="E72" i="165"/>
  <c r="P69" i="165"/>
  <c r="M63" i="167"/>
  <c r="J72" i="165"/>
  <c r="J56" i="165"/>
  <c r="O70" i="165"/>
  <c r="E70" i="165"/>
  <c r="H64" i="165"/>
  <c r="F64" i="165"/>
  <c r="J91" i="167"/>
  <c r="O78" i="165"/>
  <c r="M49" i="165" l="1"/>
  <c r="F49" i="165"/>
  <c r="F49" i="202" s="1"/>
  <c r="F48" i="202" s="1"/>
  <c r="F47" i="202" s="1"/>
  <c r="J55" i="165"/>
  <c r="P72" i="165"/>
  <c r="G84" i="167"/>
  <c r="H85" i="167"/>
  <c r="E71" i="165"/>
  <c r="J70" i="165"/>
  <c r="I86" i="167"/>
  <c r="G64" i="165"/>
  <c r="E78" i="165"/>
  <c r="J78" i="165"/>
  <c r="H86" i="167"/>
  <c r="I70" i="167"/>
  <c r="G70" i="167" s="1"/>
  <c r="J71" i="165"/>
  <c r="P56" i="165"/>
  <c r="O416" i="165"/>
  <c r="E416" i="165"/>
  <c r="I357" i="167"/>
  <c r="H395" i="165"/>
  <c r="O397" i="165"/>
  <c r="E397" i="165"/>
  <c r="F356" i="165"/>
  <c r="O358" i="165"/>
  <c r="E358" i="165"/>
  <c r="O349" i="165"/>
  <c r="E349" i="165"/>
  <c r="O324" i="165"/>
  <c r="E324" i="165"/>
  <c r="F287" i="165"/>
  <c r="O289" i="165"/>
  <c r="E289" i="165"/>
  <c r="O143" i="165"/>
  <c r="E143" i="165"/>
  <c r="F286" i="165" l="1"/>
  <c r="G49" i="165"/>
  <c r="G49" i="202" s="1"/>
  <c r="G48" i="202" s="1"/>
  <c r="G47" i="202" s="1"/>
  <c r="H394" i="165"/>
  <c r="F355" i="165"/>
  <c r="M48" i="165"/>
  <c r="F48" i="165"/>
  <c r="P55" i="165"/>
  <c r="P71" i="165"/>
  <c r="P70" i="165"/>
  <c r="P78" i="165"/>
  <c r="H319" i="167"/>
  <c r="H292" i="167"/>
  <c r="J349" i="165"/>
  <c r="H251" i="167"/>
  <c r="J324" i="165"/>
  <c r="F346" i="165"/>
  <c r="H347" i="167"/>
  <c r="F414" i="165"/>
  <c r="I91" i="167"/>
  <c r="G86" i="167"/>
  <c r="J289" i="165"/>
  <c r="J397" i="165"/>
  <c r="H313" i="167"/>
  <c r="H311" i="167" s="1"/>
  <c r="J358" i="165"/>
  <c r="F395" i="165"/>
  <c r="H360" i="167"/>
  <c r="J143" i="165"/>
  <c r="J416" i="165"/>
  <c r="H91" i="167"/>
  <c r="I85" i="167"/>
  <c r="G85" i="167" s="1"/>
  <c r="H139" i="167"/>
  <c r="J357" i="167"/>
  <c r="G251" i="167" l="1"/>
  <c r="I319" i="167"/>
  <c r="G319" i="167" s="1"/>
  <c r="F394" i="165"/>
  <c r="G347" i="167"/>
  <c r="G48" i="165"/>
  <c r="F413" i="165"/>
  <c r="P358" i="165"/>
  <c r="G313" i="167"/>
  <c r="P397" i="165"/>
  <c r="P416" i="165"/>
  <c r="P324" i="165"/>
  <c r="P143" i="165"/>
  <c r="G91" i="167"/>
  <c r="G292" i="167"/>
  <c r="G360" i="167"/>
  <c r="P349" i="165"/>
  <c r="P289" i="165"/>
  <c r="I139" i="167"/>
  <c r="G139" i="167" s="1"/>
  <c r="O261" i="165"/>
  <c r="E261" i="165"/>
  <c r="H224" i="167" l="1"/>
  <c r="J261" i="165"/>
  <c r="G224" i="167" l="1"/>
  <c r="P261" i="165"/>
  <c r="O20" i="165"/>
  <c r="E20" i="165"/>
  <c r="J20" i="165" l="1"/>
  <c r="H23" i="167"/>
  <c r="G23" i="167" l="1"/>
  <c r="P20" i="165"/>
  <c r="K129" i="165" l="1"/>
  <c r="K108" i="165" l="1"/>
  <c r="F45" i="172"/>
  <c r="F42" i="172" s="1"/>
  <c r="E45" i="172"/>
  <c r="E42" i="172" l="1"/>
  <c r="F36" i="172"/>
  <c r="J432" i="165" l="1"/>
  <c r="J432" i="202"/>
  <c r="J431" i="201"/>
  <c r="E36" i="172"/>
  <c r="K264" i="165"/>
  <c r="J442" i="202" l="1"/>
  <c r="Q432" i="202"/>
  <c r="J441" i="201"/>
  <c r="Q431" i="201"/>
  <c r="J443" i="201"/>
  <c r="J440" i="201"/>
  <c r="K263" i="165"/>
  <c r="J218" i="167"/>
  <c r="K258" i="165" l="1"/>
  <c r="K17" i="165"/>
  <c r="K16" i="165" l="1"/>
  <c r="O253" i="165"/>
  <c r="E253" i="165"/>
  <c r="F235" i="165"/>
  <c r="O251" i="165" l="1"/>
  <c r="E251" i="165"/>
  <c r="H235" i="165"/>
  <c r="H218" i="167"/>
  <c r="J253" i="165"/>
  <c r="J251" i="165" l="1"/>
  <c r="E247" i="165"/>
  <c r="H229" i="165"/>
  <c r="O247" i="165"/>
  <c r="P253" i="165"/>
  <c r="I218" i="167"/>
  <c r="G218" i="167" s="1"/>
  <c r="P251" i="165" l="1"/>
  <c r="J247" i="165"/>
  <c r="I17" i="107"/>
  <c r="I13" i="107" s="1"/>
  <c r="P247" i="165" l="1"/>
  <c r="I12" i="107"/>
  <c r="I29" i="107" s="1"/>
  <c r="I16" i="107"/>
  <c r="I15" i="107" s="1"/>
  <c r="I14" i="107" s="1"/>
  <c r="D92" i="170"/>
  <c r="D77" i="170"/>
  <c r="D74" i="170"/>
  <c r="F385" i="165" l="1"/>
  <c r="H414" i="165" l="1"/>
  <c r="K385" i="165"/>
  <c r="F381" i="165"/>
  <c r="F381" i="202" s="1"/>
  <c r="J356" i="167"/>
  <c r="J354" i="167"/>
  <c r="J352" i="167" l="1"/>
  <c r="H413" i="165"/>
  <c r="F378" i="165"/>
  <c r="F378" i="202" s="1"/>
  <c r="F374" i="202" s="1"/>
  <c r="F373" i="202" s="1"/>
  <c r="H405" i="165"/>
  <c r="K381" i="165"/>
  <c r="J348" i="167"/>
  <c r="H348" i="167"/>
  <c r="G346" i="167"/>
  <c r="F374" i="165" l="1"/>
  <c r="K348" i="167"/>
  <c r="H345" i="167"/>
  <c r="J345" i="167"/>
  <c r="M348" i="167"/>
  <c r="K378" i="165"/>
  <c r="H356" i="165"/>
  <c r="H404" i="165"/>
  <c r="J287" i="167"/>
  <c r="J285" i="167"/>
  <c r="J282" i="167"/>
  <c r="H282" i="167"/>
  <c r="J267" i="167"/>
  <c r="J263" i="167"/>
  <c r="J257" i="167"/>
  <c r="M257" i="167" s="1"/>
  <c r="J254" i="167"/>
  <c r="M254" i="167" s="1"/>
  <c r="J253" i="167"/>
  <c r="J252" i="167"/>
  <c r="O316" i="165"/>
  <c r="J316" i="165" s="1"/>
  <c r="O314" i="165"/>
  <c r="O315" i="165"/>
  <c r="J244" i="167"/>
  <c r="J234" i="167"/>
  <c r="J228" i="167"/>
  <c r="J249" i="167" l="1"/>
  <c r="J248" i="167" s="1"/>
  <c r="M248" i="167" s="1"/>
  <c r="H355" i="165"/>
  <c r="K374" i="165"/>
  <c r="J222" i="167"/>
  <c r="H322" i="165"/>
  <c r="H287" i="165"/>
  <c r="J314" i="165"/>
  <c r="O313" i="165"/>
  <c r="O313" i="202" s="1"/>
  <c r="I287" i="167"/>
  <c r="J204" i="167"/>
  <c r="L226" i="165"/>
  <c r="H321" i="165" l="1"/>
  <c r="I285" i="167"/>
  <c r="L223" i="165"/>
  <c r="O312" i="165"/>
  <c r="O312" i="202" s="1"/>
  <c r="O286" i="202" s="1"/>
  <c r="H346" i="165"/>
  <c r="N226" i="165"/>
  <c r="N235" i="165"/>
  <c r="L235" i="165"/>
  <c r="K235" i="165"/>
  <c r="K240" i="165"/>
  <c r="O285" i="202" l="1"/>
  <c r="J286" i="202"/>
  <c r="J285" i="202" s="1"/>
  <c r="K229" i="165"/>
  <c r="L229" i="165"/>
  <c r="N229" i="165"/>
  <c r="N223" i="165"/>
  <c r="K226" i="165"/>
  <c r="P13" i="107"/>
  <c r="P12" i="107" s="1"/>
  <c r="P29" i="107" s="1"/>
  <c r="F224" i="165"/>
  <c r="E429" i="165"/>
  <c r="I200" i="165"/>
  <c r="J198" i="167"/>
  <c r="L222" i="165" l="1"/>
  <c r="N222" i="165"/>
  <c r="N202" i="165"/>
  <c r="H224" i="165"/>
  <c r="O202" i="165"/>
  <c r="F230" i="165"/>
  <c r="F230" i="202" s="1"/>
  <c r="K223" i="165"/>
  <c r="L202" i="165"/>
  <c r="F233" i="165"/>
  <c r="L209" i="165"/>
  <c r="E92" i="170"/>
  <c r="F240" i="165"/>
  <c r="E428" i="165"/>
  <c r="H226" i="165"/>
  <c r="N204" i="165"/>
  <c r="F226" i="165"/>
  <c r="O220" i="165"/>
  <c r="E220" i="165"/>
  <c r="E85" i="170" s="1"/>
  <c r="F229" i="165" l="1"/>
  <c r="F229" i="202" s="1"/>
  <c r="F222" i="202" s="1"/>
  <c r="F221" i="202" s="1"/>
  <c r="K222" i="165"/>
  <c r="L204" i="165"/>
  <c r="H209" i="165"/>
  <c r="F223" i="165"/>
  <c r="H223" i="165"/>
  <c r="E427" i="165"/>
  <c r="N201" i="165"/>
  <c r="F209" i="165"/>
  <c r="E219" i="165"/>
  <c r="J220" i="165"/>
  <c r="O219" i="165"/>
  <c r="H198" i="167"/>
  <c r="J182" i="167"/>
  <c r="H222" i="165" l="1"/>
  <c r="F222" i="165"/>
  <c r="L201" i="165"/>
  <c r="E218" i="165"/>
  <c r="P220" i="165"/>
  <c r="O218" i="165"/>
  <c r="I198" i="167"/>
  <c r="G198" i="167" s="1"/>
  <c r="J219" i="165"/>
  <c r="K204" i="165"/>
  <c r="F204" i="165"/>
  <c r="G283" i="167"/>
  <c r="G281" i="167"/>
  <c r="G266" i="167"/>
  <c r="G260" i="167"/>
  <c r="G250" i="167"/>
  <c r="G223" i="167"/>
  <c r="J221" i="167"/>
  <c r="K201" i="165" l="1"/>
  <c r="J218" i="165"/>
  <c r="H202" i="165"/>
  <c r="F202" i="165"/>
  <c r="H204" i="165"/>
  <c r="G202" i="165"/>
  <c r="P219" i="165"/>
  <c r="O19" i="165"/>
  <c r="E19" i="165"/>
  <c r="J19" i="165" l="1"/>
  <c r="G201" i="165"/>
  <c r="F201" i="165"/>
  <c r="P218" i="165"/>
  <c r="H201" i="165"/>
  <c r="J162" i="167"/>
  <c r="P19" i="165" l="1"/>
  <c r="L184" i="165"/>
  <c r="L155" i="165"/>
  <c r="N184" i="165"/>
  <c r="N155" i="165"/>
  <c r="J176" i="167"/>
  <c r="J172" i="167"/>
  <c r="J161" i="167"/>
  <c r="J156" i="167"/>
  <c r="J145" i="167"/>
  <c r="J144" i="167"/>
  <c r="J143" i="167"/>
  <c r="J142" i="167"/>
  <c r="J141" i="167"/>
  <c r="L145" i="165" l="1"/>
  <c r="N145" i="165"/>
  <c r="J116" i="167"/>
  <c r="N140" i="165" l="1"/>
  <c r="L140" i="165"/>
  <c r="H155" i="165"/>
  <c r="G184" i="165"/>
  <c r="H141" i="165"/>
  <c r="H184" i="165"/>
  <c r="G155" i="165"/>
  <c r="J164" i="167"/>
  <c r="J135" i="167" s="1"/>
  <c r="K184" i="165"/>
  <c r="K145" i="165" l="1"/>
  <c r="K145" i="202" s="1"/>
  <c r="K140" i="202" s="1"/>
  <c r="G145" i="165"/>
  <c r="H145" i="165"/>
  <c r="H122" i="165"/>
  <c r="G122" i="165"/>
  <c r="F122" i="165"/>
  <c r="K139" i="202" l="1"/>
  <c r="K430" i="202"/>
  <c r="F112" i="165"/>
  <c r="F112" i="202" s="1"/>
  <c r="F108" i="202" s="1"/>
  <c r="H112" i="165"/>
  <c r="H112" i="202" s="1"/>
  <c r="H108" i="202" s="1"/>
  <c r="G112" i="165"/>
  <c r="G112" i="202" s="1"/>
  <c r="G108" i="202" s="1"/>
  <c r="K140" i="165"/>
  <c r="G140" i="165"/>
  <c r="H140" i="165"/>
  <c r="K329" i="165"/>
  <c r="K444" i="202" l="1"/>
  <c r="K441" i="202"/>
  <c r="G107" i="202"/>
  <c r="H107" i="202"/>
  <c r="F107" i="202"/>
  <c r="F430" i="202"/>
  <c r="F441" i="202" s="1"/>
  <c r="F108" i="165"/>
  <c r="H108" i="165"/>
  <c r="G108" i="165"/>
  <c r="K328" i="165"/>
  <c r="L61" i="165"/>
  <c r="K321" i="165" l="1"/>
  <c r="N61" i="165"/>
  <c r="L64" i="165"/>
  <c r="O61" i="165"/>
  <c r="N64" i="165"/>
  <c r="N51" i="165" l="1"/>
  <c r="L51" i="165"/>
  <c r="N49" i="165" l="1"/>
  <c r="L49" i="165"/>
  <c r="G61" i="167"/>
  <c r="N48" i="165" l="1"/>
  <c r="L48" i="165"/>
  <c r="H61" i="165" l="1"/>
  <c r="H67" i="165" l="1"/>
  <c r="J44" i="167"/>
  <c r="M44" i="167" s="1"/>
  <c r="O45" i="165"/>
  <c r="E45" i="165"/>
  <c r="J33" i="167"/>
  <c r="M33" i="167" s="1"/>
  <c r="H49" i="165" l="1"/>
  <c r="J45" i="165"/>
  <c r="E77" i="170"/>
  <c r="H44" i="167"/>
  <c r="H48" i="165" l="1"/>
  <c r="P45" i="165"/>
  <c r="I44" i="167"/>
  <c r="L44" i="167" s="1"/>
  <c r="K44" i="167"/>
  <c r="G44" i="167" l="1"/>
  <c r="G19" i="167"/>
  <c r="G17" i="165"/>
  <c r="G17" i="202" s="1"/>
  <c r="G16" i="202" s="1"/>
  <c r="G15" i="202" l="1"/>
  <c r="G16" i="165"/>
  <c r="H17" i="165"/>
  <c r="H313" i="165"/>
  <c r="H313" i="202" s="1"/>
  <c r="G313" i="165"/>
  <c r="G313" i="202" s="1"/>
  <c r="H16" i="165" l="1"/>
  <c r="H312" i="165"/>
  <c r="H312" i="202" s="1"/>
  <c r="H286" i="202" s="1"/>
  <c r="G312" i="165"/>
  <c r="G312" i="202" s="1"/>
  <c r="G286" i="202" s="1"/>
  <c r="O198" i="165"/>
  <c r="E198" i="165"/>
  <c r="O189" i="165"/>
  <c r="E189" i="165"/>
  <c r="O186" i="165"/>
  <c r="E186" i="165"/>
  <c r="O167" i="165"/>
  <c r="E167" i="165"/>
  <c r="O166" i="165"/>
  <c r="O164" i="165"/>
  <c r="E164" i="165"/>
  <c r="O163" i="165"/>
  <c r="E163" i="165"/>
  <c r="O161" i="165"/>
  <c r="E161" i="165"/>
  <c r="O157" i="165"/>
  <c r="O157" i="202" s="1"/>
  <c r="E157" i="165"/>
  <c r="E156" i="165"/>
  <c r="H149" i="167" s="1"/>
  <c r="K149" i="167" s="1"/>
  <c r="O154" i="165"/>
  <c r="E154" i="165"/>
  <c r="O152" i="165"/>
  <c r="E152" i="165"/>
  <c r="O151" i="165"/>
  <c r="E151" i="165"/>
  <c r="O150" i="165"/>
  <c r="E150" i="165"/>
  <c r="O149" i="165"/>
  <c r="E149" i="165"/>
  <c r="O148" i="165"/>
  <c r="E148" i="165"/>
  <c r="O147" i="165"/>
  <c r="O142" i="165"/>
  <c r="E142" i="165"/>
  <c r="E142" i="202" s="1"/>
  <c r="G285" i="202" l="1"/>
  <c r="G430" i="202"/>
  <c r="G441" i="202" s="1"/>
  <c r="H285" i="202"/>
  <c r="H430" i="202"/>
  <c r="H286" i="165"/>
  <c r="K158" i="167"/>
  <c r="G286" i="165"/>
  <c r="G430" i="165" s="1"/>
  <c r="K166" i="167"/>
  <c r="H151" i="167"/>
  <c r="O188" i="165"/>
  <c r="E188" i="165"/>
  <c r="E155" i="165"/>
  <c r="J161" i="165"/>
  <c r="J164" i="165"/>
  <c r="J148" i="165"/>
  <c r="H143" i="167"/>
  <c r="H145" i="167"/>
  <c r="H148" i="167"/>
  <c r="H157" i="167"/>
  <c r="J151" i="165"/>
  <c r="J157" i="165"/>
  <c r="J157" i="202" s="1"/>
  <c r="J163" i="165"/>
  <c r="O141" i="165"/>
  <c r="J150" i="165"/>
  <c r="J152" i="165"/>
  <c r="J149" i="165"/>
  <c r="J154" i="165"/>
  <c r="E141" i="165"/>
  <c r="E141" i="202" s="1"/>
  <c r="E140" i="202" s="1"/>
  <c r="H144" i="167"/>
  <c r="H146" i="167"/>
  <c r="H156" i="167"/>
  <c r="J186" i="165"/>
  <c r="E147" i="165"/>
  <c r="F146" i="165"/>
  <c r="E166" i="165"/>
  <c r="F165" i="165"/>
  <c r="E185" i="165"/>
  <c r="F184" i="165"/>
  <c r="J142" i="165"/>
  <c r="H176" i="167"/>
  <c r="E197" i="165"/>
  <c r="E195" i="165" s="1"/>
  <c r="J198" i="165"/>
  <c r="O197" i="165"/>
  <c r="O195" i="165" s="1"/>
  <c r="H172" i="167"/>
  <c r="J189" i="165"/>
  <c r="J185" i="165"/>
  <c r="O184" i="165"/>
  <c r="H162" i="167"/>
  <c r="J167" i="165"/>
  <c r="J166" i="165"/>
  <c r="O165" i="165"/>
  <c r="J156" i="165"/>
  <c r="I149" i="167" s="1"/>
  <c r="L149" i="167" s="1"/>
  <c r="O155" i="165"/>
  <c r="O155" i="202" s="1"/>
  <c r="J147" i="165"/>
  <c r="O146" i="165"/>
  <c r="H142" i="167"/>
  <c r="H441" i="202" l="1"/>
  <c r="H443" i="202"/>
  <c r="E139" i="202"/>
  <c r="H164" i="167"/>
  <c r="G166" i="167"/>
  <c r="I151" i="167"/>
  <c r="I158" i="167"/>
  <c r="L158" i="167" s="1"/>
  <c r="P151" i="165"/>
  <c r="P164" i="165"/>
  <c r="J188" i="165"/>
  <c r="P167" i="165"/>
  <c r="F145" i="165"/>
  <c r="O145" i="165"/>
  <c r="O145" i="202" s="1"/>
  <c r="O140" i="202" s="1"/>
  <c r="P161" i="165"/>
  <c r="P150" i="165"/>
  <c r="P148" i="165"/>
  <c r="P157" i="165"/>
  <c r="P157" i="202" s="1"/>
  <c r="P149" i="165"/>
  <c r="P163" i="165"/>
  <c r="P152" i="165"/>
  <c r="P154" i="165"/>
  <c r="P186" i="165"/>
  <c r="P156" i="165"/>
  <c r="O187" i="165"/>
  <c r="J141" i="165"/>
  <c r="E165" i="165"/>
  <c r="I143" i="167"/>
  <c r="I144" i="167"/>
  <c r="I142" i="167"/>
  <c r="P189" i="165"/>
  <c r="P198" i="165"/>
  <c r="P147" i="165"/>
  <c r="E187" i="165"/>
  <c r="E184" i="165"/>
  <c r="H141" i="167"/>
  <c r="I148" i="167"/>
  <c r="I146" i="167"/>
  <c r="I157" i="167"/>
  <c r="I145" i="167"/>
  <c r="I156" i="167"/>
  <c r="P166" i="165"/>
  <c r="H161" i="167"/>
  <c r="P142" i="165"/>
  <c r="P142" i="202" s="1"/>
  <c r="P185" i="165"/>
  <c r="E146" i="165"/>
  <c r="I176" i="167"/>
  <c r="G176" i="167" s="1"/>
  <c r="J197" i="165"/>
  <c r="J195" i="165" s="1"/>
  <c r="I172" i="167"/>
  <c r="I164" i="167"/>
  <c r="J184" i="165"/>
  <c r="I162" i="167"/>
  <c r="I161" i="167"/>
  <c r="J165" i="165"/>
  <c r="J155" i="165"/>
  <c r="J155" i="202" s="1"/>
  <c r="I141" i="167"/>
  <c r="J146" i="165"/>
  <c r="E411" i="165"/>
  <c r="J409" i="165"/>
  <c r="E409" i="165"/>
  <c r="O406" i="165"/>
  <c r="E406" i="165"/>
  <c r="O396" i="165"/>
  <c r="E396" i="165"/>
  <c r="O364" i="165"/>
  <c r="E364" i="165"/>
  <c r="O357" i="165"/>
  <c r="E357" i="165"/>
  <c r="O348" i="165"/>
  <c r="E348" i="165"/>
  <c r="E316" i="165"/>
  <c r="J315" i="165"/>
  <c r="E315" i="165"/>
  <c r="E314" i="165"/>
  <c r="O307" i="165"/>
  <c r="E307" i="165"/>
  <c r="O306" i="165"/>
  <c r="E306" i="165"/>
  <c r="E304" i="165"/>
  <c r="H264" i="167" s="1"/>
  <c r="K264" i="167" s="1"/>
  <c r="O301" i="165"/>
  <c r="E301" i="165"/>
  <c r="O297" i="165"/>
  <c r="E297" i="165"/>
  <c r="O296" i="165"/>
  <c r="E296" i="165"/>
  <c r="O294" i="165"/>
  <c r="E294" i="165"/>
  <c r="O293" i="165"/>
  <c r="E293" i="165"/>
  <c r="O290" i="165"/>
  <c r="E290" i="165"/>
  <c r="O288" i="165"/>
  <c r="E288" i="165"/>
  <c r="M285" i="165"/>
  <c r="L285" i="165"/>
  <c r="K285" i="165"/>
  <c r="I285" i="165"/>
  <c r="H285" i="165"/>
  <c r="G285" i="165"/>
  <c r="F285" i="165"/>
  <c r="N285" i="165"/>
  <c r="E278" i="165"/>
  <c r="O275" i="165"/>
  <c r="E275" i="165"/>
  <c r="E275" i="202" s="1"/>
  <c r="O269" i="165"/>
  <c r="E269" i="165"/>
  <c r="O267" i="165"/>
  <c r="E267" i="165"/>
  <c r="O266" i="165"/>
  <c r="E266" i="165"/>
  <c r="O265" i="165"/>
  <c r="O260" i="165"/>
  <c r="E260" i="165"/>
  <c r="M257" i="165"/>
  <c r="L257" i="165"/>
  <c r="K257" i="165"/>
  <c r="M221" i="167" s="1"/>
  <c r="H257" i="165"/>
  <c r="F257" i="165"/>
  <c r="N257" i="165"/>
  <c r="I257" i="165"/>
  <c r="G257" i="165"/>
  <c r="O139" i="202" l="1"/>
  <c r="J140" i="202"/>
  <c r="I286" i="167"/>
  <c r="K260" i="167"/>
  <c r="K241" i="167"/>
  <c r="K254" i="167"/>
  <c r="I354" i="167"/>
  <c r="K257" i="167"/>
  <c r="L166" i="167"/>
  <c r="K279" i="167"/>
  <c r="O292" i="165"/>
  <c r="E292" i="165"/>
  <c r="E145" i="165"/>
  <c r="H230" i="167"/>
  <c r="E347" i="165"/>
  <c r="O347" i="165"/>
  <c r="I135" i="167"/>
  <c r="E305" i="165"/>
  <c r="O305" i="165"/>
  <c r="O259" i="165"/>
  <c r="E259" i="165"/>
  <c r="E313" i="165"/>
  <c r="E313" i="202" s="1"/>
  <c r="P188" i="165"/>
  <c r="J187" i="165"/>
  <c r="J145" i="165"/>
  <c r="J145" i="202" s="1"/>
  <c r="P146" i="165"/>
  <c r="H321" i="167"/>
  <c r="H317" i="167" s="1"/>
  <c r="P197" i="165"/>
  <c r="P195" i="165" s="1"/>
  <c r="E303" i="165"/>
  <c r="P155" i="165"/>
  <c r="P155" i="202" s="1"/>
  <c r="J267" i="165"/>
  <c r="H228" i="167"/>
  <c r="H234" i="167"/>
  <c r="H252" i="167"/>
  <c r="J307" i="165"/>
  <c r="P141" i="165"/>
  <c r="P141" i="202" s="1"/>
  <c r="J266" i="165"/>
  <c r="J269" i="165"/>
  <c r="J290" i="165"/>
  <c r="J294" i="165"/>
  <c r="J297" i="165"/>
  <c r="E395" i="165"/>
  <c r="J400" i="165"/>
  <c r="O191" i="165"/>
  <c r="O395" i="165"/>
  <c r="E405" i="165"/>
  <c r="P165" i="165"/>
  <c r="J296" i="165"/>
  <c r="P184" i="165"/>
  <c r="F140" i="165"/>
  <c r="E356" i="165"/>
  <c r="E287" i="165"/>
  <c r="J309" i="165"/>
  <c r="J357" i="165"/>
  <c r="O356" i="165"/>
  <c r="J364" i="165"/>
  <c r="O363" i="165"/>
  <c r="E408" i="165"/>
  <c r="J301" i="165"/>
  <c r="O300" i="165"/>
  <c r="J408" i="165"/>
  <c r="H356" i="167"/>
  <c r="H352" i="167" s="1"/>
  <c r="E410" i="165"/>
  <c r="J278" i="165"/>
  <c r="O277" i="165"/>
  <c r="J304" i="165"/>
  <c r="I264" i="167" s="1"/>
  <c r="L264" i="167" s="1"/>
  <c r="J313" i="165"/>
  <c r="J313" i="202" s="1"/>
  <c r="E363" i="165"/>
  <c r="J406" i="165"/>
  <c r="O405" i="165"/>
  <c r="J411" i="165"/>
  <c r="O410" i="165"/>
  <c r="H286" i="167"/>
  <c r="H267" i="167"/>
  <c r="J306" i="165"/>
  <c r="H263" i="167"/>
  <c r="E300" i="165"/>
  <c r="O287" i="165"/>
  <c r="J293" i="165"/>
  <c r="H253" i="167"/>
  <c r="J275" i="165"/>
  <c r="H244" i="167"/>
  <c r="E277" i="165"/>
  <c r="J265" i="165"/>
  <c r="O264" i="165"/>
  <c r="E264" i="165"/>
  <c r="E264" i="202" s="1"/>
  <c r="J348" i="165"/>
  <c r="J396" i="165"/>
  <c r="J260" i="165"/>
  <c r="H287" i="167"/>
  <c r="G287" i="167" s="1"/>
  <c r="P316" i="165"/>
  <c r="J288" i="165"/>
  <c r="H285" i="167"/>
  <c r="G285" i="167" s="1"/>
  <c r="P314" i="165"/>
  <c r="P315" i="165"/>
  <c r="P409" i="165"/>
  <c r="J139" i="202" l="1"/>
  <c r="P140" i="202"/>
  <c r="H222" i="167"/>
  <c r="H221" i="167" s="1"/>
  <c r="L241" i="167"/>
  <c r="L260" i="167"/>
  <c r="Q400" i="165"/>
  <c r="H249" i="167"/>
  <c r="H248" i="167" s="1"/>
  <c r="L225" i="167"/>
  <c r="L279" i="167"/>
  <c r="J292" i="165"/>
  <c r="I230" i="167"/>
  <c r="G230" i="167" s="1"/>
  <c r="J347" i="165"/>
  <c r="O263" i="165"/>
  <c r="E360" i="165"/>
  <c r="F36" i="108"/>
  <c r="O360" i="165"/>
  <c r="E274" i="165"/>
  <c r="E274" i="202" s="1"/>
  <c r="E263" i="165"/>
  <c r="E263" i="202" s="1"/>
  <c r="F430" i="165"/>
  <c r="L348" i="167"/>
  <c r="J308" i="165"/>
  <c r="G225" i="167"/>
  <c r="E291" i="165"/>
  <c r="J259" i="165"/>
  <c r="O291" i="165"/>
  <c r="J399" i="165"/>
  <c r="P145" i="165"/>
  <c r="P145" i="202" s="1"/>
  <c r="P296" i="165"/>
  <c r="P294" i="165"/>
  <c r="I321" i="167"/>
  <c r="I317" i="167" s="1"/>
  <c r="P290" i="165"/>
  <c r="P267" i="165"/>
  <c r="G286" i="167"/>
  <c r="J303" i="165"/>
  <c r="E302" i="165"/>
  <c r="P400" i="165"/>
  <c r="P194" i="165"/>
  <c r="E193" i="165"/>
  <c r="H174" i="167"/>
  <c r="G174" i="167" s="1"/>
  <c r="P307" i="165"/>
  <c r="P269" i="165"/>
  <c r="P297" i="165"/>
  <c r="P266" i="165"/>
  <c r="G348" i="167"/>
  <c r="G345" i="167" s="1"/>
  <c r="P301" i="165"/>
  <c r="J356" i="165"/>
  <c r="O346" i="165"/>
  <c r="P408" i="165"/>
  <c r="P265" i="165"/>
  <c r="P265" i="202" s="1"/>
  <c r="P293" i="165"/>
  <c r="E312" i="165"/>
  <c r="E312" i="202" s="1"/>
  <c r="E286" i="202" s="1"/>
  <c r="J312" i="165"/>
  <c r="J312" i="202" s="1"/>
  <c r="O274" i="165"/>
  <c r="I252" i="167"/>
  <c r="I228" i="167"/>
  <c r="G228" i="167" s="1"/>
  <c r="P187" i="165"/>
  <c r="P306" i="165"/>
  <c r="J405" i="165"/>
  <c r="J277" i="165"/>
  <c r="I257" i="167"/>
  <c r="O140" i="165"/>
  <c r="O407" i="165"/>
  <c r="O398" i="165"/>
  <c r="E346" i="165"/>
  <c r="I254" i="167"/>
  <c r="I234" i="167"/>
  <c r="G234" i="167" s="1"/>
  <c r="J191" i="165"/>
  <c r="G264" i="167"/>
  <c r="P275" i="165"/>
  <c r="P275" i="202" s="1"/>
  <c r="I282" i="167"/>
  <c r="G282" i="167" s="1"/>
  <c r="P406" i="165"/>
  <c r="I244" i="167"/>
  <c r="G244" i="167" s="1"/>
  <c r="G354" i="167"/>
  <c r="P278" i="165"/>
  <c r="P357" i="165"/>
  <c r="P304" i="165"/>
  <c r="P348" i="165"/>
  <c r="I356" i="167"/>
  <c r="G356" i="167" s="1"/>
  <c r="J410" i="165"/>
  <c r="J363" i="165"/>
  <c r="P364" i="165"/>
  <c r="I263" i="167"/>
  <c r="G263" i="167" s="1"/>
  <c r="J300" i="165"/>
  <c r="P411" i="165"/>
  <c r="P309" i="165"/>
  <c r="E407" i="165"/>
  <c r="P396" i="165"/>
  <c r="J395" i="165"/>
  <c r="P313" i="165"/>
  <c r="P313" i="202" s="1"/>
  <c r="I267" i="167"/>
  <c r="I253" i="167"/>
  <c r="G253" i="167" s="1"/>
  <c r="P288" i="165"/>
  <c r="J287" i="165"/>
  <c r="G241" i="167"/>
  <c r="J264" i="165"/>
  <c r="P260" i="165"/>
  <c r="E285" i="202" l="1"/>
  <c r="P286" i="202"/>
  <c r="P139" i="202"/>
  <c r="Q140" i="202"/>
  <c r="E359" i="165"/>
  <c r="G20" i="197"/>
  <c r="G352" i="167"/>
  <c r="G222" i="167"/>
  <c r="G252" i="167"/>
  <c r="I249" i="167"/>
  <c r="I248" i="167" s="1"/>
  <c r="G248" i="167" s="1"/>
  <c r="P292" i="165"/>
  <c r="G257" i="167"/>
  <c r="L257" i="167"/>
  <c r="J360" i="165"/>
  <c r="E271" i="165"/>
  <c r="E271" i="202" s="1"/>
  <c r="E258" i="202" s="1"/>
  <c r="P347" i="165"/>
  <c r="J263" i="165"/>
  <c r="O394" i="165"/>
  <c r="J274" i="165"/>
  <c r="G254" i="167"/>
  <c r="L254" i="167"/>
  <c r="G267" i="167"/>
  <c r="I352" i="167"/>
  <c r="I222" i="167"/>
  <c r="I221" i="167" s="1"/>
  <c r="J305" i="165"/>
  <c r="P308" i="165"/>
  <c r="O359" i="165"/>
  <c r="P259" i="165"/>
  <c r="O271" i="165"/>
  <c r="J291" i="165"/>
  <c r="P399" i="165"/>
  <c r="E192" i="165"/>
  <c r="G321" i="167"/>
  <c r="G317" i="167" s="1"/>
  <c r="P193" i="165"/>
  <c r="E299" i="165"/>
  <c r="H135" i="167"/>
  <c r="P303" i="165"/>
  <c r="J302" i="165"/>
  <c r="O299" i="165"/>
  <c r="P264" i="165"/>
  <c r="P264" i="202" s="1"/>
  <c r="O404" i="165"/>
  <c r="J398" i="165"/>
  <c r="P312" i="165"/>
  <c r="P312" i="202" s="1"/>
  <c r="P410" i="165"/>
  <c r="J407" i="165"/>
  <c r="E398" i="165"/>
  <c r="P287" i="165"/>
  <c r="E404" i="165"/>
  <c r="P363" i="165"/>
  <c r="P405" i="165"/>
  <c r="P395" i="165"/>
  <c r="P277" i="165"/>
  <c r="P300" i="165"/>
  <c r="P356" i="165"/>
  <c r="O339" i="165"/>
  <c r="E339" i="165"/>
  <c r="O338" i="165"/>
  <c r="E338" i="165"/>
  <c r="O337" i="165"/>
  <c r="E337" i="165"/>
  <c r="O336" i="165"/>
  <c r="E336" i="165"/>
  <c r="E335" i="165"/>
  <c r="O330" i="165"/>
  <c r="E330" i="165"/>
  <c r="O323" i="165"/>
  <c r="E323" i="165"/>
  <c r="N320" i="165"/>
  <c r="M320" i="165"/>
  <c r="I320" i="165"/>
  <c r="H320" i="165"/>
  <c r="G320" i="165"/>
  <c r="F320" i="165"/>
  <c r="P285" i="202" l="1"/>
  <c r="Q286" i="202"/>
  <c r="E257" i="202"/>
  <c r="P258" i="202"/>
  <c r="E355" i="165"/>
  <c r="K317" i="167" s="1"/>
  <c r="E286" i="165"/>
  <c r="G249" i="167"/>
  <c r="O286" i="165"/>
  <c r="E394" i="165"/>
  <c r="J394" i="165"/>
  <c r="P360" i="165"/>
  <c r="O355" i="165"/>
  <c r="E258" i="165"/>
  <c r="E257" i="165" s="1"/>
  <c r="K221" i="167" s="1"/>
  <c r="O258" i="165"/>
  <c r="P305" i="165"/>
  <c r="E191" i="165"/>
  <c r="P263" i="165"/>
  <c r="P263" i="202" s="1"/>
  <c r="P291" i="165"/>
  <c r="J359" i="165"/>
  <c r="J330" i="165"/>
  <c r="J271" i="165"/>
  <c r="G221" i="167"/>
  <c r="J299" i="165"/>
  <c r="P192" i="165"/>
  <c r="P302" i="165"/>
  <c r="P274" i="165"/>
  <c r="P274" i="202" s="1"/>
  <c r="E322" i="165"/>
  <c r="J337" i="165"/>
  <c r="J339" i="165"/>
  <c r="P407" i="165"/>
  <c r="O322" i="165"/>
  <c r="E329" i="165"/>
  <c r="J336" i="165"/>
  <c r="J338" i="165"/>
  <c r="P398" i="165"/>
  <c r="O329" i="165"/>
  <c r="J323" i="165"/>
  <c r="E334" i="165"/>
  <c r="L320" i="165"/>
  <c r="O335" i="165"/>
  <c r="O335" i="202" s="1"/>
  <c r="K320" i="165"/>
  <c r="Q258" i="202" l="1"/>
  <c r="P257" i="202"/>
  <c r="G302" i="167"/>
  <c r="P394" i="165"/>
  <c r="Q394" i="165" s="1"/>
  <c r="J355" i="165"/>
  <c r="J286" i="165"/>
  <c r="P286" i="165" s="1"/>
  <c r="E140" i="165"/>
  <c r="P191" i="165"/>
  <c r="P271" i="165"/>
  <c r="P271" i="202" s="1"/>
  <c r="P359" i="165"/>
  <c r="P337" i="165"/>
  <c r="P338" i="165"/>
  <c r="O285" i="165"/>
  <c r="E285" i="165"/>
  <c r="K248" i="167"/>
  <c r="P336" i="165"/>
  <c r="O257" i="165"/>
  <c r="J258" i="165"/>
  <c r="P339" i="165"/>
  <c r="J322" i="165"/>
  <c r="O328" i="165"/>
  <c r="E328" i="165"/>
  <c r="J329" i="165"/>
  <c r="E332" i="165"/>
  <c r="P299" i="165"/>
  <c r="P330" i="165"/>
  <c r="P323" i="165"/>
  <c r="O334" i="165"/>
  <c r="O334" i="202" s="1"/>
  <c r="J335" i="165"/>
  <c r="J335" i="202" s="1"/>
  <c r="P355" i="165" l="1"/>
  <c r="Q355" i="165" s="1"/>
  <c r="L317" i="167"/>
  <c r="L248" i="167"/>
  <c r="J285" i="165"/>
  <c r="P285" i="165"/>
  <c r="E331" i="165"/>
  <c r="J257" i="165"/>
  <c r="L221" i="167" s="1"/>
  <c r="P258" i="165"/>
  <c r="Q258" i="165" s="1"/>
  <c r="P322" i="165"/>
  <c r="P329" i="165"/>
  <c r="J328" i="165"/>
  <c r="O332" i="165"/>
  <c r="O332" i="202" s="1"/>
  <c r="P335" i="165"/>
  <c r="P335" i="202" s="1"/>
  <c r="J334" i="165"/>
  <c r="J334" i="202" s="1"/>
  <c r="E321" i="165" l="1"/>
  <c r="E320" i="165" s="1"/>
  <c r="O331" i="165"/>
  <c r="O331" i="202" s="1"/>
  <c r="O321" i="202" s="1"/>
  <c r="P257" i="165"/>
  <c r="P334" i="165"/>
  <c r="P334" i="202" s="1"/>
  <c r="P328" i="165"/>
  <c r="J332" i="165"/>
  <c r="J332" i="202" s="1"/>
  <c r="O320" i="202" l="1"/>
  <c r="J321" i="202"/>
  <c r="O321" i="165"/>
  <c r="J331" i="165"/>
  <c r="J331" i="202" s="1"/>
  <c r="P332" i="165"/>
  <c r="P332" i="202" s="1"/>
  <c r="J219" i="167"/>
  <c r="H219" i="167"/>
  <c r="J320" i="202" l="1"/>
  <c r="P321" i="202"/>
  <c r="P331" i="165"/>
  <c r="P331" i="202" s="1"/>
  <c r="O320" i="165"/>
  <c r="J321" i="165"/>
  <c r="Q321" i="202" l="1"/>
  <c r="P320" i="202"/>
  <c r="P321" i="165"/>
  <c r="Q321" i="165" s="1"/>
  <c r="J320" i="165"/>
  <c r="M337" i="167"/>
  <c r="G336" i="167"/>
  <c r="G335" i="167"/>
  <c r="J310" i="167"/>
  <c r="M310" i="167" s="1"/>
  <c r="J215" i="167"/>
  <c r="J214" i="167"/>
  <c r="J213" i="167"/>
  <c r="J212" i="167"/>
  <c r="J210" i="167"/>
  <c r="J207" i="167"/>
  <c r="J206" i="167"/>
  <c r="J205" i="167"/>
  <c r="J201" i="167"/>
  <c r="G194" i="167"/>
  <c r="G193" i="167"/>
  <c r="J192" i="167"/>
  <c r="G191" i="167"/>
  <c r="J190" i="167"/>
  <c r="J187" i="167"/>
  <c r="G188" i="167"/>
  <c r="G169" i="167"/>
  <c r="G168" i="167"/>
  <c r="G165" i="167"/>
  <c r="G159" i="167"/>
  <c r="J133" i="167"/>
  <c r="H133" i="167"/>
  <c r="G132" i="167"/>
  <c r="J124" i="167"/>
  <c r="J123" i="167"/>
  <c r="J122" i="167"/>
  <c r="J121" i="167"/>
  <c r="J115" i="167"/>
  <c r="J101" i="167"/>
  <c r="J59" i="167" s="1"/>
  <c r="G68" i="167"/>
  <c r="G64" i="167"/>
  <c r="G45" i="167"/>
  <c r="F105" i="170" s="1"/>
  <c r="J43" i="167"/>
  <c r="M43" i="167" s="1"/>
  <c r="J42" i="167"/>
  <c r="J34" i="167"/>
  <c r="M34" i="167" s="1"/>
  <c r="G24" i="167"/>
  <c r="O429" i="165"/>
  <c r="O423" i="165"/>
  <c r="O415" i="165"/>
  <c r="G412" i="165"/>
  <c r="E415" i="165"/>
  <c r="N412" i="165"/>
  <c r="M412" i="165"/>
  <c r="L412" i="165"/>
  <c r="K412" i="165"/>
  <c r="I412" i="165"/>
  <c r="H412" i="165"/>
  <c r="G403" i="165"/>
  <c r="N403" i="165"/>
  <c r="M403" i="165"/>
  <c r="L403" i="165"/>
  <c r="K403" i="165"/>
  <c r="I403" i="165"/>
  <c r="F403" i="165"/>
  <c r="N393" i="165"/>
  <c r="M393" i="165"/>
  <c r="I393" i="165"/>
  <c r="H393" i="165"/>
  <c r="G393" i="165"/>
  <c r="O386" i="165"/>
  <c r="O383" i="165"/>
  <c r="O382" i="165"/>
  <c r="E382" i="165"/>
  <c r="E382" i="202" s="1"/>
  <c r="N373" i="165"/>
  <c r="M373" i="165"/>
  <c r="I373" i="165"/>
  <c r="H373" i="165"/>
  <c r="G373" i="165"/>
  <c r="L373" i="165"/>
  <c r="G354" i="165"/>
  <c r="N354" i="165"/>
  <c r="M354" i="165"/>
  <c r="I354" i="165"/>
  <c r="H354" i="165"/>
  <c r="N345" i="165"/>
  <c r="M345" i="165"/>
  <c r="L345" i="165"/>
  <c r="K345" i="165"/>
  <c r="I345" i="165"/>
  <c r="F345" i="165"/>
  <c r="O246" i="165"/>
  <c r="O243" i="165"/>
  <c r="E243" i="165"/>
  <c r="O242" i="165"/>
  <c r="E242" i="165"/>
  <c r="O241" i="165"/>
  <c r="O237" i="165"/>
  <c r="J236" i="165"/>
  <c r="E236" i="165"/>
  <c r="O234" i="165"/>
  <c r="E234" i="165"/>
  <c r="O232" i="165"/>
  <c r="O231" i="165"/>
  <c r="E231" i="165"/>
  <c r="E231" i="202" s="1"/>
  <c r="E228" i="165"/>
  <c r="E227" i="165"/>
  <c r="O225" i="165"/>
  <c r="N221" i="165"/>
  <c r="M221" i="165"/>
  <c r="L221" i="165"/>
  <c r="I221" i="165"/>
  <c r="O211" i="165"/>
  <c r="E211" i="165"/>
  <c r="E210" i="165"/>
  <c r="E207" i="165"/>
  <c r="O206" i="165"/>
  <c r="E206" i="165"/>
  <c r="O205" i="165"/>
  <c r="E205" i="165"/>
  <c r="H200" i="165"/>
  <c r="E203" i="165"/>
  <c r="N200" i="165"/>
  <c r="M200" i="165"/>
  <c r="L200" i="165"/>
  <c r="G200" i="165"/>
  <c r="M139" i="165"/>
  <c r="L139" i="165"/>
  <c r="I139" i="165"/>
  <c r="I133" i="167"/>
  <c r="E137" i="165"/>
  <c r="O124" i="165"/>
  <c r="O123" i="165"/>
  <c r="E123" i="165"/>
  <c r="O121" i="165"/>
  <c r="O119" i="165"/>
  <c r="E117" i="165"/>
  <c r="O116" i="165"/>
  <c r="E116" i="165"/>
  <c r="O115" i="165"/>
  <c r="J114" i="165"/>
  <c r="E114" i="165"/>
  <c r="E114" i="202" s="1"/>
  <c r="E113" i="165"/>
  <c r="O110" i="165"/>
  <c r="N107" i="165"/>
  <c r="M107" i="165"/>
  <c r="L107" i="165"/>
  <c r="I107" i="165"/>
  <c r="O93" i="165"/>
  <c r="E93" i="165"/>
  <c r="O68" i="165"/>
  <c r="O66" i="165"/>
  <c r="E65" i="165"/>
  <c r="E62" i="165"/>
  <c r="H76" i="167" s="1"/>
  <c r="K76" i="167" s="1"/>
  <c r="E60" i="165"/>
  <c r="H73" i="167" s="1"/>
  <c r="K73" i="167" s="1"/>
  <c r="O53" i="165"/>
  <c r="E53" i="165"/>
  <c r="E52" i="165"/>
  <c r="E50" i="165"/>
  <c r="E50" i="202" s="1"/>
  <c r="M47" i="165"/>
  <c r="I47" i="165"/>
  <c r="O44" i="165"/>
  <c r="O41" i="165"/>
  <c r="E33" i="165"/>
  <c r="O31" i="165"/>
  <c r="E31" i="165"/>
  <c r="O21" i="165"/>
  <c r="E18" i="165"/>
  <c r="E18" i="202" s="1"/>
  <c r="G15" i="165"/>
  <c r="H63" i="167" l="1"/>
  <c r="E52" i="202"/>
  <c r="K335" i="167"/>
  <c r="H60" i="167"/>
  <c r="K60" i="167" s="1"/>
  <c r="E92" i="165"/>
  <c r="O29" i="165"/>
  <c r="O29" i="202" s="1"/>
  <c r="H185" i="167"/>
  <c r="H180" i="167"/>
  <c r="H190" i="167"/>
  <c r="H202" i="167"/>
  <c r="O109" i="165"/>
  <c r="O92" i="165"/>
  <c r="H192" i="167"/>
  <c r="H113" i="167"/>
  <c r="H117" i="167"/>
  <c r="J179" i="167"/>
  <c r="M42" i="167"/>
  <c r="O51" i="165"/>
  <c r="E51" i="165"/>
  <c r="E51" i="202" s="1"/>
  <c r="O40" i="165"/>
  <c r="O43" i="165"/>
  <c r="O67" i="165"/>
  <c r="O120" i="165"/>
  <c r="H182" i="167"/>
  <c r="O224" i="165"/>
  <c r="O245" i="165"/>
  <c r="E414" i="165"/>
  <c r="O428" i="165"/>
  <c r="H80" i="167"/>
  <c r="O385" i="165"/>
  <c r="P320" i="165"/>
  <c r="E32" i="165"/>
  <c r="P117" i="165"/>
  <c r="H204" i="167"/>
  <c r="E233" i="165"/>
  <c r="O235" i="165"/>
  <c r="O414" i="165"/>
  <c r="O118" i="165"/>
  <c r="O209" i="165"/>
  <c r="O233" i="165"/>
  <c r="O422" i="165"/>
  <c r="P33" i="165"/>
  <c r="P33" i="202" s="1"/>
  <c r="O64" i="165"/>
  <c r="E209" i="165"/>
  <c r="E202" i="165"/>
  <c r="O240" i="165"/>
  <c r="O230" i="165"/>
  <c r="E226" i="165"/>
  <c r="O122" i="165"/>
  <c r="E61" i="165"/>
  <c r="H67" i="167"/>
  <c r="K67" i="167" s="1"/>
  <c r="H34" i="167"/>
  <c r="K34" i="167" s="1"/>
  <c r="H33" i="167"/>
  <c r="K33" i="167" s="1"/>
  <c r="N15" i="165"/>
  <c r="I15" i="165"/>
  <c r="I430" i="165"/>
  <c r="I441" i="165" s="1"/>
  <c r="M15" i="165"/>
  <c r="M430" i="165"/>
  <c r="K393" i="165"/>
  <c r="K354" i="165"/>
  <c r="F373" i="165"/>
  <c r="G337" i="167"/>
  <c r="G329" i="167" s="1"/>
  <c r="H328" i="167"/>
  <c r="J121" i="165"/>
  <c r="E124" i="165"/>
  <c r="I328" i="167"/>
  <c r="K200" i="165"/>
  <c r="E225" i="165"/>
  <c r="J225" i="165"/>
  <c r="J41" i="165"/>
  <c r="J65" i="165"/>
  <c r="J242" i="165"/>
  <c r="L47" i="165"/>
  <c r="E115" i="165"/>
  <c r="E115" i="202" s="1"/>
  <c r="J423" i="165"/>
  <c r="J344" i="167"/>
  <c r="M344" i="167" s="1"/>
  <c r="J234" i="165"/>
  <c r="J383" i="165"/>
  <c r="O393" i="165"/>
  <c r="J207" i="165"/>
  <c r="J206" i="165"/>
  <c r="J227" i="165"/>
  <c r="H403" i="165"/>
  <c r="E21" i="165"/>
  <c r="E21" i="202" s="1"/>
  <c r="E27" i="165"/>
  <c r="J31" i="165"/>
  <c r="J44" i="165"/>
  <c r="J53" i="165"/>
  <c r="J62" i="165"/>
  <c r="I76" i="167" s="1"/>
  <c r="L76" i="167" s="1"/>
  <c r="J66" i="165"/>
  <c r="G107" i="165"/>
  <c r="I115" i="167"/>
  <c r="E119" i="165"/>
  <c r="E119" i="202" s="1"/>
  <c r="N139" i="165"/>
  <c r="H187" i="167"/>
  <c r="J232" i="165"/>
  <c r="H213" i="167"/>
  <c r="J243" i="165"/>
  <c r="H300" i="167"/>
  <c r="H301" i="167"/>
  <c r="E345" i="165"/>
  <c r="H310" i="167"/>
  <c r="K310" i="167" s="1"/>
  <c r="E383" i="165"/>
  <c r="J386" i="165"/>
  <c r="J415" i="165"/>
  <c r="J429" i="165"/>
  <c r="E44" i="165"/>
  <c r="J205" i="165"/>
  <c r="J211" i="165"/>
  <c r="H295" i="167"/>
  <c r="J382" i="165"/>
  <c r="N47" i="165"/>
  <c r="J116" i="165"/>
  <c r="J119" i="165"/>
  <c r="H123" i="167"/>
  <c r="J124" i="165"/>
  <c r="J210" i="165"/>
  <c r="E241" i="165"/>
  <c r="E246" i="165"/>
  <c r="G345" i="165"/>
  <c r="L393" i="165"/>
  <c r="O18" i="165"/>
  <c r="E66" i="165"/>
  <c r="J93" i="165"/>
  <c r="J115" i="165"/>
  <c r="E232" i="165"/>
  <c r="J237" i="165"/>
  <c r="H214" i="167"/>
  <c r="H306" i="167"/>
  <c r="J30" i="167"/>
  <c r="J68" i="165"/>
  <c r="F107" i="165"/>
  <c r="H107" i="165"/>
  <c r="J21" i="165"/>
  <c r="E68" i="165"/>
  <c r="H101" i="167"/>
  <c r="E110" i="165"/>
  <c r="J110" i="165"/>
  <c r="E121" i="165"/>
  <c r="J123" i="165"/>
  <c r="G139" i="165"/>
  <c r="G221" i="165"/>
  <c r="H221" i="165"/>
  <c r="J231" i="165"/>
  <c r="H207" i="167"/>
  <c r="I208" i="167"/>
  <c r="J241" i="165"/>
  <c r="J246" i="165"/>
  <c r="H345" i="165"/>
  <c r="E403" i="165"/>
  <c r="G133" i="167"/>
  <c r="G183" i="167"/>
  <c r="G209" i="167"/>
  <c r="J351" i="167"/>
  <c r="M351" i="167" s="1"/>
  <c r="H115" i="167"/>
  <c r="P114" i="165"/>
  <c r="P114" i="202" s="1"/>
  <c r="F354" i="165"/>
  <c r="J50" i="165"/>
  <c r="L354" i="165"/>
  <c r="L430" i="165"/>
  <c r="O113" i="165"/>
  <c r="H139" i="165"/>
  <c r="F139" i="165"/>
  <c r="H205" i="167"/>
  <c r="G17" i="167"/>
  <c r="H15" i="165"/>
  <c r="E237" i="165"/>
  <c r="F221" i="165"/>
  <c r="K373" i="165"/>
  <c r="E386" i="165"/>
  <c r="O228" i="165"/>
  <c r="H208" i="167"/>
  <c r="P236" i="165"/>
  <c r="J306" i="167"/>
  <c r="F393" i="165"/>
  <c r="J208" i="167"/>
  <c r="J200" i="167" s="1"/>
  <c r="J130" i="167"/>
  <c r="J109" i="167" s="1"/>
  <c r="O27" i="165"/>
  <c r="O137" i="165"/>
  <c r="J295" i="167"/>
  <c r="O354" i="165"/>
  <c r="E423" i="165"/>
  <c r="G26" i="167"/>
  <c r="G136" i="167"/>
  <c r="J328" i="167"/>
  <c r="O112" i="165" l="1"/>
  <c r="O112" i="202" s="1"/>
  <c r="O108" i="202" s="1"/>
  <c r="L335" i="167"/>
  <c r="O49" i="165"/>
  <c r="O42" i="165"/>
  <c r="O42" i="202" s="1"/>
  <c r="K63" i="167"/>
  <c r="H290" i="167"/>
  <c r="K290" i="167" s="1"/>
  <c r="J16" i="167"/>
  <c r="M15" i="167" s="1"/>
  <c r="I60" i="167"/>
  <c r="L60" i="167" s="1"/>
  <c r="J29" i="165"/>
  <c r="J29" i="202" s="1"/>
  <c r="K24" i="167"/>
  <c r="E29" i="165"/>
  <c r="K341" i="167"/>
  <c r="J92" i="165"/>
  <c r="I185" i="167"/>
  <c r="G185" i="167" s="1"/>
  <c r="I117" i="167"/>
  <c r="G117" i="167" s="1"/>
  <c r="I202" i="167"/>
  <c r="G202" i="167" s="1"/>
  <c r="J109" i="165"/>
  <c r="E109" i="165"/>
  <c r="O229" i="165"/>
  <c r="E204" i="165"/>
  <c r="O36" i="165"/>
  <c r="O36" i="202" s="1"/>
  <c r="L341" i="167"/>
  <c r="O420" i="165"/>
  <c r="E26" i="165"/>
  <c r="O26" i="165"/>
  <c r="O381" i="165"/>
  <c r="P32" i="165"/>
  <c r="P32" i="202" s="1"/>
  <c r="J209" i="165"/>
  <c r="J414" i="165"/>
  <c r="J224" i="165"/>
  <c r="E122" i="165"/>
  <c r="E422" i="165"/>
  <c r="J235" i="165"/>
  <c r="I182" i="167"/>
  <c r="G182" i="167" s="1"/>
  <c r="J385" i="165"/>
  <c r="I81" i="167"/>
  <c r="L81" i="167" s="1"/>
  <c r="J422" i="165"/>
  <c r="I80" i="167"/>
  <c r="G80" i="167" s="1"/>
  <c r="E224" i="165"/>
  <c r="J120" i="165"/>
  <c r="O204" i="165"/>
  <c r="E230" i="165"/>
  <c r="E230" i="202" s="1"/>
  <c r="E245" i="165"/>
  <c r="E118" i="165"/>
  <c r="E118" i="202" s="1"/>
  <c r="J233" i="165"/>
  <c r="J40" i="165"/>
  <c r="O427" i="165"/>
  <c r="O244" i="165"/>
  <c r="E235" i="165"/>
  <c r="J245" i="165"/>
  <c r="O17" i="165"/>
  <c r="E240" i="165"/>
  <c r="J118" i="165"/>
  <c r="J428" i="165"/>
  <c r="I67" i="167"/>
  <c r="L67" i="167" s="1"/>
  <c r="E120" i="165"/>
  <c r="I116" i="167"/>
  <c r="E385" i="165"/>
  <c r="M30" i="167"/>
  <c r="E43" i="165"/>
  <c r="J43" i="165"/>
  <c r="E64" i="165"/>
  <c r="H81" i="167"/>
  <c r="J61" i="165"/>
  <c r="E67" i="165"/>
  <c r="H83" i="167"/>
  <c r="J67" i="165"/>
  <c r="I83" i="167"/>
  <c r="J240" i="165"/>
  <c r="P382" i="165"/>
  <c r="P382" i="202" s="1"/>
  <c r="J230" i="165"/>
  <c r="O226" i="165"/>
  <c r="J122" i="165"/>
  <c r="H116" i="167"/>
  <c r="I34" i="167"/>
  <c r="L34" i="167" s="1"/>
  <c r="I33" i="167"/>
  <c r="L33" i="167" s="1"/>
  <c r="E17" i="165"/>
  <c r="E17" i="202" s="1"/>
  <c r="J64" i="165"/>
  <c r="E74" i="170"/>
  <c r="K15" i="165"/>
  <c r="K430" i="165"/>
  <c r="F47" i="165"/>
  <c r="H47" i="165"/>
  <c r="H430" i="165"/>
  <c r="H443" i="165" s="1"/>
  <c r="G47" i="165"/>
  <c r="N430" i="165"/>
  <c r="N441" i="165" s="1"/>
  <c r="M328" i="167"/>
  <c r="J316" i="167"/>
  <c r="M317" i="167"/>
  <c r="P41" i="165"/>
  <c r="I201" i="167"/>
  <c r="I187" i="167"/>
  <c r="G187" i="167" s="1"/>
  <c r="I122" i="167"/>
  <c r="P242" i="165"/>
  <c r="G146" i="167"/>
  <c r="P231" i="165"/>
  <c r="P231" i="202" s="1"/>
  <c r="P116" i="165"/>
  <c r="P53" i="165"/>
  <c r="H124" i="167"/>
  <c r="I42" i="167"/>
  <c r="F200" i="165"/>
  <c r="P211" i="165"/>
  <c r="I207" i="167"/>
  <c r="G207" i="167" s="1"/>
  <c r="P123" i="165"/>
  <c r="P207" i="165"/>
  <c r="P232" i="165"/>
  <c r="P243" i="165"/>
  <c r="P62" i="165"/>
  <c r="P206" i="165"/>
  <c r="J60" i="165"/>
  <c r="I73" i="167" s="1"/>
  <c r="L73" i="167" s="1"/>
  <c r="L337" i="167"/>
  <c r="G144" i="167"/>
  <c r="P415" i="165"/>
  <c r="H42" i="167"/>
  <c r="G328" i="167"/>
  <c r="P119" i="165"/>
  <c r="P119" i="202" s="1"/>
  <c r="P234" i="165"/>
  <c r="P429" i="165"/>
  <c r="P227" i="165"/>
  <c r="P210" i="165"/>
  <c r="P21" i="165"/>
  <c r="P21" i="202" s="1"/>
  <c r="J203" i="165"/>
  <c r="H201" i="167"/>
  <c r="G115" i="167"/>
  <c r="H351" i="167"/>
  <c r="K351" i="167" s="1"/>
  <c r="P225" i="165"/>
  <c r="P66" i="165"/>
  <c r="G208" i="167"/>
  <c r="P65" i="165"/>
  <c r="P121" i="165"/>
  <c r="H122" i="167"/>
  <c r="P44" i="165"/>
  <c r="K337" i="167"/>
  <c r="H43" i="167"/>
  <c r="K43" i="167" s="1"/>
  <c r="P31" i="165"/>
  <c r="P246" i="165"/>
  <c r="H212" i="167"/>
  <c r="P93" i="165"/>
  <c r="I213" i="167"/>
  <c r="G213" i="167" s="1"/>
  <c r="H206" i="167"/>
  <c r="H179" i="167"/>
  <c r="P383" i="165"/>
  <c r="I190" i="167"/>
  <c r="G190" i="167" s="1"/>
  <c r="P115" i="165"/>
  <c r="P115" i="202" s="1"/>
  <c r="I101" i="167"/>
  <c r="G101" i="167" s="1"/>
  <c r="P68" i="165"/>
  <c r="J178" i="167"/>
  <c r="M178" i="167" s="1"/>
  <c r="I123" i="167"/>
  <c r="G123" i="167" s="1"/>
  <c r="P110" i="165"/>
  <c r="M441" i="165"/>
  <c r="G161" i="167"/>
  <c r="I210" i="167"/>
  <c r="J393" i="165"/>
  <c r="J52" i="165"/>
  <c r="G162" i="167"/>
  <c r="G151" i="167"/>
  <c r="H30" i="167"/>
  <c r="J27" i="165"/>
  <c r="G145" i="167"/>
  <c r="I212" i="167"/>
  <c r="G297" i="167"/>
  <c r="G143" i="167"/>
  <c r="I124" i="167"/>
  <c r="I121" i="167"/>
  <c r="G148" i="167"/>
  <c r="H121" i="167"/>
  <c r="H215" i="167"/>
  <c r="J228" i="165"/>
  <c r="P124" i="165"/>
  <c r="P241" i="165"/>
  <c r="J58" i="167"/>
  <c r="P205" i="165"/>
  <c r="I205" i="167"/>
  <c r="G205" i="167" s="1"/>
  <c r="J18" i="165"/>
  <c r="I192" i="167"/>
  <c r="G192" i="167" s="1"/>
  <c r="I206" i="167"/>
  <c r="J137" i="165"/>
  <c r="I130" i="167" s="1"/>
  <c r="I215" i="167"/>
  <c r="I214" i="167"/>
  <c r="G214" i="167" s="1"/>
  <c r="G158" i="167"/>
  <c r="G149" i="167"/>
  <c r="I43" i="167"/>
  <c r="L43" i="167" s="1"/>
  <c r="G142" i="167"/>
  <c r="H344" i="167"/>
  <c r="K344" i="167" s="1"/>
  <c r="J134" i="167"/>
  <c r="M134" i="167" s="1"/>
  <c r="K139" i="165"/>
  <c r="K221" i="165"/>
  <c r="P423" i="165"/>
  <c r="O345" i="165"/>
  <c r="J346" i="165"/>
  <c r="K47" i="165"/>
  <c r="J199" i="167"/>
  <c r="P386" i="165"/>
  <c r="J113" i="165"/>
  <c r="L15" i="165"/>
  <c r="O403" i="165"/>
  <c r="J404" i="165"/>
  <c r="H210" i="167"/>
  <c r="P237" i="165"/>
  <c r="F15" i="165"/>
  <c r="K107" i="165"/>
  <c r="P50" i="165"/>
  <c r="P50" i="202" s="1"/>
  <c r="O107" i="202" l="1"/>
  <c r="J112" i="165"/>
  <c r="J112" i="202" s="1"/>
  <c r="J108" i="202" s="1"/>
  <c r="E112" i="165"/>
  <c r="E112" i="202" s="1"/>
  <c r="E108" i="202" s="1"/>
  <c r="H109" i="167"/>
  <c r="G124" i="167"/>
  <c r="E42" i="165"/>
  <c r="J42" i="165"/>
  <c r="J42" i="202" s="1"/>
  <c r="E49" i="165"/>
  <c r="E49" i="202" s="1"/>
  <c r="E48" i="202" s="1"/>
  <c r="H16" i="167"/>
  <c r="H59" i="167"/>
  <c r="P29" i="165"/>
  <c r="P29" i="202" s="1"/>
  <c r="I113" i="167"/>
  <c r="I109" i="167" s="1"/>
  <c r="E381" i="165"/>
  <c r="E381" i="202" s="1"/>
  <c r="P109" i="165"/>
  <c r="P92" i="165"/>
  <c r="I180" i="167"/>
  <c r="I179" i="167" s="1"/>
  <c r="E229" i="165"/>
  <c r="E229" i="202" s="1"/>
  <c r="E222" i="202" s="1"/>
  <c r="J381" i="165"/>
  <c r="J229" i="165"/>
  <c r="G76" i="167"/>
  <c r="G60" i="167"/>
  <c r="I63" i="167"/>
  <c r="L63" i="167" s="1"/>
  <c r="G130" i="167"/>
  <c r="H200" i="167"/>
  <c r="H199" i="167" s="1"/>
  <c r="O48" i="165"/>
  <c r="E201" i="165"/>
  <c r="L42" i="167"/>
  <c r="O413" i="165"/>
  <c r="J354" i="165"/>
  <c r="J36" i="165"/>
  <c r="J36" i="202" s="1"/>
  <c r="J420" i="165"/>
  <c r="O129" i="165"/>
  <c r="H441" i="165"/>
  <c r="O25" i="165"/>
  <c r="O25" i="202" s="1"/>
  <c r="O16" i="202" s="1"/>
  <c r="O430" i="202" s="1"/>
  <c r="J26" i="165"/>
  <c r="J51" i="165"/>
  <c r="E223" i="165"/>
  <c r="O378" i="165"/>
  <c r="P346" i="165"/>
  <c r="Q346" i="165" s="1"/>
  <c r="G67" i="167"/>
  <c r="E25" i="165"/>
  <c r="J204" i="165"/>
  <c r="P61" i="165"/>
  <c r="P235" i="165"/>
  <c r="I204" i="167"/>
  <c r="G204" i="167" s="1"/>
  <c r="P245" i="165"/>
  <c r="P209" i="165"/>
  <c r="P233" i="165"/>
  <c r="P414" i="165"/>
  <c r="P40" i="165"/>
  <c r="P118" i="165"/>
  <c r="P118" i="202" s="1"/>
  <c r="J244" i="165"/>
  <c r="O201" i="165"/>
  <c r="J17" i="165"/>
  <c r="P120" i="165"/>
  <c r="P224" i="165"/>
  <c r="P428" i="165"/>
  <c r="P422" i="165"/>
  <c r="J427" i="165"/>
  <c r="E244" i="165"/>
  <c r="P385" i="165"/>
  <c r="K42" i="167"/>
  <c r="G42" i="167"/>
  <c r="P64" i="165"/>
  <c r="P67" i="165"/>
  <c r="G83" i="167"/>
  <c r="K81" i="167"/>
  <c r="G81" i="167"/>
  <c r="K30" i="167"/>
  <c r="P240" i="165"/>
  <c r="P230" i="165"/>
  <c r="P230" i="202" s="1"/>
  <c r="O223" i="165"/>
  <c r="J226" i="165"/>
  <c r="J202" i="165"/>
  <c r="P122" i="165"/>
  <c r="P43" i="165"/>
  <c r="G33" i="167"/>
  <c r="J108" i="167"/>
  <c r="M108" i="167" s="1"/>
  <c r="H289" i="167"/>
  <c r="H178" i="167"/>
  <c r="G201" i="167"/>
  <c r="J15" i="167"/>
  <c r="G122" i="167"/>
  <c r="I300" i="167"/>
  <c r="G300" i="167" s="1"/>
  <c r="P60" i="165"/>
  <c r="I295" i="167"/>
  <c r="P52" i="165"/>
  <c r="P52" i="202" s="1"/>
  <c r="G116" i="167"/>
  <c r="G316" i="167"/>
  <c r="G34" i="167"/>
  <c r="P203" i="165"/>
  <c r="G156" i="167"/>
  <c r="G43" i="167"/>
  <c r="G121" i="167"/>
  <c r="G157" i="167"/>
  <c r="G212" i="167"/>
  <c r="G206" i="167"/>
  <c r="M58" i="167"/>
  <c r="P18" i="165"/>
  <c r="P18" i="202" s="1"/>
  <c r="G164" i="167"/>
  <c r="G210" i="167"/>
  <c r="G215" i="167"/>
  <c r="I351" i="167"/>
  <c r="L351" i="167" s="1"/>
  <c r="I310" i="167"/>
  <c r="L310" i="167" s="1"/>
  <c r="G312" i="167"/>
  <c r="G311" i="167" s="1"/>
  <c r="P27" i="165"/>
  <c r="L441" i="165"/>
  <c r="I344" i="167"/>
  <c r="L344" i="167" s="1"/>
  <c r="G351" i="167"/>
  <c r="P228" i="165"/>
  <c r="I301" i="167"/>
  <c r="G301" i="167" s="1"/>
  <c r="G172" i="167"/>
  <c r="I30" i="167"/>
  <c r="I16" i="167" s="1"/>
  <c r="P137" i="165"/>
  <c r="I306" i="167"/>
  <c r="G306" i="167" s="1"/>
  <c r="G441" i="165"/>
  <c r="G344" i="167"/>
  <c r="P113" i="165"/>
  <c r="J345" i="165"/>
  <c r="E139" i="165"/>
  <c r="O139" i="165"/>
  <c r="J140" i="165"/>
  <c r="H316" i="167"/>
  <c r="E354" i="165"/>
  <c r="E393" i="165"/>
  <c r="J403" i="165"/>
  <c r="P404" i="165"/>
  <c r="Q404" i="165" s="1"/>
  <c r="H134" i="167"/>
  <c r="K134" i="167" s="1"/>
  <c r="E42" i="202" l="1"/>
  <c r="E16" i="202" s="1"/>
  <c r="E15" i="202" s="1"/>
  <c r="D106" i="170"/>
  <c r="E106" i="170" s="1"/>
  <c r="E221" i="202"/>
  <c r="P222" i="202"/>
  <c r="P48" i="202"/>
  <c r="E47" i="202"/>
  <c r="O15" i="202"/>
  <c r="J16" i="202"/>
  <c r="J430" i="202" s="1"/>
  <c r="E107" i="202"/>
  <c r="J107" i="202"/>
  <c r="O444" i="202"/>
  <c r="O441" i="202"/>
  <c r="O16" i="165"/>
  <c r="J16" i="165" s="1"/>
  <c r="E16" i="165"/>
  <c r="P112" i="165"/>
  <c r="P112" i="202" s="1"/>
  <c r="P108" i="202" s="1"/>
  <c r="J49" i="165"/>
  <c r="P42" i="165"/>
  <c r="P42" i="202" s="1"/>
  <c r="D107" i="170"/>
  <c r="E107" i="170" s="1"/>
  <c r="I290" i="167"/>
  <c r="L290" i="167" s="1"/>
  <c r="G73" i="167"/>
  <c r="P229" i="165"/>
  <c r="P229" i="202" s="1"/>
  <c r="O374" i="165"/>
  <c r="O373" i="165" s="1"/>
  <c r="E48" i="165"/>
  <c r="O200" i="165"/>
  <c r="E200" i="165"/>
  <c r="E108" i="165"/>
  <c r="J48" i="165"/>
  <c r="J47" i="165" s="1"/>
  <c r="O108" i="165"/>
  <c r="J413" i="165"/>
  <c r="J412" i="165" s="1"/>
  <c r="P36" i="165"/>
  <c r="P36" i="202" s="1"/>
  <c r="J378" i="165"/>
  <c r="G113" i="167"/>
  <c r="G109" i="167" s="1"/>
  <c r="O222" i="165"/>
  <c r="O221" i="165" s="1"/>
  <c r="E222" i="165"/>
  <c r="E221" i="165" s="1"/>
  <c r="J129" i="165"/>
  <c r="J139" i="165"/>
  <c r="P140" i="165"/>
  <c r="Q140" i="165" s="1"/>
  <c r="I59" i="167"/>
  <c r="I58" i="167" s="1"/>
  <c r="O47" i="165"/>
  <c r="P51" i="165"/>
  <c r="P51" i="202" s="1"/>
  <c r="P26" i="165"/>
  <c r="E378" i="165"/>
  <c r="E378" i="202" s="1"/>
  <c r="E374" i="202" s="1"/>
  <c r="P204" i="165"/>
  <c r="G36" i="108"/>
  <c r="G63" i="167"/>
  <c r="G59" i="167" s="1"/>
  <c r="K178" i="167"/>
  <c r="J201" i="165"/>
  <c r="P381" i="165"/>
  <c r="P381" i="202" s="1"/>
  <c r="P17" i="165"/>
  <c r="P17" i="202" s="1"/>
  <c r="J25" i="165"/>
  <c r="J25" i="202" s="1"/>
  <c r="J223" i="165"/>
  <c r="P202" i="165"/>
  <c r="P427" i="165"/>
  <c r="P226" i="165"/>
  <c r="O412" i="165"/>
  <c r="P244" i="165"/>
  <c r="H58" i="167"/>
  <c r="G180" i="167"/>
  <c r="G179" i="167" s="1"/>
  <c r="H108" i="167"/>
  <c r="G310" i="167"/>
  <c r="G295" i="167"/>
  <c r="G290" i="167" s="1"/>
  <c r="H15" i="167"/>
  <c r="I316" i="167"/>
  <c r="L30" i="167"/>
  <c r="J300" i="167"/>
  <c r="I178" i="167"/>
  <c r="G30" i="167"/>
  <c r="G16" i="167" s="1"/>
  <c r="I134" i="167"/>
  <c r="L134" i="167" s="1"/>
  <c r="G141" i="167"/>
  <c r="G135" i="167" s="1"/>
  <c r="J301" i="167"/>
  <c r="P393" i="165"/>
  <c r="P403" i="165"/>
  <c r="P345" i="165"/>
  <c r="P354" i="165"/>
  <c r="P221" i="202" l="1"/>
  <c r="Q222" i="202"/>
  <c r="E373" i="202"/>
  <c r="P374" i="202"/>
  <c r="Q48" i="202"/>
  <c r="P47" i="202"/>
  <c r="J15" i="202"/>
  <c r="P16" i="202"/>
  <c r="J444" i="202"/>
  <c r="J441" i="202"/>
  <c r="Q108" i="202"/>
  <c r="P107" i="202"/>
  <c r="P16" i="165"/>
  <c r="Q16" i="165" s="1"/>
  <c r="K15" i="167"/>
  <c r="G58" i="167"/>
  <c r="P49" i="165"/>
  <c r="P49" i="202" s="1"/>
  <c r="O430" i="165"/>
  <c r="K108" i="167"/>
  <c r="E105" i="170"/>
  <c r="J290" i="167"/>
  <c r="M290" i="167" s="1"/>
  <c r="L58" i="167"/>
  <c r="L15" i="167"/>
  <c r="J374" i="165"/>
  <c r="J373" i="165" s="1"/>
  <c r="L328" i="167" s="1"/>
  <c r="E374" i="165"/>
  <c r="E373" i="165" s="1"/>
  <c r="K328" i="167" s="1"/>
  <c r="E107" i="165"/>
  <c r="P48" i="165"/>
  <c r="Q48" i="165" s="1"/>
  <c r="P201" i="165"/>
  <c r="Q201" i="165" s="1"/>
  <c r="J108" i="165"/>
  <c r="P129" i="165"/>
  <c r="O15" i="165"/>
  <c r="P378" i="165"/>
  <c r="P378" i="202" s="1"/>
  <c r="K58" i="167"/>
  <c r="J200" i="165"/>
  <c r="L178" i="167"/>
  <c r="E47" i="165"/>
  <c r="J222" i="165"/>
  <c r="P222" i="165" s="1"/>
  <c r="Q222" i="165" s="1"/>
  <c r="E15" i="165"/>
  <c r="P223" i="165"/>
  <c r="P25" i="165"/>
  <c r="P25" i="202" s="1"/>
  <c r="O107" i="165"/>
  <c r="G178" i="167"/>
  <c r="I108" i="167"/>
  <c r="G108" i="167"/>
  <c r="G15" i="167"/>
  <c r="I289" i="167"/>
  <c r="G134" i="167"/>
  <c r="I15" i="167"/>
  <c r="P139" i="165"/>
  <c r="Q374" i="202" l="1"/>
  <c r="P373" i="202"/>
  <c r="Q16" i="202"/>
  <c r="P15" i="202"/>
  <c r="L108" i="167"/>
  <c r="J363" i="167"/>
  <c r="J15" i="165"/>
  <c r="P200" i="165"/>
  <c r="P374" i="165"/>
  <c r="Q374" i="165" s="1"/>
  <c r="P47" i="165"/>
  <c r="P108" i="165"/>
  <c r="Q108" i="165" s="1"/>
  <c r="J221" i="165"/>
  <c r="P221" i="165"/>
  <c r="J107" i="165"/>
  <c r="J430" i="165"/>
  <c r="G289" i="167"/>
  <c r="J289" i="167"/>
  <c r="L363" i="167" l="1"/>
  <c r="N356" i="167"/>
  <c r="P15" i="165"/>
  <c r="P373" i="165"/>
  <c r="P107" i="165"/>
  <c r="I219" i="167" l="1"/>
  <c r="I200" i="167" s="1"/>
  <c r="I363" i="167" s="1"/>
  <c r="M356" i="167" s="1"/>
  <c r="G219" i="167" l="1"/>
  <c r="G200" i="167" l="1"/>
  <c r="I199" i="167"/>
  <c r="G199" i="167" l="1"/>
  <c r="M19" i="107"/>
  <c r="O19" i="107"/>
  <c r="Q19" i="107" l="1"/>
  <c r="G150" i="107" l="1"/>
  <c r="F140" i="108"/>
  <c r="G149" i="107"/>
  <c r="F139" i="108"/>
  <c r="G147" i="107"/>
  <c r="F137" i="108"/>
  <c r="F138" i="108"/>
  <c r="G148" i="107"/>
  <c r="G145" i="107"/>
  <c r="F135" i="108"/>
  <c r="G146" i="107"/>
  <c r="F136" i="108"/>
  <c r="G143" i="107"/>
  <c r="F133" i="108"/>
  <c r="G142" i="107"/>
  <c r="F132" i="108"/>
  <c r="G141" i="107"/>
  <c r="F131" i="108"/>
  <c r="G140" i="107"/>
  <c r="F130" i="108"/>
  <c r="G139" i="107"/>
  <c r="F129" i="108"/>
  <c r="G138" i="107"/>
  <c r="F128" i="108"/>
  <c r="G137" i="107"/>
  <c r="F127" i="108"/>
  <c r="G136" i="107"/>
  <c r="F126" i="108"/>
  <c r="G135" i="107"/>
  <c r="F125" i="108"/>
  <c r="G134" i="107"/>
  <c r="F124" i="108"/>
  <c r="G133" i="107"/>
  <c r="F123" i="108"/>
  <c r="G131" i="107"/>
  <c r="F121" i="108"/>
  <c r="G91" i="107"/>
  <c r="G89" i="107"/>
  <c r="G88" i="107"/>
  <c r="G87" i="107"/>
  <c r="G86" i="107"/>
  <c r="G84" i="107"/>
  <c r="G83" i="107"/>
  <c r="G82" i="107"/>
  <c r="G81" i="107"/>
  <c r="G80" i="107"/>
  <c r="G79" i="107"/>
  <c r="G78" i="107"/>
  <c r="G77" i="107"/>
  <c r="G76" i="107"/>
  <c r="G75" i="107"/>
  <c r="G74" i="107"/>
  <c r="G73" i="107"/>
  <c r="G72" i="107"/>
  <c r="G71" i="107"/>
  <c r="G70" i="107"/>
  <c r="G69" i="107"/>
  <c r="G68" i="107"/>
  <c r="G67" i="107"/>
  <c r="G66" i="107"/>
  <c r="G64" i="107"/>
  <c r="G18" i="107"/>
  <c r="G158" i="107"/>
  <c r="F149" i="108"/>
  <c r="K177" i="107"/>
  <c r="J168" i="108"/>
  <c r="J142" i="108" l="1"/>
  <c r="G16" i="107"/>
  <c r="G15" i="107" s="1"/>
  <c r="G14" i="107" s="1"/>
  <c r="G13" i="107"/>
  <c r="G12" i="107" s="1"/>
  <c r="G29" i="107" s="1"/>
  <c r="O18" i="107"/>
  <c r="K12" i="107"/>
  <c r="K29" i="107" s="1"/>
  <c r="L12" i="107"/>
  <c r="L29" i="107" s="1"/>
  <c r="J12" i="107"/>
  <c r="J29" i="107" s="1"/>
  <c r="H12" i="107"/>
  <c r="H29" i="107" s="1"/>
  <c r="O17" i="107"/>
  <c r="N17" i="107"/>
  <c r="M17" i="107"/>
  <c r="K444" i="165" l="1"/>
  <c r="O16" i="107"/>
  <c r="O15" i="107" s="1"/>
  <c r="O14" i="107" s="1"/>
  <c r="L199" i="167"/>
  <c r="M199" i="167"/>
  <c r="O13" i="107"/>
  <c r="O12" i="107" s="1"/>
  <c r="O29" i="107" s="1"/>
  <c r="Q17" i="107"/>
  <c r="J441" i="165" l="1"/>
  <c r="O444" i="165"/>
  <c r="K441" i="165"/>
  <c r="N18" i="107"/>
  <c r="O441" i="165" l="1"/>
  <c r="J444" i="165"/>
  <c r="J442" i="165"/>
  <c r="N16" i="107"/>
  <c r="N15" i="107" s="1"/>
  <c r="N14" i="107" s="1"/>
  <c r="N13" i="107"/>
  <c r="N12" i="107" s="1"/>
  <c r="N29" i="107" s="1"/>
  <c r="F12" i="107"/>
  <c r="K199" i="167" l="1"/>
  <c r="F29" i="107"/>
  <c r="D24" i="108"/>
  <c r="E36" i="108" l="1"/>
  <c r="I142" i="108" s="1"/>
  <c r="E24" i="108"/>
  <c r="E432" i="165"/>
  <c r="M18" i="107"/>
  <c r="Q18" i="107" s="1"/>
  <c r="M13" i="107" l="1"/>
  <c r="M12" i="107" s="1"/>
  <c r="M29" i="107" s="1"/>
  <c r="M16" i="107"/>
  <c r="M15" i="107" s="1"/>
  <c r="M14" i="107" s="1"/>
  <c r="Q16" i="107"/>
  <c r="Q15" i="107" s="1"/>
  <c r="Q14" i="107" s="1"/>
  <c r="Q13" i="107" l="1"/>
  <c r="Q12" i="107" s="1"/>
  <c r="Q29" i="107" s="1"/>
  <c r="R29" i="107" l="1"/>
  <c r="Q432" i="165"/>
  <c r="E421" i="165"/>
  <c r="E421" i="202" s="1"/>
  <c r="H361" i="167" l="1"/>
  <c r="G361" i="167" s="1"/>
  <c r="G358" i="167" s="1"/>
  <c r="G363" i="167" s="1"/>
  <c r="K356" i="167" s="1"/>
  <c r="E420" i="165"/>
  <c r="E420" i="202" s="1"/>
  <c r="E413" i="202" s="1"/>
  <c r="P421" i="165"/>
  <c r="P421" i="202" s="1"/>
  <c r="F412" i="165"/>
  <c r="E412" i="202" l="1"/>
  <c r="E430" i="202"/>
  <c r="H358" i="167"/>
  <c r="H357" i="167" s="1"/>
  <c r="G357" i="167"/>
  <c r="E413" i="165"/>
  <c r="P420" i="165"/>
  <c r="P420" i="202" s="1"/>
  <c r="P413" i="202" s="1"/>
  <c r="F442" i="202" l="1"/>
  <c r="E442" i="202"/>
  <c r="E444" i="202"/>
  <c r="F444" i="202"/>
  <c r="E441" i="202"/>
  <c r="P412" i="202"/>
  <c r="Q413" i="202"/>
  <c r="P430" i="202"/>
  <c r="H363" i="167"/>
  <c r="L356" i="167" s="1"/>
  <c r="E430" i="165"/>
  <c r="D29" i="172" s="1"/>
  <c r="P413" i="165"/>
  <c r="Q413" i="165" s="1"/>
  <c r="E412" i="165"/>
  <c r="F441" i="165"/>
  <c r="P442" i="202" l="1"/>
  <c r="Q430" i="202"/>
  <c r="P441" i="202"/>
  <c r="E29" i="172"/>
  <c r="G29" i="172" s="1"/>
  <c r="E444" i="165"/>
  <c r="K363" i="167"/>
  <c r="F444" i="165"/>
  <c r="F442" i="165"/>
  <c r="P412" i="165"/>
  <c r="P430" i="165"/>
  <c r="Q430" i="165" s="1"/>
  <c r="E441" i="165"/>
  <c r="E442" i="165"/>
  <c r="D25" i="172" l="1"/>
  <c r="D15" i="172" s="1"/>
  <c r="D34" i="172" s="1"/>
  <c r="P441" i="165"/>
  <c r="P442" i="165"/>
  <c r="D58" i="172"/>
  <c r="D56" i="170"/>
  <c r="E56" i="170" s="1"/>
  <c r="E25" i="172" l="1"/>
  <c r="D54" i="172"/>
  <c r="C29" i="172"/>
  <c r="C25" i="172" s="1"/>
  <c r="F29" i="172"/>
  <c r="F25" i="172" s="1"/>
  <c r="E58" i="172"/>
  <c r="G25" i="172" l="1"/>
  <c r="D48" i="172"/>
  <c r="D59" i="172" s="1"/>
  <c r="C15" i="172"/>
  <c r="C34" i="172" s="1"/>
  <c r="F15" i="172"/>
  <c r="F34" i="172" s="1"/>
  <c r="E15" i="172"/>
  <c r="E54" i="172"/>
  <c r="F58" i="172"/>
  <c r="F54" i="172" s="1"/>
  <c r="C58" i="172"/>
  <c r="C54" i="172" s="1"/>
  <c r="E66" i="170"/>
  <c r="D51" i="170"/>
  <c r="D65" i="170" s="1"/>
  <c r="E34" i="172" l="1"/>
  <c r="G15" i="172"/>
  <c r="E48" i="172"/>
  <c r="E59" i="172" s="1"/>
  <c r="F48" i="172"/>
  <c r="F59" i="172" s="1"/>
  <c r="C48" i="172"/>
  <c r="C59" i="172" s="1"/>
  <c r="D30" i="170"/>
  <c r="E30" i="170" s="1"/>
  <c r="D64" i="170"/>
  <c r="F30" i="170" l="1"/>
  <c r="E64" i="170"/>
  <c r="E65" i="170"/>
  <c r="K103" i="184" l="1"/>
  <c r="I101" i="184"/>
  <c r="I122" i="184" s="1"/>
  <c r="M122" i="184" s="1"/>
  <c r="D79" i="170" l="1"/>
  <c r="E79" i="170" s="1"/>
</calcChain>
</file>

<file path=xl/sharedStrings.xml><?xml version="1.0" encoding="utf-8"?>
<sst xmlns="http://schemas.openxmlformats.org/spreadsheetml/2006/main" count="7813" uniqueCount="1644">
  <si>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</si>
  <si>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</si>
  <si>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1</t>
  </si>
  <si>
    <t>2</t>
  </si>
  <si>
    <t>Проведення навчально-тренувальних зборів і змагань з неолімпійських видів спорту</t>
  </si>
  <si>
    <t>4</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</si>
  <si>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</si>
  <si>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</si>
  <si>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</si>
  <si>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Компенсаційні виплати на пільговий проїзд електротранспортом окремим категоріям громадян</t>
  </si>
  <si>
    <t>Утримання клубів для підлітків за місцем проживання</t>
  </si>
  <si>
    <t>Разом</t>
  </si>
  <si>
    <t>Загальний фонд</t>
  </si>
  <si>
    <t>з них</t>
  </si>
  <si>
    <t>3</t>
  </si>
  <si>
    <t>комунальні послуги та енергоносії</t>
  </si>
  <si>
    <t>Код ФКВКБ</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</si>
  <si>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</si>
  <si>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</si>
  <si>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</si>
  <si>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</si>
  <si>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</si>
  <si>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</si>
  <si>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</si>
  <si>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</si>
  <si>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</si>
  <si>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</si>
  <si>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</si>
  <si>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</si>
  <si>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</si>
  <si>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</si>
  <si>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</si>
  <si>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</si>
  <si>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</si>
  <si>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</si>
  <si>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</si>
  <si>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</si>
  <si>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</si>
  <si>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</si>
  <si>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</si>
  <si>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Фінансове управління Хмельницької міської ради (відповідальний виконавець)</t>
  </si>
  <si>
    <t>Заходи з енергозбереження</t>
  </si>
  <si>
    <t>0133</t>
  </si>
  <si>
    <t>0180</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</si>
  <si>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</si>
  <si>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</si>
  <si>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</si>
  <si>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</si>
  <si>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</si>
  <si>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</si>
  <si>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</si>
  <si>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0540</t>
  </si>
  <si>
    <t>Спеціальний фонд</t>
  </si>
  <si>
    <t>видатки споживання</t>
  </si>
  <si>
    <t>оплата праці</t>
  </si>
  <si>
    <t>видатки розвитку</t>
  </si>
  <si>
    <t>Додаток 1</t>
  </si>
  <si>
    <t>Код</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</si>
  <si>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</si>
  <si>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</si>
  <si>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</si>
  <si>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</si>
  <si>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</si>
  <si>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</si>
  <si>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</si>
  <si>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</si>
  <si>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</si>
  <si>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</si>
  <si>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</si>
  <si>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</si>
  <si>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</si>
  <si>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</si>
  <si>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</si>
  <si>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</si>
  <si>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</si>
  <si>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</si>
  <si>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</si>
  <si>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</si>
  <si>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</si>
  <si>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</si>
  <si>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</si>
  <si>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</si>
  <si>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</si>
  <si>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Єдиний податок  з фізичних осіб</t>
  </si>
  <si>
    <t xml:space="preserve">Екологічний податок </t>
  </si>
  <si>
    <t>Неподаткові надходження</t>
  </si>
  <si>
    <t xml:space="preserve">Плата за розміщення тимчасово вільних коштів </t>
  </si>
  <si>
    <t>Адміністративні штрафи та інші санкції</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</si>
  <si>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</si>
  <si>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</si>
  <si>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</si>
  <si>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</si>
  <si>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</si>
  <si>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</si>
  <si>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</si>
  <si>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</si>
  <si>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</si>
  <si>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</si>
  <si>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</si>
  <si>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</si>
  <si>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</si>
  <si>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</si>
  <si>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</si>
  <si>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</si>
  <si>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</si>
  <si>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</si>
  <si>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</si>
  <si>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</si>
  <si>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</si>
  <si>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</si>
  <si>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</si>
  <si>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</si>
  <si>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</si>
  <si>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</si>
  <si>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Додаток 2</t>
  </si>
  <si>
    <t>200000</t>
  </si>
  <si>
    <t>Внутрішнє фінансування</t>
  </si>
  <si>
    <t>208100</t>
  </si>
  <si>
    <t>На початок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</si>
  <si>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</si>
  <si>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</si>
  <si>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</si>
  <si>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</si>
  <si>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</si>
  <si>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Надання кредитів</t>
  </si>
  <si>
    <t>Повернення кредитів</t>
  </si>
  <si>
    <t>Хмельницької міської ради</t>
  </si>
  <si>
    <t xml:space="preserve">Пункти Положення </t>
  </si>
  <si>
    <t>Джерела доходів</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</si>
  <si>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</si>
  <si>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</si>
  <si>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</si>
  <si>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</si>
  <si>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</si>
  <si>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</si>
  <si>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</si>
  <si>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</si>
  <si>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</si>
  <si>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</si>
  <si>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</si>
  <si>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</si>
  <si>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</si>
  <si>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3.2.5.</t>
  </si>
  <si>
    <t>3.2.6.</t>
  </si>
  <si>
    <t>Виплата винагороди головам квартальних комітетів</t>
  </si>
  <si>
    <t>3.2.7.</t>
  </si>
  <si>
    <t>Здійснення заходів з приватизації, відчуження та передачі в оренду майна комунальної власності</t>
  </si>
  <si>
    <t>Адміністративний збір з проведення державної реєстрації юридичних осіб, фізичних осіб - підприємців та громадських формувань</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</si>
  <si>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</si>
  <si>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</si>
  <si>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</si>
  <si>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</si>
  <si>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</si>
  <si>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</si>
  <si>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</si>
  <si>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</si>
  <si>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</si>
  <si>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</si>
  <si>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</si>
  <si>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</si>
  <si>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</si>
  <si>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</si>
  <si>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</si>
  <si>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</si>
  <si>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</si>
  <si>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</si>
  <si>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</si>
  <si>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</si>
  <si>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</si>
  <si>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</si>
  <si>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</si>
  <si>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4060</t>
  </si>
  <si>
    <t>1014030</t>
  </si>
  <si>
    <t>4030</t>
  </si>
  <si>
    <t>0824</t>
  </si>
  <si>
    <t>Забезпечення діяльності бібліотек</t>
  </si>
  <si>
    <t>1014040</t>
  </si>
  <si>
    <t>4040</t>
  </si>
  <si>
    <t>1014060</t>
  </si>
  <si>
    <t>0828</t>
  </si>
  <si>
    <t>Забезпечення діяльності палаців i будинків культури, клубів, центрів дозвілля та iнших клубних закладів</t>
  </si>
  <si>
    <t>0960</t>
  </si>
  <si>
    <t>0829</t>
  </si>
  <si>
    <t>1113121</t>
  </si>
  <si>
    <t>3121</t>
  </si>
  <si>
    <t>1040</t>
  </si>
  <si>
    <t>5011</t>
  </si>
  <si>
    <t>5012</t>
  </si>
  <si>
    <t>5022</t>
  </si>
  <si>
    <t>1113132</t>
  </si>
  <si>
    <t>3132</t>
  </si>
  <si>
    <t>1090</t>
  </si>
  <si>
    <t>5031</t>
  </si>
  <si>
    <t>5032</t>
  </si>
  <si>
    <t>5061</t>
  </si>
  <si>
    <t>0810</t>
  </si>
  <si>
    <t>5063</t>
  </si>
  <si>
    <t>7670</t>
  </si>
  <si>
    <t>0611010</t>
  </si>
  <si>
    <t>1010</t>
  </si>
  <si>
    <t>1020</t>
  </si>
  <si>
    <t>0910</t>
  </si>
  <si>
    <t>Надання дошкільної освіти</t>
  </si>
  <si>
    <t>0611020</t>
  </si>
  <si>
    <t>0921</t>
  </si>
  <si>
    <t>1030</t>
  </si>
  <si>
    <t>1070</t>
  </si>
  <si>
    <t>0922</t>
  </si>
  <si>
    <t>0611090</t>
  </si>
  <si>
    <t>0930</t>
  </si>
  <si>
    <t>0990</t>
  </si>
  <si>
    <t>2010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</si>
  <si>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</si>
  <si>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</si>
  <si>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</si>
  <si>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</si>
  <si>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</si>
  <si>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</si>
  <si>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</si>
  <si>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</si>
  <si>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</si>
  <si>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</si>
  <si>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</si>
  <si>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</si>
  <si>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</si>
  <si>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</si>
  <si>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</si>
  <si>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</si>
  <si>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</si>
  <si>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</si>
  <si>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</si>
  <si>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</si>
  <si>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</si>
  <si>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</si>
  <si>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</si>
  <si>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</si>
  <si>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</si>
  <si>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</si>
  <si>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</si>
  <si>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</si>
  <si>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</si>
  <si>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</si>
  <si>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</si>
  <si>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</si>
  <si>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Фінансова підтримка засобів масової інформації</t>
  </si>
  <si>
    <t>0219710</t>
  </si>
  <si>
    <t>9710</t>
  </si>
  <si>
    <t>0210180</t>
  </si>
  <si>
    <t>Інша діяльність у сфері державного управління</t>
  </si>
  <si>
    <t>Заходи з організації рятування на водах</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</si>
  <si>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</si>
  <si>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</si>
  <si>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</si>
  <si>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</si>
  <si>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</si>
  <si>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</si>
  <si>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</si>
  <si>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</si>
  <si>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</si>
  <si>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</si>
  <si>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</si>
  <si>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</si>
  <si>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</si>
  <si>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</si>
  <si>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</si>
  <si>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</si>
  <si>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</si>
  <si>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</si>
  <si>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</si>
  <si>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</si>
  <si>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</si>
  <si>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</si>
  <si>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</si>
  <si>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</si>
  <si>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</si>
  <si>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</si>
  <si>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</si>
  <si>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</si>
  <si>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</si>
  <si>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</si>
  <si>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</si>
  <si>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</si>
  <si>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</si>
  <si>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</si>
  <si>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</si>
  <si>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</si>
  <si>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6013</t>
  </si>
  <si>
    <t>Забезпечення діяльності водопровідно-каналізаційного господарства</t>
  </si>
  <si>
    <t>1216030</t>
  </si>
  <si>
    <t>6030</t>
  </si>
  <si>
    <t>Організація благоустрою населених пунктів</t>
  </si>
  <si>
    <t>7426</t>
  </si>
  <si>
    <t>Інші заходи у сфері електротранспорту</t>
  </si>
  <si>
    <t>7461</t>
  </si>
  <si>
    <t>Утримання та розвиток автомобільних доріг та дорожньої інфраструктури за рахунок коштів місцевого бюджету</t>
  </si>
  <si>
    <t>0456</t>
  </si>
  <si>
    <t>1217640</t>
  </si>
  <si>
    <t>6020</t>
  </si>
  <si>
    <t>Забезпечення функціонування підприємств, установ та організацій, що виробляють, виконують та/або надають житлово-комунальні послуги</t>
  </si>
  <si>
    <t>0217680</t>
  </si>
  <si>
    <t>7680</t>
  </si>
  <si>
    <t>1216015</t>
  </si>
  <si>
    <t>6015</t>
  </si>
  <si>
    <t>Забезпечення надійної та безперебійної експлуатації ліфтів</t>
  </si>
  <si>
    <t>0443</t>
  </si>
  <si>
    <t>7310</t>
  </si>
  <si>
    <t>3617130</t>
  </si>
  <si>
    <t>7130</t>
  </si>
  <si>
    <t>0421</t>
  </si>
  <si>
    <t>Будівництвоˈ  освітніх установ та закладів</t>
  </si>
  <si>
    <t>1517321</t>
  </si>
  <si>
    <t>7321</t>
  </si>
  <si>
    <t>1517325</t>
  </si>
  <si>
    <t>7325</t>
  </si>
  <si>
    <t>1517330</t>
  </si>
  <si>
    <t>7330</t>
  </si>
  <si>
    <t>№ п/п</t>
  </si>
  <si>
    <t>Код КПКВ</t>
  </si>
  <si>
    <t>Заходи, на які виділяються кошти</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</si>
  <si>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</si>
  <si>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</si>
  <si>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</si>
  <si>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</si>
  <si>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</si>
  <si>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</si>
  <si>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0813192</t>
  </si>
  <si>
    <t>3192</t>
  </si>
  <si>
    <t>0813241</t>
  </si>
  <si>
    <t>0813242</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</si>
  <si>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</si>
  <si>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</si>
  <si>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</si>
  <si>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</si>
  <si>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1014081</t>
  </si>
  <si>
    <t>4081</t>
  </si>
  <si>
    <t>1014082</t>
  </si>
  <si>
    <t>4082</t>
  </si>
  <si>
    <t>Інші програми та заходи у сфері освіти</t>
  </si>
  <si>
    <t>7691</t>
  </si>
  <si>
    <t>0217691</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</si>
  <si>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</si>
  <si>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</si>
  <si>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</si>
  <si>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</si>
  <si>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Дотації з місцевих бюджетів іншим місцевим бюджетам </t>
  </si>
  <si>
    <t>Амбулаторно-поліклінічна допомога населенню, крім первинної медичної допомоги</t>
  </si>
  <si>
    <t>0726</t>
  </si>
  <si>
    <t>3180</t>
  </si>
  <si>
    <t>0813180</t>
  </si>
  <si>
    <t>Проведення навчально-тренувальних зборів і змагань та заходів зі спорту осіб з інвалідністю</t>
  </si>
  <si>
    <t>7370</t>
  </si>
  <si>
    <t>1113133</t>
  </si>
  <si>
    <t>3133</t>
  </si>
  <si>
    <t>Інші заходи та заклади молодіжної політики</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</si>
  <si>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</si>
  <si>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</si>
  <si>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</si>
  <si>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</si>
  <si>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</si>
  <si>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</si>
  <si>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</si>
  <si>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Погашення </t>
  </si>
  <si>
    <t>0170</t>
  </si>
  <si>
    <t>9770</t>
  </si>
  <si>
    <t>Інші субвенції з місцевого бюджету</t>
  </si>
  <si>
    <t>6082</t>
  </si>
  <si>
    <t>Придбання житла для окремих категорій населення відповідно до законодавства</t>
  </si>
  <si>
    <t>0816082</t>
  </si>
  <si>
    <t>3617650</t>
  </si>
  <si>
    <t>7650</t>
  </si>
  <si>
    <t>Проведення експертної грошової оцінки земельної ділянки чи права на неї</t>
  </si>
  <si>
    <t>Організація та проведення громадських робіт</t>
  </si>
  <si>
    <t>3210</t>
  </si>
  <si>
    <t>1050</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</si>
  <si>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</si>
  <si>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</si>
  <si>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6012</t>
  </si>
  <si>
    <t>Забезпечення діяльності з виробництва, транспортування, постачання теплової енергії</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</si>
  <si>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</si>
  <si>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</si>
  <si>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</si>
  <si>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</si>
  <si>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</si>
  <si>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</si>
  <si>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</si>
  <si>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</si>
  <si>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</si>
  <si>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</si>
  <si>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</si>
  <si>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</si>
  <si>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</si>
  <si>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</si>
  <si>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5</t>
  </si>
  <si>
    <t>6</t>
  </si>
  <si>
    <t>7</t>
  </si>
  <si>
    <t>8</t>
  </si>
  <si>
    <t>9</t>
  </si>
  <si>
    <t>10</t>
  </si>
  <si>
    <t>11</t>
  </si>
  <si>
    <t>12</t>
  </si>
  <si>
    <t>13</t>
  </si>
  <si>
    <t>14</t>
  </si>
  <si>
    <t>15</t>
  </si>
  <si>
    <t>16</t>
  </si>
  <si>
    <t>(грн)</t>
  </si>
  <si>
    <t>Сума, грн</t>
  </si>
  <si>
    <t>Рішення 19-ї сесії Хмельницької міської ради від 21.02.2001 року №6</t>
  </si>
  <si>
    <t>Рішення 11-ї сесії Хмельницької міської ради від 25.01.2017 року №20</t>
  </si>
  <si>
    <t>Рішення позачергової 10-ї сесії Хмельницької міської ради від 29.12.2016 року №1</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</si>
  <si>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</si>
  <si>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</si>
  <si>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позачергової 10-ї сесії Хмельницької міської ради від 29.12.2016 року №2</t>
  </si>
  <si>
    <t>7413</t>
  </si>
  <si>
    <t>0451</t>
  </si>
  <si>
    <t>Інші заходи у сфері автотранспорту</t>
  </si>
  <si>
    <t>0810160</t>
  </si>
  <si>
    <t>0710160</t>
  </si>
  <si>
    <t>1510160</t>
  </si>
  <si>
    <t>3610160</t>
  </si>
  <si>
    <t>1610160</t>
  </si>
  <si>
    <t>3710160</t>
  </si>
  <si>
    <t>1210160</t>
  </si>
  <si>
    <t>2810160</t>
  </si>
  <si>
    <t>0817691</t>
  </si>
  <si>
    <t>1217691</t>
  </si>
  <si>
    <t>Рішення 21-ї сесії Хмельницької міської ради від 11.04.2018 року №11</t>
  </si>
  <si>
    <t>у тому числі  бюджет розвитку</t>
  </si>
  <si>
    <t>Офіційні трансферти</t>
  </si>
  <si>
    <t>0813210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</si>
  <si>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</si>
  <si>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</si>
  <si>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</si>
  <si>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</si>
  <si>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1515043</t>
  </si>
  <si>
    <t>5043</t>
  </si>
  <si>
    <t>0717670</t>
  </si>
  <si>
    <t>Програма «Здоров’я хмельничан» на 2017-2021 роки (із змінами і доповненнями)</t>
  </si>
  <si>
    <t>1517370</t>
  </si>
  <si>
    <t xml:space="preserve">Субвенції з державного бюджету місцевим бюджетам </t>
  </si>
  <si>
    <t>Залишок коштів на 01.01.2020 року</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</si>
  <si>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t>
  </si>
  <si>
    <t>Республіки Крим, органами місцевого самоврядування і місцевими органами виконавчої влади</t>
  </si>
  <si>
    <t>Членські внески до асоціацій органів місцевого самоврядування</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</si>
  <si>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</si>
  <si>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1900000</t>
  </si>
  <si>
    <t>1910000</t>
  </si>
  <si>
    <t>Управління транспорту та зв'язку Хмельницької міської ради (головний розпорядник)</t>
  </si>
  <si>
    <t>Управління транспорту та зв'язку Хмельницької міської ради (відповідальний виконавець)</t>
  </si>
  <si>
    <t>1910160</t>
  </si>
  <si>
    <t>Програма
бюджетування за участі громадськості (Бюджет участі) міста Хмельницького на 2020 - 2022 роки</t>
  </si>
  <si>
    <t>Рішення 32-ї сесії Хмельницької міської ради від 26.06.2019 року №9</t>
  </si>
  <si>
    <t>Реверсна дотація</t>
  </si>
  <si>
    <t>Обслуговування місцевого боргу</t>
  </si>
  <si>
    <t xml:space="preserve">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</si>
  <si>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</si>
  <si>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Надання реабілітаційних послуг особам з інвалідністю та дітям з інвалідністю</t>
  </si>
  <si>
    <t>Надання пільгових довгострокових кредитів молодим сім'ям та одиноким молодим громадянам на будівництво/придбання житла</t>
  </si>
  <si>
    <t>1118821</t>
  </si>
  <si>
    <t>1118822</t>
  </si>
  <si>
    <t>8821</t>
  </si>
  <si>
    <t>8822</t>
  </si>
  <si>
    <t>Здійснення заходів із землеустрою</t>
  </si>
  <si>
    <t>Будівництвоˈ інших об'єктів комунальної власності</t>
  </si>
  <si>
    <t>Забезпечення діяльності музеїв i виставок</t>
  </si>
  <si>
    <t>Забезпечення діяльності інших закладів в галузі культури і мистецтва</t>
  </si>
  <si>
    <t>Інші заходи в галузі культури і мистецтва</t>
  </si>
  <si>
    <t>Інша діяльність, пов’язана з експлуатацією об’єктів житлово-комунального господарства</t>
  </si>
  <si>
    <t>1917413</t>
  </si>
  <si>
    <t>1917426</t>
  </si>
  <si>
    <t>Будівництвоˈ об'єктів житлово-комунального господарства</t>
  </si>
  <si>
    <t>3.2.4.</t>
  </si>
  <si>
    <t>3.2.10.</t>
  </si>
  <si>
    <t>3.2.15.</t>
  </si>
  <si>
    <t xml:space="preserve">Субвенції з місцевих бюджетів іншим місцевим бюджетам </t>
  </si>
  <si>
    <t>Субвенція з місцевого бюджету на здійснення переданих видатків у сфері освіти за рахунок коштів освітньої субвенції</t>
  </si>
  <si>
    <t>0712144</t>
  </si>
  <si>
    <t>2144</t>
  </si>
  <si>
    <t>Централізовані заходи з лікування хворих на цукровий та нецукровий діабет</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</si>
  <si>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</si>
  <si>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</si>
  <si>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</si>
  <si>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</si>
  <si>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</si>
  <si>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</si>
  <si>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</si>
  <si>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</si>
  <si>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</si>
  <si>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Цільові фонди </t>
  </si>
  <si>
    <t>Усього доходів (без врахування міжбюджетних трансфертів)</t>
  </si>
  <si>
    <t>Рішення 34-ї сесії Хмельницької міської ради від 09.10.2019 року №38</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</si>
  <si>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</si>
  <si>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</si>
  <si>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</si>
  <si>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Додаток 3</t>
  </si>
  <si>
    <t>УСЬОГО:</t>
  </si>
  <si>
    <t>Найменування місцевої / регіональної програми</t>
  </si>
  <si>
    <t>Дата і номер документа, яким затверджено місцеву / регіональну програму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</si>
  <si>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</si>
  <si>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0611030</t>
  </si>
  <si>
    <t>Надання позашкільної освіти закладами позашкільної освіти, заходи із позашкільної роботи з дітьми</t>
  </si>
  <si>
    <t>Підготовка кадрів закладами професійної (професійно-технічної) освіти та іншими закладами освіти</t>
  </si>
  <si>
    <t>Забезпечення діяльності інших закладів у сфері освіти</t>
  </si>
  <si>
    <t>Повернення довгострокових кредитів, наданих громадянам на будівництво/реконструкцію/придбання житла</t>
  </si>
  <si>
    <t>1118842</t>
  </si>
  <si>
    <t>8842</t>
  </si>
  <si>
    <t>0712020</t>
  </si>
  <si>
    <t>Спеціалізована стаціонарна медична допомога населенню</t>
  </si>
  <si>
    <t>0732</t>
  </si>
  <si>
    <t>2020</t>
  </si>
  <si>
    <t>0719770</t>
  </si>
  <si>
    <t>5062</t>
  </si>
  <si>
    <t>Підтримка спорту вищих досягнень та організацій, які здійснюють фізкультурно-спортивну діяльність в регіоні</t>
  </si>
  <si>
    <t>1115062</t>
  </si>
  <si>
    <t>0219800</t>
  </si>
  <si>
    <t>9800</t>
  </si>
  <si>
    <t>Субвенція з місцевого бюджету державному бюджету на виконання програм соціально-економічного розвитку регіонів</t>
  </si>
  <si>
    <t>1517324</t>
  </si>
  <si>
    <t>7324</t>
  </si>
  <si>
    <t>8110</t>
  </si>
  <si>
    <t>Заходи із запобігання та ліквідації надзвичайних ситуацій та наслідків стихійного лиха</t>
  </si>
  <si>
    <t>Придбання обладнання і предметів довгострокового користування</t>
  </si>
  <si>
    <t>2017 - 2022 роки</t>
  </si>
  <si>
    <t>2019 - 2021 роки</t>
  </si>
  <si>
    <t xml:space="preserve">Начальник фінансового управління </t>
  </si>
  <si>
    <t xml:space="preserve">С. ЯМЧУК </t>
  </si>
  <si>
    <t xml:space="preserve">                                   Начальник фінансового управління                                                                                            Ю. САБІЙ</t>
  </si>
  <si>
    <t xml:space="preserve">Рентна плата та плата за використання ішших природних ресурсів </t>
  </si>
  <si>
    <t xml:space="preserve">Рентна плата за спеціальне використання лісових ресурсів </t>
  </si>
  <si>
    <t>Рентна плата за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</si>
  <si>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 xml:space="preserve">Рентна плата за користування надрами </t>
  </si>
  <si>
    <t xml:space="preserve">Рентна плата за користуваання надрами для видобудування корисних копалин загальнодержавного значення </t>
  </si>
  <si>
    <t>Внутрішні податки на товари та послуги</t>
  </si>
  <si>
    <t>Інші податки та збори</t>
  </si>
  <si>
    <t>Надходження  від викидів забруднюючих речовин в атмосферне повітря стаціонарними джерелами забруднення (за винятком викидів в атмосферне повітря двоокису вуглецю)</t>
  </si>
  <si>
    <t>Доходи від власності та підприємницької діяльності</t>
  </si>
  <si>
    <t>Частина чистого прибутку (доходу)  державних або кумунальних унітраних підприємств та їх обєднань, що вилучається до відповідного бюджету</t>
  </si>
  <si>
    <t>Плата за надання адміністративних послуг</t>
  </si>
  <si>
    <t>Надходження від орендної плати за користування цілісним майновим комплексом та іншим державним майном</t>
  </si>
  <si>
    <t xml:space="preserve">Кошти від реалізації скарбів, майна, одержаного державною або територіальною громадою  в порядку спадкування чи дарування, а також валютні цінності і грошові кошти, власники яких невідомі </t>
  </si>
  <si>
    <t xml:space="preserve">Єдиний податок з сільськогосподарських товаровиробників, у яких частка сільськогосподарського виробництва за попередній податковий (звітний) рік дорівнює або перевищує 75 відсотків </t>
  </si>
  <si>
    <t>1400000</t>
  </si>
  <si>
    <t>1410000</t>
  </si>
  <si>
    <t>1410160</t>
  </si>
  <si>
    <t>1410180</t>
  </si>
  <si>
    <t>1416012</t>
  </si>
  <si>
    <t>1416013</t>
  </si>
  <si>
    <t>1416020</t>
  </si>
  <si>
    <t>1416030</t>
  </si>
  <si>
    <t>1417310</t>
  </si>
  <si>
    <t>1417461</t>
  </si>
  <si>
    <t>1417640</t>
  </si>
  <si>
    <t>1417670</t>
  </si>
  <si>
    <t>1417691</t>
  </si>
  <si>
    <t>1418110</t>
  </si>
  <si>
    <t>1418120</t>
  </si>
  <si>
    <t>1418130</t>
  </si>
  <si>
    <t>8130</t>
  </si>
  <si>
    <t>Забезпечення діяльності місцевої пожежної охорони</t>
  </si>
  <si>
    <t>2021 рік</t>
  </si>
  <si>
    <t>Управління комунальної інфраструктури Хмельницької міської ради (головний розпорядник)</t>
  </si>
  <si>
    <t>Управління комунальної інфраструктури Хмельницької міської ради (відповідальний виконавець)</t>
  </si>
  <si>
    <t>Управління житлової політики і майна Хмельницької міської ради (головний розпорядник)</t>
  </si>
  <si>
    <t>Управління житлової політики і майна Хмельницької міської ради (відповідальний виконавець)</t>
  </si>
  <si>
    <t>Індивідуальне навчання, одяг сиротам</t>
  </si>
  <si>
    <t>Виплата 1810 грн сиротам при досягненні 18 років</t>
  </si>
  <si>
    <t>РОЗПОДІЛ</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</si>
  <si>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</si>
  <si>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доходів та видатків цільового фонду</t>
  </si>
  <si>
    <t>КОШТОРИС</t>
  </si>
  <si>
    <t>природоохоронних заходів,</t>
  </si>
  <si>
    <t>ПЕРЕЛІК</t>
  </si>
  <si>
    <t>КРЕДИТУВАННЯ</t>
  </si>
  <si>
    <t>ФІНАНСУВАННЯ</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</si>
  <si>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</si>
  <si>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Державний бюджет України</t>
  </si>
  <si>
    <t>0219770</t>
  </si>
  <si>
    <t>22317200000</t>
  </si>
  <si>
    <t>Районний бюджет Хмельницького району</t>
  </si>
  <si>
    <t>Бюджет Красилівської міської територіальної громади</t>
  </si>
  <si>
    <t>Бюджет Заслучненської сільської територіальної громади</t>
  </si>
  <si>
    <t>22522000000</t>
  </si>
  <si>
    <t>Бюджет Чорноострівської селищної територіальної громади</t>
  </si>
  <si>
    <t>Програма розвитку освіти Хмельницької міської територіальної громади на 2017-2021 роки (із змінами і доповненнями)</t>
  </si>
  <si>
    <t>Комплексна програма «Піклування» в Хмельницькій міській територіальній громаді на 2017 - 2021 роки (із змінами і доповненнями)</t>
  </si>
  <si>
    <t>0210160</t>
  </si>
  <si>
    <t>Рішення 42-ї сесії Хмельницької міської ради від 17.06.2020 року №39</t>
  </si>
  <si>
    <t>1019770</t>
  </si>
  <si>
    <t>Комплексна програма реалізації молодіжної політики та розвитку фізичної культури і спорту у Хмельницькій міській територіальній громаді на 2017 - 2021 роки (із змінами і доповненнями)</t>
  </si>
  <si>
    <t>Рішення позачергової 46-ї сесії Хмельницької міської ради від 07.10.2020 року №3</t>
  </si>
  <si>
    <t>Плата за гарантії, надані Верховною Радою Автономної Республіки    Крим та міськими радами</t>
  </si>
  <si>
    <t>Додаток №5</t>
  </si>
  <si>
    <t>Додаток №7</t>
  </si>
  <si>
    <t>Додаток 8</t>
  </si>
  <si>
    <t>Додаток  9</t>
  </si>
  <si>
    <t>Найменування трансферту /
Найменування бюджету – надавача міжбюджетного трансферту</t>
  </si>
  <si>
    <t>Код Класифікації доходу бюджету /
Код бюджету</t>
  </si>
  <si>
    <t>І. Трансферти до загального фонду бюджету</t>
  </si>
  <si>
    <t>ІІ. Трансферти до спеціального фонду бюджету</t>
  </si>
  <si>
    <t>УСЬОГО за розділами І, ІІ, у тому числі:</t>
  </si>
  <si>
    <t>Код Програмної класифікації видатків та кредитування місцевого бюджету /
Код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</si>
  <si>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</si>
  <si>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</si>
  <si>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</si>
  <si>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3719110</t>
  </si>
  <si>
    <t>9110</t>
  </si>
  <si>
    <t>41033900</t>
  </si>
  <si>
    <t>41030000</t>
  </si>
  <si>
    <t>1117670</t>
  </si>
  <si>
    <t>2019 - 2023 роки</t>
  </si>
  <si>
    <t>Обласний бюджет Хмельницької області</t>
  </si>
  <si>
    <t>41040000</t>
  </si>
  <si>
    <t>41040200</t>
  </si>
  <si>
    <t>41050000</t>
  </si>
  <si>
    <t xml:space="preserve">Субвеції з місцевих бюджетів іншим місцевим бюджетам </t>
  </si>
  <si>
    <t>41051000</t>
  </si>
  <si>
    <t xml:space="preserve">Субвенції з місцевого бюджету на здійснення переданих видатків у сфері освіти за рахунок коштів освітньої субвенції </t>
  </si>
  <si>
    <t>41051200</t>
  </si>
  <si>
    <t>41055000</t>
  </si>
  <si>
    <t xml:space="preserve">Освітня субвенція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</si>
  <si>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</si>
  <si>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</si>
  <si>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Пальне </t>
  </si>
  <si>
    <t>Акцизний податок з вироблених в Україні підакцизних товарів (продукції)</t>
  </si>
  <si>
    <t>Акцизний податок з ввезених на митну територію  України підакцизних товарів (продукції)</t>
  </si>
  <si>
    <t>0210170</t>
  </si>
  <si>
    <t>0131</t>
  </si>
  <si>
    <t>Підвищення кваліфікації депутатів місцевих рад та посадових осіб місцевого самоврядування</t>
  </si>
  <si>
    <t>1210170</t>
  </si>
  <si>
    <t>0810170</t>
  </si>
  <si>
    <t>1410170</t>
  </si>
  <si>
    <t>1510170</t>
  </si>
  <si>
    <t>1610170</t>
  </si>
  <si>
    <t>1910170</t>
  </si>
  <si>
    <t>2810170</t>
  </si>
  <si>
    <t>3710170</t>
  </si>
  <si>
    <t>Надання фінансової підтримки громадським об'єднанням ветеранів і осіб з інвалідністю, діяльність яких має соціальну спрямованість</t>
  </si>
  <si>
    <t>1011080</t>
  </si>
  <si>
    <t>1080</t>
  </si>
  <si>
    <t>Утримання та забезпечення діяльності центрів соціальних служб</t>
  </si>
  <si>
    <t>Витрати, пов’язані з наданням та обслуговуванням пільгових довгострокових кредитів, наданих громадянам на будівництво/реконструкцію/ придбання житла</t>
  </si>
  <si>
    <t>Резервний фонд місцевого бюджету</t>
  </si>
  <si>
    <t>0611021</t>
  </si>
  <si>
    <t>1021</t>
  </si>
  <si>
    <t>Надання загальної середньої освіти за рахунок коштів місцевого бюджету</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</si>
  <si>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</si>
  <si>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</si>
  <si>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</si>
  <si>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0611160</t>
  </si>
  <si>
    <t>1160</t>
  </si>
  <si>
    <t>Забезпечення діяльності центрів професійного розвитку педагогічних працівників</t>
  </si>
  <si>
    <t>0611022</t>
  </si>
  <si>
    <t>1022</t>
  </si>
  <si>
    <t>0611180</t>
  </si>
  <si>
    <t>1180</t>
  </si>
  <si>
    <t>Виконання заходів, спрямованих на забезпечення якісної, сучасної та доступної загальної середньої освіти «Нова українська школа»</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</si>
  <si>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</si>
  <si>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</si>
  <si>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</si>
  <si>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Надання загальної середньої освіти за рахунок освітньої субвенції</t>
  </si>
  <si>
    <t>0611031</t>
  </si>
  <si>
    <t>1031</t>
  </si>
  <si>
    <t>0611070</t>
  </si>
  <si>
    <t>0611091</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</si>
  <si>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</si>
  <si>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</si>
  <si>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</si>
  <si>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0611092</t>
  </si>
  <si>
    <t>Підготовка кадрів закладами професійної (професійно-технічної) освіти та іншими закладами освіти за рахунок освітньої субвенції</t>
  </si>
  <si>
    <t>1140</t>
  </si>
  <si>
    <t>0611140</t>
  </si>
  <si>
    <t>Інші програми, заклади та заходи у сфері освіти</t>
  </si>
  <si>
    <t>0611141</t>
  </si>
  <si>
    <t>1141</t>
  </si>
  <si>
    <t>0611142</t>
  </si>
  <si>
    <t>1142</t>
  </si>
  <si>
    <t>0611150</t>
  </si>
  <si>
    <t>1150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</si>
  <si>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</si>
  <si>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</si>
  <si>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</si>
  <si>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</si>
  <si>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</si>
  <si>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</si>
  <si>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0210100</t>
  </si>
  <si>
    <t>0100</t>
  </si>
  <si>
    <t>Державне управління</t>
  </si>
  <si>
    <t>0217500</t>
  </si>
  <si>
    <t>7500</t>
  </si>
  <si>
    <t>Зв'язок, телекомунікації та інформатика</t>
  </si>
  <si>
    <t>Інші програми та заходи, пов'язані з економічною діяльністю</t>
  </si>
  <si>
    <t>0217600</t>
  </si>
  <si>
    <t>7600</t>
  </si>
  <si>
    <t>Інша економічна діяльність</t>
  </si>
  <si>
    <t>0217690</t>
  </si>
  <si>
    <t>7690</t>
  </si>
  <si>
    <t>0218000</t>
  </si>
  <si>
    <t>8000</t>
  </si>
  <si>
    <t>Інша діяльність</t>
  </si>
  <si>
    <t>0218400</t>
  </si>
  <si>
    <t>8400</t>
  </si>
  <si>
    <t>Засоби масової інформації</t>
  </si>
  <si>
    <t>0219000</t>
  </si>
  <si>
    <t>9000</t>
  </si>
  <si>
    <t>Міжбюджетні трансферти</t>
  </si>
  <si>
    <t>0219700</t>
  </si>
  <si>
    <t>9700</t>
  </si>
  <si>
    <t>Субвенції з місцевого бюджету іншим місцевим бюджетам на здійснення програм та заходів за рахунок коштів місцевих бюджетів</t>
  </si>
  <si>
    <t>0611000</t>
  </si>
  <si>
    <t>1000</t>
  </si>
  <si>
    <t>Освіта</t>
  </si>
  <si>
    <t>0613000</t>
  </si>
  <si>
    <t>3000</t>
  </si>
  <si>
    <t>Соціальний захист та соціальне забезпечення</t>
  </si>
  <si>
    <t>0710100</t>
  </si>
  <si>
    <t>0712000</t>
  </si>
  <si>
    <t>2000</t>
  </si>
  <si>
    <t>Охорона здоров’я</t>
  </si>
  <si>
    <t>0712110</t>
  </si>
  <si>
    <t>2110</t>
  </si>
  <si>
    <t>Первинна медична допомога населенню</t>
  </si>
  <si>
    <t>0712140</t>
  </si>
  <si>
    <t>2140</t>
  </si>
  <si>
    <t>Програми і централізовані заходи у галузі охорони здоров’я</t>
  </si>
  <si>
    <t>0712150</t>
  </si>
  <si>
    <t>2150</t>
  </si>
  <si>
    <t>Інші програми, заклади та заходи у сфері охорони здоров’я</t>
  </si>
  <si>
    <t>0717600</t>
  </si>
  <si>
    <t>0810100</t>
  </si>
  <si>
    <t>0813000</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</si>
  <si>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</si>
  <si>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</si>
  <si>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</si>
  <si>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</si>
  <si>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</si>
  <si>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</si>
  <si>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0813190</t>
  </si>
  <si>
    <t>3190</t>
  </si>
  <si>
    <t>Соціальний захист ветеранів війни та праці</t>
  </si>
  <si>
    <t>0813240</t>
  </si>
  <si>
    <t>3240</t>
  </si>
  <si>
    <t xml:space="preserve"> Інші заклади та заходи</t>
  </si>
  <si>
    <t>0816000</t>
  </si>
  <si>
    <t>6000</t>
  </si>
  <si>
    <t>Житлово-комунальне господарство</t>
  </si>
  <si>
    <t>0816080</t>
  </si>
  <si>
    <t>6080</t>
  </si>
  <si>
    <t>Реалізація державних та місцевих житлових програм</t>
  </si>
  <si>
    <t>0217000</t>
  </si>
  <si>
    <t>7000</t>
  </si>
  <si>
    <t xml:space="preserve"> Економічна діяльність</t>
  </si>
  <si>
    <t>0717000</t>
  </si>
  <si>
    <t>0817000</t>
  </si>
  <si>
    <t>0817690</t>
  </si>
  <si>
    <t>0817600</t>
  </si>
  <si>
    <t>1011000</t>
  </si>
  <si>
    <t>1014000</t>
  </si>
  <si>
    <t>4000</t>
  </si>
  <si>
    <t>Культура i мистецтво</t>
  </si>
  <si>
    <t>1014080</t>
  </si>
  <si>
    <t>4080</t>
  </si>
  <si>
    <t>Інші заклади та заходи в галузі культури і мистецтва</t>
  </si>
  <si>
    <t>1019000</t>
  </si>
  <si>
    <t>1019700</t>
  </si>
  <si>
    <t>1113000</t>
  </si>
  <si>
    <t>1113120</t>
  </si>
  <si>
    <t>3120</t>
  </si>
  <si>
    <t>Здійснення соціальної роботи з вразливими категоріями населення</t>
  </si>
  <si>
    <t>1113130</t>
  </si>
  <si>
    <t>3130</t>
  </si>
  <si>
    <t>1115000</t>
  </si>
  <si>
    <t>5000</t>
  </si>
  <si>
    <t xml:space="preserve"> Фiзична культура i спорт</t>
  </si>
  <si>
    <t>1115010</t>
  </si>
  <si>
    <t>5010</t>
  </si>
  <si>
    <t>Проведення спортивної роботи в регіоні</t>
  </si>
  <si>
    <t>1115020</t>
  </si>
  <si>
    <t>5020</t>
  </si>
  <si>
    <t>Здійснення фізкультурно-спортивної та реабілітаційної роботи серед осіб з інвалідністю</t>
  </si>
  <si>
    <t>1115030</t>
  </si>
  <si>
    <t>5030</t>
  </si>
  <si>
    <t xml:space="preserve"> Розвиток дитячо-юнацького та резервного спорту</t>
  </si>
  <si>
    <t>1115060</t>
  </si>
  <si>
    <t>5060</t>
  </si>
  <si>
    <t>Інші заходи з розвитку фізичної культури та спорту</t>
  </si>
  <si>
    <t>1116000</t>
  </si>
  <si>
    <t>1116080</t>
  </si>
  <si>
    <t>1117000</t>
  </si>
  <si>
    <t>1117600</t>
  </si>
  <si>
    <t>1210100</t>
  </si>
  <si>
    <t>1216000</t>
  </si>
  <si>
    <t>1216010</t>
  </si>
  <si>
    <t>6010</t>
  </si>
  <si>
    <t>Утримання та ефективна експлуатація об’єктів житлово-комунального господарства</t>
  </si>
  <si>
    <t>1217000</t>
  </si>
  <si>
    <t>Економічна діяльність</t>
  </si>
  <si>
    <t>1217600</t>
  </si>
  <si>
    <t>1217690</t>
  </si>
  <si>
    <t xml:space="preserve"> Інша економічна діяльність</t>
  </si>
  <si>
    <t>1410100</t>
  </si>
  <si>
    <t>1416000</t>
  </si>
  <si>
    <t>1416010</t>
  </si>
  <si>
    <t>1417000</t>
  </si>
  <si>
    <t>1417300</t>
  </si>
  <si>
    <t>7300</t>
  </si>
  <si>
    <t>Будівництво та регіональний розвиток</t>
  </si>
  <si>
    <t>1417400</t>
  </si>
  <si>
    <t>7400</t>
  </si>
  <si>
    <t>Транспорт та транспортна інфраструктура, дорожнє господарство</t>
  </si>
  <si>
    <t>1417600</t>
  </si>
  <si>
    <t>1417690</t>
  </si>
  <si>
    <t>1418000</t>
  </si>
  <si>
    <t>1418100</t>
  </si>
  <si>
    <t>8100</t>
  </si>
  <si>
    <t>1510100</t>
  </si>
  <si>
    <t>1515000</t>
  </si>
  <si>
    <t>1515040</t>
  </si>
  <si>
    <t>5040</t>
  </si>
  <si>
    <t>Підтримка і розвиток спортивної інфраструктури</t>
  </si>
  <si>
    <t>1517000</t>
  </si>
  <si>
    <t>1517300</t>
  </si>
  <si>
    <t>1517320</t>
  </si>
  <si>
    <t>7320</t>
  </si>
  <si>
    <t>1610100</t>
  </si>
  <si>
    <t>1910100</t>
  </si>
  <si>
    <t>1917000</t>
  </si>
  <si>
    <t>1917400</t>
  </si>
  <si>
    <t>1917420</t>
  </si>
  <si>
    <t>7420</t>
  </si>
  <si>
    <t>Забезпечення надання послуг з перевезення пасажирів електротранспортом</t>
  </si>
  <si>
    <t>2717000</t>
  </si>
  <si>
    <t>2717600</t>
  </si>
  <si>
    <t>2717690</t>
  </si>
  <si>
    <t>2810100</t>
  </si>
  <si>
    <t>2818000</t>
  </si>
  <si>
    <t>2818300</t>
  </si>
  <si>
    <t>8300</t>
  </si>
  <si>
    <t>Охорона навколишнього природного середовища</t>
  </si>
  <si>
    <t>3610100</t>
  </si>
  <si>
    <t>3617000</t>
  </si>
  <si>
    <t>3617100</t>
  </si>
  <si>
    <t>7100</t>
  </si>
  <si>
    <t>Сільське, лісове, рибне господарство та мисливство</t>
  </si>
  <si>
    <t>3617600</t>
  </si>
  <si>
    <t xml:space="preserve"> Інші програми та заходи, пов'язані з економічною діяльністю</t>
  </si>
  <si>
    <t>3710100</t>
  </si>
  <si>
    <t>3718000</t>
  </si>
  <si>
    <t>Резервний фонд</t>
  </si>
  <si>
    <t>3719000</t>
  </si>
  <si>
    <t>Дотації з місцевого бюджету іншим бюджетам</t>
  </si>
  <si>
    <t>9100</t>
  </si>
  <si>
    <t>1118000</t>
  </si>
  <si>
    <t xml:space="preserve"> Інша діяльність</t>
  </si>
  <si>
    <t>1118800</t>
  </si>
  <si>
    <t>8800</t>
  </si>
  <si>
    <t>Кредитування</t>
  </si>
  <si>
    <t>1118820</t>
  </si>
  <si>
    <t>8820</t>
  </si>
  <si>
    <t>Рішення 2-ї сесії Хмельницької міської ради від 23.12.2020 року №22</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</si>
  <si>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t>
  </si>
  <si>
    <t>Рішення 2-ї сесії Хмельницької міської ради від 23.12.2020 року №9</t>
  </si>
  <si>
    <t>Програма економічного і соціального розвитку Хмельницької міської територіальної громади на 2021 рік</t>
  </si>
  <si>
    <t>Рішення 2-ї сесії Хмельницької міської ради від 23.12.2020 року №10</t>
  </si>
  <si>
    <t>Рішення 2-ї сесії Хмельницької міської ради від 23.12.2020 року №11</t>
  </si>
  <si>
    <t>Програма підтримки книговидання та читацької культури у Хмельницькій міській територіальній громаді на 2021-2025 роки «#ЩодняЧитай українською»</t>
  </si>
  <si>
    <t>Рішення 2-ї сесії Хмельницької міської ради від 23.12.2020 року №31</t>
  </si>
  <si>
    <t>Програма розвитку Хмельницької міської територіальної громади у сфері культури на 2021-2025 роки "Нова лінія культурних змін"</t>
  </si>
  <si>
    <t>Рішення 2-ї сесії Хмельницької міської ради від 23.12.2020 року №32</t>
  </si>
  <si>
    <t>Програма 
підтримки сім'ї на 2021-2025 рр.</t>
  </si>
  <si>
    <t>Рішення 2-ї сесії Хмельницької міської ради від 23.12.2020 року №33</t>
  </si>
  <si>
    <t>Рішення 2-ї сесії Хмельницької міської ради від 23.12.2020 року №36</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</si>
  <si>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t>
  </si>
  <si>
    <t>Рішення 2-ї сесії Хмельницької міської ради від 23.12.2020 року №50</t>
  </si>
  <si>
    <t>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t>
  </si>
  <si>
    <t>Рішення 2-ї сесії Хмельницької міської ради від 23.12.2020 року №57</t>
  </si>
  <si>
    <t>Рішення 2-ї сесії Хмельницької міської ради від 23.12.2020 року №67</t>
  </si>
  <si>
    <t>Програма розвитку велоінфраструктури м.Хмельницького на 2017-2025 роки</t>
  </si>
  <si>
    <t>Програма поводження з побутовими відходами "Розумне Довкілля.  Хмельницький" на 2021 - 2022 роки</t>
  </si>
  <si>
    <t>Пільгові довгострокові кредити молодим сім'ям та одиноким молодим громадянам на будівництво/реконструкцію/придбання житла та їх повернення</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</si>
  <si>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</si>
  <si>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 xml:space="preserve"> Надання пільгових довгострокових кредитів молодим сім'ям та одиноким молодим громадянам на будівництво/реконструкцію/придбання житла</t>
  </si>
  <si>
    <t>99000000000</t>
  </si>
  <si>
    <t>0813170</t>
  </si>
  <si>
    <t>3170</t>
  </si>
  <si>
    <t>Забезпечення реалізації окремих програм для осіб з інвалідністю</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</si>
  <si>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2021 рік</t>
  </si>
  <si>
    <t>Рішення 4-ї сесії Хмельницької міської ради від 17.02.2021 року №7</t>
  </si>
  <si>
    <t xml:space="preserve">Управління з питань екології та контролю за благоустроєм  Хмельницької міської ради  (відповідальний виконавець)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</si>
  <si>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</si>
  <si>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</si>
  <si>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(відповідальний виконавець) </t>
  </si>
  <si>
    <t>Рішення 13-ї сесії Хмельницької міської ради від 22.03.2017 року №33</t>
  </si>
  <si>
    <t>Управління капітального будівництва Хмельницької міської ради (головний розпорядник)</t>
  </si>
  <si>
    <t>Управління капітального будівництва Хмельницької міської ради (відповідальний виконавець)</t>
  </si>
  <si>
    <t>Управління архітектури та містобудування Хмельницької міської ради (головний розпорядник)</t>
  </si>
  <si>
    <t>Управління архітектури та містобудування  Хмельницької міської ради  (відповідальний виконавець)</t>
  </si>
  <si>
    <t>Управління земельних ресурсів Хмельницької міської ради (відповідальний розпорядник)</t>
  </si>
  <si>
    <t>Управління земельних ресурсів Хмельницької міської ради (головний розпорядник)</t>
  </si>
  <si>
    <t xml:space="preserve">які будуть фінансуватися з Фонду охорони навколишнього природного середовища </t>
  </si>
  <si>
    <t>Управління архітектури та містобудування Хмельницької міської ради  (відповідальний виконавець)</t>
  </si>
  <si>
    <t>Управління земельних ресурсів та земельної реформи Хмельницької міської ради (головний розпорядник)</t>
  </si>
  <si>
    <t>Управління земельних ресурсів та земельної реформи  Хмельницької міської ради (відповідальний розпорядник)</t>
  </si>
  <si>
    <t>Інші субвенції з місцевого бюджету, в тому числі:</t>
  </si>
  <si>
    <t xml:space="preserve"> - пільгове медичне обслуговування осіб, які постраждали внаслідок Чорнобильської катастрофи </t>
  </si>
  <si>
    <t xml:space="preserve"> - 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</si>
  <si>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  - поховання учасників бойових дій та осіб з інвалідністю внаслідок війни</t>
  </si>
  <si>
    <t>Внески до статутного капіталу МКП "Хмельницькводоканал" (Реконструкція водопроводу від  вул.Проскурівська по пров. Проскурівський, вул. Пилипчука до пров. Шевченка в м. Хмельницький)</t>
  </si>
  <si>
    <t>2719000</t>
  </si>
  <si>
    <t>2719700</t>
  </si>
  <si>
    <t>2719770</t>
  </si>
  <si>
    <t>1617000</t>
  </si>
  <si>
    <t>1617300</t>
  </si>
  <si>
    <t>1617350</t>
  </si>
  <si>
    <t>7350</t>
  </si>
  <si>
    <t>Розроблення схем планування та забудови територій (містобудівної документації)</t>
  </si>
  <si>
    <t>0217693</t>
  </si>
  <si>
    <t>1017000</t>
  </si>
  <si>
    <t>1017600</t>
  </si>
  <si>
    <t>1017670</t>
  </si>
  <si>
    <t>1217670</t>
  </si>
  <si>
    <t>0810180</t>
  </si>
  <si>
    <t>0813060</t>
  </si>
  <si>
    <t>3060</t>
  </si>
  <si>
    <t>Оздоровлення громадян, які постраждали внаслідок Чорнобильської катастрофи</t>
  </si>
  <si>
    <t>0817320</t>
  </si>
  <si>
    <t>0817323</t>
  </si>
  <si>
    <t>7323</t>
  </si>
  <si>
    <t>0817300</t>
  </si>
  <si>
    <t>1517310</t>
  </si>
  <si>
    <t>1510180</t>
  </si>
  <si>
    <t>1216020</t>
  </si>
  <si>
    <t>0611060</t>
  </si>
  <si>
    <t>0611061</t>
  </si>
  <si>
    <t>1061</t>
  </si>
  <si>
    <t>Реконструкція будівлі №45/312 (контрольно-технічний пункт), військового містечка №45 військової частини А0661</t>
  </si>
  <si>
    <t>Рішення 4-ї сесії Хмельницької міської ради від 17.02.2021 року №2</t>
  </si>
  <si>
    <t>Рішення 3-ї сесії Хмельницької міської ради від 14.01.2021 року №1</t>
  </si>
  <si>
    <t>Реконструкція існуючої будівлі краєзнавчого музею під музейний комплекс історії та культури по вул.Свободи, 22 в м.Хмельницькому</t>
  </si>
  <si>
    <t xml:space="preserve">Реконструкція з добудовою їдальні до існуючого приміщення спеціалізованої загальноосвітньої школи І-ІІІ ступенів №8 по вул. Я. Гальчевського, 34 в м.Хмельницькому </t>
  </si>
  <si>
    <t>2017 - 2025 роки</t>
  </si>
  <si>
    <t>2020 - 2025 роки</t>
  </si>
  <si>
    <t>2015 - 2025 роки</t>
  </si>
  <si>
    <t>0611210</t>
  </si>
  <si>
    <t>1210</t>
  </si>
  <si>
    <t>Внески до статутного капіталу міського комунального підприємства - Кінотеатр ім. Т.Г.Шевченка (Виготовлення науково-проектної документації «Реставрація будівлі кінотеатру ім. Т. Г. Шевченка (щойно виявлений об’єкт культурної спадщини) по вул. Проскурівській, 40 у м. Хмельницькому)</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</si>
  <si>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</si>
  <si>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</si>
  <si>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41053600</t>
  </si>
  <si>
    <t>Субвенція з місцевого бюджету на здійснення природоохоронних заходів</t>
  </si>
  <si>
    <t xml:space="preserve"> - соціально-економічний розвиток</t>
  </si>
  <si>
    <t>Субвенція з місцевого бюджету на здійснення природоохоронних заходів  (Обласний фонд охорони навколишнього природного середовища)</t>
  </si>
  <si>
    <t>Інші субвенції з місцевого бюджету (соціально-економічний розвиток)</t>
  </si>
  <si>
    <t>Рішення 5-ї сесії Хмельницької міської ради від 21.04.2021 року №7</t>
  </si>
  <si>
    <t>Рішення 5-ї сесії Хмельницької міської ради від 21.04.2021 року №57</t>
  </si>
  <si>
    <t>Рішення 5-ї сесії Хмельницької міської ради від 21.04.2021 року №69</t>
  </si>
  <si>
    <t>Програма розвитку та фінансової підтримки комунального підприємства «Чайка» Хмельницької міської ради на 2021-2022 роки</t>
  </si>
  <si>
    <t>Рішення 5-ї сесії Хмельницької міської ради від 21.04.2021 року №74</t>
  </si>
  <si>
    <t>Програма для забезпечення виконання судових рішень на 2021-2025 роки</t>
  </si>
  <si>
    <t>1417460</t>
  </si>
  <si>
    <t>7460</t>
  </si>
  <si>
    <t>Утримання та розвиток автомобільних доріг та дорожньої інфраструктури</t>
  </si>
  <si>
    <t>до рішення №</t>
  </si>
  <si>
    <t xml:space="preserve">до рішення №  </t>
  </si>
  <si>
    <t xml:space="preserve">до рішення №      </t>
  </si>
  <si>
    <t>Зовнішні зобов'язання</t>
  </si>
  <si>
    <t xml:space="preserve">Довгострокові зобов'язання </t>
  </si>
  <si>
    <t xml:space="preserve">Середньострокові зобов'язання </t>
  </si>
  <si>
    <t xml:space="preserve">Фінансування за рахунок позик банківських установ </t>
  </si>
  <si>
    <t xml:space="preserve"> Одержано позик </t>
  </si>
  <si>
    <t xml:space="preserve">Фінансування за рахунок інших банків </t>
  </si>
  <si>
    <t xml:space="preserve">Внутрішні запозичення </t>
  </si>
  <si>
    <t xml:space="preserve">Фінансування за рахунок зміни залишків коштів бюджетів </t>
  </si>
  <si>
    <t>Зміни обсягів бюджетних коштів</t>
  </si>
  <si>
    <t xml:space="preserve">На початок періоду </t>
  </si>
  <si>
    <t xml:space="preserve">Інші розрахунки </t>
  </si>
  <si>
    <t xml:space="preserve">Передача коштів із загального до спеціального фонду бюджету </t>
  </si>
  <si>
    <t>Субвенція з державного бюджету місцевим бюджетам на розвиток спортивної інфраструктури</t>
  </si>
  <si>
    <t>41035700</t>
  </si>
  <si>
    <t>0217540</t>
  </si>
  <si>
    <t>7540</t>
  </si>
  <si>
    <t>Реалізація заходів, спрямованих на підвищення доступності широкосмугового доступу до Інтернету в сільській місцевості</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</si>
  <si>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</si>
  <si>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</si>
  <si>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</si>
  <si>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з державного бюджету місцевим бюджетам на реалізацію інфраструктурних проектів та розвиток об’єктів соціально-культурної сфери</t>
  </si>
  <si>
    <t>41032300</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</si>
  <si>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</si>
  <si>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41035500</t>
  </si>
  <si>
    <t>41051400</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</si>
  <si>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</si>
  <si>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1517600</t>
  </si>
  <si>
    <t>1517690</t>
  </si>
  <si>
    <t>1517691</t>
  </si>
  <si>
    <t>3.2.8.</t>
  </si>
  <si>
    <t>Будівництво, реконструкція та ремонт інженерно-транспортної та соціальної інфраструктури Хмельницької міської територіальної громади, відповідного мікрорайону/кварталу, в т. ч. і тих, в яких розташовані будинки житлово-будівельних кооперативів (ТОВ "ЖЕО")</t>
  </si>
  <si>
    <t>2021 - 2022 роки</t>
  </si>
  <si>
    <t>41035600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</si>
  <si>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</si>
  <si>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0611023</t>
  </si>
  <si>
    <t>1023</t>
  </si>
  <si>
    <t>0611190</t>
  </si>
  <si>
    <t>0611191</t>
  </si>
  <si>
    <t>1190</t>
  </si>
  <si>
    <t>1191</t>
  </si>
  <si>
    <t xml:space="preserve"> Виконання заходів, спрямованих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t>
  </si>
  <si>
    <t>Співфінансування заходів, що реалізуються за рахунок субвенції з державного бюджету місцевим бюджетам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t>
  </si>
  <si>
    <t>0611220</t>
  </si>
  <si>
    <t>0611221</t>
  </si>
  <si>
    <t>1220</t>
  </si>
  <si>
    <t>1221</t>
  </si>
  <si>
    <t>Субвенція з державного бюджету місцевим бюджетам на створення мережі спеціалізованихслужб підтрмки осіб, які постраждали від домашнього насильства та  або насильства за ознакою статі</t>
  </si>
  <si>
    <t>2.1.4.</t>
  </si>
  <si>
    <t>Кошти участі замовників у створенні і розвитку інженерно-транспортної та соціальної інфраструктури Хмельницької міської територіальної громади</t>
  </si>
  <si>
    <t>2717300</t>
  </si>
  <si>
    <t>2717370</t>
  </si>
  <si>
    <t>Забезпечення надання послуг з перевезення пасажирів автомобільним транспортом</t>
  </si>
  <si>
    <t>1917410</t>
  </si>
  <si>
    <t>7410</t>
  </si>
  <si>
    <t>Програма розвитку  та вдосконалення міського пасажирського транспорту  міста Хмельницького на 2019 - 2023 роки  (із змінами і доповненнями)</t>
  </si>
  <si>
    <t>0611192</t>
  </si>
  <si>
    <t>1192</t>
  </si>
  <si>
    <t>Виконання заходів, спрямованих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субвенції з державного бюджету місцевим бюджетам</t>
  </si>
  <si>
    <t>0813120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</si>
  <si>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</si>
  <si>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</si>
  <si>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</si>
  <si>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 xml:space="preserve"> Внутрішні зобов'язання </t>
  </si>
  <si>
    <t>41056600</t>
  </si>
  <si>
    <t>Субвенція з місцевого бюджету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відповідної субвенції з державного бюджету</t>
  </si>
  <si>
    <t xml:space="preserve">Субвенція з місцевого  бюджету на заходи, спрямовані на боротьбу з гострою респіраторною хворобою COVID-19, спричиненою коронавірусом  SARS- CoV-2 та її наслідками під час навчального процесу у закладах загальної середньої освіти за рахунок відповідної субвенції з державного бюджету </t>
  </si>
  <si>
    <t>0619000</t>
  </si>
  <si>
    <t>0619700</t>
  </si>
  <si>
    <t>0619770</t>
  </si>
  <si>
    <t>Розвиток готельного господарства та туризму</t>
  </si>
  <si>
    <t>1017620</t>
  </si>
  <si>
    <t>7620</t>
  </si>
  <si>
    <t>Реалізація програм і заходів в галузі туризму та курортів</t>
  </si>
  <si>
    <t>1017622</t>
  </si>
  <si>
    <t>7622</t>
  </si>
  <si>
    <t>Програма цифрового розвитку на 2021-2025 роки (із змінами)</t>
  </si>
  <si>
    <t>Разом  доходів (з врахуванням міжбюджетних трансфертів)</t>
  </si>
  <si>
    <t>Єдиний податок  з юридичних осіб</t>
  </si>
  <si>
    <t xml:space="preserve"> Інші надходження  </t>
  </si>
  <si>
    <t>Програма забезпечення охорони прав і свобод людини, профілактики злочинності та підтримання публічної безпеки і порядку на території Хмельницької міської територіальної громади на 2021 – 2025 роки (із змінами)</t>
  </si>
  <si>
    <t>Субвенція з державного бюджету місцевим бюджетам на створення навчально-практичних центрів сучасної професійної (професійно-технічної) освіти</t>
  </si>
  <si>
    <t>Субвенція з державного бюджету місцевим бюджетам на здійснення заходів щодо соціально-економічного розвитку окремих територій</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</si>
  <si>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</si>
  <si>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</si>
  <si>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</si>
  <si>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</si>
  <si>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0611222</t>
  </si>
  <si>
    <t>1222</t>
  </si>
  <si>
    <t>Виконання інвестиційних проектів</t>
  </si>
  <si>
    <t>7360</t>
  </si>
  <si>
    <t>0717300</t>
  </si>
  <si>
    <t>0717360</t>
  </si>
  <si>
    <t>0717363</t>
  </si>
  <si>
    <t>7363</t>
  </si>
  <si>
    <t>Виконання інвестиційних проектів в рамках здійснення заходів щодо соціально-економічного розвитку окремих територій</t>
  </si>
  <si>
    <t>Грошова компенсація за належні для отримання жилі приміщення для окремих категорій населення відповідно до законодавства</t>
  </si>
  <si>
    <t>0813220</t>
  </si>
  <si>
    <t>3220</t>
  </si>
  <si>
    <t>0813221</t>
  </si>
  <si>
    <t>3221</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</si>
  <si>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t>
  </si>
  <si>
    <t>0813222</t>
  </si>
  <si>
    <t>3222</t>
  </si>
  <si>
    <t>0813223</t>
  </si>
  <si>
    <t>3223</t>
  </si>
  <si>
    <t>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</si>
  <si>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</si>
  <si>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</si>
  <si>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</si>
  <si>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0813224</t>
  </si>
  <si>
    <t>3224</t>
  </si>
  <si>
    <t>0816083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</si>
  <si>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</si>
  <si>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</si>
  <si>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41034500</t>
  </si>
  <si>
    <t>41050500</t>
  </si>
  <si>
    <t>41033800</t>
  </si>
  <si>
    <t>41050400</t>
  </si>
  <si>
    <t>Субвенція з місцевого бюджету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</si>
  <si>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41054200</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</si>
  <si>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І – ІІ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t>
  </si>
  <si>
    <t xml:space="preserve">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</si>
  <si>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t xml:space="preserve">  - для забезпечення функціонування відділення боксу Хмельницької ДЮСШ №2 "Авангард" ФСТ "Україна)</t>
  </si>
  <si>
    <t xml:space="preserve">  - на нове будівництво зовнішніх мереж водопостачання в с. Копистин</t>
  </si>
  <si>
    <t>0617300</t>
  </si>
  <si>
    <t xml:space="preserve">	Економічна діяльність</t>
  </si>
  <si>
    <t>0617000</t>
  </si>
  <si>
    <t>0617320</t>
  </si>
  <si>
    <t>0617600</t>
  </si>
  <si>
    <t>0617640</t>
  </si>
  <si>
    <t>Капітальний ремонт приміщень Хмельницької міської ради за адресою: Хмеьницька область, м. Хмельницький, вулиця Пушкіна, 1 (в тому числі виготовлення проєктно-кошторисної документації)</t>
  </si>
  <si>
    <t>Капітальний ремонт системи опалення (з встановленням електричних котлів) адміністративної будівлі управління охорони здоров'я Хмельницької міської ради за адресою: вул. Грушевського, 64 в м. Хмельницькому</t>
  </si>
  <si>
    <t>2021 рsк</t>
  </si>
  <si>
    <t>Інша діяльність у сфері транспорту</t>
  </si>
  <si>
    <t>1917450</t>
  </si>
  <si>
    <t>7450</t>
  </si>
  <si>
    <t>1117300</t>
  </si>
  <si>
    <t>1117320</t>
  </si>
  <si>
    <t>1117325</t>
  </si>
  <si>
    <t>0617321</t>
  </si>
  <si>
    <t>Інші субвенції з місцевого бюджету (на нове будівництво зовнішніх мереж водопостачання в с. Копистин)</t>
  </si>
  <si>
    <t>41053900</t>
  </si>
  <si>
    <t>Інші субвенції з місцевого бюджету (для забезпечення функціонування відділення боксу Хмельницької ДЮСШ №2 "Авангард" ФСТ "Україна" (на підготовку спортсменів, проведення спортивних змагань, навчально-тренувальних зборів, придбання спортивного інвентаря та обладнання))</t>
  </si>
  <si>
    <t>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(91 х 46) зі штучним покриттям по вулиці Шевченка, 46, для проведення спільних спортивних заходів та заходів військово-патріотичного виховання молоді міста Хмельницького, пропаганди здорового способу життя, формування відповідного рівня фізичної підготовки та витривалості</t>
  </si>
  <si>
    <t>1119000</t>
  </si>
  <si>
    <t>1119700</t>
  </si>
  <si>
    <t>1119770</t>
  </si>
  <si>
    <t>ДОХОДИ</t>
  </si>
  <si>
    <t xml:space="preserve">          1. Показники міжбюджетних трансфертів з інших бюджетів</t>
  </si>
  <si>
    <t xml:space="preserve">          2. Показники міжбюджетних трансфертів іншим бюджетам</t>
  </si>
  <si>
    <t>ОБСЯГИ</t>
  </si>
  <si>
    <t>капітальних вкладень бюджету у розрізі інвестиційних проектів</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</si>
  <si>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</si>
  <si>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</si>
  <si>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</si>
  <si>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бюджету Хмельницької міської територіальної громади всього, гривень</t>
  </si>
  <si>
    <t>витрат бюджету Хмельницької міської територіальної громади на реалізацію місцевих/регіональних</t>
  </si>
  <si>
    <t>Надання спеціалізованої освіти мистецькими школами</t>
  </si>
  <si>
    <t>Реконструкція відділення невідкладної допомоги та реанімації комунального підприємства "Хмельницька міська дитяча лікарня" Хмельницької міської ради за адресою: м. Хмельницький, вул. Степана Разіна, 1</t>
  </si>
  <si>
    <t>Будівництво Палацу спорту по вул.Прибузькій, 5/1а у м.Хмельницькому (коригування)</t>
  </si>
  <si>
    <t>Будівництво артезіанської свердловини, водонапірної башти та водогону в с.Малашівці Хмельницького району Хмельницької області</t>
  </si>
  <si>
    <t>2018 - 2024 роки</t>
  </si>
  <si>
    <t>Будівництво внутрішньоквартального проїзду між земельними ділянками по вул. Старокостянтинівське шосе, 2/1 "З" в м. Хмельницькому</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</si>
  <si>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t>
  </si>
  <si>
    <t>2818340</t>
  </si>
  <si>
    <t>8340</t>
  </si>
  <si>
    <t>Природоохоронні заходи за рахунок цільових фондів</t>
  </si>
  <si>
    <t>0611033</t>
  </si>
  <si>
    <t>1033</t>
  </si>
  <si>
    <t>2019 - 2022 роки</t>
  </si>
  <si>
    <t>Реконструкція стадіону Хмельницької середньої загальноосвітньої школи №18 І-ІІІ ступенів ім.В.Чорновола по вул. Купріна, 12 в  м.Хмельницькому</t>
  </si>
  <si>
    <t xml:space="preserve"> Реконструкція парку-пам'ятки садово-паркового мистецтва місцевого значення "Парк ім. М.Чекмана". Ділянка колеса огляду. </t>
  </si>
  <si>
    <t>Нове будівництво парку "Молодіжний" по вул. Бандери в м. Хмельницькому 1-а черга</t>
  </si>
  <si>
    <t>2022 рік</t>
  </si>
  <si>
    <t>Підвищення енергоефективності систем водопостачання та водоочищення: Реконструкція каналізаційних насосних станцій № 2, 7, 12 у місті Хмельницькому</t>
  </si>
  <si>
    <t>Внески до статутного капіталу ХКП "Спецкомунтранс" (Реконструкція "Винос газопроводу високого тиску з тіла полігону твердих побутових відходів м.Хмельницького" (коригування))</t>
  </si>
  <si>
    <t>Внески до статутного капіталу МКП "Хмельницькводоканал" (Нове будівництво зовнішніх мереж водопроводу в  с. Шаровечка Хмельницького району, Хмельницької області (ІІ черга))</t>
  </si>
  <si>
    <t>Будівництво системи водопостачання в с.Бахматівці Хмельницького району Хмельницької області</t>
  </si>
  <si>
    <t>Будівництво другої черги водогону  від с.Чернелівка Красилівського району до м.Хмельницький</t>
  </si>
  <si>
    <t>Внески до статутного капіталу МКП "Хмельницькводоканал" (Реконструкція напірного каналізаційного колектора діаметром 225 мм від КНС-22, вул.Камянецька, 134/1Д в м.Хмельницький)</t>
  </si>
  <si>
    <t>1210180</t>
  </si>
  <si>
    <t>Проєкт Програми економічного і соціального розвитку Хмельницької міської територіальної громади на 2022 рік</t>
  </si>
  <si>
    <t>1217300</t>
  </si>
  <si>
    <t>1217310</t>
  </si>
  <si>
    <t>Інша діяльність у сфері житлово-комунального господарства</t>
  </si>
  <si>
    <t>1416090</t>
  </si>
  <si>
    <t>6090</t>
  </si>
  <si>
    <t>0640</t>
  </si>
  <si>
    <t>Рішення 2-ї сесії Хмельницької міської ради від 23.12.2020 року №23</t>
  </si>
  <si>
    <t>Програма розвитку геоінформаційної системи Хмельницької міської ради на 2021 - 2025 роки</t>
  </si>
  <si>
    <t>Реконструкція покрівлі житлового будинку по вулиці Інститутська, 13 в м.Хмельницькому</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</si>
  <si>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</si>
  <si>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</si>
  <si>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Програма «Громадські ініціативи»
Хмельницької міської територіальної громади на 2021-2025 роки (із змінами)</t>
  </si>
  <si>
    <t xml:space="preserve">Збір за місця для паркування транспортних засобів </t>
  </si>
  <si>
    <t xml:space="preserve">Збір за місця для паркування транспортних засобів, сплачений юридичними особами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</si>
  <si>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</si>
  <si>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Будівництво центру поводження з тваринами  КП "Надія" по вул. Заводській, 165 в м. Хмельницькому </t>
  </si>
  <si>
    <t>Програма економічного і соціального розвитку Хмельницької міської територіальної громади на 2022 рік</t>
  </si>
  <si>
    <t>Рішення 10-ї сесії Хмельницької міської ради від 15.12.2021 року №8</t>
  </si>
  <si>
    <t>Рішення 10-ї сесії Хмельницької міської ради від 15.12.2021 року №9</t>
  </si>
  <si>
    <t>Програма реалізації молодіжної політики та розвитку фізичної культури і спорту в Хмельницькій міській територіальній громаді на 2022 - 2026 роки</t>
  </si>
  <si>
    <t>Рішення 10-ї сесії Хмельницької міської ради від 15.12.2021 року №25</t>
  </si>
  <si>
    <t>Рішення 10-ї сесії Хмельницької міської ради від 15.12.2021 року №45</t>
  </si>
  <si>
    <t>Програма розвитку освіти Хмельницької міської територіальної громади на 2022 - 2026 роки</t>
  </si>
  <si>
    <t>Рішення 10-ї сесії Хмельницької міської ради від 15.12.2021 року №50</t>
  </si>
  <si>
    <t>Програма підтримки і розвитку житлово-комунальної інфраструктури Хмельницької міської територіальної громади на 2022 - 2027 роки</t>
  </si>
  <si>
    <t>Рішення 10-ї сесії Хмельницької міської ради від 15.12.2021 року №52</t>
  </si>
  <si>
    <t>Рішення 10-ї сесії Хмельницької міської ради від 15.12.2021 року №65</t>
  </si>
  <si>
    <t>Нове будівництво зовнішніх мереж водопостачання в с. Копистин Хмельницького району Хмельницької області</t>
  </si>
  <si>
    <t>1917600</t>
  </si>
  <si>
    <t>1917670</t>
  </si>
  <si>
    <t>Внески до статутного капіталу суб'єктів господарювання</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</si>
  <si>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2022 рік</t>
  </si>
  <si>
    <t>Рішення 11-ї сесії Хмельницької міської ради від 30.12.2021 року №7</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</si>
  <si>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</si>
  <si>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0717322</t>
  </si>
  <si>
    <t>0717320</t>
  </si>
  <si>
    <t>7322</t>
  </si>
  <si>
    <t>Реконструкція системи киснепостачання в КП "Хмельницька міська лікарня" Хмельницької міської ради по провулку  Проскурівський,1 м. Хмельницький (в тому числі виготовлення проєктно-кошторисної документації)</t>
  </si>
  <si>
    <t>1417693</t>
  </si>
  <si>
    <t>Громадський порядок та безпека</t>
  </si>
  <si>
    <t>0218200</t>
  </si>
  <si>
    <t>8200</t>
  </si>
  <si>
    <t>Заходи та роботи з територіальної оборони</t>
  </si>
  <si>
    <t>0380</t>
  </si>
  <si>
    <t>0218240</t>
  </si>
  <si>
    <t>8240</t>
  </si>
  <si>
    <t>Рішення 13-ї сесії Хмельницької міської ради від 23.02.2022 року №3</t>
  </si>
  <si>
    <t>Комплексна програма «Піклування» в Хмельницькій міській територіальній громаді на 2022 - 2026 роки (із змінами)</t>
  </si>
  <si>
    <t>1517693</t>
  </si>
  <si>
    <t>1014070</t>
  </si>
  <si>
    <t>4070</t>
  </si>
  <si>
    <t>Фінансова підтримка кінематографії</t>
  </si>
  <si>
    <t>0823</t>
  </si>
  <si>
    <t>0713000</t>
  </si>
  <si>
    <t>0713230</t>
  </si>
  <si>
    <t>3230</t>
  </si>
  <si>
    <t>Видатки, пов’язані з наданням підтримки внутрішньо переміщеним та/або евакуйованим особам у зв’язку із введенням воєнного стану</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</si>
  <si>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 (зі змінами)</t>
  </si>
  <si>
    <t>0813230</t>
  </si>
  <si>
    <t>3717600</t>
  </si>
  <si>
    <t>3717690</t>
  </si>
  <si>
    <t>3717693</t>
  </si>
  <si>
    <t>Програма охорони довкілля Хмельницької міської територіальної громади на 2021-2025 роки (із змінами)</t>
  </si>
  <si>
    <t xml:space="preserve">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 </t>
  </si>
  <si>
    <t>Акцизний податок з реалізації суб’єктами господарювання роздрібної торгівлі підакцизними товарами</t>
  </si>
  <si>
    <t>Спрямування коштів на житлове будівництво, реконструкцію та на ремонт житла всіх форм власності, в т. ч. будинків житлово-будівельних кооперативів (ТОВ «ЖЕО»), об'єднань співвласників багатоквартирних будинків, Будинкоуправління №2 КЕВ м.Хмельницький, ТОВ «Керуюча компанія «Домком Хмельницький» та будівель і споруд комунальної власності, ремонт споруд цивільного захисту (укриття, бомбосховища, тощо) комунальної власності</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</si>
  <si>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</si>
  <si>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0218230</t>
  </si>
  <si>
    <t>8230</t>
  </si>
  <si>
    <t>Інші заходи громадського порядку та безпеки</t>
  </si>
  <si>
    <t>0813121</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</si>
  <si>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</si>
  <si>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Інші дотації з місцевого бюджету</t>
  </si>
  <si>
    <t>41040400</t>
  </si>
  <si>
    <t>1918000</t>
  </si>
  <si>
    <t>1918200</t>
  </si>
  <si>
    <t>1918220</t>
  </si>
  <si>
    <t>8220</t>
  </si>
  <si>
    <t>Заходи та роботи з мобілізаційної підготовки місцевого значення</t>
  </si>
  <si>
    <t>0618000</t>
  </si>
  <si>
    <t>0618200</t>
  </si>
  <si>
    <t>0618240</t>
  </si>
  <si>
    <t>Програма соціальної підтримки осіб, які захищали незалежність, суверенітет та територіальну цілісність України, а також членів їх сімей на 2021 – 2025 роки (із змінами)</t>
  </si>
  <si>
    <t>Будівництво вулиці Мельникова (від вул.Зарічанської до вул.Трудової) в м.Хмельницькому (коригування)</t>
  </si>
  <si>
    <t xml:space="preserve">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 </t>
  </si>
  <si>
    <t>1218000</t>
  </si>
  <si>
    <t>1218200</t>
  </si>
  <si>
    <t>1218230</t>
  </si>
  <si>
    <t>0613230</t>
  </si>
  <si>
    <t>Програма підтримки і розвитку житлово-комунальної інфраструктури Хмельницької міської територіальної громади на 2022 - 2027 роки (із змінами)</t>
  </si>
  <si>
    <t>1513000</t>
  </si>
  <si>
    <t>1513230</t>
  </si>
  <si>
    <r>
      <t>Будівництво</t>
    </r>
    <r>
      <rPr>
        <b/>
        <vertAlign val="superscript"/>
        <sz val="36"/>
        <color rgb="FFFF0000"/>
        <rFont val="Times New Roman"/>
        <family val="1"/>
        <charset val="204"/>
      </rPr>
      <t>1</t>
    </r>
    <r>
      <rPr>
        <sz val="36"/>
        <color rgb="FFFF0000"/>
        <rFont val="Times New Roman"/>
        <family val="1"/>
        <charset val="204"/>
      </rPr>
      <t>  споруд, установ та закладів фізичної культури і спорту</t>
    </r>
  </si>
  <si>
    <r>
      <t>Будівництво</t>
    </r>
    <r>
      <rPr>
        <b/>
        <vertAlign val="superscript"/>
        <sz val="11"/>
        <color rgb="FFFF0000"/>
        <rFont val="Times New Roman"/>
        <family val="1"/>
        <charset val="204"/>
      </rPr>
      <t>1</t>
    </r>
    <r>
      <rPr>
        <sz val="11"/>
        <color rgb="FFFF0000"/>
        <rFont val="Times New Roman"/>
        <family val="1"/>
        <charset val="204"/>
      </rPr>
      <t>  освітніх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</si>
  <si>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медичних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</si>
  <si>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об'єктів житлово-комунального господарства</t>
    </r>
  </si>
  <si>
    <t>Вільний залишок коштів на 01.01.2023  року:</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</si>
  <si>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</si>
  <si>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2.1.6.</t>
  </si>
  <si>
    <t>Добровільні внески підприємств, організацій, установ та громадян на соціально-економічний та культурний розвиток громади</t>
  </si>
  <si>
    <t>2.1.7.</t>
  </si>
  <si>
    <t>Кошти за відшкодування вартості видалених та знесених зелених насаджень</t>
  </si>
  <si>
    <t>Надання грошової допомоги за поданням секретаря ради, або керуючого справами виконавчого комітету на підставі рішення виконавчого комітету Хмельницької міської ради для поховання: загиблих та померлих учасників ООС, загиблих та померлих учасників,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 Почесних громадян Хмельницької міської територіальної громади; інших осіб.
Виплата грошової винагороди у розмірі, передбаченому Положенням про звання "Почесний громадянин міста Хмельницького", Положенням "Про почесну відзнаку міської громади "Мужність і відвага"</t>
  </si>
  <si>
    <t>2819800</t>
  </si>
  <si>
    <t>2819000</t>
  </si>
  <si>
    <t>Рішення 16-ї сесії Хмельницької міської ради від 28.04.2022 року №11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</si>
  <si>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</si>
  <si>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Комплексна програма реалізації молодіжної політики та розвитку фізичної культури і спорту в Хмельницькій міській територіальній громаді на 2022-2026 роки (із змінами)</t>
  </si>
  <si>
    <t>2021 - 2023 роки</t>
  </si>
  <si>
    <t>Реконструкція футбольного поля під штучним покриттям Хмельницької дитячо-юнацької спортивної школи № 1 по вул.Спортивній,17 в м. Хмельницькому (коригування)</t>
  </si>
  <si>
    <t>0717640</t>
  </si>
  <si>
    <t>Реконструкція системи мережі киснепостачання в приміщенні комунального підприємства «Хмельницька міська дитяча лікарня» Хмельницької міської ради по вул. Олега Ольжича, 1 у м.Хмельницькому</t>
  </si>
  <si>
    <t>0710170</t>
  </si>
  <si>
    <t>Реконструкція спортивного майданчика біля житлового будинку по вул.Прибузькій, 36 в м.Хмельницькому</t>
  </si>
  <si>
    <t>Програма
підтримки обдарованих дітей м.Хмельницького (із змінами)</t>
  </si>
  <si>
    <t>1610180</t>
  </si>
  <si>
    <t>1216090</t>
  </si>
  <si>
    <t>Програма співфінансування робіт з ремонту багатоквартирних житлових будинків Хмельницької міської територіальної громади на 2020 - 2024 роки (із змінами)</t>
  </si>
  <si>
    <t>2022 - 2023 роки</t>
  </si>
  <si>
    <t>2023 рік</t>
  </si>
  <si>
    <t>1017640</t>
  </si>
  <si>
    <t>Програма розвитку  електротранспорту Хмельницької міської територіальної громади  на 2021 - 2025 роки (із змінами)</t>
  </si>
  <si>
    <t>Нове будівництво проїздів (штучних споруд) із інфраструктурою від вул. Прибузької до об'єкту "Будівництво Палацу спорту по вул. Прибузькій, 5/1А у м. Хмельницькому"</t>
  </si>
  <si>
    <t>2021 - 2024 роки</t>
  </si>
  <si>
    <t>2022 - 2024 роки</t>
  </si>
  <si>
    <t>За власні кошти підприємства - 445581,00 грн - ПКД, +38448,00 грн - експертиза</t>
  </si>
  <si>
    <t>Програма міжнародного співробітництва та промоції Хмельницької міської територіальної громади на 2021-2025 роки (із змінами і доповненнями)</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</si>
  <si>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</si>
  <si>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</si>
  <si>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Програма державного моніторингу у галузі охорони атмосферного повітря агломерації «Хмельницький» на 2022 - 2026 роки</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</si>
  <si>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</si>
  <si>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за рахунок коштів місцевого бюджету</t>
  </si>
  <si>
    <t xml:space="preserve"> 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</si>
  <si>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</si>
  <si>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</si>
  <si>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Захист населення і територій від надзвичайних ситуацій</t>
  </si>
  <si>
    <t>Програма економічного і соціального розвитку Хмельницької міської територіальної громади на 2023 рік</t>
  </si>
  <si>
    <t>Рішення 22-ї сесії Хмельницької міської ради від 21.12.2022 року №8</t>
  </si>
  <si>
    <t>Рішення 22-ї сесії Хмельницької міської ради від 21.12.2022 року №10</t>
  </si>
  <si>
    <t>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2022 - 2023 роки</t>
  </si>
  <si>
    <t>Рішення 22-ї сесії Хмельницької міської ради від 21.12.2022 року №41</t>
  </si>
  <si>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2023 - 2024 роки</t>
  </si>
  <si>
    <t>Рішення 22-ї сесії Хмельницької міської ради від 21.12.2022 року №44</t>
  </si>
  <si>
    <t>Штрафні санкції, що застосовуються відповідно до Закону України "Про державне ругулювання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 та пального "</t>
  </si>
  <si>
    <t>Надходження коштів від відшкодування…</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</si>
  <si>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</si>
  <si>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9900000000</t>
  </si>
  <si>
    <t>2231720000</t>
  </si>
  <si>
    <t>2254800000</t>
  </si>
  <si>
    <t>2253000000</t>
  </si>
  <si>
    <t>2210000000</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</si>
  <si>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2023 рік</t>
  </si>
  <si>
    <t>Рішення 23-ї сесії Хмельницької міської ради від 29.12.2022 року №4</t>
  </si>
  <si>
    <t>Програма розвитку підприємництва Хмельницької міської територіальної громади на 2022 - 2025 роки (із змінами)</t>
  </si>
  <si>
    <t>Програма організаційно-практичних заходів щодо комплексної підтримки державної установи «Хмельницький слідчий ізолятор» на 2021 – 2025 роки (із змінами)</t>
  </si>
  <si>
    <r>
      <t>Будівництво</t>
    </r>
    <r>
      <rPr>
        <b/>
        <vertAlign val="superscript"/>
        <sz val="11"/>
        <rFont val="Times New Roman"/>
        <family val="1"/>
        <charset val="204"/>
      </rPr>
      <t>1</t>
    </r>
    <r>
      <rPr>
        <sz val="11"/>
        <rFont val="Times New Roman"/>
        <family val="1"/>
        <charset val="204"/>
      </rPr>
      <t>  освітніх установ та закладів</t>
    </r>
  </si>
  <si>
    <t>2020-2023 роки</t>
  </si>
  <si>
    <t>2717640</t>
  </si>
  <si>
    <t>Рішення 46-ї сесії Хмельницької міської ради від 07.10.2020 року №3</t>
  </si>
  <si>
    <t>2718000</t>
  </si>
  <si>
    <t>2718200</t>
  </si>
  <si>
    <t>2718240</t>
  </si>
  <si>
    <t>2713000</t>
  </si>
  <si>
    <t>2713230</t>
  </si>
  <si>
    <t>0817640</t>
  </si>
  <si>
    <t>Рішення 24-ї сесії Хмельницької міської ради від 10.02.2023 року №5</t>
  </si>
  <si>
    <t>Рішення 24-ї сесії Хмельницької міської ради від 10.02.2023 року №4</t>
  </si>
  <si>
    <t>Реконструкція водопроводу від вул. Проскурівська по пров. Проскурівський, вул. Пилипчука до пров. Шевченка в м.Хмельницький</t>
  </si>
  <si>
    <t>Реконструкція ділянки водопроводу від вул.Кам`янецька по вул. Проскурівського підпілля до р. Плоска в м.Хмельницький</t>
  </si>
  <si>
    <t>Реконструкція ділянки водопроводу по вул. Залізняка (перехід через вул.П.Мирного) в м.Хмельницький</t>
  </si>
  <si>
    <t>Реконструкція водопроводу по вул. Шестакова, від вул.Староміська до ж.б. № 46, 39 по вул.Шестакова в м. Хмельницький</t>
  </si>
  <si>
    <t>Реконструкція ділянки водопроводу діам. 110 мм по вул. Тернопільська між буд. № 30 - №34 в м.Хмельницький</t>
  </si>
  <si>
    <t>Реконструкція ділянки водопроводу діам. 160 мм по вул. Прибузька між буд. №10 - №12 в м.Хмельницький</t>
  </si>
  <si>
    <t>Реконструкція ділянки водопроводу від ж.б. №4 до ж.б. №2 по вул. Шухевича в м. Хмельницький</t>
  </si>
  <si>
    <t>Реконструкція ділянки каналізаційної мережі від ж.б. №3 та №3/1 по вул.Січових стрільців з переходом даної вулиці в м.Хмельницькому</t>
  </si>
  <si>
    <t>Будівництво мереж водовідведення вул.Д.Нечая, вул.Блакитної, пров. Молодіжного в м.Хмельницькому</t>
  </si>
  <si>
    <t>Нове будівництво вуличних мереж водопостачання житлових будинків по вул. Глушенкова (мікрорайон Ружична) в м. Хмельницький</t>
  </si>
  <si>
    <t>70/30</t>
  </si>
  <si>
    <t>Реконструкція ділянки водопроводу діаметром 500мм по вул. Тернопільська в м. Хмельницькій</t>
  </si>
  <si>
    <t>Нове будівництво зовнішніх мереж водопостачання вулиць Старосадова, Яблунева, Пшенична, Ланок, Багалія, Колективна мікрорайону Книжківці в м. Хмельницький</t>
  </si>
  <si>
    <t>Нове будівництво станції очищення господарсько-побутових стічних вод продуктивністю БІО-S-150 30м3/добу, в с. Пирогівці Хмельницького району, Хмельницької області</t>
  </si>
  <si>
    <t>Внески до статутного капіталу 
КП "Акведук", в тому числі:</t>
  </si>
  <si>
    <t>Внески до статутного капіталу 
ХКП "Спецкомунтранс", в тому числі:</t>
  </si>
  <si>
    <t>Нове будівництво нежитлового приміщення за адресою: вул.Заводська, 165 в м.Хмельницькому</t>
  </si>
  <si>
    <t>Проєкт Програми підтримки і розвитку спеціалізованого комунального підприємства «Хмельницька міська ритуальна служба»  на 2023 – 2027 роки</t>
  </si>
  <si>
    <t>Проєкт Програми підтримки та розвитку Хмельницького комунального підприємства «Міськсвітло»  на 2023-2027 роки</t>
  </si>
  <si>
    <t>Програма забезпечення підтримання громадського порядку в суді, припинення проявів неповаги до суду, охорони приміщень суду, органів та установ системи правосуддя, виконання функцій щодо державного забезпечення особистої безпеки суддів та членів їх сімей, працівників суду, забезпечення у суді безпеки учасників судового процесу на території Хмельницької міської територіальної громади на 2023-2024 роки</t>
  </si>
  <si>
    <t>Рішення 24-ї сесії Хмельницької міської ради від 10.02.2023 року №60</t>
  </si>
  <si>
    <t>1919000</t>
  </si>
  <si>
    <t>1919800</t>
  </si>
  <si>
    <t>1117640</t>
  </si>
  <si>
    <t>Нове будівництво зовнішніх мереж водопроводу в с. Шаровечка Хмельницького району Хмельницької області</t>
  </si>
  <si>
    <t>Дотації з державного бюджету місцевим бюджетам</t>
  </si>
  <si>
    <t>41020000</t>
  </si>
  <si>
    <t>Реконструкція приміщень НВО №1 по вул. Старокостянтинівське шосе, 3Б в м.Хмельницькому (коригування)</t>
  </si>
  <si>
    <t>2012 - 2023 роки</t>
  </si>
  <si>
    <t xml:space="preserve"> Реконструкція з добудовою приміщень Хмельницького ліцею №17 під спортивну залу на вул. Героїв Майдану, 5 в м. Хмельницькому (коригування)</t>
  </si>
  <si>
    <t>2018 - 2023 роки</t>
  </si>
  <si>
    <t>Програма забезпечення антитерористичного та протидиверсійного захисту важливих державних об’єктів, місць масового перебування людей, об’єктів критичної та транспортної інфраструктури Хмельницької міської територіальної громади  на 2023-2024 роки (із змінами)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</si>
  <si>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</si>
  <si>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Сергій ЯМЧУК</t>
  </si>
  <si>
    <t>Управління капітального будівництва  Хмельницької міської ради (головний розпорядник)</t>
  </si>
  <si>
    <t>Рішення 25-ї сесії Хмельницької міської ради від 28.03.2023 року №23</t>
  </si>
  <si>
    <t>Рішення 25-ї сесії Хмельницької міської ради від 28.03.2023 року №5</t>
  </si>
  <si>
    <t>Рішення 25-ї сесії Хмельницької міської ради від 28.03.2023 року №59</t>
  </si>
  <si>
    <t>Програма співфінансування робіт з реконструкції покрівель багатоквартирних житлових будинків Хмельницької міської територіальної громади на 2023 – 2027 роки</t>
  </si>
  <si>
    <t>Рішення 25-ї сесії Хмельницької міської ради від 28.03.2023 року №40</t>
  </si>
  <si>
    <t>Рішення 25-ї сесії Хмельницької міської ради від 28.03.2023 року №66</t>
  </si>
  <si>
    <t>Рішення 25-ї сесії Хмельницької міської ради від 28.03.2023 року №73</t>
  </si>
  <si>
    <t>Рішення 25-ї сесії Хмельницької міської ради від 28.03.2023 року №61</t>
  </si>
  <si>
    <t>Рішення 25-ї сесії Хмельницької міської ради від 28.03.2023 року №62</t>
  </si>
  <si>
    <t>Рішення 25-ї сесії Хмельницької міської ради від 28.03.2023 року №70</t>
  </si>
  <si>
    <t>Програма підтримки і розвитку комунального підприємства «Парки і сквери міста Хмельницького» на 2023 – 2027 роки</t>
  </si>
  <si>
    <t>Рішення 25-ї сесії Хмельницької міської ради від 28.03.2023 року №64</t>
  </si>
  <si>
    <t>Рішення 25-ї сесії Хмельницької міської ради від 28.03.2023 року №68</t>
  </si>
  <si>
    <t>Програма міськсвітла - СФ і БР 6007800,00 грн</t>
  </si>
  <si>
    <t>Включено в загальну суму: Програма ритуалки - СФ і БР 1888 075,00 грн</t>
  </si>
  <si>
    <t>Програма підвищення рівня безпеки пасажирських перевезень на території Хмельницької міської територіальної громади на 2023 рік</t>
  </si>
  <si>
    <t>Рішення 25-ї сесії Хмельницької міської ради від 28.03.2023 року №39</t>
  </si>
  <si>
    <t>Програма розвитку та фінансової підтримки комунального підприємства «Чайка» Хмельницької міської ради на 2023 – 2024 роки</t>
  </si>
  <si>
    <t>Рішення 25-ї сесії Хмельницької міської ради від 28.03.2023 року №69</t>
  </si>
  <si>
    <t>0455</t>
  </si>
  <si>
    <t>3718800</t>
  </si>
  <si>
    <t>3718880</t>
  </si>
  <si>
    <t>3718881</t>
  </si>
  <si>
    <t>8881</t>
  </si>
  <si>
    <t>3718882</t>
  </si>
  <si>
    <t>8882</t>
  </si>
  <si>
    <t>Повернення коштів, наданих для виконання гарантійних зобов'язань за позичальників, що отримали кредити під місцеві гарантії</t>
  </si>
  <si>
    <t>4112</t>
  </si>
  <si>
    <t>Надання кредитів підприємства, установам, організаціям</t>
  </si>
  <si>
    <t xml:space="preserve"> 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</si>
  <si>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1115040</t>
  </si>
  <si>
    <t>1115049</t>
  </si>
  <si>
    <t>5049</t>
  </si>
  <si>
    <t>Виконання окремих заходів з реалізації соціального проекту "Активні парки - локації здорової України"</t>
  </si>
  <si>
    <t>Програма національно-патріотичного виховання мешканців Хмельницької міської територіальної громади на 2023-2024 роки (із змінами)</t>
  </si>
  <si>
    <t>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 2024 роки (із змінами)</t>
  </si>
  <si>
    <t>Програма заходів національного спротиву Хмельницької міської територіальної громади на 2023 рік (із змінами)</t>
  </si>
  <si>
    <t xml:space="preserve">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(із змінами) </t>
  </si>
  <si>
    <t>Програма бюджетування за участі громадськості (Бюджет участі) Хмельницької міської територіальної громади на 2020-2023 роки (із змінами)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</si>
  <si>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</si>
  <si>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0219820</t>
  </si>
  <si>
    <t>9820</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</si>
  <si>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</si>
  <si>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0611260</t>
  </si>
  <si>
    <t>1260</t>
  </si>
  <si>
    <t>0611261</t>
  </si>
  <si>
    <t>1261</t>
  </si>
  <si>
    <t>0611262</t>
  </si>
  <si>
    <t>1262</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</si>
  <si>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</si>
  <si>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Програма розвитку освіти Хмельницької міської територіальної громади на 2022 - 2026 роки (зі змінами)</t>
  </si>
  <si>
    <t>Програма створення та розвитку індустріального парку "Хмельницький"  (із змінами)</t>
  </si>
  <si>
    <t>Частина чистого прибутку (доходу)  комунальних унітарних підприємств та їх об'єднань, що вилучається до відповідного місцевого бюджету</t>
  </si>
  <si>
    <t>Кошти від викупу земельних ділянок сільськогосподарського призначення державної та комунальної власності, передбачених пунктом 6-1 розділу X "Перехідні положення" Земельного кодексу України</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</si>
  <si>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</si>
  <si>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Будівництво каналізаційних мереж в мікрорайоні "Озерна" в м. Хмельницькому (коригування)</t>
  </si>
  <si>
    <t>0217640</t>
  </si>
  <si>
    <t>Програма «Здійснення Управлінням ДМС у Хмельницькій області та Хмельницькою міською радою заходів у сфері громадянства, міграції, надання адміністративних послуг на 2023 рік»</t>
  </si>
  <si>
    <t>Рішення 29-ї сесії Хмельницької міської ради від 02.06.2023 року №21</t>
  </si>
  <si>
    <t>Нове будівництво нежитлового приміщення за адресою: вул.Заводська, 165 в м.Хмельницькому (коригування)</t>
  </si>
  <si>
    <t>Програма підтримки і розвитку комунального підприємства "Елеватор" Хмельницької міської ради на 2023 - 2027 роки (із змінами)</t>
  </si>
  <si>
    <t>Програма підтримки і розвитку міського комунального підприємства «Хмельницькводоканал» на 2023-2027 роки (із змінами)</t>
  </si>
  <si>
    <t>1416016</t>
  </si>
  <si>
    <t>6016</t>
  </si>
  <si>
    <t>Впровадження засобів обліку витрат та регулювання споживання води та теплової енергії</t>
  </si>
  <si>
    <t>Програма підтримки і розвитку міського комунального підприємства «Хмельницьктеплокомуненерго» на 2023 – 2027 роки (із змінами)</t>
  </si>
  <si>
    <t>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2023 - 2027 роки (із змінами)</t>
  </si>
  <si>
    <t xml:space="preserve">Програма підтримки і розвитку комунального підприємства по будівництву, ремонту та експлуатації доріг виконавчого комітету Хмельницької міської ради на 2023-2027 роки </t>
  </si>
  <si>
    <t xml:space="preserve">Програма підтримки і розвитку комунального підприємства «Акведук» Хмельницької міської ради на 2023 – 2027 роки </t>
  </si>
  <si>
    <t>Програма підтримки та розвитку Хмельницького комунального підприємства «Спецкомунтранс» на 2023 – 2027 роки (із змінами)</t>
  </si>
  <si>
    <t>Реконструкція каналізаційної мережі по вул. С. Бандери,22 в м. Хмельницький</t>
  </si>
  <si>
    <t>Будівництво вуличних мереж каналізації по пров. Північному в м.Хмельницький</t>
  </si>
  <si>
    <t>Реконструкція ділянки водопроводу по вул. Гоголя від вул. О.Теліги до ж.б.№99 по вул. Гоголя в м. Хмельницький</t>
  </si>
  <si>
    <t>Програма розвитку та вдосконалення міського пасажирського транспорту  міста Хмельницького на 2019 - 2023 роки  (із змінами і доповненнями)</t>
  </si>
  <si>
    <t>Нове будівництво зовнішніх мереж газопостачання індустріального парку "Хмельницький" по вул. Вінницьке шосе, 18 в м. Хмельницькому (коригування)</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</si>
  <si>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</si>
  <si>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</si>
  <si>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t>
  </si>
  <si>
    <t xml:space="preserve">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</si>
  <si>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t>
  </si>
  <si>
    <t xml:space="preserve">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</si>
  <si>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t>
  </si>
  <si>
    <t>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</si>
  <si>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</si>
  <si>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</si>
  <si>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t>
  </si>
  <si>
    <t>частини другої статті 7 Закону України "Про статус ветеранів війни, гарантії їх соціального захисту", та які потребують поліпшення житлових умов</t>
  </si>
  <si>
    <t xml:space="preserve">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t>
  </si>
  <si>
    <t>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t>
  </si>
  <si>
    <t>України "Про статус ветеранів війни, гарантії їх соціального захисту", та які потребують поліпшення житлових умов</t>
  </si>
  <si>
    <t xml:space="preserve">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t>
  </si>
  <si>
    <t>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</si>
  <si>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Виконання заходів щодо створення навчально-практичних центрів сучасної професійної (професійно-технічної) освіти</t>
  </si>
  <si>
    <t>Реконструкція ділянки водопроводу по вул. Проскурівська, 66 в  м. Хмельницький</t>
  </si>
  <si>
    <t>Програма розвитку та організації надання адміністративних послуг на території Хмельницької міської територіальної громади на 2023 рік</t>
  </si>
  <si>
    <t>Рішення 31-ї сесії Хмельницької міської ради від 28.07.2023 року №20</t>
  </si>
  <si>
    <t xml:space="preserve">Секретар міської ради </t>
  </si>
  <si>
    <t xml:space="preserve">Віталій ДІДЕНКО </t>
  </si>
  <si>
    <t>Програма підтримки 
Хмельницькою міською радою
державних стандартів у сфері 
забезпечення доступу громадян до 
правосуддя на 2023 рік</t>
  </si>
  <si>
    <t>Рішення 33-ї сесії Хмельницької міської ради від 15.09.2023 року №12</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</si>
  <si>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</si>
  <si>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Рішення 31-ї сесії Хмельницької міської ради від 28.07.2023 року №48</t>
  </si>
  <si>
    <t>Програма підтримки і розвитку Хмельницького комунального підприємства «Міськсвітло» на 2023-2027 роки</t>
  </si>
  <si>
    <t>Рішення 33-ї сесії Хмельницької міської ради від 15.09.2023 року №43</t>
  </si>
  <si>
    <t>Програма підтримки і розвитку комунального підприємства "Акведук" Хмельницької міської ради на 2023 - 2027 роки (із змінами)</t>
  </si>
  <si>
    <t>Програма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2023-2027 роки</t>
  </si>
  <si>
    <t>Рішення 31-ї сесії Хмельницької міської ради від 28.07.202 року №33</t>
  </si>
  <si>
    <t>Реконструкція будівель за адресою Хмельницька область, Хмельницький район, с.Головчинці, вул.Підлісна, 4/1 для облаштування місць проживання та реабілітації внутрішньо переміщених та евакуйованих осіб з впровадженням заходів з енергоефективності, а саме: Котельня. Теплові мережі</t>
  </si>
  <si>
    <t>2023 - 2024 роки</t>
  </si>
  <si>
    <t>Нове будівництво споруди цивільного захисту для Хмельницької спеціалізованої загальноосвітньої школи І-ІІІ ступенів №19 імені академіка Михайла Павловського на вул. Кам'янецька, 164 м.Хмельницького</t>
  </si>
  <si>
    <t>Нове будівництво споруди цивільного захисту для Хмельницького закладу дошкільної освіти №18 "Зірочка" Хмельницької міської ради Хмельницької області на вул. Кам'янецька, 65/1, м.Хмельницького</t>
  </si>
  <si>
    <t>Нове будівництво споруди цивільного захисту для Спеціалізованої загальноосвітньої школи І-ІІІ ступенів №12 м.Хмельницького на вул.Довженка, 6 м.Хмельницького</t>
  </si>
  <si>
    <t>1270</t>
  </si>
  <si>
    <t>0611270</t>
  </si>
  <si>
    <t>Виконання заходів за рахунок коштів освітньої субвенції з державного бюджету місцевим бюджетам (за спеціальним фондом державного бюджету)</t>
  </si>
  <si>
    <t>0611271</t>
  </si>
  <si>
    <t>1271</t>
  </si>
  <si>
    <t>0611272</t>
  </si>
  <si>
    <t>1272</t>
  </si>
  <si>
    <t>Реалізація заходів, що реалізуються за рахунок освітньої субвенції з державного бюджету місцевим бюджетам (за спеціальним фондом державного бюджету)</t>
  </si>
  <si>
    <t>Співфінансування заходів за рахунок освітньої субвенції з державного бюджету місцевим бюджетам (за спеціальним фондом державного бюджету)</t>
  </si>
  <si>
    <t>Програма сприяння розвитку волонтерства на території Хмельницької міської територіальної громади на 2023-2027 роки</t>
  </si>
  <si>
    <t>Рішення 29-ї сесії Хмельницької міської ради від 02.06.2023 року №27</t>
  </si>
  <si>
    <t xml:space="preserve"> Зміни обсягів депозитів і цінних паперів, що використовуються для управління ліквідністю </t>
  </si>
  <si>
    <t>Повернення бюджетних коштів з депозитів, надходження внаслідок продажу/пред'явлення цінних паперів</t>
  </si>
  <si>
    <t xml:space="preserve"> Розміщення бюджетних коштів на депозитах, придбання цінних паперів</t>
  </si>
  <si>
    <t>Надходження внаслідок продажу/пред'явлення цінних паперів</t>
  </si>
  <si>
    <t xml:space="preserve"> Придбання цінних паперів</t>
  </si>
  <si>
    <t xml:space="preserve"> Зміни обсягів депозитів і цінних паперів, що використовуються для управління ліквідністю</t>
  </si>
  <si>
    <t>Розміщення бюджетних коштів на депозитах, придбання цінних паперів</t>
  </si>
  <si>
    <t>Придбання цінних паперів</t>
  </si>
  <si>
    <t xml:space="preserve">Керуючий справами </t>
  </si>
  <si>
    <t>Юлія САБІЙ</t>
  </si>
  <si>
    <t xml:space="preserve">Секретар міської ради  </t>
  </si>
  <si>
    <t>1419000</t>
  </si>
  <si>
    <t>1419700</t>
  </si>
  <si>
    <t>1419770</t>
  </si>
  <si>
    <t>80/20</t>
  </si>
  <si>
    <t>Видатки, що здійснюються згідно розпоряджень міського голови, рішень міської ради та її виконавчого комітету</t>
  </si>
  <si>
    <t>Рішення 35-ї сесії Хмельницької міської ради від 10.11.2023 року №36</t>
  </si>
  <si>
    <t>Реконструкція під'їзної дороги від вул.Вінницьке шосе до вул.Вінницьке шосе, 18 (індустріальний парк) в м.Хмеьницькому</t>
  </si>
  <si>
    <r>
      <t>Будівництво</t>
    </r>
    <r>
      <rPr>
        <b/>
        <vertAlign val="superscript"/>
        <sz val="36"/>
        <color rgb="FFFF0000"/>
        <rFont val="Times New Roman"/>
        <family val="1"/>
        <charset val="204"/>
      </rPr>
      <t>1</t>
    </r>
    <r>
      <rPr>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</si>
  <si>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освітніх установ та закладів</t>
    </r>
  </si>
  <si>
    <r>
      <t>Будівництво</t>
    </r>
    <r>
      <rPr>
        <b/>
        <vertAlign val="superscript"/>
        <sz val="36"/>
        <color rgb="FFFF0000"/>
        <rFont val="Times New Roman"/>
        <family val="1"/>
        <charset val="204"/>
      </rPr>
      <t>1</t>
    </r>
    <r>
      <rPr>
        <sz val="36"/>
        <color rgb="FFFF0000"/>
        <rFont val="Times New Roman"/>
        <family val="1"/>
        <charset val="204"/>
      </rPr>
      <t>  об'єктів житлово-комунального господарства</t>
    </r>
  </si>
  <si>
    <r>
      <t>Будівництво</t>
    </r>
    <r>
      <rPr>
        <b/>
        <vertAlign val="superscript"/>
        <sz val="36"/>
        <color rgb="FFFF0000"/>
        <rFont val="Times New Roman"/>
        <family val="1"/>
        <charset val="204"/>
      </rPr>
      <t>1</t>
    </r>
    <r>
      <rPr>
        <sz val="36"/>
        <color rgb="FFFF0000"/>
        <rFont val="Times New Roman"/>
        <family val="1"/>
        <charset val="204"/>
      </rPr>
      <t> інших об'єктів комунальної власності</t>
    </r>
  </si>
  <si>
    <r>
      <t>Реконструкція ділянки водопроводу від вул. Партизанської до вул. Волочиської в м. Хмельницькому</t>
    </r>
    <r>
      <rPr>
        <sz val="16"/>
        <color rgb="FFFF0000"/>
        <rFont val="Times New Roman"/>
        <family val="1"/>
        <charset val="204"/>
      </rPr>
      <t xml:space="preserve"> </t>
    </r>
  </si>
  <si>
    <t>видатків бюджету Хмельницької міської територіальної громади на 2024 рік</t>
  </si>
  <si>
    <t>програм у 2024 році</t>
  </si>
  <si>
    <t>1218100</t>
  </si>
  <si>
    <t>1218110</t>
  </si>
  <si>
    <r>
      <t>Будівництво</t>
    </r>
    <r>
      <rPr>
        <b/>
        <vertAlign val="superscript"/>
        <sz val="36"/>
        <rFont val="Times New Roman"/>
        <family val="1"/>
        <charset val="204"/>
      </rPr>
      <t>1</t>
    </r>
    <r>
      <rPr>
        <sz val="36"/>
        <rFont val="Times New Roman"/>
        <family val="1"/>
        <charset val="204"/>
      </rPr>
      <t>  об'єктів житлово-комунального господарства</t>
    </r>
  </si>
  <si>
    <t>2020 - 2024 роки</t>
  </si>
  <si>
    <r>
      <t>Будівництво</t>
    </r>
    <r>
      <rPr>
        <b/>
        <vertAlign val="superscript"/>
        <sz val="36"/>
        <rFont val="Times New Roman"/>
        <family val="1"/>
        <charset val="204"/>
      </rPr>
      <t>1</t>
    </r>
    <r>
      <rPr>
        <sz val="36"/>
        <rFont val="Times New Roman"/>
        <family val="1"/>
        <charset val="204"/>
      </rPr>
      <t>  освітніх установ та закладів</t>
    </r>
  </si>
  <si>
    <r>
      <t>Будівництво</t>
    </r>
    <r>
      <rPr>
        <b/>
        <vertAlign val="superscript"/>
        <sz val="36"/>
        <rFont val="Times New Roman"/>
        <family val="1"/>
        <charset val="204"/>
      </rPr>
      <t>1</t>
    </r>
    <r>
      <rPr>
        <sz val="36"/>
        <rFont val="Times New Roman"/>
        <family val="1"/>
        <charset val="204"/>
      </rPr>
      <t> інших об'єктів комунальної власності</t>
    </r>
  </si>
  <si>
    <t>Нове будівництво зовнішніх газових мереж газопостачання індустріального парку "Хмельницький" по вул. Вінницьке шосе, 18 в м. Хмельницькому (в частині зовнішні мережі - нестандартне приєднання)</t>
  </si>
  <si>
    <t>2024 рік</t>
  </si>
  <si>
    <r>
      <t>Будівництво</t>
    </r>
    <r>
      <rPr>
        <b/>
        <i/>
        <vertAlign val="superscript"/>
        <sz val="36"/>
        <rFont val="Times New Roman"/>
        <family val="1"/>
        <charset val="204"/>
      </rPr>
      <t>1</t>
    </r>
    <r>
      <rPr>
        <i/>
        <sz val="36"/>
        <rFont val="Times New Roman"/>
        <family val="1"/>
        <charset val="204"/>
      </rPr>
      <t>  об'єктів соціально-культурного призначення</t>
    </r>
  </si>
  <si>
    <r>
      <t>Будівництво</t>
    </r>
    <r>
      <rPr>
        <b/>
        <vertAlign val="superscript"/>
        <sz val="36"/>
        <rFont val="Times New Roman"/>
        <family val="1"/>
        <charset val="204"/>
      </rPr>
      <t>1</t>
    </r>
    <r>
      <rPr>
        <sz val="36"/>
        <rFont val="Times New Roman"/>
        <family val="1"/>
        <charset val="204"/>
      </rPr>
      <t>  установ та закладів культури</t>
    </r>
  </si>
  <si>
    <r>
      <t>Будівництво</t>
    </r>
    <r>
      <rPr>
        <b/>
        <vertAlign val="superscript"/>
        <sz val="36"/>
        <rFont val="Times New Roman"/>
        <family val="1"/>
        <charset val="204"/>
      </rPr>
      <t>1</t>
    </r>
    <r>
      <rPr>
        <sz val="36"/>
        <rFont val="Times New Roman"/>
        <family val="1"/>
        <charset val="204"/>
      </rPr>
      <t>  споруд, установ та закладів фізичної культури і спорту</t>
    </r>
  </si>
  <si>
    <t>Хмельницької міської територіальної громади у 2024 році</t>
  </si>
  <si>
    <t>Заходи з озеленення</t>
  </si>
  <si>
    <t>Проведення науково-технічних конференцій і семінарів, організація виставок, фестивалів та інших заходів щодо пропаганди охорони навколишнього середовища, видання поліграфічної продукції з екологічної тематики тощо</t>
  </si>
  <si>
    <t>Наукові дослідження, проектні та проектно-конструкторські розроблення, в тому числі моніторингові дослідження</t>
  </si>
  <si>
    <t>Ліквідація стихійних сміттєзвалищ</t>
  </si>
  <si>
    <t>Програма економічного і соціального розвитку Хмельницької міської територіальної громади на 2024 рік</t>
  </si>
  <si>
    <t>Програма заходів національного спротиву Хмельницької міської територіальної громади на 2024 рік</t>
  </si>
  <si>
    <t>бюджету Хмельницької міської територіальної громади у 2024 році</t>
  </si>
  <si>
    <t>бюджету Хмельницької міської територіальної громади на 2024 рік</t>
  </si>
  <si>
    <r>
      <t xml:space="preserve">1 </t>
    </r>
    <r>
      <rPr>
        <sz val="2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</si>
  <si>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Програма підтримки сім’ї на 2021-2025 роки  (із змінами)</t>
  </si>
  <si>
    <t xml:space="preserve">Програма зайнятості населення Хмельницької міської територіальної громади на 2024 - 2026 роки </t>
  </si>
  <si>
    <t>у 2024 році</t>
  </si>
  <si>
    <r>
      <t>Будівництво</t>
    </r>
    <r>
      <rPr>
        <b/>
        <vertAlign val="superscript"/>
        <sz val="36"/>
        <rFont val="Times New Roman"/>
        <family val="1"/>
        <charset val="204"/>
      </rPr>
      <t>1</t>
    </r>
    <r>
      <rPr>
        <sz val="36"/>
        <rFont val="Times New Roman"/>
        <family val="1"/>
        <charset val="204"/>
      </rPr>
      <t>  об'єктів соціально-культурного призначення</t>
    </r>
  </si>
  <si>
    <t>Програма висвітлення діяльності Хмельницької міської ради та її виконавчих органів на 2024 рік</t>
  </si>
  <si>
    <t>Програма шефської допомоги військовим частинам Збройних Сил України, Національної гвардії України, які розташовані на території Хмельницької міської територіальної громади на 2022-2024 роки (із змінами)</t>
  </si>
  <si>
    <t>Програма фінансової підтримки комунальної установи Хмельницької міської ради "Агенція розвитку Хмельницького" на 2022-2024 роки (із змінами)</t>
  </si>
  <si>
    <t>МІЖБЮДЖЕТНІ ТРАНСФЕРТИ НА 2024 РІК</t>
  </si>
  <si>
    <t>на 2024 рік</t>
  </si>
  <si>
    <r>
      <t>Будівництво</t>
    </r>
    <r>
      <rPr>
        <b/>
        <vertAlign val="superscript"/>
        <sz val="36"/>
        <rFont val="Times New Roman"/>
        <family val="1"/>
        <charset val="204"/>
      </rPr>
      <t>1</t>
    </r>
    <r>
      <rPr>
        <sz val="36"/>
        <rFont val="Times New Roman"/>
        <family val="1"/>
        <charset val="204"/>
      </rPr>
      <t>  медичних установ та закладів</t>
    </r>
  </si>
  <si>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</si>
  <si>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бюджету Хмельницької міської територіальної громади  на 2024 рік</t>
  </si>
  <si>
    <r>
      <t xml:space="preserve">Найменування згідно
 з </t>
    </r>
    <r>
      <rPr>
        <b/>
        <u/>
        <sz val="10"/>
        <rFont val="Times New Roman"/>
        <family val="1"/>
        <charset val="204"/>
      </rPr>
      <t>Класифікацією доходів бюджету</t>
    </r>
  </si>
  <si>
    <t>Податок на доходи фізичних осіб із доходів спеціалістів резидента Дія Сіті</t>
  </si>
  <si>
    <t>Податок на доходи фізичних осіб у вигляді мінімального податкового зобов'язання, що підлягає сплаті фізичними особами</t>
  </si>
  <si>
    <t xml:space="preserve">Рентна плата за спеціальне використання лісових ресурсів в частині деревини, заготовленої в порядку рубок головного користування </t>
  </si>
  <si>
    <t>Адміністративні штрафи за адміністративні правопорушення у сфері забезпечення безпеки дорожнього руху, зафіксовані в автоматичному режимі</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</si>
  <si>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</si>
  <si>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</si>
  <si>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r>
      <t xml:space="preserve">1 </t>
    </r>
    <r>
      <rPr>
        <sz val="1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</si>
  <si>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Рішення 36-ї сесії Хмельницької міської ради від 21.12.2023 року №86</t>
  </si>
  <si>
    <t>Рішення 36-ї сесії Хмельницької міської ради від 21.12.2023 року №9</t>
  </si>
  <si>
    <t>Рішення 36-ї сесії Хмельницької міської ради від 21.12.2023 року №2</t>
  </si>
  <si>
    <t>Програма підготовки мешканців Хмельницької міської територіальної  громади до національного спротиву на 2024-2025 роки</t>
  </si>
  <si>
    <t>Рішення 36-ї сесії Хмельницької міської ради від 21.12.2023 року №4</t>
  </si>
  <si>
    <t>Програма підтримки та розвитку міського комунального підприємства «Муніципальна телерадіокомпанія «Місто» на 2024-2028 роки</t>
  </si>
  <si>
    <t>Рішення 36-ї сесії Хмельницької міської ради від 21.12.2023 року №81</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</si>
  <si>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</si>
  <si>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Рішення 36-ї сесії Хмельницької міської ради від 21.12.2023 року №23</t>
  </si>
  <si>
    <t>Програма розвитку інформаційної інфраструктури туристичних послуг
на 2024 – 2026 роки</t>
  </si>
  <si>
    <t>Рішення 36-ї сесії Хмельницької міської ради від 21.12.2023 року №55</t>
  </si>
  <si>
    <t>Виконання заходів щодо облаштування безпечних умов у закладах, що надають загальну середню освіту</t>
  </si>
  <si>
    <t>Співфінансування заходів, що реалізуються за рахунок субвенції з державного бюджету місцевим бюджетам на облаштування безпечних умов у закладах, що надають загальну середню освіту</t>
  </si>
  <si>
    <t>Реалізація державної політики у молодіжній сфері та сфері з утвердження української національної та громадянської ідентичності</t>
  </si>
  <si>
    <t xml:space="preserve">Реконструкція будівлі спеціалізованої загальноосвітньої школи І-ІІІ ступенів № 7 міста Хмельницького для улаштування споруди цивільного захисту на вул. Заводська, 33 в м. Хмельницькому </t>
  </si>
  <si>
    <t>8880</t>
  </si>
  <si>
    <t>Обсяг капітальних вкладень бюджету Хмельницької міської територіальної громади у 2024 році, гривень</t>
  </si>
  <si>
    <t>Очікуваний рівень готовності проекту на кінець 2024 року, %</t>
  </si>
  <si>
    <t xml:space="preserve">Реконструкція будівлі Хмельницької спеціалізованої середньої загальноосвітньої школи І-ІІІ ступенів № 6 з поглибленим вивченням німецької мови з 1-го класу для улаштування споруди цивільного захисту на пров.Володимирський, 12 в м.Хмельницькому </t>
  </si>
  <si>
    <t>Реконструкція системи зовнішньої каналізації з влаштуванням локальних очисних споруд Позаміського дитячого закладу оздоровлення та відпочинку «Чайка» Хмельницької міської ради, для облаштування місць тимчасового розміщення внутрішньо переміщених осіб, за адресою Хмельницька область, Хмельницький р-н, с. Головчинці, вул. Підлісна, 4/1</t>
  </si>
  <si>
    <r>
      <t>Будівництво</t>
    </r>
    <r>
      <rPr>
        <b/>
        <vertAlign val="superscript"/>
        <sz val="11"/>
        <rFont val="Times New Roman"/>
        <family val="1"/>
        <charset val="204"/>
      </rPr>
      <t>1</t>
    </r>
    <r>
      <rPr>
        <sz val="11"/>
        <rFont val="Times New Roman"/>
        <family val="1"/>
        <charset val="204"/>
      </rPr>
      <t>  медичних установ та закладів</t>
    </r>
  </si>
  <si>
    <t xml:space="preserve"> Реконструкція приміщень рентгенкабінету під приміщення ангіографії з облаштуванням даху, вхідної групи центрального входу, приміщень фойє та коридору (заходи з енергозбереження та дотримання умов доступності маломобільних груп населення) першого поверху корпусу №3 комунального підприємства «Хмельницька міська лікарня» Хмельницької міської ради  за  адресою: провулок Проскурівський,1,  м.Хмельницький (коригування)</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</si>
  <si>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</si>
  <si>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</si>
  <si>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</si>
  <si>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0611290</t>
  </si>
  <si>
    <t>1291</t>
  </si>
  <si>
    <t>1290</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</si>
  <si>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</si>
  <si>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</si>
  <si>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</si>
  <si>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</si>
  <si>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</si>
  <si>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Реконструкція будівлі Шаровечківської ЗОШ І-ІІІ ст. за адресою: с. Шаровечка, вул. Шкільна, 10 Хмельницького району Хмельницької області (коригування)</t>
  </si>
  <si>
    <t>2019 - 2024 роки</t>
  </si>
  <si>
    <t>Нове будівництво споруди цивільного захисту для Шаровечківської ЗОШ І-ІІІ ступенів Хмельницької міської ради Хмельницької області, за адресою:
с. Шаровечка, вул. Шкільна, 10, Хмельницького району, Хмельницької області (коригування)</t>
  </si>
  <si>
    <t>МАЄ БУТИ НОВА ВАРТІСТЬ ПО ЕКСПЕРТИЗІ І КОРИГУВАННЮ</t>
  </si>
  <si>
    <t>Нове будівництво споруди цивільного захисту для Хмельницького закладу дошкільної освіти № 15 "Червона шапочка" Хмельницької міської ради Хмельницької області
на вул. М. Трембовецької, 23
м. Хмельницький (коригування)</t>
  </si>
  <si>
    <t>Програма підтримки і розвитку Спеціалізованого комунального підприємства «Хмельницька міська ритуальна служба» на 2023-2027 роки (із змінами)</t>
  </si>
  <si>
    <t>до рішення №   від  2024 року</t>
  </si>
  <si>
    <t>від              2024</t>
  </si>
  <si>
    <t xml:space="preserve">до рішення  №       від                    2024 року </t>
  </si>
  <si>
    <t>Додаток 4
до рішення  №    від               2024 року</t>
  </si>
  <si>
    <t>до рішення №    від            2024 року</t>
  </si>
  <si>
    <t xml:space="preserve">Додаток 6
до рішення №         від               2024 року
</t>
  </si>
  <si>
    <t xml:space="preserve">до рішення  №      від            2024 року </t>
  </si>
  <si>
    <t xml:space="preserve"> від          .2024</t>
  </si>
  <si>
    <t>від                 2024</t>
  </si>
  <si>
    <t>Будівництво ділянки водопроводу діам. 315 мм по вул. К. Степанкова
в м. Хмельницький (коригування)</t>
  </si>
  <si>
    <t xml:space="preserve">Реконструкція самопливного каналізаційного колектора діам.800 мм від ж.б №203 до колодязя №551а по вул. Проскурівського підпілля в м.Хмельницький </t>
  </si>
  <si>
    <t>Реконструкція напірного каналізаційного колектора діаметром 225 мм від КНС-22, вул.Кам`янецька, 134/1Д в м.Хмельницький (коригування)</t>
  </si>
  <si>
    <t>4122</t>
  </si>
  <si>
    <t xml:space="preserve">Повернення кредитів підприємствами, установами, організаціями </t>
  </si>
  <si>
    <t>Реконструкція самопливного каналізаційного колектора від буд. №4а по  вул. Свободи до буд.№20/2
по вул. Зарічанській в м.Хмельницький (корегування)</t>
  </si>
  <si>
    <t>Рішення 38-ї сесії Хмельницької міської ради від 13.03.2024 року №11</t>
  </si>
  <si>
    <t>Субвенція з місцевого бюджету за рахунок залишку коштів освітньої субвенції, що утворився на початок бюджетного періоду</t>
  </si>
  <si>
    <t>Рішення 39-ї сесії Хмельницької міської ради від 02.05.2024 року №6</t>
  </si>
  <si>
    <t>Програма взаємодії регіонального сервісного центру ГСЦ МВС в Хмельницькій області (філія ГСЦ МВС) із Хмельницькою міською радою в сфері надання адміністративних послуг населенню на 2024 рік</t>
  </si>
  <si>
    <t>Комплексна програма мобілізації зусиль Хмельницької міської ради та Головного управління ДПС у Хмельницькій області по забезпеченню надходжень до бюджету Хмельницької міської територіальної громади на 2024-2025 роки</t>
  </si>
  <si>
    <t xml:space="preserve">	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</si>
  <si>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Виконання заходів щодо облаштування безпечних умов у закладах охорони здоров'я</t>
  </si>
  <si>
    <t>0712160</t>
  </si>
  <si>
    <t>2160</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</si>
  <si>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</si>
  <si>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0712161</t>
  </si>
  <si>
    <t>2161</t>
  </si>
  <si>
    <t>Вартість по договорах - 21471498,29</t>
  </si>
  <si>
    <t>Нове будівництво водогону в с. Велика Калинівка Хмельницього району Хмельницької області (коригування)</t>
  </si>
  <si>
    <t>Внески до статутного капіталу 
спеціалізованого комунального підприємства «Хмельницька міська ритуальна служба», в тому числі:</t>
  </si>
  <si>
    <t>Внески до статутного капіталу 
комунального підприємства "Хмельницькводоканал", в тому числі:</t>
  </si>
  <si>
    <t>Нове будівництво поминальної колумбарної стінки Героїв російсько-української війни на кладовищі "Ракове" на вул. Народної Волі, 17/1 у м. Хмельницькому</t>
  </si>
  <si>
    <t>Програма "Моє укриття" на 2024-2025 роки</t>
  </si>
  <si>
    <t>Рішення 36-ї сесії Хмельницької міської ради від 21.12.2023 року №58</t>
  </si>
  <si>
    <t>Реконструкція будівлі Хмельницького закладу дошкільної освіти № 23 «Вогник» Хмельницької міської ради для улаштування споруди цивільного захисту на вул.Бажана, 2 в м.Хмельницькому (коригування)</t>
  </si>
  <si>
    <t>Реставрація Хмельницького міського будинку культури по вул.Проскурівській, 43
в м. Хмельницькому</t>
  </si>
  <si>
    <r>
      <t>Будівництво</t>
    </r>
    <r>
      <rPr>
        <b/>
        <vertAlign val="superscript"/>
        <sz val="11"/>
        <rFont val="Times New Roman"/>
        <family val="1"/>
        <charset val="204"/>
      </rPr>
      <t>1</t>
    </r>
    <r>
      <rPr>
        <sz val="11"/>
        <rFont val="Times New Roman"/>
        <family val="1"/>
        <charset val="204"/>
      </rPr>
      <t>  установ та закладів культури</t>
    </r>
  </si>
  <si>
    <t>Програма розвитку електротранспорту Хмельницької міської територіальної громади на 2021 - 2025 роки (із змінами)</t>
  </si>
  <si>
    <t>Наукові дослідження, проектні та проектно-конструкторські розроблення, в тому числі виготовлення проектів землеустрою щодо відведення земельних ділянок під парки, сквери, зелені зони, території природно-заповідного фонду</t>
  </si>
  <si>
    <r>
      <t>Будівництво</t>
    </r>
    <r>
      <rPr>
        <b/>
        <vertAlign val="superscript"/>
        <sz val="36"/>
        <rFont val="Times New Roman"/>
        <family val="1"/>
        <charset val="204"/>
      </rPr>
      <t>1</t>
    </r>
    <r>
      <rPr>
        <sz val="36"/>
        <rFont val="Times New Roman"/>
        <family val="1"/>
        <charset val="204"/>
      </rPr>
      <t>  установ та закладів соціальної сфери</t>
    </r>
  </si>
  <si>
    <r>
      <t>Будівництво</t>
    </r>
    <r>
      <rPr>
        <b/>
        <vertAlign val="superscript"/>
        <sz val="11"/>
        <rFont val="Times New Roman"/>
        <family val="1"/>
        <charset val="204"/>
      </rPr>
      <t>1</t>
    </r>
    <r>
      <rPr>
        <sz val="11"/>
        <rFont val="Times New Roman"/>
        <family val="1"/>
        <charset val="204"/>
      </rPr>
      <t>  установ та закладів соціальної сфери</t>
    </r>
  </si>
  <si>
    <t>Реконструкція нежитлового приміщення під гуртожиток для малих сімей по вул.Перемоги 13
у м. Хмельницькому</t>
  </si>
  <si>
    <t>41051100</t>
  </si>
  <si>
    <t>Програма бюджетування за участі громадськості (Бюджет участі) Хмельницької міської територіальної громади на 2024-2026 роки (із змінами)</t>
  </si>
  <si>
    <t>Рішення 36-ї сесії Хмельницької міської ради від 21.12.2023 року №10</t>
  </si>
  <si>
    <t>2713242</t>
  </si>
  <si>
    <t>Заходи щодо відновлення і підтримання сприятливого гідрологічного режиму та санітарного стану водойм (виготовлення проектів землеустрою щодо встановлення меж прибережних захисних смуг поверхневих водних об’єктів)</t>
  </si>
  <si>
    <t>Біологічна меліорація водойм</t>
  </si>
  <si>
    <t>0213000</t>
  </si>
  <si>
    <t>0213240</t>
  </si>
  <si>
    <t>0213241</t>
  </si>
  <si>
    <t xml:space="preserve">  </t>
  </si>
  <si>
    <t xml:space="preserve">Заступник начальника фінансового управління </t>
  </si>
  <si>
    <t>Поліна МОТ</t>
  </si>
  <si>
    <t>Програма заходів національного спротиву Хмельницької міської територіальної громади на 2024 рік (із змінами)</t>
  </si>
  <si>
    <t>Рішення 41-ї сесії Хмельницької міської ради від 14.06.2024 року №7</t>
  </si>
  <si>
    <t>Про затвердження Програми взаємодії Хмельницької міської ради та Хмельницького районного відділу філії Державної установи «Центр пробації» у Хмельницькій області 2024-2025 роки</t>
  </si>
  <si>
    <t>Рішення 38-ї сесії Хмельницької міської ради від 13.03.2024 року №9</t>
  </si>
  <si>
    <t>Плата за ліцензії у сфері діяльності з організації та проведення азартних ігор і за ліцензії на випуск та проведення лотерей</t>
  </si>
  <si>
    <t>Плата за ліцензії на провадження діяльності з організації та проведення азартних ігор у залах гральних автоматів</t>
  </si>
  <si>
    <t xml:space="preserve">Реконструкція існуючих газових мереж з заміною ВОГ теплогенераторної Іванковецького ліцею Хмельницької міської ради за адресою: вул. Шкільна, 2, с. Іванківці, Хмельницький район </t>
  </si>
  <si>
    <t>Програма грантової підтримки інноваційних проєктів для підвищення обороноздатності України на 2024 - 2025 роки (із змінами)</t>
  </si>
  <si>
    <t>Різниця</t>
  </si>
  <si>
    <t>25,0 тис - рубільник по виконкому для ЦНАПу, який не входить в програми</t>
  </si>
  <si>
    <t>Нове будівництво зовнішніх мереж електропостачання індустріального парку  "Хмельницький" по вул. Вінницьке шосе, 18 в 
м. Хмельницькому (коригування)</t>
  </si>
  <si>
    <t xml:space="preserve"> Нове будівництво зовнішніх мереж водопостачання та каналізації індустріального парку "Хмельницький" по  вул. Вінницьке шосе, 18 в м. Хмельницькому (коригування)</t>
  </si>
  <si>
    <t>Програма підтримки ОСББ Хмельницької міської територіальної громади на 2023 – 2026 роки (із змінами)</t>
  </si>
  <si>
    <r>
      <t xml:space="preserve">Нове </t>
    </r>
    <r>
      <rPr>
        <sz val="12"/>
        <rFont val="Times New Roman"/>
        <family val="1"/>
        <charset val="204"/>
      </rPr>
      <t xml:space="preserve">будівництво споруди цивільного захисту для Хмельницької середньої загальноосвітньої школи І-ІІІ ступенів № 13 імені М.К.Чекмана на вул. Профспілковій, 39 в м.Хмельницькому </t>
    </r>
    <r>
      <rPr>
        <sz val="11"/>
        <rFont val="Times New Roman"/>
        <family val="1"/>
        <charset val="204"/>
      </rPr>
      <t>(коригування)</t>
    </r>
  </si>
  <si>
    <t>РІЗНИЦЯ ДОХОДІВ</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</si>
</sst>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0_₴_-;\-* #,##0.00_₴_-;_-* &quot;-&quot;??_₴_-;_-@_-"/>
    <numFmt numFmtId="165" formatCode="#,##0.0"/>
    <numFmt numFmtId="166" formatCode="0.0"/>
    <numFmt numFmtId="167" formatCode="#,##0.00000"/>
    <numFmt numFmtId="168" formatCode="_-* #,##0.00_₴_-;\-* #,##0.00_₴_-;_-* \-??_₴_-;_-@_-"/>
  </numFmts>
  <fonts count="203" x14ac:knownFonts="1">
    <font>
      <sz val="10"/>
      <name val="Arial Cyr"/>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b/>
      <sz val="36"/>
      <name val="Times New Roman"/>
      <family val="1"/>
      <charset val="204"/>
    </font>
    <font>
      <sz val="36"/>
      <name val="Times New Roman"/>
      <family val="1"/>
      <charset val="204"/>
    </font>
    <font>
      <b/>
      <sz val="37"/>
      <name val="Times New Roman"/>
      <family val="1"/>
      <charset val="204"/>
    </font>
    <font>
      <sz val="37"/>
      <name val="Times New Roman"/>
      <family val="1"/>
      <charset val="204"/>
    </font>
    <font>
      <sz val="36"/>
      <name val="Arial Cyr"/>
      <charset val="204"/>
    </font>
    <font>
      <sz val="10"/>
      <color indexed="8"/>
      <name val="Arial"/>
      <family val="2"/>
      <charset val="204"/>
    </font>
    <font>
      <sz val="10"/>
      <name val="Arial Cyr"/>
      <charset val="204"/>
    </font>
    <font>
      <i/>
      <sz val="10"/>
      <name val="Arial Cyr"/>
      <charset val="204"/>
    </font>
    <font>
      <b/>
      <sz val="36"/>
      <name val="Times New Roman Cyr"/>
      <family val="1"/>
      <charset val="204"/>
    </font>
    <font>
      <sz val="10"/>
      <name val="Arial"/>
      <family val="2"/>
      <charset val="204"/>
    </font>
    <font>
      <b/>
      <sz val="12.5"/>
      <name val="Times New Roman"/>
      <family val="1"/>
      <charset val="204"/>
    </font>
    <font>
      <sz val="12"/>
      <name val="Arial Cyr"/>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b/>
      <sz val="48"/>
      <name val="Times New Roman Cyr"/>
      <family val="1"/>
      <charset val="204"/>
    </font>
    <font>
      <vertAlign val="superscript"/>
      <sz val="20"/>
      <name val="Times New Roman"/>
      <family val="1"/>
      <charset val="204"/>
    </font>
    <font>
      <sz val="20"/>
      <name val="Arial Cyr"/>
      <charset val="204"/>
    </font>
    <font>
      <sz val="10"/>
      <name val="Arial Cyr"/>
      <family val="2"/>
      <charset val="204"/>
    </font>
    <font>
      <sz val="36"/>
      <name val="Times New Roman Cyr"/>
      <family val="1"/>
      <charset val="204"/>
    </font>
    <font>
      <sz val="50"/>
      <name val="Arial Cyr"/>
      <charset val="204"/>
    </font>
    <font>
      <sz val="11"/>
      <color theme="1"/>
      <name val="Calibri"/>
      <family val="2"/>
      <scheme val="minor"/>
    </font>
    <font>
      <u/>
      <sz val="10"/>
      <name val="Arial Cyr"/>
      <charset val="204"/>
    </font>
    <font>
      <sz val="28"/>
      <name val="Times New Roman Cyr"/>
      <family val="1"/>
      <charset val="204"/>
    </font>
    <font>
      <b/>
      <sz val="36"/>
      <color rgb="FFFF0000"/>
      <name val="Times New Roman"/>
      <family val="1"/>
      <charset val="204"/>
    </font>
    <font>
      <sz val="10"/>
      <color rgb="FFFF0000"/>
      <name val="Arial Cyr"/>
      <charset val="204"/>
    </font>
    <font>
      <b/>
      <sz val="10"/>
      <color rgb="FFFF0000"/>
      <name val="Arial Cyr"/>
      <charset val="204"/>
    </font>
    <font>
      <b/>
      <i/>
      <sz val="36"/>
      <color rgb="FFFF0000"/>
      <name val="Times New Roman"/>
      <family val="1"/>
      <charset val="204"/>
    </font>
    <font>
      <sz val="36"/>
      <color rgb="FFFF0000"/>
      <name val="Times New Roman"/>
      <family val="1"/>
      <charset val="204"/>
    </font>
    <font>
      <sz val="37"/>
      <color rgb="FFFF0000"/>
      <name val="Times New Roman"/>
      <family val="1"/>
      <charset val="204"/>
    </font>
    <font>
      <b/>
      <sz val="12.5"/>
      <color rgb="FFFF0000"/>
      <name val="Times New Roman"/>
      <family val="1"/>
      <charset val="204"/>
    </font>
    <font>
      <sz val="11"/>
      <color rgb="FFFF0000"/>
      <name val="Times New Roman"/>
      <family val="1"/>
      <charset val="204"/>
    </font>
    <font>
      <b/>
      <sz val="37"/>
      <color rgb="FFFF0000"/>
      <name val="Times New Roman"/>
      <family val="1"/>
      <charset val="204"/>
    </font>
    <font>
      <b/>
      <i/>
      <sz val="36"/>
      <name val="Times New Roman"/>
      <family val="1"/>
      <charset val="204"/>
    </font>
    <font>
      <i/>
      <sz val="10"/>
      <color rgb="FFFF0000"/>
      <name val="Arial Cyr"/>
      <charset val="204"/>
    </font>
    <font>
      <sz val="36"/>
      <color rgb="FFFF0000"/>
      <name val="Arial Cyr"/>
      <charset val="204"/>
    </font>
    <font>
      <b/>
      <sz val="36"/>
      <color rgb="FFFF0000"/>
      <name val="Arial Cyr"/>
      <charset val="204"/>
    </font>
    <font>
      <b/>
      <sz val="48"/>
      <color rgb="FFFF0000"/>
      <name val="Times New Roman Cyr"/>
      <family val="1"/>
      <charset val="204"/>
    </font>
    <font>
      <b/>
      <sz val="36"/>
      <color theme="1"/>
      <name val="Times New Roman"/>
      <family val="1"/>
      <charset val="204"/>
    </font>
    <font>
      <sz val="10"/>
      <color rgb="FFFF0000"/>
      <name val="Times New Roman"/>
      <family val="1"/>
      <charset val="204"/>
    </font>
    <font>
      <sz val="10"/>
      <color rgb="FFFF0000"/>
      <name val="Times New Roman CYR"/>
      <charset val="204"/>
    </font>
    <font>
      <b/>
      <sz val="14"/>
      <color rgb="FFFF0000"/>
      <name val="Times New Roman CYR"/>
      <charset val="204"/>
    </font>
    <font>
      <sz val="10"/>
      <color rgb="FFFF0000"/>
      <name val="Arial"/>
      <family val="2"/>
      <charset val="204"/>
    </font>
    <font>
      <b/>
      <sz val="14"/>
      <color rgb="FFFF0000"/>
      <name val="Times New Roman"/>
      <family val="1"/>
      <charset val="204"/>
    </font>
    <font>
      <b/>
      <i/>
      <sz val="37"/>
      <color rgb="FFFF0000"/>
      <name val="Times New Roman"/>
      <family val="1"/>
      <charset val="204"/>
    </font>
    <font>
      <sz val="36"/>
      <color theme="1"/>
      <name val="Times New Roman"/>
      <family val="1"/>
      <charset val="204"/>
    </font>
    <font>
      <b/>
      <i/>
      <sz val="37"/>
      <name val="Times New Roman"/>
      <family val="1"/>
      <charset val="204"/>
    </font>
    <font>
      <b/>
      <sz val="37"/>
      <color theme="1"/>
      <name val="Times New Roman"/>
      <family val="1"/>
      <charset val="204"/>
    </font>
    <font>
      <sz val="10"/>
      <color rgb="FFFF0000"/>
      <name val="Times New Roman Cyr"/>
      <family val="1"/>
      <charset val="204"/>
    </font>
    <font>
      <sz val="48"/>
      <name val="Times New Roman Cyr"/>
      <family val="1"/>
      <charset val="204"/>
    </font>
    <font>
      <i/>
      <sz val="37"/>
      <name val="Times New Roman"/>
      <family val="1"/>
      <charset val="204"/>
    </font>
    <font>
      <b/>
      <i/>
      <sz val="10"/>
      <name val="Arial Cyr"/>
      <charset val="204"/>
    </font>
    <font>
      <b/>
      <i/>
      <sz val="36"/>
      <color rgb="FFFF0000"/>
      <name val="Arial Cyr"/>
      <charset val="204"/>
    </font>
    <font>
      <i/>
      <sz val="36"/>
      <color rgb="FFFF0000"/>
      <name val="Times New Roman"/>
      <family val="1"/>
      <charset val="204"/>
    </font>
    <font>
      <u/>
      <sz val="10"/>
      <name val="Times New Roman"/>
      <family val="1"/>
      <charset val="204"/>
    </font>
    <font>
      <sz val="12"/>
      <color rgb="FF000000"/>
      <name val="Times New Roman"/>
      <family val="1"/>
      <charset val="204"/>
    </font>
    <font>
      <sz val="11"/>
      <color theme="1"/>
      <name val="Calibri"/>
      <family val="2"/>
      <charset val="204"/>
      <scheme val="minor"/>
    </font>
    <font>
      <b/>
      <sz val="18"/>
      <color indexed="62"/>
      <name val="Cambria"/>
      <family val="2"/>
      <charset val="204"/>
    </font>
    <font>
      <sz val="10"/>
      <color rgb="FF00FFCC"/>
      <name val="Arial Cyr"/>
      <charset val="204"/>
    </font>
    <font>
      <b/>
      <sz val="48"/>
      <color rgb="FF00FFCC"/>
      <name val="Times New Roman Cyr"/>
      <family val="1"/>
      <charset val="204"/>
    </font>
    <font>
      <sz val="36"/>
      <color rgb="FF00FFCC"/>
      <name val="Times New Roman"/>
      <family val="1"/>
      <charset val="204"/>
    </font>
    <font>
      <sz val="36"/>
      <color rgb="FF00FFCC"/>
      <name val="Arial Cyr"/>
      <charset val="204"/>
    </font>
    <font>
      <b/>
      <sz val="37"/>
      <color rgb="FF00FFCC"/>
      <name val="Times New Roman"/>
      <family val="1"/>
      <charset val="204"/>
    </font>
    <font>
      <b/>
      <i/>
      <sz val="37"/>
      <color rgb="FF00FFCC"/>
      <name val="Times New Roman"/>
      <family val="1"/>
      <charset val="204"/>
    </font>
    <font>
      <sz val="48"/>
      <color rgb="FF00FFCC"/>
      <name val="Arial Cyr"/>
      <charset val="204"/>
    </font>
    <font>
      <sz val="36"/>
      <color rgb="FF00FFCC"/>
      <name val="Times New Roman Cyr"/>
      <family val="1"/>
      <charset val="204"/>
    </font>
    <font>
      <sz val="48"/>
      <color rgb="FF00FFCC"/>
      <name val="Times New Roman Cyr"/>
      <family val="1"/>
      <charset val="204"/>
    </font>
    <font>
      <sz val="22"/>
      <color rgb="FF00FFCC"/>
      <name val="Times New Roman Cyr"/>
      <family val="1"/>
      <charset val="204"/>
    </font>
    <font>
      <b/>
      <sz val="10"/>
      <color rgb="FF00FFCC"/>
      <name val="Times New Roman Cyr"/>
      <family val="1"/>
      <charset val="204"/>
    </font>
    <font>
      <sz val="10"/>
      <color rgb="FF00FFCC"/>
      <name val="Times New Roman Cyr"/>
      <family val="1"/>
      <charset val="204"/>
    </font>
    <font>
      <sz val="22"/>
      <color rgb="FF00FFCC"/>
      <name val="Times New Roman"/>
      <family val="1"/>
      <charset val="204"/>
    </font>
    <font>
      <sz val="12"/>
      <color rgb="FFFF0000"/>
      <name val="Times New Roman"/>
      <family val="1"/>
      <charset val="204"/>
    </font>
    <font>
      <b/>
      <sz val="12"/>
      <color rgb="FFFF0000"/>
      <name val="Times New Roman"/>
      <family val="1"/>
      <charset val="204"/>
    </font>
    <font>
      <b/>
      <sz val="10"/>
      <color rgb="FFFF0000"/>
      <name val="Times New Roman"/>
      <family val="1"/>
      <charset val="204"/>
    </font>
    <font>
      <b/>
      <sz val="11"/>
      <color rgb="FFFF0000"/>
      <name val="Times New Roman"/>
      <family val="1"/>
      <charset val="204"/>
    </font>
    <font>
      <sz val="9"/>
      <color rgb="FFFF0000"/>
      <name val="Times New Roman"/>
      <family val="1"/>
      <charset val="204"/>
    </font>
    <font>
      <b/>
      <i/>
      <sz val="10"/>
      <color rgb="FFFF0000"/>
      <name val="Times New Roman"/>
      <family val="1"/>
      <charset val="204"/>
    </font>
    <font>
      <i/>
      <sz val="10"/>
      <color rgb="FFFF0000"/>
      <name val="Times New Roman"/>
      <family val="1"/>
      <charset val="204"/>
    </font>
    <font>
      <b/>
      <i/>
      <sz val="11"/>
      <color rgb="FFFF0000"/>
      <name val="Times New Roman"/>
      <family val="1"/>
      <charset val="204"/>
    </font>
    <font>
      <i/>
      <sz val="37"/>
      <color rgb="FFFF0000"/>
      <name val="Times New Roman"/>
      <family val="1"/>
      <charset val="204"/>
    </font>
    <font>
      <i/>
      <sz val="36"/>
      <color rgb="FFFF0000"/>
      <name val="Arial Cyr"/>
      <charset val="204"/>
    </font>
    <font>
      <b/>
      <vertAlign val="superscript"/>
      <sz val="36"/>
      <color rgb="FFFF0000"/>
      <name val="Times New Roman"/>
      <family val="1"/>
      <charset val="204"/>
    </font>
    <font>
      <b/>
      <i/>
      <sz val="10"/>
      <color rgb="FFFF0000"/>
      <name val="Arial Cyr"/>
      <charset val="204"/>
    </font>
    <font>
      <vertAlign val="superscript"/>
      <sz val="20"/>
      <color rgb="FFFF0000"/>
      <name val="Times New Roman"/>
      <family val="1"/>
      <charset val="204"/>
    </font>
    <font>
      <sz val="20"/>
      <color rgb="FFFF0000"/>
      <name val="Arial Cyr"/>
      <charset val="204"/>
    </font>
    <font>
      <sz val="9"/>
      <color rgb="FFFF0000"/>
      <name val="Times New Roman CYR"/>
      <charset val="204"/>
    </font>
    <font>
      <sz val="11"/>
      <color rgb="FFFF0000"/>
      <name val="Times New Roman Cyr"/>
      <family val="1"/>
      <charset val="204"/>
    </font>
    <font>
      <b/>
      <sz val="11"/>
      <color rgb="FFFF0000"/>
      <name val="Times New Roman Cyr"/>
      <family val="1"/>
      <charset val="204"/>
    </font>
    <font>
      <i/>
      <sz val="11"/>
      <color rgb="FFFF0000"/>
      <name val="Times New Roman Cyr"/>
      <family val="1"/>
      <charset val="204"/>
    </font>
    <font>
      <sz val="11"/>
      <color rgb="FFFF0000"/>
      <name val="Times New Roman Cyr"/>
      <charset val="204"/>
    </font>
    <font>
      <sz val="72"/>
      <color rgb="FFFF0000"/>
      <name val="Arial Cyr"/>
      <charset val="204"/>
    </font>
    <font>
      <sz val="22"/>
      <color rgb="FFFF0000"/>
      <name val="Arial Cyr"/>
      <charset val="204"/>
    </font>
    <font>
      <b/>
      <sz val="28"/>
      <color rgb="FFFF0000"/>
      <name val="Arial Cyr"/>
      <charset val="204"/>
    </font>
    <font>
      <b/>
      <sz val="28"/>
      <color rgb="FFFF0000"/>
      <name val="Times New Roman"/>
      <family val="1"/>
      <charset val="204"/>
    </font>
    <font>
      <b/>
      <vertAlign val="superscript"/>
      <sz val="11"/>
      <color rgb="FFFF0000"/>
      <name val="Times New Roman"/>
      <family val="1"/>
      <charset val="204"/>
    </font>
    <font>
      <b/>
      <i/>
      <sz val="14"/>
      <color rgb="FFFF0000"/>
      <name val="Times New Roman"/>
      <family val="1"/>
      <charset val="204"/>
    </font>
    <font>
      <sz val="14"/>
      <color rgb="FFFF0000"/>
      <name val="Times New Roman"/>
      <family val="1"/>
      <charset val="204"/>
    </font>
    <font>
      <sz val="48"/>
      <color rgb="FFFF0000"/>
      <name val="Times New Roman"/>
      <family val="1"/>
      <charset val="204"/>
    </font>
    <font>
      <sz val="34"/>
      <color rgb="FFFF0000"/>
      <name val="Times New Roman"/>
      <family val="1"/>
      <charset val="204"/>
    </font>
    <font>
      <sz val="72"/>
      <color rgb="FFFF0000"/>
      <name val="Times New Roman"/>
      <family val="1"/>
      <charset val="204"/>
    </font>
    <font>
      <b/>
      <sz val="72"/>
      <color rgb="FFFF0000"/>
      <name val="Times New Roman"/>
      <family val="1"/>
      <charset val="204"/>
    </font>
    <font>
      <sz val="36"/>
      <color rgb="FFFF0000"/>
      <name val="Times New Roman Cyr"/>
      <family val="1"/>
      <charset val="204"/>
    </font>
    <font>
      <b/>
      <sz val="36"/>
      <color rgb="FFFF0000"/>
      <name val="Times New Roman Cyr"/>
      <family val="1"/>
      <charset val="204"/>
    </font>
    <font>
      <b/>
      <sz val="10"/>
      <color rgb="FFFF0000"/>
      <name val="Times New Roman Cyr"/>
      <family val="1"/>
      <charset val="204"/>
    </font>
    <font>
      <sz val="50"/>
      <color rgb="FFFF0000"/>
      <name val="Arial Cyr"/>
      <charset val="204"/>
    </font>
    <font>
      <sz val="12.5"/>
      <color rgb="FFFF0000"/>
      <name val="Times New Roman"/>
      <family val="1"/>
      <charset val="204"/>
    </font>
    <font>
      <b/>
      <i/>
      <sz val="10"/>
      <color rgb="FFFF0000"/>
      <name val="Arial"/>
      <family val="2"/>
      <charset val="204"/>
    </font>
    <font>
      <sz val="12"/>
      <name val="Arial"/>
      <family val="2"/>
      <charset val="204"/>
    </font>
    <font>
      <u/>
      <sz val="36"/>
      <name val="Times New Roman"/>
      <family val="1"/>
      <charset val="204"/>
    </font>
    <font>
      <u/>
      <sz val="36"/>
      <name val="Arial Cyr"/>
      <charset val="204"/>
    </font>
    <font>
      <sz val="10"/>
      <color rgb="FF00FFCC"/>
      <name val="Times New Roman"/>
      <family val="1"/>
      <charset val="204"/>
    </font>
    <font>
      <b/>
      <sz val="10"/>
      <name val="Times New Roman"/>
      <family val="1"/>
      <charset val="204"/>
    </font>
    <font>
      <b/>
      <sz val="14"/>
      <name val="Times New Roman"/>
      <family val="1"/>
      <charset val="204"/>
    </font>
    <font>
      <sz val="11"/>
      <name val="Times New Roman"/>
      <family val="1"/>
      <charset val="204"/>
    </font>
    <font>
      <i/>
      <sz val="36"/>
      <name val="Times New Roman"/>
      <family val="1"/>
      <charset val="204"/>
    </font>
    <font>
      <b/>
      <sz val="18"/>
      <name val="Times New Roman"/>
      <family val="1"/>
      <charset val="204"/>
    </font>
    <font>
      <b/>
      <i/>
      <sz val="11"/>
      <name val="Times New Roman"/>
      <family val="1"/>
      <charset val="204"/>
    </font>
    <font>
      <b/>
      <sz val="11"/>
      <name val="Times New Roman"/>
      <family val="1"/>
      <charset val="204"/>
    </font>
    <font>
      <sz val="11"/>
      <name val="Arial Cyr"/>
      <charset val="204"/>
    </font>
    <font>
      <b/>
      <vertAlign val="superscript"/>
      <sz val="11"/>
      <name val="Times New Roman"/>
      <family val="1"/>
      <charset val="204"/>
    </font>
    <font>
      <i/>
      <sz val="10"/>
      <color rgb="FF00FFCC"/>
      <name val="Times New Roman"/>
      <family val="1"/>
      <charset val="204"/>
    </font>
    <font>
      <sz val="14"/>
      <name val="Times New Roman"/>
      <family val="1"/>
      <charset val="204"/>
    </font>
    <font>
      <i/>
      <sz val="11"/>
      <color rgb="FFFF0000"/>
      <name val="Times New Roman"/>
      <family val="1"/>
      <charset val="204"/>
    </font>
    <font>
      <sz val="36"/>
      <color rgb="FF000000"/>
      <name val="Times New Roman"/>
      <family val="1"/>
      <charset val="204"/>
    </font>
    <font>
      <sz val="11"/>
      <color rgb="FF000000"/>
      <name val="Times New Roman"/>
      <family val="1"/>
      <charset val="204"/>
    </font>
    <font>
      <sz val="16"/>
      <color rgb="FFFF0000"/>
      <name val="Times New Roman"/>
      <family val="1"/>
      <charset val="204"/>
    </font>
    <font>
      <sz val="31"/>
      <color rgb="FFFF0000"/>
      <name val="Times New Roman"/>
      <family val="1"/>
      <charset val="204"/>
    </font>
    <font>
      <b/>
      <i/>
      <sz val="12.5"/>
      <color rgb="FFFF0000"/>
      <name val="Times New Roman"/>
      <family val="1"/>
      <charset val="204"/>
    </font>
    <font>
      <b/>
      <vertAlign val="superscript"/>
      <sz val="36"/>
      <name val="Times New Roman"/>
      <family val="1"/>
      <charset val="204"/>
    </font>
    <font>
      <b/>
      <i/>
      <vertAlign val="superscript"/>
      <sz val="36"/>
      <name val="Times New Roman"/>
      <family val="1"/>
      <charset val="204"/>
    </font>
    <font>
      <b/>
      <sz val="12"/>
      <name val="Times New Roman"/>
      <family val="1"/>
      <charset val="204"/>
    </font>
    <font>
      <sz val="10"/>
      <name val="Times New Roman CYR"/>
      <charset val="204"/>
    </font>
    <font>
      <sz val="8"/>
      <name val="Times New Roman"/>
      <family val="1"/>
      <charset val="204"/>
    </font>
    <font>
      <b/>
      <sz val="10"/>
      <name val="Times New Roman CYR"/>
      <charset val="204"/>
    </font>
    <font>
      <i/>
      <sz val="11"/>
      <name val="Times New Roman"/>
      <family val="1"/>
      <charset val="204"/>
    </font>
    <font>
      <u/>
      <sz val="9"/>
      <name val="Times New Roman"/>
      <family val="1"/>
      <charset val="204"/>
    </font>
    <font>
      <u/>
      <sz val="9"/>
      <name val="Arial Cyr"/>
      <charset val="204"/>
    </font>
    <font>
      <sz val="9"/>
      <name val="Times New Roman"/>
      <family val="1"/>
      <charset val="204"/>
    </font>
    <font>
      <sz val="9"/>
      <name val="Arial Cyr"/>
      <charset val="204"/>
    </font>
    <font>
      <b/>
      <sz val="9"/>
      <name val="Times New Roman"/>
      <family val="1"/>
      <charset val="204"/>
    </font>
    <font>
      <i/>
      <sz val="10"/>
      <name val="Times New Roman"/>
      <family val="1"/>
      <charset val="204"/>
    </font>
    <font>
      <b/>
      <i/>
      <sz val="10"/>
      <name val="Times New Roman"/>
      <family val="1"/>
      <charset val="204"/>
    </font>
    <font>
      <sz val="20"/>
      <name val="Times New Roman"/>
      <family val="1"/>
      <charset val="204"/>
    </font>
    <font>
      <b/>
      <sz val="28"/>
      <color rgb="FF00FFCC"/>
      <name val="Times New Roman"/>
      <family val="1"/>
      <charset val="204"/>
    </font>
    <font>
      <sz val="22"/>
      <name val="Times New Roman"/>
      <family val="1"/>
      <charset val="204"/>
    </font>
    <font>
      <b/>
      <sz val="36"/>
      <color rgb="FF00FFCC"/>
      <name val="Times New Roman"/>
      <family val="1"/>
      <charset val="204"/>
    </font>
    <font>
      <sz val="12.5"/>
      <name val="Times New Roman"/>
      <family val="1"/>
      <charset val="204"/>
    </font>
    <font>
      <b/>
      <i/>
      <sz val="12.5"/>
      <name val="Times New Roman"/>
      <family val="1"/>
      <charset val="204"/>
    </font>
    <font>
      <sz val="34"/>
      <name val="Times New Roman"/>
      <family val="1"/>
      <charset val="204"/>
    </font>
    <font>
      <b/>
      <sz val="16"/>
      <name val="Times New Roman"/>
      <family val="1"/>
      <charset val="204"/>
    </font>
    <font>
      <b/>
      <u/>
      <sz val="16"/>
      <name val="Times New Roman"/>
      <family val="1"/>
      <charset val="204"/>
    </font>
    <font>
      <b/>
      <u/>
      <sz val="10"/>
      <name val="Times New Roman"/>
      <family val="1"/>
      <charset val="204"/>
    </font>
    <font>
      <vertAlign val="superscript"/>
      <sz val="10"/>
      <name val="Times New Roman"/>
      <family val="1"/>
      <charset val="204"/>
    </font>
    <font>
      <sz val="31.5"/>
      <name val="Times New Roman"/>
      <family val="1"/>
      <charset val="204"/>
    </font>
    <font>
      <sz val="11"/>
      <name val="Times New Roman Cyr"/>
      <charset val="204"/>
    </font>
    <font>
      <b/>
      <sz val="36"/>
      <color rgb="FFCCFF99"/>
      <name val="Times New Roman"/>
      <family val="1"/>
      <charset val="204"/>
    </font>
    <font>
      <b/>
      <sz val="28"/>
      <color rgb="FFCCFF99"/>
      <name val="Times New Roman"/>
      <family val="1"/>
      <charset val="204"/>
    </font>
    <font>
      <b/>
      <sz val="48"/>
      <color rgb="FFCCFF99"/>
      <name val="Times New Roman Cyr"/>
      <family val="1"/>
      <charset val="204"/>
    </font>
    <font>
      <sz val="36"/>
      <color rgb="FFCCFF99"/>
      <name val="Times New Roman Cyr"/>
      <family val="1"/>
      <charset val="204"/>
    </font>
    <font>
      <sz val="10"/>
      <color theme="1"/>
      <name val="Times New Roman"/>
      <family val="1"/>
      <charset val="204"/>
    </font>
    <font>
      <b/>
      <sz val="10"/>
      <color theme="1"/>
      <name val="Times New Roman"/>
      <family val="1"/>
      <charset val="204"/>
    </font>
    <font>
      <b/>
      <sz val="12"/>
      <color rgb="FFCCFF99"/>
      <name val="Times New Roman"/>
      <family val="1"/>
      <charset val="204"/>
    </font>
    <font>
      <b/>
      <sz val="10"/>
      <color rgb="FFCCFF99"/>
      <name val="Times New Roman"/>
      <family val="1"/>
      <charset val="204"/>
    </font>
    <font>
      <b/>
      <sz val="14"/>
      <color rgb="FFCCFF99"/>
      <name val="Times New Roman"/>
      <family val="1"/>
      <charset val="204"/>
    </font>
    <font>
      <b/>
      <sz val="72"/>
      <color rgb="FFCCFF99"/>
      <name val="Times New Roman"/>
      <family val="1"/>
      <charset val="204"/>
    </font>
    <font>
      <b/>
      <sz val="16"/>
      <color rgb="FFCCFF99"/>
      <name val="Times New Roman"/>
      <family val="1"/>
      <charset val="204"/>
    </font>
    <font>
      <b/>
      <sz val="12"/>
      <color rgb="FFCCFF99"/>
      <name val="Times New Roman CYR"/>
      <charset val="204"/>
    </font>
  </fonts>
  <fills count="50">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gradientFill type="path" left="0.5" right="0.5" top="0.5" bottom="0.5">
        <stop position="0">
          <color theme="0"/>
        </stop>
        <stop position="1">
          <color rgb="FFCCFFCC"/>
        </stop>
      </gradientFill>
    </fill>
    <fill>
      <patternFill patternType="solid">
        <fgColor rgb="FFFF0000"/>
        <bgColor indexed="64"/>
      </patternFill>
    </fill>
    <fill>
      <patternFill patternType="solid">
        <fgColor rgb="FF66FF99"/>
        <bgColor indexed="64"/>
      </patternFill>
    </fill>
    <fill>
      <patternFill patternType="solid">
        <fgColor rgb="FF00FF99"/>
        <bgColor indexed="64"/>
      </patternFill>
    </fill>
    <fill>
      <patternFill patternType="solid">
        <fgColor rgb="FF00FF99"/>
        <bgColor auto="1"/>
      </patternFill>
    </fill>
    <fill>
      <patternFill patternType="solid">
        <fgColor rgb="FF00CCFF"/>
        <bgColor indexed="64"/>
      </patternFill>
    </fill>
    <fill>
      <gradientFill degree="270">
        <stop position="0">
          <color theme="0"/>
        </stop>
        <stop position="1">
          <color rgb="FF00CCFF"/>
        </stop>
      </gradientFill>
    </fill>
    <fill>
      <patternFill patternType="solid">
        <fgColor rgb="FFCCFF99"/>
        <bgColor indexed="64"/>
      </patternFill>
    </fill>
    <fill>
      <gradientFill degree="270">
        <stop position="0">
          <color theme="0"/>
        </stop>
        <stop position="1">
          <color rgb="FFCCFF99"/>
        </stop>
      </gradientFill>
    </fill>
    <fill>
      <gradientFill degree="225">
        <stop position="0">
          <color theme="0"/>
        </stop>
        <stop position="1">
          <color rgb="FFFFFF99"/>
        </stop>
      </gradientFill>
    </fill>
    <fill>
      <gradientFill degree="270">
        <stop position="0">
          <color theme="0"/>
        </stop>
        <stop position="1">
          <color rgb="FF00FFCC"/>
        </stop>
      </gradientFill>
    </fill>
    <fill>
      <gradientFill degree="90">
        <stop position="0">
          <color rgb="FF00FFCC"/>
        </stop>
        <stop position="1">
          <color rgb="FF00FFCC"/>
        </stop>
      </gradientFill>
    </fill>
    <fill>
      <patternFill patternType="solid">
        <fgColor theme="0"/>
        <bgColor indexed="64"/>
      </patternFill>
    </fill>
    <fill>
      <patternFill patternType="solid">
        <fgColor theme="5" tint="0.79998168889431442"/>
        <bgColor auto="1"/>
      </patternFill>
    </fill>
    <fill>
      <gradientFill type="path" left="0.5" right="0.5" top="0.5" bottom="0.5">
        <stop position="0">
          <color theme="0"/>
        </stop>
        <stop position="1">
          <color theme="5" tint="0.80001220740379042"/>
        </stop>
      </gradientFill>
    </fill>
    <fill>
      <gradientFill degree="90">
        <stop position="0">
          <color theme="0"/>
        </stop>
        <stop position="0.5">
          <color rgb="FFCCFF99"/>
        </stop>
        <stop position="1">
          <color theme="0"/>
        </stop>
      </gradientFill>
    </fill>
    <fill>
      <gradientFill degree="90">
        <stop position="0">
          <color theme="0"/>
        </stop>
        <stop position="0.5">
          <color theme="9" tint="0.59999389629810485"/>
        </stop>
        <stop position="1">
          <color theme="0"/>
        </stop>
      </gradientFill>
    </fill>
    <fill>
      <patternFill patternType="solid">
        <fgColor theme="3" tint="0.39997558519241921"/>
        <bgColor indexed="64"/>
      </patternFill>
    </fill>
    <fill>
      <patternFill patternType="solid">
        <fgColor theme="9" tint="-0.249977111117893"/>
        <bgColor indexed="64"/>
      </patternFill>
    </fill>
    <fill>
      <gradientFill type="path" left="0.5" right="0.5" top="0.5" bottom="0.5">
        <stop position="0">
          <color theme="0"/>
        </stop>
        <stop position="1">
          <color theme="7" tint="0.80001220740379042"/>
        </stop>
      </gradientFill>
    </fill>
    <fill>
      <patternFill patternType="solid">
        <fgColor rgb="FF00FFCC"/>
        <bgColor indexed="64"/>
      </patternFill>
    </fill>
    <fill>
      <gradientFill type="path" left="0.5" right="0.5" top="0.5" bottom="0.5">
        <stop position="0">
          <color theme="0"/>
        </stop>
        <stop position="1">
          <color rgb="FFCCFF99"/>
        </stop>
      </gradientFill>
    </fill>
    <fill>
      <gradientFill degree="90">
        <stop position="0">
          <color theme="0"/>
        </stop>
        <stop position="0.5">
          <color rgb="FFCCECFF"/>
        </stop>
        <stop position="1">
          <color theme="0"/>
        </stop>
      </gradientFill>
    </fill>
    <fill>
      <gradientFill type="path" left="0.5" right="0.5" top="0.5" bottom="0.5">
        <stop position="0">
          <color theme="0"/>
        </stop>
        <stop position="1">
          <color rgb="FFCCECFF"/>
        </stop>
      </gradient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style="double">
        <color theme="0" tint="-0.499984740745262"/>
      </left>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style="thin">
        <color indexed="64"/>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s>
  <cellStyleXfs count="191">
    <xf numFmtId="0" fontId="0" fillId="0" borderId="0"/>
    <xf numFmtId="0" fontId="10"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35" fillId="0" borderId="0"/>
    <xf numFmtId="0" fontId="27" fillId="0" borderId="0"/>
    <xf numFmtId="0" fontId="10" fillId="0" borderId="0"/>
    <xf numFmtId="0" fontId="35" fillId="0" borderId="0"/>
    <xf numFmtId="0" fontId="10" fillId="0" borderId="0"/>
    <xf numFmtId="0" fontId="35" fillId="0" borderId="0"/>
    <xf numFmtId="0" fontId="27" fillId="0" borderId="0"/>
    <xf numFmtId="0" fontId="27" fillId="0" borderId="0"/>
    <xf numFmtId="0" fontId="27" fillId="0" borderId="0"/>
    <xf numFmtId="0" fontId="27" fillId="0" borderId="0"/>
    <xf numFmtId="0" fontId="27" fillId="0" borderId="0"/>
    <xf numFmtId="0" fontId="34" fillId="0" borderId="0">
      <alignment vertical="top"/>
    </xf>
    <xf numFmtId="0" fontId="21" fillId="5" borderId="5" applyNumberFormat="0" applyAlignment="0" applyProtection="0"/>
    <xf numFmtId="0" fontId="22" fillId="0" borderId="0" applyNumberFormat="0" applyFill="0" applyBorder="0" applyAlignment="0" applyProtection="0"/>
    <xf numFmtId="0" fontId="10" fillId="0" borderId="0"/>
    <xf numFmtId="0" fontId="35" fillId="0" borderId="0"/>
    <xf numFmtId="0" fontId="12" fillId="0" borderId="0"/>
    <xf numFmtId="0" fontId="38" fillId="0" borderId="0" applyNumberFormat="0" applyFont="0" applyFill="0" applyBorder="0" applyAlignment="0" applyProtection="0">
      <alignment vertical="top"/>
    </xf>
    <xf numFmtId="0" fontId="26" fillId="0" borderId="0"/>
    <xf numFmtId="0" fontId="11" fillId="0" borderId="0" applyNumberFormat="0" applyFont="0" applyFill="0" applyBorder="0" applyAlignment="0" applyProtection="0">
      <alignment vertical="top"/>
    </xf>
    <xf numFmtId="0" fontId="12" fillId="0" borderId="0"/>
    <xf numFmtId="0" fontId="26"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10" fillId="0" borderId="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2"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2" borderId="0" applyNumberFormat="0" applyBorder="0" applyAlignment="0" applyProtection="0"/>
    <xf numFmtId="0" fontId="17" fillId="2" borderId="1" applyNumberFormat="0" applyAlignment="0" applyProtection="0"/>
    <xf numFmtId="0" fontId="45" fillId="23" borderId="11" applyNumberFormat="0" applyAlignment="0" applyProtection="0"/>
    <xf numFmtId="0" fontId="46" fillId="23" borderId="1" applyNumberFormat="0" applyAlignment="0" applyProtection="0"/>
    <xf numFmtId="0" fontId="42" fillId="0" borderId="0" applyNumberFormat="0" applyFill="0" applyBorder="0" applyAlignment="0" applyProtection="0">
      <alignment vertical="top"/>
      <protection locked="0"/>
    </xf>
    <xf numFmtId="0" fontId="47" fillId="0" borderId="12"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48" fillId="4" borderId="0" applyNumberFormat="0" applyBorder="0" applyAlignment="0" applyProtection="0"/>
    <xf numFmtId="0" fontId="49" fillId="8" borderId="0" applyNumberFormat="0" applyBorder="0" applyAlignment="0" applyProtection="0"/>
    <xf numFmtId="0" fontId="50" fillId="0" borderId="0" applyNumberFormat="0" applyFill="0" applyBorder="0" applyAlignment="0" applyProtection="0"/>
    <xf numFmtId="0" fontId="43" fillId="24" borderId="13"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54" fillId="0" borderId="0"/>
    <xf numFmtId="0" fontId="10" fillId="0" borderId="0"/>
    <xf numFmtId="0" fontId="9" fillId="0" borderId="0"/>
    <xf numFmtId="0" fontId="8" fillId="0" borderId="0"/>
    <xf numFmtId="0" fontId="10" fillId="0" borderId="0"/>
    <xf numFmtId="0" fontId="10" fillId="0" borderId="0"/>
    <xf numFmtId="0" fontId="10" fillId="0" borderId="0"/>
    <xf numFmtId="0" fontId="10" fillId="0" borderId="0"/>
    <xf numFmtId="0" fontId="10" fillId="0" borderId="0"/>
    <xf numFmtId="0" fontId="7" fillId="0" borderId="0"/>
    <xf numFmtId="0" fontId="57"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43" fillId="0" borderId="0"/>
    <xf numFmtId="0" fontId="17" fillId="4" borderId="1" applyNumberFormat="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4" fillId="0" borderId="25" applyNumberFormat="0" applyFill="0" applyAlignment="0" applyProtection="0"/>
    <xf numFmtId="0" fontId="93" fillId="0" borderId="0" applyNumberFormat="0" applyFill="0" applyBorder="0" applyAlignment="0" applyProtection="0"/>
    <xf numFmtId="0" fontId="34" fillId="0" borderId="0"/>
    <xf numFmtId="0" fontId="43" fillId="0" borderId="0"/>
    <xf numFmtId="0" fontId="57" fillId="0" borderId="0"/>
    <xf numFmtId="0" fontId="38" fillId="0" borderId="0"/>
    <xf numFmtId="0" fontId="2" fillId="0" borderId="0"/>
    <xf numFmtId="0" fontId="2" fillId="0" borderId="0"/>
    <xf numFmtId="0" fontId="38" fillId="0" borderId="0"/>
    <xf numFmtId="0" fontId="54" fillId="0" borderId="0"/>
    <xf numFmtId="0" fontId="38" fillId="0" borderId="0"/>
    <xf numFmtId="0" fontId="54" fillId="0" borderId="0"/>
    <xf numFmtId="0" fontId="12" fillId="0" borderId="0"/>
    <xf numFmtId="0" fontId="16" fillId="0" borderId="0"/>
    <xf numFmtId="0" fontId="38" fillId="0" borderId="0"/>
    <xf numFmtId="0" fontId="43" fillId="0" borderId="0"/>
    <xf numFmtId="0" fontId="43" fillId="0" borderId="0"/>
    <xf numFmtId="0" fontId="16" fillId="0" borderId="0"/>
    <xf numFmtId="0" fontId="16" fillId="0" borderId="0"/>
    <xf numFmtId="0" fontId="43" fillId="0" borderId="0"/>
    <xf numFmtId="0" fontId="10" fillId="0" borderId="0"/>
    <xf numFmtId="0" fontId="2" fillId="0" borderId="0"/>
    <xf numFmtId="0" fontId="2" fillId="0" borderId="0"/>
    <xf numFmtId="0" fontId="54" fillId="0" borderId="0"/>
    <xf numFmtId="0" fontId="92" fillId="0" borderId="0"/>
    <xf numFmtId="164"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9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2" fillId="0" borderId="0"/>
    <xf numFmtId="0" fontId="2" fillId="0" borderId="0"/>
    <xf numFmtId="0" fontId="2" fillId="0" borderId="0"/>
    <xf numFmtId="0" fontId="2" fillId="0" borderId="0"/>
    <xf numFmtId="0" fontId="2" fillId="0" borderId="0"/>
    <xf numFmtId="168"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17" fillId="2" borderId="1" applyNumberFormat="0" applyAlignment="0" applyProtection="0"/>
    <xf numFmtId="0" fontId="2" fillId="0" borderId="0"/>
    <xf numFmtId="0" fontId="2" fillId="0" borderId="0"/>
    <xf numFmtId="0" fontId="23" fillId="0" borderId="6"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92" fillId="0" borderId="0"/>
    <xf numFmtId="0" fontId="10" fillId="0" borderId="0"/>
    <xf numFmtId="0" fontId="12" fillId="0" borderId="0"/>
    <xf numFmtId="0" fontId="24" fillId="0" borderId="0" applyNumberFormat="0" applyFill="0" applyBorder="0" applyAlignment="0" applyProtection="0"/>
    <xf numFmtId="0" fontId="1" fillId="0" borderId="0"/>
  </cellStyleXfs>
  <cellXfs count="918">
    <xf numFmtId="0" fontId="0" fillId="0" borderId="0" xfId="0"/>
    <xf numFmtId="0" fontId="16" fillId="0" borderId="0" xfId="39" applyFont="1"/>
    <xf numFmtId="0" fontId="30" fillId="0" borderId="0" xfId="0" applyFont="1" applyAlignment="1">
      <alignment horizontal="left" vertical="center"/>
    </xf>
    <xf numFmtId="0" fontId="30" fillId="0" borderId="0" xfId="39" applyFont="1"/>
    <xf numFmtId="0" fontId="62" fillId="0" borderId="0" xfId="0" applyFont="1"/>
    <xf numFmtId="0" fontId="70" fillId="0" borderId="0" xfId="0" applyFont="1"/>
    <xf numFmtId="0" fontId="71" fillId="0" borderId="0" xfId="0" applyFont="1"/>
    <xf numFmtId="0" fontId="76" fillId="0" borderId="0" xfId="35" applyFont="1"/>
    <xf numFmtId="0" fontId="77" fillId="0" borderId="0" xfId="35" applyFont="1" applyAlignment="1">
      <alignment horizontal="center" vertical="center"/>
    </xf>
    <xf numFmtId="0" fontId="65" fillId="0" borderId="0" xfId="0" applyFont="1"/>
    <xf numFmtId="2" fontId="79" fillId="0" borderId="0" xfId="36" applyNumberFormat="1" applyFont="1" applyFill="1" applyAlignment="1">
      <alignment horizontal="center" vertical="top"/>
    </xf>
    <xf numFmtId="0" fontId="75" fillId="0" borderId="0" xfId="35" applyFont="1" applyAlignment="1">
      <alignment horizontal="center" vertical="center"/>
    </xf>
    <xf numFmtId="0" fontId="65" fillId="0" borderId="0" xfId="36" applyFont="1">
      <alignment vertical="top"/>
    </xf>
    <xf numFmtId="0" fontId="61" fillId="0" borderId="0" xfId="0" applyFont="1"/>
    <xf numFmtId="0" fontId="91"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4" fontId="29" fillId="0" borderId="0" xfId="36" applyNumberFormat="1" applyFont="1" applyFill="1" applyBorder="1" applyAlignment="1">
      <alignment horizontal="center" vertical="center" wrapText="1"/>
    </xf>
    <xf numFmtId="0" fontId="13" fillId="28" borderId="0" xfId="0" applyFont="1" applyFill="1" applyAlignment="1">
      <alignment vertical="center"/>
    </xf>
    <xf numFmtId="0" fontId="30" fillId="28" borderId="0" xfId="0" applyFont="1" applyFill="1" applyAlignment="1">
      <alignment vertical="center"/>
    </xf>
    <xf numFmtId="0" fontId="61" fillId="28" borderId="0" xfId="0" applyFont="1" applyFill="1"/>
    <xf numFmtId="0" fontId="0" fillId="28" borderId="0" xfId="0" applyFill="1"/>
    <xf numFmtId="0" fontId="30" fillId="28" borderId="0" xfId="0" applyFont="1" applyFill="1" applyAlignment="1">
      <alignment horizontal="right" vertical="center"/>
    </xf>
    <xf numFmtId="0" fontId="64" fillId="28" borderId="0" xfId="38" applyFont="1" applyFill="1" applyBorder="1" applyAlignment="1" applyProtection="1">
      <alignment horizontal="center" vertical="center" wrapText="1"/>
      <protection locked="0"/>
    </xf>
    <xf numFmtId="0" fontId="15" fillId="28" borderId="0" xfId="0" applyFont="1" applyFill="1"/>
    <xf numFmtId="0" fontId="62" fillId="28" borderId="0" xfId="0" applyFont="1" applyFill="1"/>
    <xf numFmtId="4" fontId="29" fillId="28" borderId="0" xfId="0" applyNumberFormat="1" applyFont="1" applyFill="1" applyAlignment="1">
      <alignment horizontal="left" vertical="center"/>
    </xf>
    <xf numFmtId="4" fontId="69" fillId="28" borderId="0" xfId="0" applyNumberFormat="1" applyFont="1" applyFill="1" applyAlignment="1">
      <alignment horizontal="left" vertical="center"/>
    </xf>
    <xf numFmtId="0" fontId="87" fillId="28" borderId="0" xfId="0" applyFont="1" applyFill="1"/>
    <xf numFmtId="4" fontId="74" fillId="28" borderId="0" xfId="0" applyNumberFormat="1" applyFont="1" applyFill="1" applyAlignment="1">
      <alignment horizontal="left" vertical="center"/>
    </xf>
    <xf numFmtId="4" fontId="60" fillId="28" borderId="0" xfId="0" applyNumberFormat="1" applyFont="1" applyFill="1" applyAlignment="1">
      <alignment horizontal="left" vertical="center"/>
    </xf>
    <xf numFmtId="4" fontId="63" fillId="28" borderId="0" xfId="0" applyNumberFormat="1" applyFont="1" applyFill="1" applyAlignment="1">
      <alignment horizontal="left" vertical="center"/>
    </xf>
    <xf numFmtId="4" fontId="89" fillId="28" borderId="0" xfId="0" applyNumberFormat="1" applyFont="1" applyFill="1" applyAlignment="1">
      <alignment horizontal="left" vertical="center"/>
    </xf>
    <xf numFmtId="0" fontId="36" fillId="28" borderId="0" xfId="0" applyFont="1" applyFill="1"/>
    <xf numFmtId="4" fontId="81" fillId="28" borderId="0" xfId="0" applyNumberFormat="1" applyFont="1" applyFill="1" applyAlignment="1">
      <alignment horizontal="left" vertical="center"/>
    </xf>
    <xf numFmtId="4" fontId="64" fillId="28" borderId="0" xfId="0" applyNumberFormat="1" applyFont="1" applyFill="1" applyAlignment="1">
      <alignment horizontal="left" vertical="center"/>
    </xf>
    <xf numFmtId="0" fontId="70" fillId="28" borderId="0" xfId="0" applyFont="1" applyFill="1"/>
    <xf numFmtId="4" fontId="30" fillId="28" borderId="0" xfId="0" applyNumberFormat="1" applyFont="1" applyFill="1" applyAlignment="1">
      <alignment horizontal="left" vertical="center"/>
    </xf>
    <xf numFmtId="4" fontId="41" fillId="28" borderId="0" xfId="0" applyNumberFormat="1" applyFont="1" applyFill="1"/>
    <xf numFmtId="4" fontId="72" fillId="28" borderId="0" xfId="0" applyNumberFormat="1" applyFont="1" applyFill="1" applyAlignment="1">
      <alignment horizontal="left" vertical="center"/>
    </xf>
    <xf numFmtId="4" fontId="88" fillId="28" borderId="0" xfId="0" applyNumberFormat="1" applyFont="1" applyFill="1" applyAlignment="1">
      <alignment horizontal="left" vertical="center"/>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4" fontId="31" fillId="28" borderId="0" xfId="0" applyNumberFormat="1" applyFont="1" applyFill="1" applyAlignment="1">
      <alignment horizontal="center" vertical="center" wrapText="1"/>
    </xf>
    <xf numFmtId="4" fontId="31" fillId="28" borderId="0" xfId="0" applyNumberFormat="1" applyFont="1" applyFill="1" applyAlignment="1">
      <alignment horizontal="left" vertical="center" wrapText="1"/>
    </xf>
    <xf numFmtId="4" fontId="68" fillId="28" borderId="0" xfId="0" applyNumberFormat="1" applyFont="1" applyFill="1" applyAlignment="1">
      <alignment horizontal="center" vertical="center" wrapText="1"/>
    </xf>
    <xf numFmtId="4" fontId="32" fillId="28" borderId="0" xfId="0" applyNumberFormat="1" applyFont="1" applyFill="1" applyAlignment="1">
      <alignment horizontal="left" vertical="center" wrapText="1"/>
    </xf>
    <xf numFmtId="4" fontId="32" fillId="28" borderId="0" xfId="0" applyNumberFormat="1" applyFont="1" applyFill="1" applyAlignment="1">
      <alignment horizontal="center" vertical="center" wrapText="1"/>
    </xf>
    <xf numFmtId="4" fontId="68" fillId="28" borderId="0" xfId="0" applyNumberFormat="1" applyFont="1" applyFill="1" applyAlignment="1">
      <alignment horizontal="left" vertical="center" wrapText="1"/>
    </xf>
    <xf numFmtId="4" fontId="80" fillId="28" borderId="0" xfId="0" applyNumberFormat="1" applyFont="1" applyFill="1" applyAlignment="1">
      <alignment horizontal="left" vertical="center" wrapText="1"/>
    </xf>
    <xf numFmtId="4" fontId="86" fillId="28" borderId="0" xfId="0" applyNumberFormat="1" applyFont="1" applyFill="1" applyAlignment="1">
      <alignment horizontal="left" vertical="center" wrapText="1"/>
    </xf>
    <xf numFmtId="4" fontId="82" fillId="28" borderId="0" xfId="0" applyNumberFormat="1" applyFont="1" applyFill="1" applyAlignment="1">
      <alignment horizontal="left" vertical="center" wrapText="1"/>
    </xf>
    <xf numFmtId="4" fontId="83" fillId="28" borderId="0" xfId="0" applyNumberFormat="1" applyFont="1" applyFill="1" applyAlignment="1">
      <alignment horizontal="center" vertical="center" wrapText="1"/>
    </xf>
    <xf numFmtId="4" fontId="51" fillId="28" borderId="0" xfId="0" applyNumberFormat="1" applyFont="1" applyFill="1" applyAlignment="1">
      <alignment vertical="center"/>
    </xf>
    <xf numFmtId="4" fontId="64" fillId="28" borderId="0" xfId="0" applyNumberFormat="1" applyFont="1" applyFill="1" applyAlignment="1">
      <alignment horizontal="center" vertical="center"/>
    </xf>
    <xf numFmtId="0" fontId="14" fillId="28" borderId="0" xfId="0" applyFont="1" applyFill="1" applyAlignment="1">
      <alignment vertical="center"/>
    </xf>
    <xf numFmtId="0" fontId="84" fillId="28" borderId="0" xfId="0" applyFont="1" applyFill="1" applyAlignment="1">
      <alignment vertical="center"/>
    </xf>
    <xf numFmtId="4" fontId="14" fillId="28" borderId="0" xfId="0" applyNumberFormat="1" applyFont="1" applyFill="1" applyAlignment="1">
      <alignment vertical="center"/>
    </xf>
    <xf numFmtId="4" fontId="13" fillId="28" borderId="0" xfId="0" applyNumberFormat="1" applyFont="1" applyFill="1" applyAlignment="1">
      <alignment vertical="center"/>
    </xf>
    <xf numFmtId="0" fontId="85" fillId="28" borderId="0" xfId="0" applyFont="1" applyFill="1" applyAlignment="1">
      <alignment vertical="center"/>
    </xf>
    <xf numFmtId="4" fontId="55" fillId="28" borderId="0" xfId="0" applyNumberFormat="1" applyFont="1" applyFill="1" applyAlignment="1">
      <alignment vertical="center"/>
    </xf>
    <xf numFmtId="167" fontId="37" fillId="28" borderId="0" xfId="0" applyNumberFormat="1" applyFont="1" applyFill="1" applyAlignment="1">
      <alignment vertical="center"/>
    </xf>
    <xf numFmtId="4" fontId="29" fillId="29" borderId="0" xfId="36" applyNumberFormat="1" applyFont="1" applyFill="1" applyBorder="1" applyAlignment="1">
      <alignment horizontal="center" vertical="center" wrapText="1"/>
    </xf>
    <xf numFmtId="4" fontId="73" fillId="28" borderId="0" xfId="0" applyNumberFormat="1" applyFont="1" applyFill="1" applyAlignment="1">
      <alignment vertical="center"/>
    </xf>
    <xf numFmtId="0" fontId="29" fillId="28" borderId="0" xfId="0" applyFont="1" applyFill="1" applyAlignment="1">
      <alignment horizontal="right" vertical="center"/>
    </xf>
    <xf numFmtId="0" fontId="55" fillId="28" borderId="0" xfId="0" applyFont="1" applyFill="1" applyAlignment="1">
      <alignment vertical="center"/>
    </xf>
    <xf numFmtId="4" fontId="59" fillId="28" borderId="0" xfId="0" applyNumberFormat="1" applyFont="1" applyFill="1" applyAlignment="1">
      <alignment vertical="center"/>
    </xf>
    <xf numFmtId="4" fontId="37" fillId="28" borderId="0" xfId="0" applyNumberFormat="1" applyFont="1" applyFill="1" applyAlignment="1">
      <alignment vertical="center"/>
    </xf>
    <xf numFmtId="0" fontId="56" fillId="28" borderId="0" xfId="0" applyFont="1" applyFill="1"/>
    <xf numFmtId="10" fontId="37" fillId="28" borderId="0" xfId="0" applyNumberFormat="1" applyFont="1" applyFill="1" applyAlignment="1">
      <alignment vertical="center"/>
    </xf>
    <xf numFmtId="0" fontId="37" fillId="28" borderId="0" xfId="0" applyFont="1" applyFill="1" applyAlignment="1">
      <alignment vertical="center"/>
    </xf>
    <xf numFmtId="4" fontId="64" fillId="28" borderId="15" xfId="0" applyNumberFormat="1" applyFont="1" applyFill="1" applyBorder="1" applyAlignment="1">
      <alignment horizontal="center" vertical="center" wrapText="1"/>
    </xf>
    <xf numFmtId="2" fontId="78" fillId="28" borderId="0" xfId="36" applyNumberFormat="1" applyFont="1" applyFill="1" applyAlignment="1">
      <alignment horizontal="center" vertical="top"/>
    </xf>
    <xf numFmtId="0" fontId="13" fillId="0" borderId="0" xfId="0" applyFont="1"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4" fontId="95" fillId="28" borderId="0" xfId="0" applyNumberFormat="1" applyFont="1" applyFill="1" applyAlignment="1">
      <alignment vertical="center"/>
    </xf>
    <xf numFmtId="0" fontId="94" fillId="0" borderId="0" xfId="0" applyFont="1"/>
    <xf numFmtId="0" fontId="94" fillId="28" borderId="0" xfId="0" applyFont="1" applyFill="1"/>
    <xf numFmtId="4" fontId="97" fillId="28" borderId="0" xfId="0" applyNumberFormat="1" applyFont="1" applyFill="1"/>
    <xf numFmtId="4" fontId="96" fillId="28" borderId="0" xfId="0" applyNumberFormat="1" applyFont="1" applyFill="1" applyAlignment="1">
      <alignment horizontal="center" vertical="center"/>
    </xf>
    <xf numFmtId="4" fontId="98" fillId="29" borderId="15" xfId="0" applyNumberFormat="1" applyFont="1" applyFill="1" applyBorder="1" applyAlignment="1">
      <alignment horizontal="center" vertical="center"/>
    </xf>
    <xf numFmtId="4" fontId="100" fillId="28" borderId="0" xfId="0" applyNumberFormat="1" applyFont="1" applyFill="1" applyAlignment="1">
      <alignment vertical="center"/>
    </xf>
    <xf numFmtId="4" fontId="101" fillId="28" borderId="0" xfId="0" applyNumberFormat="1" applyFont="1" applyFill="1" applyAlignment="1">
      <alignment vertical="center"/>
    </xf>
    <xf numFmtId="0" fontId="102" fillId="28" borderId="0" xfId="0" applyFont="1" applyFill="1" applyAlignment="1">
      <alignment vertical="center"/>
    </xf>
    <xf numFmtId="0" fontId="103" fillId="28" borderId="0" xfId="0" applyFont="1" applyFill="1" applyAlignment="1">
      <alignment vertical="center"/>
    </xf>
    <xf numFmtId="165" fontId="104" fillId="28" borderId="0" xfId="0" applyNumberFormat="1" applyFont="1" applyFill="1" applyAlignment="1">
      <alignment horizontal="right" vertical="center" wrapText="1"/>
    </xf>
    <xf numFmtId="165" fontId="105" fillId="28" borderId="0" xfId="0" applyNumberFormat="1" applyFont="1" applyFill="1" applyAlignment="1">
      <alignment horizontal="right" vertical="center" wrapText="1"/>
    </xf>
    <xf numFmtId="0" fontId="105" fillId="28" borderId="0" xfId="0" applyFont="1" applyFill="1" applyAlignment="1">
      <alignment vertical="center"/>
    </xf>
    <xf numFmtId="0" fontId="104" fillId="28" borderId="0" xfId="0" applyFont="1" applyFill="1" applyAlignment="1">
      <alignment vertical="center"/>
    </xf>
    <xf numFmtId="4" fontId="104" fillId="28" borderId="0" xfId="0" applyNumberFormat="1" applyFont="1" applyFill="1" applyAlignment="1">
      <alignment vertical="center"/>
    </xf>
    <xf numFmtId="2" fontId="106" fillId="28" borderId="0" xfId="0" applyNumberFormat="1" applyFont="1" applyFill="1" applyAlignment="1">
      <alignment horizontal="center" vertical="center"/>
    </xf>
    <xf numFmtId="4" fontId="99" fillId="29" borderId="14" xfId="0" applyNumberFormat="1" applyFont="1" applyFill="1" applyBorder="1" applyAlignment="1">
      <alignment horizontal="center" vertical="center" wrapText="1"/>
    </xf>
    <xf numFmtId="0" fontId="39" fillId="0" borderId="0" xfId="36" applyFont="1" applyAlignment="1">
      <alignment horizontal="center" vertical="center"/>
    </xf>
    <xf numFmtId="0" fontId="78" fillId="0" borderId="0" xfId="36" applyFont="1">
      <alignment vertical="top"/>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49" fontId="30" fillId="0" borderId="15" xfId="0" applyNumberFormat="1" applyFont="1" applyBorder="1" applyAlignment="1">
      <alignment horizontal="center" vertical="center" wrapText="1"/>
    </xf>
    <xf numFmtId="0" fontId="75" fillId="0" borderId="0" xfId="39" applyFont="1"/>
    <xf numFmtId="0" fontId="67" fillId="0" borderId="0" xfId="39" applyFont="1" applyAlignment="1">
      <alignment wrapText="1"/>
    </xf>
    <xf numFmtId="0" fontId="110" fillId="0" borderId="0" xfId="39" applyFont="1" applyAlignment="1">
      <alignment wrapText="1"/>
    </xf>
    <xf numFmtId="0" fontId="111" fillId="0" borderId="0" xfId="39" applyFont="1" applyAlignment="1">
      <alignment wrapText="1"/>
    </xf>
    <xf numFmtId="0" fontId="75" fillId="0" borderId="0" xfId="39" applyFont="1" applyAlignment="1">
      <alignment wrapText="1"/>
    </xf>
    <xf numFmtId="0" fontId="114" fillId="0" borderId="0" xfId="39" applyFont="1" applyAlignment="1">
      <alignment wrapText="1"/>
    </xf>
    <xf numFmtId="4" fontId="112" fillId="28" borderId="24" xfId="39" applyNumberFormat="1" applyFont="1" applyFill="1" applyBorder="1" applyAlignment="1">
      <alignment horizontal="center" vertical="center" wrapText="1"/>
    </xf>
    <xf numFmtId="4" fontId="113" fillId="28" borderId="24" xfId="39" applyNumberFormat="1" applyFont="1" applyFill="1" applyBorder="1" applyAlignment="1">
      <alignment horizontal="center" vertical="center" wrapText="1"/>
    </xf>
    <xf numFmtId="0" fontId="75" fillId="0" borderId="0" xfId="39" applyFont="1" applyAlignment="1">
      <alignment vertical="center"/>
    </xf>
    <xf numFmtId="4" fontId="75" fillId="0" borderId="0" xfId="39" applyNumberFormat="1" applyFont="1"/>
    <xf numFmtId="0" fontId="107" fillId="0" borderId="0" xfId="0" applyFont="1" applyAlignment="1">
      <alignment horizontal="justify" vertical="center"/>
    </xf>
    <xf numFmtId="0" fontId="108" fillId="0" borderId="0" xfId="39" applyFont="1"/>
    <xf numFmtId="4" fontId="61" fillId="28" borderId="0" xfId="0" applyNumberFormat="1" applyFont="1" applyFill="1"/>
    <xf numFmtId="4" fontId="61" fillId="0" borderId="0" xfId="0" applyNumberFormat="1" applyFont="1"/>
    <xf numFmtId="0" fontId="75" fillId="28" borderId="24" xfId="0" applyFont="1" applyFill="1" applyBorder="1" applyAlignment="1">
      <alignment horizontal="center" vertical="center" wrapText="1"/>
    </xf>
    <xf numFmtId="0" fontId="75" fillId="28" borderId="24" xfId="0" applyFont="1" applyFill="1" applyBorder="1" applyAlignment="1">
      <alignment horizontal="left" vertical="center" wrapText="1"/>
    </xf>
    <xf numFmtId="4" fontId="75" fillId="28" borderId="24" xfId="0" applyNumberFormat="1" applyFont="1" applyFill="1" applyBorder="1" applyAlignment="1">
      <alignment horizontal="center" vertical="center" wrapText="1"/>
    </xf>
    <xf numFmtId="4" fontId="62" fillId="28" borderId="0" xfId="0" applyNumberFormat="1" applyFont="1" applyFill="1"/>
    <xf numFmtId="4" fontId="62" fillId="0" borderId="0" xfId="0" applyNumberFormat="1" applyFont="1"/>
    <xf numFmtId="0" fontId="75" fillId="0" borderId="0" xfId="0" applyFont="1"/>
    <xf numFmtId="0" fontId="64" fillId="0" borderId="0" xfId="0" applyFont="1"/>
    <xf numFmtId="49" fontId="60" fillId="0" borderId="15" xfId="0" applyNumberFormat="1" applyFont="1" applyBorder="1" applyAlignment="1">
      <alignment horizontal="center" vertical="center" wrapText="1"/>
    </xf>
    <xf numFmtId="49" fontId="64" fillId="28" borderId="0" xfId="0" applyNumberFormat="1" applyFont="1" applyFill="1" applyAlignment="1">
      <alignment horizontal="center" vertical="center" wrapText="1"/>
    </xf>
    <xf numFmtId="4" fontId="68"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4" fontId="65" fillId="0" borderId="15" xfId="38" applyNumberFormat="1" applyFont="1" applyFill="1" applyBorder="1" applyAlignment="1" applyProtection="1">
      <alignment horizontal="center" vertical="center" wrapText="1"/>
      <protection locked="0"/>
    </xf>
    <xf numFmtId="4" fontId="65" fillId="0" borderId="15" xfId="38" applyNumberFormat="1" applyFont="1" applyFill="1" applyBorder="1" applyAlignment="1">
      <alignment horizontal="center" vertical="center" wrapText="1"/>
    </xf>
    <xf numFmtId="4" fontId="68" fillId="0" borderId="15" xfId="38" applyNumberFormat="1" applyFont="1" applyFill="1" applyBorder="1" applyAlignment="1">
      <alignment horizontal="center" vertical="center" wrapText="1"/>
    </xf>
    <xf numFmtId="4" fontId="65" fillId="0" borderId="15" xfId="0" applyNumberFormat="1" applyFont="1" applyBorder="1" applyAlignment="1">
      <alignment horizontal="center" vertical="center"/>
    </xf>
    <xf numFmtId="0" fontId="109" fillId="28" borderId="0" xfId="0" applyFont="1" applyFill="1"/>
    <xf numFmtId="4" fontId="65" fillId="0" borderId="15" xfId="0" applyNumberFormat="1" applyFont="1" applyBorder="1" applyAlignment="1">
      <alignment horizontal="center" vertical="center" wrapText="1"/>
    </xf>
    <xf numFmtId="0" fontId="112" fillId="28" borderId="0" xfId="0" applyFont="1" applyFill="1"/>
    <xf numFmtId="49" fontId="63" fillId="0" borderId="15" xfId="0" applyNumberFormat="1" applyFont="1" applyBorder="1" applyAlignment="1">
      <alignment horizontal="center" vertical="center" wrapText="1"/>
    </xf>
    <xf numFmtId="4" fontId="80" fillId="0" borderId="15" xfId="0" applyNumberFormat="1" applyFont="1" applyBorder="1" applyAlignment="1">
      <alignment horizontal="center" vertical="center" wrapText="1"/>
    </xf>
    <xf numFmtId="0" fontId="113" fillId="28" borderId="0" xfId="0" applyFont="1" applyFill="1"/>
    <xf numFmtId="0" fontId="75" fillId="28" borderId="0" xfId="0" applyFont="1" applyFill="1"/>
    <xf numFmtId="49" fontId="89" fillId="0" borderId="15" xfId="0" applyNumberFormat="1" applyFont="1" applyBorder="1" applyAlignment="1">
      <alignment horizontal="center" vertical="center" wrapText="1"/>
    </xf>
    <xf numFmtId="4" fontId="115" fillId="0" borderId="15" xfId="0" applyNumberFormat="1" applyFont="1" applyBorder="1" applyAlignment="1">
      <alignment horizontal="center" vertical="center" wrapText="1"/>
    </xf>
    <xf numFmtId="4" fontId="116" fillId="28" borderId="0" xfId="0" applyNumberFormat="1" applyFont="1" applyFill="1" applyAlignment="1">
      <alignment horizontal="center" vertical="center"/>
    </xf>
    <xf numFmtId="4" fontId="71" fillId="28" borderId="0" xfId="0" applyNumberFormat="1" applyFont="1" applyFill="1"/>
    <xf numFmtId="49" fontId="89" fillId="28" borderId="15" xfId="0" applyNumberFormat="1" applyFont="1" applyFill="1" applyBorder="1" applyAlignment="1">
      <alignment horizontal="center" vertical="center" wrapText="1"/>
    </xf>
    <xf numFmtId="4" fontId="115" fillId="28" borderId="15" xfId="0" applyNumberFormat="1" applyFont="1" applyFill="1" applyBorder="1" applyAlignment="1">
      <alignment horizontal="center" vertical="center" wrapText="1"/>
    </xf>
    <xf numFmtId="49" fontId="60" fillId="28" borderId="15" xfId="0" applyNumberFormat="1" applyFont="1" applyFill="1" applyBorder="1" applyAlignment="1">
      <alignment horizontal="center" vertical="center" wrapText="1"/>
    </xf>
    <xf numFmtId="49" fontId="63" fillId="28" borderId="15" xfId="0" applyNumberFormat="1" applyFont="1" applyFill="1" applyBorder="1" applyAlignment="1">
      <alignment horizontal="center" vertical="center" wrapText="1"/>
    </xf>
    <xf numFmtId="4" fontId="80" fillId="28" borderId="15" xfId="0" applyNumberFormat="1" applyFont="1" applyFill="1" applyBorder="1" applyAlignment="1">
      <alignment horizontal="center" vertical="center" wrapText="1"/>
    </xf>
    <xf numFmtId="0" fontId="118" fillId="28" borderId="0" xfId="0" applyFont="1" applyFill="1"/>
    <xf numFmtId="4" fontId="65" fillId="28" borderId="0" xfId="0" applyNumberFormat="1" applyFont="1" applyFill="1" applyAlignment="1">
      <alignment horizontal="center" vertical="center" wrapText="1"/>
    </xf>
    <xf numFmtId="0" fontId="64" fillId="0" borderId="15" xfId="0" applyFont="1" applyBorder="1" applyAlignment="1">
      <alignment horizontal="center" vertical="center" wrapText="1"/>
    </xf>
    <xf numFmtId="4" fontId="68" fillId="0" borderId="15" xfId="38" applyNumberFormat="1" applyFont="1" applyFill="1" applyBorder="1" applyAlignment="1" applyProtection="1">
      <alignment horizontal="center" vertical="center" wrapText="1"/>
      <protection locked="0"/>
    </xf>
    <xf numFmtId="0" fontId="89" fillId="0" borderId="15" xfId="38" applyFont="1" applyFill="1" applyBorder="1" applyAlignment="1" applyProtection="1">
      <alignment horizontal="center" vertical="center" wrapText="1"/>
      <protection locked="0"/>
    </xf>
    <xf numFmtId="0" fontId="64" fillId="28" borderId="15" xfId="38" applyFont="1" applyFill="1" applyBorder="1" applyAlignment="1" applyProtection="1">
      <alignment horizontal="center" vertical="center" wrapText="1"/>
      <protection locked="0"/>
    </xf>
    <xf numFmtId="0" fontId="64" fillId="0" borderId="0" xfId="38" applyFont="1" applyFill="1" applyBorder="1" applyAlignment="1" applyProtection="1">
      <alignment horizontal="center" wrapText="1"/>
      <protection locked="0"/>
    </xf>
    <xf numFmtId="0" fontId="64" fillId="0" borderId="17" xfId="38" applyFont="1" applyFill="1" applyBorder="1" applyAlignment="1" applyProtection="1">
      <alignment horizontal="center" vertical="top" wrapText="1"/>
      <protection locked="0"/>
    </xf>
    <xf numFmtId="4" fontId="115" fillId="28" borderId="0" xfId="0" applyNumberFormat="1" applyFont="1" applyFill="1" applyAlignment="1">
      <alignment horizontal="center" vertical="center" wrapText="1"/>
    </xf>
    <xf numFmtId="4" fontId="115" fillId="0"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pplyProtection="1">
      <alignment horizontal="center" vertical="center" wrapText="1"/>
      <protection locked="0"/>
    </xf>
    <xf numFmtId="4" fontId="68" fillId="28" borderId="15" xfId="38" applyNumberFormat="1" applyFont="1" applyFill="1" applyBorder="1" applyAlignment="1" applyProtection="1">
      <alignment horizontal="center" vertical="center" wrapText="1"/>
      <protection locked="0"/>
    </xf>
    <xf numFmtId="4" fontId="65" fillId="28" borderId="15" xfId="38" applyNumberFormat="1" applyFont="1" applyFill="1" applyBorder="1" applyAlignment="1" applyProtection="1">
      <alignment horizontal="center" vertical="center" wrapText="1"/>
      <protection locked="0"/>
    </xf>
    <xf numFmtId="0" fontId="107" fillId="28" borderId="0" xfId="0" applyFont="1" applyFill="1"/>
    <xf numFmtId="0" fontId="64" fillId="28" borderId="0" xfId="38" applyFont="1" applyFill="1" applyBorder="1" applyAlignment="1" applyProtection="1">
      <alignment horizontal="center" wrapText="1"/>
      <protection locked="0"/>
    </xf>
    <xf numFmtId="0" fontId="64" fillId="28" borderId="17" xfId="38" applyFont="1" applyFill="1" applyBorder="1" applyAlignment="1" applyProtection="1">
      <alignment horizontal="center" vertical="top" wrapText="1"/>
      <protection locked="0"/>
    </xf>
    <xf numFmtId="4" fontId="63" fillId="0" borderId="15" xfId="38" applyNumberFormat="1" applyFont="1" applyFill="1" applyBorder="1" applyAlignment="1" applyProtection="1">
      <alignment horizontal="center" vertical="center" wrapText="1"/>
      <protection locked="0"/>
    </xf>
    <xf numFmtId="0" fontId="63" fillId="0" borderId="15" xfId="0" applyFont="1" applyBorder="1" applyAlignment="1">
      <alignment horizontal="center" vertical="center" wrapText="1"/>
    </xf>
    <xf numFmtId="0" fontId="89" fillId="0" borderId="15" xfId="0" applyFont="1" applyBorder="1" applyAlignment="1">
      <alignment horizontal="center" vertical="center" wrapText="1"/>
    </xf>
    <xf numFmtId="0" fontId="119" fillId="0" borderId="0" xfId="0" applyFont="1" applyAlignment="1">
      <alignment horizontal="left" vertical="center"/>
    </xf>
    <xf numFmtId="0" fontId="120" fillId="0" borderId="0" xfId="0" applyFont="1" applyAlignment="1">
      <alignment horizontal="left" vertical="center"/>
    </xf>
    <xf numFmtId="0" fontId="75" fillId="0" borderId="0" xfId="35" applyFont="1"/>
    <xf numFmtId="0" fontId="76" fillId="0" borderId="9" xfId="35" applyFont="1" applyBorder="1"/>
    <xf numFmtId="0" fontId="76" fillId="0" borderId="10" xfId="35" applyFont="1" applyBorder="1"/>
    <xf numFmtId="0" fontId="111" fillId="0" borderId="0" xfId="35" applyFont="1"/>
    <xf numFmtId="49" fontId="114" fillId="36" borderId="15" xfId="0" applyNumberFormat="1" applyFont="1" applyFill="1" applyBorder="1" applyAlignment="1">
      <alignment horizontal="center" vertical="center" wrapText="1"/>
    </xf>
    <xf numFmtId="0" fontId="114" fillId="36" borderId="15" xfId="38" applyFont="1" applyFill="1" applyBorder="1" applyAlignment="1" applyProtection="1">
      <alignment horizontal="center" vertical="center" wrapText="1"/>
      <protection locked="0"/>
    </xf>
    <xf numFmtId="4" fontId="114" fillId="36" borderId="15" xfId="0" applyNumberFormat="1" applyFont="1" applyFill="1" applyBorder="1" applyAlignment="1">
      <alignment horizontal="center" vertical="center" wrapText="1"/>
    </xf>
    <xf numFmtId="0" fontId="121" fillId="0" borderId="0" xfId="35" applyFont="1"/>
    <xf numFmtId="49" fontId="110" fillId="35" borderId="15" xfId="0" applyNumberFormat="1" applyFont="1" applyFill="1" applyBorder="1" applyAlignment="1">
      <alignment horizontal="center" vertical="center" wrapText="1"/>
    </xf>
    <xf numFmtId="0" fontId="110" fillId="35" borderId="15" xfId="38" applyFont="1" applyFill="1" applyBorder="1" applyAlignment="1" applyProtection="1">
      <alignment horizontal="center" vertical="center" wrapText="1"/>
      <protection locked="0"/>
    </xf>
    <xf numFmtId="4" fontId="110" fillId="35" borderId="15" xfId="0" applyNumberFormat="1" applyFont="1" applyFill="1" applyBorder="1" applyAlignment="1">
      <alignment horizontal="center" vertical="center" wrapText="1"/>
    </xf>
    <xf numFmtId="0" fontId="67" fillId="0" borderId="0" xfId="35" applyFont="1" applyAlignment="1">
      <alignment horizontal="center" vertical="center" wrapText="1"/>
    </xf>
    <xf numFmtId="4" fontId="110" fillId="0" borderId="0" xfId="35" applyNumberFormat="1" applyFont="1" applyAlignment="1">
      <alignment horizontal="center" vertical="center"/>
    </xf>
    <xf numFmtId="0" fontId="122" fillId="0" borderId="0" xfId="0" applyFont="1" applyAlignment="1">
      <alignment vertical="center"/>
    </xf>
    <xf numFmtId="4" fontId="123" fillId="0" borderId="0" xfId="0" applyNumberFormat="1" applyFont="1" applyAlignment="1">
      <alignment vertical="center"/>
    </xf>
    <xf numFmtId="4" fontId="124" fillId="0" borderId="0" xfId="0" applyNumberFormat="1" applyFont="1" applyAlignment="1">
      <alignment vertical="center"/>
    </xf>
    <xf numFmtId="0" fontId="124" fillId="0" borderId="0" xfId="0" applyFont="1" applyAlignment="1">
      <alignment vertical="center"/>
    </xf>
    <xf numFmtId="4" fontId="122" fillId="0" borderId="0" xfId="0" applyNumberFormat="1" applyFont="1" applyAlignment="1">
      <alignment vertical="center"/>
    </xf>
    <xf numFmtId="0" fontId="123" fillId="0" borderId="0" xfId="0" applyFont="1" applyAlignment="1">
      <alignment vertical="center"/>
    </xf>
    <xf numFmtId="0" fontId="125" fillId="0" borderId="0" xfId="35" applyFont="1"/>
    <xf numFmtId="0" fontId="65" fillId="0" borderId="0" xfId="35" applyFont="1"/>
    <xf numFmtId="0" fontId="126" fillId="0" borderId="0" xfId="35" applyFont="1"/>
    <xf numFmtId="0" fontId="84" fillId="0" borderId="0" xfId="0" applyFont="1" applyAlignment="1">
      <alignment vertical="center"/>
    </xf>
    <xf numFmtId="0" fontId="127" fillId="27" borderId="0" xfId="0" applyFont="1" applyFill="1"/>
    <xf numFmtId="0" fontId="61" fillId="27" borderId="0" xfId="0" applyFont="1" applyFill="1"/>
    <xf numFmtId="0" fontId="62" fillId="27" borderId="0" xfId="0" applyFont="1" applyFill="1"/>
    <xf numFmtId="4" fontId="64" fillId="0" borderId="15" xfId="0" applyNumberFormat="1" applyFont="1" applyBorder="1" applyAlignment="1">
      <alignment horizontal="center" vertical="center" wrapText="1"/>
    </xf>
    <xf numFmtId="0" fontId="128" fillId="27" borderId="0" xfId="0" applyFont="1" applyFill="1"/>
    <xf numFmtId="49" fontId="64" fillId="27" borderId="15" xfId="0" applyNumberFormat="1" applyFont="1" applyFill="1" applyBorder="1" applyAlignment="1">
      <alignment horizontal="center" vertical="center" wrapText="1"/>
    </xf>
    <xf numFmtId="4" fontId="64" fillId="27" borderId="15" xfId="0" applyNumberFormat="1" applyFont="1" applyFill="1" applyBorder="1" applyAlignment="1">
      <alignment horizontal="center" vertical="center" wrapText="1"/>
    </xf>
    <xf numFmtId="49" fontId="64" fillId="27" borderId="15" xfId="0" applyNumberFormat="1" applyFont="1" applyFill="1" applyBorder="1" applyAlignment="1">
      <alignment horizontal="left" vertical="center" wrapText="1"/>
    </xf>
    <xf numFmtId="0" fontId="64" fillId="0" borderId="0" xfId="39" applyFont="1"/>
    <xf numFmtId="0" fontId="64" fillId="0" borderId="0" xfId="0" applyFont="1" applyAlignment="1">
      <alignment horizontal="left" vertical="center"/>
    </xf>
    <xf numFmtId="0" fontId="71" fillId="27" borderId="0" xfId="0" applyFont="1" applyFill="1"/>
    <xf numFmtId="0" fontId="84" fillId="27" borderId="0" xfId="0" applyFont="1" applyFill="1" applyAlignment="1">
      <alignment vertical="center"/>
    </xf>
    <xf numFmtId="0" fontId="75" fillId="28" borderId="0" xfId="35" applyFont="1" applyFill="1"/>
    <xf numFmtId="49" fontId="114" fillId="30" borderId="15" xfId="0" applyNumberFormat="1" applyFont="1" applyFill="1" applyBorder="1" applyAlignment="1">
      <alignment horizontal="center" vertical="center" wrapText="1"/>
    </xf>
    <xf numFmtId="0" fontId="114" fillId="30" borderId="15" xfId="38" applyFont="1" applyFill="1" applyBorder="1" applyAlignment="1" applyProtection="1">
      <alignment horizontal="center" vertical="center" wrapText="1"/>
      <protection locked="0"/>
    </xf>
    <xf numFmtId="4" fontId="114" fillId="30" borderId="15" xfId="0" applyNumberFormat="1" applyFont="1" applyFill="1" applyBorder="1" applyAlignment="1">
      <alignment horizontal="center" vertical="center" wrapText="1"/>
    </xf>
    <xf numFmtId="49" fontId="110" fillId="31" borderId="15" xfId="0" applyNumberFormat="1" applyFont="1" applyFill="1" applyBorder="1" applyAlignment="1">
      <alignment horizontal="center" vertical="center" wrapText="1"/>
    </xf>
    <xf numFmtId="0" fontId="110" fillId="31" borderId="15" xfId="38" applyFont="1" applyFill="1" applyBorder="1" applyAlignment="1" applyProtection="1">
      <alignment horizontal="center" vertical="center" wrapText="1"/>
      <protection locked="0"/>
    </xf>
    <xf numFmtId="4" fontId="110" fillId="31" borderId="15" xfId="0" applyNumberFormat="1" applyFont="1" applyFill="1" applyBorder="1" applyAlignment="1">
      <alignment horizontal="center" vertical="center" wrapText="1"/>
    </xf>
    <xf numFmtId="49" fontId="67" fillId="28" borderId="15" xfId="0" applyNumberFormat="1" applyFont="1" applyFill="1" applyBorder="1" applyAlignment="1">
      <alignment horizontal="center" vertical="center" wrapText="1"/>
    </xf>
    <xf numFmtId="0" fontId="67" fillId="28" borderId="15" xfId="18" applyFont="1" applyFill="1" applyBorder="1" applyAlignment="1">
      <alignment horizontal="center" vertical="center" wrapText="1"/>
    </xf>
    <xf numFmtId="0" fontId="110" fillId="28" borderId="15" xfId="35" applyFont="1" applyFill="1" applyBorder="1" applyAlignment="1">
      <alignment horizontal="center" vertical="center" wrapText="1"/>
    </xf>
    <xf numFmtId="4" fontId="110" fillId="28" borderId="15" xfId="35" applyNumberFormat="1" applyFont="1" applyFill="1" applyBorder="1" applyAlignment="1">
      <alignment horizontal="center" vertical="center" wrapText="1"/>
    </xf>
    <xf numFmtId="4" fontId="67" fillId="28" borderId="15" xfId="0" applyNumberFormat="1" applyFont="1" applyFill="1" applyBorder="1" applyAlignment="1">
      <alignment horizontal="center" vertical="center" wrapText="1"/>
    </xf>
    <xf numFmtId="165" fontId="67" fillId="28" borderId="15" xfId="30" applyNumberFormat="1" applyFont="1" applyFill="1" applyBorder="1" applyAlignment="1">
      <alignment horizontal="center" vertical="center"/>
    </xf>
    <xf numFmtId="4" fontId="67" fillId="28" borderId="15" xfId="30" applyNumberFormat="1" applyFont="1" applyFill="1" applyBorder="1" applyAlignment="1">
      <alignment horizontal="center" vertical="center"/>
    </xf>
    <xf numFmtId="9" fontId="67" fillId="28" borderId="15" xfId="0" applyNumberFormat="1" applyFont="1" applyFill="1" applyBorder="1" applyAlignment="1">
      <alignment horizontal="center" vertical="center" wrapText="1"/>
    </xf>
    <xf numFmtId="9" fontId="114" fillId="36" borderId="15" xfId="0" applyNumberFormat="1" applyFont="1" applyFill="1" applyBorder="1" applyAlignment="1">
      <alignment horizontal="center" vertical="center" wrapText="1"/>
    </xf>
    <xf numFmtId="9" fontId="110" fillId="35" borderId="15" xfId="0" applyNumberFormat="1" applyFont="1" applyFill="1" applyBorder="1" applyAlignment="1">
      <alignment horizontal="center" vertical="center" wrapText="1"/>
    </xf>
    <xf numFmtId="49" fontId="67" fillId="0" borderId="15" xfId="0" applyNumberFormat="1" applyFont="1" applyBorder="1" applyAlignment="1">
      <alignment horizontal="center" vertical="center" wrapText="1"/>
    </xf>
    <xf numFmtId="165" fontId="67" fillId="0" borderId="15" xfId="30" applyNumberFormat="1" applyFont="1" applyBorder="1" applyAlignment="1">
      <alignment horizontal="center" vertical="center" wrapText="1"/>
    </xf>
    <xf numFmtId="165" fontId="67" fillId="0" borderId="15" xfId="30" applyNumberFormat="1" applyFont="1" applyBorder="1" applyAlignment="1">
      <alignment horizontal="center" vertical="center"/>
    </xf>
    <xf numFmtId="4" fontId="67" fillId="0" borderId="15" xfId="30" applyNumberFormat="1" applyFont="1" applyBorder="1" applyAlignment="1">
      <alignment horizontal="center" vertical="center"/>
    </xf>
    <xf numFmtId="4" fontId="67" fillId="0" borderId="15" xfId="0" applyNumberFormat="1" applyFont="1" applyBorder="1" applyAlignment="1">
      <alignment horizontal="center" vertical="center" wrapText="1"/>
    </xf>
    <xf numFmtId="9" fontId="67" fillId="0" borderId="15" xfId="0" applyNumberFormat="1" applyFont="1" applyBorder="1" applyAlignment="1">
      <alignment horizontal="center" vertical="center" wrapText="1"/>
    </xf>
    <xf numFmtId="0" fontId="129" fillId="28" borderId="0" xfId="35" applyFont="1" applyFill="1" applyAlignment="1">
      <alignment horizontal="left" vertical="center"/>
    </xf>
    <xf numFmtId="4" fontId="75" fillId="28" borderId="0" xfId="35" applyNumberFormat="1" applyFont="1" applyFill="1" applyAlignment="1">
      <alignment horizontal="left" vertical="center"/>
    </xf>
    <xf numFmtId="0" fontId="109" fillId="28" borderId="0" xfId="35" applyFont="1" applyFill="1" applyAlignment="1">
      <alignment horizontal="left" vertical="center"/>
    </xf>
    <xf numFmtId="0" fontId="67" fillId="0" borderId="15" xfId="100" applyFont="1" applyBorder="1" applyAlignment="1">
      <alignment horizontal="center" vertical="center" wrapText="1"/>
    </xf>
    <xf numFmtId="0" fontId="67" fillId="28" borderId="15" xfId="100" applyFont="1" applyFill="1" applyBorder="1" applyAlignment="1">
      <alignment horizontal="center" vertical="center" wrapText="1"/>
    </xf>
    <xf numFmtId="49" fontId="114" fillId="32" borderId="15" xfId="0" applyNumberFormat="1" applyFont="1" applyFill="1" applyBorder="1" applyAlignment="1">
      <alignment horizontal="center" vertical="center" wrapText="1"/>
    </xf>
    <xf numFmtId="0" fontId="114" fillId="32" borderId="15" xfId="38" applyFont="1" applyFill="1" applyBorder="1" applyAlignment="1" applyProtection="1">
      <alignment horizontal="center" vertical="center" wrapText="1"/>
      <protection locked="0"/>
    </xf>
    <xf numFmtId="4" fontId="114" fillId="32" borderId="15" xfId="0" applyNumberFormat="1" applyFont="1" applyFill="1" applyBorder="1" applyAlignment="1">
      <alignment horizontal="center" vertical="center" wrapText="1"/>
    </xf>
    <xf numFmtId="9" fontId="114" fillId="32" borderId="15" xfId="0" applyNumberFormat="1" applyFont="1" applyFill="1" applyBorder="1" applyAlignment="1">
      <alignment horizontal="center" vertical="center" wrapText="1"/>
    </xf>
    <xf numFmtId="49" fontId="110" fillId="33" borderId="15" xfId="0" applyNumberFormat="1" applyFont="1" applyFill="1" applyBorder="1" applyAlignment="1">
      <alignment horizontal="center" vertical="center" wrapText="1"/>
    </xf>
    <xf numFmtId="0" fontId="110" fillId="33" borderId="15" xfId="38" applyFont="1" applyFill="1" applyBorder="1" applyAlignment="1" applyProtection="1">
      <alignment horizontal="center" vertical="center" wrapText="1"/>
      <protection locked="0"/>
    </xf>
    <xf numFmtId="4" fontId="110" fillId="33" borderId="15" xfId="0" applyNumberFormat="1" applyFont="1" applyFill="1" applyBorder="1" applyAlignment="1">
      <alignment horizontal="center" vertical="center" wrapText="1"/>
    </xf>
    <xf numFmtId="9" fontId="110" fillId="33" borderId="15" xfId="0" applyNumberFormat="1" applyFont="1" applyFill="1" applyBorder="1" applyAlignment="1">
      <alignment horizontal="center" vertical="center" wrapText="1"/>
    </xf>
    <xf numFmtId="9" fontId="67" fillId="0" borderId="15" xfId="30" applyNumberFormat="1" applyFont="1" applyBorder="1" applyAlignment="1">
      <alignment horizontal="center" vertical="center"/>
    </xf>
    <xf numFmtId="0" fontId="67" fillId="0" borderId="15" xfId="18" applyFont="1" applyBorder="1" applyAlignment="1">
      <alignment horizontal="center" vertical="center" wrapText="1"/>
    </xf>
    <xf numFmtId="0" fontId="113" fillId="28" borderId="0" xfId="35" applyFont="1" applyFill="1"/>
    <xf numFmtId="0" fontId="131" fillId="28" borderId="0" xfId="35" applyFont="1" applyFill="1" applyAlignment="1">
      <alignment vertical="center"/>
    </xf>
    <xf numFmtId="0" fontId="67" fillId="0" borderId="15" xfId="0" applyFont="1" applyBorder="1" applyAlignment="1">
      <alignment horizontal="center" vertical="center" wrapText="1"/>
    </xf>
    <xf numFmtId="0" fontId="67" fillId="0" borderId="15" xfId="45" applyFont="1" applyBorder="1" applyAlignment="1">
      <alignment horizontal="center" vertical="center" wrapText="1"/>
    </xf>
    <xf numFmtId="4" fontId="107" fillId="28" borderId="0" xfId="35" applyNumberFormat="1" applyFont="1" applyFill="1" applyAlignment="1">
      <alignment horizontal="center" vertical="center"/>
    </xf>
    <xf numFmtId="0" fontId="107" fillId="0" borderId="0" xfId="35" applyFont="1"/>
    <xf numFmtId="0" fontId="75" fillId="6" borderId="0" xfId="35" applyFont="1" applyFill="1"/>
    <xf numFmtId="0" fontId="75" fillId="25" borderId="0" xfId="35" applyFont="1" applyFill="1"/>
    <xf numFmtId="0" fontId="113" fillId="0" borderId="0" xfId="35" applyFont="1"/>
    <xf numFmtId="0" fontId="75" fillId="26" borderId="0" xfId="35" applyFont="1" applyFill="1" applyAlignment="1">
      <alignment horizontal="center" vertical="center"/>
    </xf>
    <xf numFmtId="0" fontId="65" fillId="26" borderId="0" xfId="35" applyFont="1" applyFill="1" applyAlignment="1">
      <alignment horizontal="center" vertical="center"/>
    </xf>
    <xf numFmtId="4" fontId="80" fillId="29" borderId="14" xfId="0" applyNumberFormat="1" applyFont="1" applyFill="1" applyBorder="1" applyAlignment="1">
      <alignment horizontal="center" vertical="center" wrapText="1"/>
    </xf>
    <xf numFmtId="165" fontId="64" fillId="0" borderId="15" xfId="30" applyNumberFormat="1" applyFont="1" applyBorder="1" applyAlignment="1">
      <alignment horizontal="center" vertical="center" wrapText="1"/>
    </xf>
    <xf numFmtId="4" fontId="64" fillId="0" borderId="15" xfId="38" applyNumberFormat="1" applyFont="1" applyFill="1" applyBorder="1" applyAlignment="1" applyProtection="1">
      <alignment horizontal="center" vertical="center" wrapText="1"/>
      <protection locked="0"/>
    </xf>
    <xf numFmtId="4" fontId="80" fillId="29" borderId="0" xfId="0" applyNumberFormat="1" applyFont="1" applyFill="1" applyAlignment="1">
      <alignment horizontal="center" vertical="center" wrapText="1"/>
    </xf>
    <xf numFmtId="165" fontId="64" fillId="28" borderId="15" xfId="30" applyNumberFormat="1" applyFont="1" applyFill="1" applyBorder="1" applyAlignment="1">
      <alignment horizontal="center" vertical="center" wrapText="1"/>
    </xf>
    <xf numFmtId="4" fontId="64" fillId="28" borderId="15" xfId="38" applyNumberFormat="1" applyFont="1" applyFill="1" applyBorder="1" applyAlignment="1" applyProtection="1">
      <alignment horizontal="center" vertical="center" wrapText="1"/>
      <protection locked="0"/>
    </xf>
    <xf numFmtId="4" fontId="133" fillId="28" borderId="0" xfId="0" applyNumberFormat="1" applyFont="1" applyFill="1" applyAlignment="1">
      <alignment horizontal="center" vertical="center" wrapText="1"/>
    </xf>
    <xf numFmtId="4" fontId="80" fillId="29" borderId="8" xfId="0" applyNumberFormat="1" applyFont="1" applyFill="1" applyBorder="1" applyAlignment="1">
      <alignment horizontal="center" vertical="center" wrapText="1"/>
    </xf>
    <xf numFmtId="0" fontId="80" fillId="28" borderId="0" xfId="0" applyFont="1" applyFill="1" applyAlignment="1">
      <alignment horizontal="center" vertical="center"/>
    </xf>
    <xf numFmtId="0" fontId="64" fillId="28" borderId="15" xfId="0" applyFont="1" applyFill="1" applyBorder="1" applyAlignment="1">
      <alignment horizontal="center" vertical="center" wrapText="1"/>
    </xf>
    <xf numFmtId="165" fontId="64" fillId="28" borderId="0" xfId="30" applyNumberFormat="1" applyFont="1" applyFill="1" applyAlignment="1">
      <alignment horizontal="center" vertical="center" wrapText="1"/>
    </xf>
    <xf numFmtId="165" fontId="64" fillId="26" borderId="15" xfId="30" applyNumberFormat="1" applyFont="1" applyFill="1" applyBorder="1" applyAlignment="1">
      <alignment horizontal="center" vertical="center" wrapText="1"/>
    </xf>
    <xf numFmtId="4" fontId="64" fillId="26" borderId="15" xfId="0" applyNumberFormat="1" applyFont="1" applyFill="1" applyBorder="1" applyAlignment="1">
      <alignment horizontal="center" vertical="center" wrapText="1"/>
    </xf>
    <xf numFmtId="4" fontId="64" fillId="28" borderId="0" xfId="30" applyNumberFormat="1" applyFont="1" applyFill="1" applyAlignment="1">
      <alignment horizontal="center" vertical="center" wrapText="1"/>
    </xf>
    <xf numFmtId="4" fontId="134" fillId="0" borderId="15" xfId="0" applyNumberFormat="1" applyFont="1" applyBorder="1" applyAlignment="1">
      <alignment horizontal="center" vertical="center" wrapText="1"/>
    </xf>
    <xf numFmtId="4" fontId="64" fillId="0" borderId="16" xfId="0" applyNumberFormat="1" applyFont="1" applyBorder="1" applyAlignment="1">
      <alignment horizontal="center" vertical="center" wrapText="1"/>
    </xf>
    <xf numFmtId="4" fontId="134" fillId="28" borderId="15" xfId="0" applyNumberFormat="1" applyFont="1" applyFill="1" applyBorder="1" applyAlignment="1">
      <alignment horizontal="center" vertical="center" wrapText="1"/>
    </xf>
    <xf numFmtId="4" fontId="64" fillId="28" borderId="16" xfId="0" applyNumberFormat="1" applyFont="1" applyFill="1" applyBorder="1" applyAlignment="1">
      <alignment horizontal="center" vertical="center" wrapText="1"/>
    </xf>
    <xf numFmtId="4" fontId="63" fillId="28" borderId="0" xfId="38" applyNumberFormat="1" applyFont="1" applyFill="1" applyBorder="1" applyAlignment="1" applyProtection="1">
      <alignment horizontal="center" vertical="center" wrapText="1"/>
      <protection locked="0"/>
    </xf>
    <xf numFmtId="4" fontId="64" fillId="0" borderId="15" xfId="38" applyNumberFormat="1" applyFont="1" applyFill="1" applyBorder="1" applyAlignment="1">
      <alignment horizontal="center" vertical="center" wrapText="1"/>
    </xf>
    <xf numFmtId="4" fontId="64" fillId="28" borderId="15" xfId="38" applyNumberFormat="1" applyFont="1" applyFill="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35" fillId="28" borderId="0" xfId="0" applyFont="1" applyFill="1" applyAlignment="1">
      <alignment horizontal="center" vertical="center"/>
    </xf>
    <xf numFmtId="0" fontId="136" fillId="28" borderId="0" xfId="0" applyFont="1" applyFill="1"/>
    <xf numFmtId="4" fontId="60" fillId="0" borderId="0" xfId="36" applyNumberFormat="1" applyFont="1" applyFill="1" applyBorder="1" applyAlignment="1">
      <alignment horizontal="center" vertical="center" wrapText="1"/>
    </xf>
    <xf numFmtId="4" fontId="137" fillId="0" borderId="0" xfId="0" applyNumberFormat="1" applyFont="1" applyAlignment="1">
      <alignment vertical="center"/>
    </xf>
    <xf numFmtId="4" fontId="138" fillId="0" borderId="0" xfId="0" applyNumberFormat="1" applyFont="1" applyAlignment="1">
      <alignment vertical="center"/>
    </xf>
    <xf numFmtId="0" fontId="137" fillId="0" borderId="0" xfId="0" applyFont="1" applyAlignment="1">
      <alignment vertical="center"/>
    </xf>
    <xf numFmtId="4" fontId="139" fillId="0" borderId="0" xfId="0" applyNumberFormat="1" applyFont="1" applyAlignment="1">
      <alignment vertical="center"/>
    </xf>
    <xf numFmtId="4" fontId="84" fillId="0" borderId="0" xfId="0" applyNumberFormat="1" applyFont="1" applyAlignment="1">
      <alignment vertical="center"/>
    </xf>
    <xf numFmtId="0" fontId="139" fillId="0" borderId="0" xfId="0" applyFont="1" applyAlignment="1">
      <alignment vertical="center"/>
    </xf>
    <xf numFmtId="0" fontId="140" fillId="0" borderId="0" xfId="0" applyFont="1"/>
    <xf numFmtId="0" fontId="138" fillId="0" borderId="0" xfId="0" applyFont="1" applyAlignment="1">
      <alignment vertical="center"/>
    </xf>
    <xf numFmtId="2" fontId="78" fillId="0" borderId="0" xfId="36" applyNumberFormat="1" applyFont="1" applyAlignment="1">
      <alignment horizontal="center" vertical="top"/>
    </xf>
    <xf numFmtId="2" fontId="107" fillId="0" borderId="15" xfId="36" applyNumberFormat="1" applyFont="1" applyFill="1" applyBorder="1" applyAlignment="1">
      <alignment horizontal="center" vertical="center" wrapText="1"/>
    </xf>
    <xf numFmtId="0" fontId="66" fillId="0" borderId="0" xfId="0" applyFont="1" applyAlignment="1">
      <alignment horizontal="center" vertical="center"/>
    </xf>
    <xf numFmtId="2" fontId="66" fillId="0" borderId="0" xfId="36" applyNumberFormat="1" applyFont="1" applyFill="1" applyBorder="1" applyAlignment="1">
      <alignment horizontal="left" vertical="center" wrapText="1"/>
    </xf>
    <xf numFmtId="0" fontId="61" fillId="0" borderId="0" xfId="0" applyFont="1" applyAlignment="1">
      <alignment horizontal="left"/>
    </xf>
    <xf numFmtId="4" fontId="66" fillId="0" borderId="0" xfId="36" applyNumberFormat="1" applyFont="1" applyFill="1" applyBorder="1" applyAlignment="1">
      <alignment horizontal="center" vertical="center" wrapText="1"/>
    </xf>
    <xf numFmtId="2" fontId="78" fillId="0" borderId="0" xfId="36" applyNumberFormat="1" applyFont="1" applyFill="1" applyAlignment="1">
      <alignment horizontal="center" vertical="top"/>
    </xf>
    <xf numFmtId="0" fontId="132" fillId="0" borderId="0" xfId="36" applyFont="1">
      <alignment vertical="top"/>
    </xf>
    <xf numFmtId="2" fontId="132" fillId="0" borderId="0" xfId="36" applyNumberFormat="1" applyFont="1">
      <alignment vertical="top"/>
    </xf>
    <xf numFmtId="0" fontId="141" fillId="0" borderId="0" xfId="36" applyFont="1" applyAlignment="1">
      <alignment horizontal="center" vertical="top" wrapText="1"/>
    </xf>
    <xf numFmtId="2" fontId="141" fillId="0" borderId="0" xfId="36" applyNumberFormat="1" applyFont="1" applyAlignment="1">
      <alignment horizontal="center" vertical="top" wrapText="1"/>
    </xf>
    <xf numFmtId="166" fontId="107" fillId="0" borderId="0" xfId="36" applyNumberFormat="1" applyFont="1" applyAlignment="1">
      <alignment horizontal="center" vertical="top"/>
    </xf>
    <xf numFmtId="0" fontId="142" fillId="0" borderId="0" xfId="38" applyFont="1" applyAlignment="1" applyProtection="1">
      <alignment horizontal="left" vertical="center" wrapText="1"/>
      <protection locked="0"/>
    </xf>
    <xf numFmtId="0" fontId="141" fillId="0" borderId="0" xfId="36" applyFont="1" applyAlignment="1">
      <alignment horizontal="left" vertical="top" wrapText="1"/>
    </xf>
    <xf numFmtId="0" fontId="126" fillId="0" borderId="0" xfId="36" applyFont="1">
      <alignment vertical="top"/>
    </xf>
    <xf numFmtId="0" fontId="108" fillId="0" borderId="0" xfId="0" applyFont="1"/>
    <xf numFmtId="0" fontId="126" fillId="0" borderId="0" xfId="0" applyFont="1"/>
    <xf numFmtId="0" fontId="38" fillId="0" borderId="0" xfId="36" applyFont="1">
      <alignment vertical="top"/>
    </xf>
    <xf numFmtId="0" fontId="143" fillId="0" borderId="0" xfId="36" applyFont="1">
      <alignment vertical="top"/>
    </xf>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vertical="top"/>
    </xf>
    <xf numFmtId="49" fontId="29" fillId="0" borderId="15" xfId="0" applyNumberFormat="1" applyFont="1" applyBorder="1" applyAlignment="1">
      <alignment horizontal="center" vertical="center" wrapText="1"/>
    </xf>
    <xf numFmtId="4" fontId="31" fillId="0" borderId="15" xfId="38" applyNumberFormat="1" applyFont="1" applyFill="1" applyBorder="1" applyAlignment="1" applyProtection="1">
      <alignment horizontal="center" vertical="center" wrapText="1"/>
      <protection locked="0"/>
    </xf>
    <xf numFmtId="49" fontId="69" fillId="0" borderId="15" xfId="0" applyNumberFormat="1" applyFont="1" applyBorder="1" applyAlignment="1">
      <alignment horizontal="center" vertical="center" wrapText="1"/>
    </xf>
    <xf numFmtId="4" fontId="82" fillId="0" borderId="15" xfId="38" applyNumberFormat="1" applyFont="1" applyFill="1" applyBorder="1" applyAlignment="1" applyProtection="1">
      <alignment horizontal="center" vertical="center" wrapText="1"/>
      <protection locked="0"/>
    </xf>
    <xf numFmtId="4" fontId="82" fillId="0" borderId="15" xfId="0" applyNumberFormat="1" applyFont="1" applyBorder="1" applyAlignment="1">
      <alignment horizontal="center" vertical="center" wrapText="1"/>
    </xf>
    <xf numFmtId="0" fontId="30" fillId="0" borderId="0" xfId="0" applyFont="1" applyAlignment="1">
      <alignment horizontal="right" vertical="center"/>
    </xf>
    <xf numFmtId="0" fontId="29" fillId="0" borderId="15" xfId="0" applyFont="1" applyBorder="1" applyAlignment="1">
      <alignment horizontal="center" vertical="top" wrapText="1"/>
    </xf>
    <xf numFmtId="4" fontId="30" fillId="0" borderId="15" xfId="0" applyNumberFormat="1" applyFont="1" applyBorder="1" applyAlignment="1">
      <alignment horizontal="center" vertical="center" wrapText="1"/>
    </xf>
    <xf numFmtId="0" fontId="33" fillId="0" borderId="0" xfId="0" applyFont="1"/>
    <xf numFmtId="0" fontId="30" fillId="0" borderId="15" xfId="0" applyFont="1" applyBorder="1" applyAlignment="1">
      <alignment horizontal="center" vertical="top" wrapText="1"/>
    </xf>
    <xf numFmtId="165" fontId="30" fillId="0" borderId="15" xfId="30" applyNumberFormat="1" applyFont="1" applyBorder="1" applyAlignment="1">
      <alignment horizontal="center" vertical="center" wrapText="1"/>
    </xf>
    <xf numFmtId="4" fontId="30" fillId="0" borderId="15" xfId="38" applyNumberFormat="1" applyFont="1" applyFill="1" applyBorder="1" applyAlignment="1" applyProtection="1">
      <alignment horizontal="center" vertical="center" wrapText="1"/>
      <protection locked="0"/>
    </xf>
    <xf numFmtId="0" fontId="147" fillId="0" borderId="0" xfId="0" applyFont="1"/>
    <xf numFmtId="0" fontId="148" fillId="0" borderId="0" xfId="0" applyFont="1" applyAlignment="1">
      <alignment horizontal="center" vertical="center" wrapText="1"/>
    </xf>
    <xf numFmtId="4" fontId="86" fillId="0" borderId="15" xfId="0" applyNumberFormat="1" applyFont="1" applyBorder="1" applyAlignment="1">
      <alignment horizontal="center" vertical="center" wrapText="1"/>
    </xf>
    <xf numFmtId="4" fontId="32" fillId="0" borderId="15" xfId="38" applyNumberFormat="1" applyFont="1" applyFill="1" applyBorder="1" applyAlignment="1" applyProtection="1">
      <alignment horizontal="center" vertical="center" wrapText="1"/>
      <protection locked="0"/>
    </xf>
    <xf numFmtId="4" fontId="30" fillId="0" borderId="16"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49" fontId="150" fillId="0" borderId="15" xfId="0" applyNumberFormat="1" applyFont="1" applyBorder="1" applyAlignment="1">
      <alignment horizontal="center" vertical="center" wrapText="1"/>
    </xf>
    <xf numFmtId="0" fontId="30" fillId="0" borderId="15" xfId="0" applyFont="1" applyBorder="1" applyAlignment="1">
      <alignment horizontal="center" vertical="center" wrapText="1"/>
    </xf>
    <xf numFmtId="49" fontId="149" fillId="0" borderId="15" xfId="0" applyNumberFormat="1" applyFont="1" applyBorder="1" applyAlignment="1">
      <alignment horizontal="center" vertical="center" wrapText="1"/>
    </xf>
    <xf numFmtId="0" fontId="12" fillId="0" borderId="0" xfId="35" applyAlignment="1">
      <alignment horizontal="center" vertical="center"/>
    </xf>
    <xf numFmtId="0" fontId="149" fillId="0" borderId="0" xfId="35" applyFont="1" applyAlignment="1">
      <alignment horizontal="center" vertical="center" wrapText="1"/>
    </xf>
    <xf numFmtId="0" fontId="148" fillId="0" borderId="0" xfId="35" applyFont="1" applyAlignment="1">
      <alignment horizontal="center" vertical="center" wrapText="1"/>
    </xf>
    <xf numFmtId="0" fontId="149" fillId="0" borderId="15" xfId="0" applyFont="1" applyBorder="1" applyAlignment="1">
      <alignment horizontal="center" vertical="center" wrapText="1"/>
    </xf>
    <xf numFmtId="0" fontId="149" fillId="0" borderId="15" xfId="35" applyFont="1" applyBorder="1" applyAlignment="1">
      <alignment horizontal="center" vertical="center" wrapText="1"/>
    </xf>
    <xf numFmtId="0" fontId="149" fillId="0" borderId="15" xfId="18" applyFont="1" applyBorder="1" applyAlignment="1">
      <alignment horizontal="center" vertical="center" wrapText="1"/>
    </xf>
    <xf numFmtId="165" fontId="149" fillId="0" borderId="15" xfId="30" applyNumberFormat="1" applyFont="1" applyBorder="1" applyAlignment="1">
      <alignment horizontal="center" vertical="center"/>
    </xf>
    <xf numFmtId="4" fontId="149" fillId="0" borderId="15" xfId="30" applyNumberFormat="1" applyFont="1" applyBorder="1" applyAlignment="1">
      <alignment horizontal="center" vertical="center"/>
    </xf>
    <xf numFmtId="0" fontId="12" fillId="0" borderId="0" xfId="35"/>
    <xf numFmtId="4" fontId="149" fillId="0" borderId="15" xfId="0" applyNumberFormat="1" applyFont="1" applyBorder="1" applyAlignment="1">
      <alignment horizontal="center" vertical="center" wrapText="1"/>
    </xf>
    <xf numFmtId="9" fontId="149" fillId="0" borderId="15"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0" fontId="149" fillId="0" borderId="0" xfId="39" applyFont="1"/>
    <xf numFmtId="0" fontId="154" fillId="0" borderId="0" xfId="0" applyFont="1"/>
    <xf numFmtId="0" fontId="149" fillId="0" borderId="0" xfId="0" applyFont="1" applyAlignment="1">
      <alignment horizontal="left" vertical="center"/>
    </xf>
    <xf numFmtId="0" fontId="29" fillId="0" borderId="15" xfId="38" applyFont="1" applyFill="1" applyBorder="1" applyAlignment="1" applyProtection="1">
      <alignment horizontal="center" vertical="center" wrapText="1"/>
      <protection locked="0"/>
    </xf>
    <xf numFmtId="4" fontId="30" fillId="0" borderId="16" xfId="38" applyNumberFormat="1" applyFont="1" applyFill="1" applyBorder="1" applyAlignment="1" applyProtection="1">
      <alignment horizontal="center" vertical="center" wrapText="1"/>
      <protection locked="0"/>
    </xf>
    <xf numFmtId="0" fontId="146" fillId="28" borderId="0" xfId="35" applyFont="1" applyFill="1" applyAlignment="1">
      <alignment horizontal="center" vertical="center"/>
    </xf>
    <xf numFmtId="4" fontId="156" fillId="28" borderId="0" xfId="35" applyNumberFormat="1" applyFont="1" applyFill="1"/>
    <xf numFmtId="0" fontId="149" fillId="0" borderId="0" xfId="0" applyFont="1"/>
    <xf numFmtId="0" fontId="16" fillId="0" borderId="0" xfId="0" applyFont="1"/>
    <xf numFmtId="0" fontId="55" fillId="0" borderId="0" xfId="0" applyFont="1" applyAlignment="1">
      <alignment vertical="center"/>
    </xf>
    <xf numFmtId="4" fontId="55" fillId="0" borderId="0" xfId="0" applyNumberFormat="1" applyFont="1" applyAlignment="1">
      <alignment vertical="center"/>
    </xf>
    <xf numFmtId="4" fontId="37" fillId="0" borderId="0" xfId="0" applyNumberFormat="1" applyFont="1" applyAlignment="1">
      <alignment vertical="center"/>
    </xf>
    <xf numFmtId="0" fontId="69" fillId="0" borderId="17" xfId="38" applyFont="1" applyFill="1" applyBorder="1" applyAlignment="1" applyProtection="1">
      <alignment horizontal="center" vertical="center" wrapText="1"/>
      <protection locked="0"/>
    </xf>
    <xf numFmtId="4" fontId="109" fillId="0" borderId="24" xfId="0" applyNumberFormat="1" applyFont="1" applyBorder="1" applyAlignment="1">
      <alignment horizontal="center" vertical="center" wrapText="1"/>
    </xf>
    <xf numFmtId="4" fontId="75" fillId="0" borderId="24" xfId="0" applyNumberFormat="1" applyFont="1" applyBorder="1" applyAlignment="1">
      <alignment horizontal="center" vertical="center" wrapText="1"/>
    </xf>
    <xf numFmtId="4" fontId="75" fillId="28" borderId="0" xfId="35" applyNumberFormat="1" applyFont="1" applyFill="1"/>
    <xf numFmtId="0" fontId="159" fillId="0" borderId="0" xfId="0" applyFont="1" applyAlignment="1">
      <alignment horizontal="left" vertical="center"/>
    </xf>
    <xf numFmtId="0" fontId="30" fillId="0" borderId="0" xfId="39" applyFont="1" applyAlignment="1">
      <alignment vertical="center"/>
    </xf>
    <xf numFmtId="4" fontId="129" fillId="27" borderId="15" xfId="0" applyNumberFormat="1"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wrapText="1"/>
    </xf>
    <xf numFmtId="0" fontId="16" fillId="0" borderId="0" xfId="0" applyFont="1" applyAlignment="1">
      <alignment horizontal="justify" vertical="center"/>
    </xf>
    <xf numFmtId="0" fontId="16" fillId="0" borderId="0" xfId="0" applyFont="1" applyAlignment="1">
      <alignment horizontal="left" vertical="center"/>
    </xf>
    <xf numFmtId="0" fontId="91" fillId="0" borderId="0" xfId="0" applyFont="1" applyAlignment="1">
      <alignment horizontal="justify" vertical="center"/>
    </xf>
    <xf numFmtId="0" fontId="160" fillId="0" borderId="0" xfId="0" applyFont="1" applyAlignment="1">
      <alignment horizontal="left" vertical="center"/>
    </xf>
    <xf numFmtId="49" fontId="64" fillId="0" borderId="16" xfId="0" applyNumberFormat="1" applyFont="1" applyBorder="1" applyAlignment="1">
      <alignment horizontal="center" vertical="center" wrapText="1"/>
    </xf>
    <xf numFmtId="0" fontId="109" fillId="0" borderId="24" xfId="39" applyFont="1" applyBorder="1" applyAlignment="1">
      <alignment horizontal="center" vertical="center" wrapText="1"/>
    </xf>
    <xf numFmtId="4" fontId="109" fillId="0" borderId="24" xfId="39" applyNumberFormat="1" applyFont="1" applyBorder="1" applyAlignment="1">
      <alignment horizontal="center" vertical="center" wrapText="1"/>
    </xf>
    <xf numFmtId="4" fontId="112" fillId="0" borderId="24" xfId="39" applyNumberFormat="1" applyFont="1" applyBorder="1" applyAlignment="1">
      <alignment horizontal="center" vertical="center" wrapText="1"/>
    </xf>
    <xf numFmtId="0" fontId="75" fillId="0" borderId="24" xfId="39" applyFont="1" applyBorder="1" applyAlignment="1">
      <alignment horizontal="center" vertical="center" wrapText="1"/>
    </xf>
    <xf numFmtId="0" fontId="75" fillId="0" borderId="24" xfId="39" applyFont="1" applyBorder="1" applyAlignment="1">
      <alignment vertical="center" wrapText="1"/>
    </xf>
    <xf numFmtId="4" fontId="75" fillId="0" borderId="24" xfId="39" applyNumberFormat="1" applyFont="1" applyBorder="1" applyAlignment="1">
      <alignment horizontal="center" vertical="center" wrapText="1"/>
    </xf>
    <xf numFmtId="0" fontId="75" fillId="0" borderId="24" xfId="37" applyFont="1" applyBorder="1" applyAlignment="1">
      <alignment horizontal="justify" vertical="center" wrapText="1"/>
    </xf>
    <xf numFmtId="0" fontId="109" fillId="0" borderId="24" xfId="37" applyFont="1" applyBorder="1" applyAlignment="1">
      <alignment horizontal="center" vertical="center" wrapText="1"/>
    </xf>
    <xf numFmtId="4" fontId="113" fillId="0" borderId="24" xfId="39" applyNumberFormat="1" applyFont="1" applyBorder="1" applyAlignment="1">
      <alignment horizontal="center" vertical="center" wrapText="1"/>
    </xf>
    <xf numFmtId="0" fontId="75" fillId="28" borderId="24" xfId="39" applyFont="1" applyFill="1" applyBorder="1" applyAlignment="1">
      <alignment horizontal="center" vertical="center" wrapText="1"/>
    </xf>
    <xf numFmtId="0" fontId="75" fillId="28" borderId="24" xfId="39" applyFont="1" applyFill="1" applyBorder="1" applyAlignment="1">
      <alignment vertical="center" wrapText="1"/>
    </xf>
    <xf numFmtId="4" fontId="109" fillId="28" borderId="24" xfId="39" applyNumberFormat="1" applyFont="1" applyFill="1" applyBorder="1" applyAlignment="1">
      <alignment horizontal="center" vertical="center" wrapText="1"/>
    </xf>
    <xf numFmtId="4" fontId="75" fillId="28" borderId="24" xfId="39" applyNumberFormat="1" applyFont="1" applyFill="1" applyBorder="1" applyAlignment="1">
      <alignment horizontal="center" vertical="center" wrapText="1"/>
    </xf>
    <xf numFmtId="0" fontId="113" fillId="28" borderId="24" xfId="39" applyFont="1" applyFill="1" applyBorder="1" applyAlignment="1">
      <alignment vertical="center" wrapText="1"/>
    </xf>
    <xf numFmtId="0" fontId="107" fillId="0" borderId="0" xfId="0" applyFont="1" applyAlignment="1">
      <alignment horizontal="left" vertical="center"/>
    </xf>
    <xf numFmtId="0" fontId="107" fillId="0" borderId="0" xfId="39" applyFont="1"/>
    <xf numFmtId="4" fontId="109" fillId="28" borderId="0" xfId="0" applyNumberFormat="1" applyFont="1" applyFill="1"/>
    <xf numFmtId="4" fontId="112" fillId="0" borderId="24" xfId="0" applyNumberFormat="1" applyFont="1" applyBorder="1" applyAlignment="1">
      <alignment horizontal="center" vertical="center" wrapText="1"/>
    </xf>
    <xf numFmtId="0" fontId="75" fillId="0" borderId="24" xfId="0" applyFont="1" applyBorder="1" applyAlignment="1">
      <alignment horizontal="center" vertical="center" wrapText="1"/>
    </xf>
    <xf numFmtId="0" fontId="75" fillId="0" borderId="24" xfId="0" applyFont="1" applyBorder="1" applyAlignment="1">
      <alignment horizontal="left" vertical="center" wrapText="1"/>
    </xf>
    <xf numFmtId="0" fontId="113" fillId="0" borderId="24" xfId="0" applyFont="1" applyBorder="1" applyAlignment="1">
      <alignment horizontal="center" vertical="center" wrapText="1"/>
    </xf>
    <xf numFmtId="4" fontId="113" fillId="0" borderId="24" xfId="0" applyNumberFormat="1" applyFont="1" applyBorder="1" applyAlignment="1">
      <alignment horizontal="left" vertical="center" wrapText="1"/>
    </xf>
    <xf numFmtId="4" fontId="113" fillId="0" borderId="24" xfId="0" applyNumberFormat="1" applyFont="1" applyBorder="1" applyAlignment="1">
      <alignment horizontal="center" vertical="center" wrapText="1"/>
    </xf>
    <xf numFmtId="0" fontId="112" fillId="28" borderId="24" xfId="0" applyFont="1" applyFill="1" applyBorder="1" applyAlignment="1">
      <alignment horizontal="center" vertical="center" wrapText="1"/>
    </xf>
    <xf numFmtId="0" fontId="112" fillId="28" borderId="24" xfId="0" applyFont="1" applyFill="1" applyBorder="1" applyAlignment="1">
      <alignment horizontal="left" vertical="center" wrapText="1"/>
    </xf>
    <xf numFmtId="4" fontId="112" fillId="28" borderId="24" xfId="0" applyNumberFormat="1" applyFont="1" applyFill="1" applyBorder="1" applyAlignment="1">
      <alignment horizontal="center" vertical="center" wrapText="1"/>
    </xf>
    <xf numFmtId="0" fontId="113" fillId="0" borderId="24" xfId="0" applyFont="1" applyBorder="1" applyAlignment="1">
      <alignment horizontal="left" vertical="center" wrapText="1"/>
    </xf>
    <xf numFmtId="0" fontId="60" fillId="0" borderId="0" xfId="0" applyFont="1" applyAlignment="1">
      <alignment horizontal="center" vertical="center"/>
    </xf>
    <xf numFmtId="0" fontId="64" fillId="0" borderId="0" xfId="0" applyFont="1" applyAlignment="1">
      <alignment horizontal="center" vertical="center"/>
    </xf>
    <xf numFmtId="0" fontId="64" fillId="0" borderId="16" xfId="38" applyFont="1" applyFill="1" applyBorder="1" applyAlignment="1" applyProtection="1">
      <alignment horizontal="center" wrapText="1"/>
      <protection locked="0"/>
    </xf>
    <xf numFmtId="0" fontId="64" fillId="0" borderId="0" xfId="38" applyFont="1" applyFill="1" applyBorder="1" applyAlignment="1" applyProtection="1">
      <alignment horizontal="center" vertical="top" wrapText="1"/>
      <protection locked="0"/>
    </xf>
    <xf numFmtId="0" fontId="64" fillId="0" borderId="15" xfId="38" applyFont="1" applyFill="1" applyBorder="1" applyAlignment="1" applyProtection="1">
      <alignment horizontal="center" vertical="center" wrapText="1"/>
      <protection locked="0"/>
    </xf>
    <xf numFmtId="49" fontId="64" fillId="0" borderId="16" xfId="0" applyNumberFormat="1" applyFont="1" applyBorder="1" applyAlignment="1">
      <alignment horizontal="center" wrapText="1"/>
    </xf>
    <xf numFmtId="49" fontId="64" fillId="0" borderId="0" xfId="0" applyNumberFormat="1" applyFont="1" applyAlignment="1">
      <alignment horizontal="center" vertical="center" wrapText="1"/>
    </xf>
    <xf numFmtId="49" fontId="64" fillId="0" borderId="17" xfId="0" applyNumberFormat="1" applyFont="1" applyBorder="1" applyAlignment="1">
      <alignment horizontal="center" vertical="top" wrapText="1"/>
    </xf>
    <xf numFmtId="49" fontId="64" fillId="28" borderId="16" xfId="0" applyNumberFormat="1" applyFont="1" applyFill="1" applyBorder="1" applyAlignment="1">
      <alignment horizontal="center" wrapText="1"/>
    </xf>
    <xf numFmtId="49" fontId="64" fillId="28" borderId="17" xfId="0" applyNumberFormat="1" applyFont="1" applyFill="1" applyBorder="1" applyAlignment="1">
      <alignment horizontal="center" vertical="top" wrapText="1"/>
    </xf>
    <xf numFmtId="0" fontId="60" fillId="0" borderId="15" xfId="38" applyFont="1" applyFill="1" applyBorder="1" applyAlignment="1" applyProtection="1">
      <alignment horizontal="center" vertical="center" wrapText="1"/>
      <protection locked="0"/>
    </xf>
    <xf numFmtId="49" fontId="89" fillId="0" borderId="15" xfId="0" applyNumberFormat="1" applyFont="1" applyBorder="1" applyAlignment="1">
      <alignment horizontal="center" vertical="center"/>
    </xf>
    <xf numFmtId="49" fontId="64" fillId="0" borderId="15" xfId="0" applyNumberFormat="1" applyFont="1" applyBorder="1" applyAlignment="1">
      <alignment horizontal="center" vertical="center"/>
    </xf>
    <xf numFmtId="49" fontId="114" fillId="38" borderId="15" xfId="0" applyNumberFormat="1" applyFont="1" applyFill="1" applyBorder="1" applyAlignment="1">
      <alignment horizontal="center" vertical="center" wrapText="1"/>
    </xf>
    <xf numFmtId="0" fontId="114" fillId="38" borderId="15" xfId="38" applyFont="1" applyFill="1" applyBorder="1" applyAlignment="1" applyProtection="1">
      <alignment horizontal="center" vertical="center" wrapText="1"/>
      <protection locked="0"/>
    </xf>
    <xf numFmtId="4" fontId="114" fillId="38" borderId="15" xfId="0" applyNumberFormat="1" applyFont="1" applyFill="1" applyBorder="1" applyAlignment="1">
      <alignment horizontal="center" vertical="center" wrapText="1"/>
    </xf>
    <xf numFmtId="4" fontId="114" fillId="38" borderId="15" xfId="38" applyNumberFormat="1" applyFont="1" applyFill="1" applyBorder="1" applyAlignment="1" applyProtection="1">
      <alignment horizontal="center" vertical="center" wrapText="1"/>
      <protection locked="0"/>
    </xf>
    <xf numFmtId="49" fontId="110" fillId="39" borderId="15" xfId="0" applyNumberFormat="1" applyFont="1" applyFill="1" applyBorder="1" applyAlignment="1">
      <alignment horizontal="center" vertical="center" wrapText="1"/>
    </xf>
    <xf numFmtId="0" fontId="110" fillId="39" borderId="15" xfId="38" applyFont="1" applyFill="1" applyBorder="1" applyAlignment="1" applyProtection="1">
      <alignment horizontal="center" vertical="center" wrapText="1"/>
      <protection locked="0"/>
    </xf>
    <xf numFmtId="4" fontId="110" fillId="39" borderId="15" xfId="38" applyNumberFormat="1" applyFont="1" applyFill="1" applyBorder="1" applyAlignment="1" applyProtection="1">
      <alignment horizontal="center" vertical="center" wrapText="1"/>
      <protection locked="0"/>
    </xf>
    <xf numFmtId="4" fontId="110" fillId="39" borderId="15" xfId="0" applyNumberFormat="1" applyFont="1" applyFill="1" applyBorder="1" applyAlignment="1">
      <alignment horizontal="center" vertical="center" wrapText="1"/>
    </xf>
    <xf numFmtId="49" fontId="110" fillId="0" borderId="15" xfId="0" applyNumberFormat="1" applyFont="1" applyBorder="1" applyAlignment="1">
      <alignment horizontal="center" vertical="center" wrapText="1"/>
    </xf>
    <xf numFmtId="0" fontId="110" fillId="0" borderId="15" xfId="38" applyFont="1" applyFill="1" applyBorder="1" applyAlignment="1" applyProtection="1">
      <alignment horizontal="center" vertical="center" wrapText="1"/>
      <protection locked="0"/>
    </xf>
    <xf numFmtId="4" fontId="110" fillId="0" borderId="15" xfId="0" applyNumberFormat="1" applyFont="1" applyBorder="1" applyAlignment="1">
      <alignment horizontal="center" vertical="center" wrapText="1"/>
    </xf>
    <xf numFmtId="49" fontId="114" fillId="0" borderId="15" xfId="0" applyNumberFormat="1" applyFont="1" applyBorder="1" applyAlignment="1">
      <alignment horizontal="center" vertical="center" wrapText="1"/>
    </xf>
    <xf numFmtId="0" fontId="114" fillId="0" borderId="15" xfId="38" applyFont="1" applyFill="1" applyBorder="1" applyAlignment="1" applyProtection="1">
      <alignment horizontal="center" vertical="center" wrapText="1"/>
      <protection locked="0"/>
    </xf>
    <xf numFmtId="4" fontId="114" fillId="0" borderId="15" xfId="0" applyNumberFormat="1" applyFont="1" applyBorder="1" applyAlignment="1">
      <alignment horizontal="center" vertical="center" wrapText="1"/>
    </xf>
    <xf numFmtId="49" fontId="67" fillId="0" borderId="15" xfId="35" applyNumberFormat="1" applyFont="1" applyBorder="1" applyAlignment="1">
      <alignment horizontal="center" vertical="center" wrapText="1"/>
    </xf>
    <xf numFmtId="49" fontId="158" fillId="0" borderId="15" xfId="0" applyNumberFormat="1" applyFont="1" applyBorder="1" applyAlignment="1">
      <alignment horizontal="center" vertical="center" wrapText="1"/>
    </xf>
    <xf numFmtId="0" fontId="158" fillId="0" borderId="15" xfId="38" applyFont="1" applyFill="1" applyBorder="1" applyAlignment="1" applyProtection="1">
      <alignment horizontal="center" vertical="center" wrapText="1"/>
      <protection locked="0"/>
    </xf>
    <xf numFmtId="4" fontId="158" fillId="0" borderId="15" xfId="0" applyNumberFormat="1" applyFont="1" applyBorder="1" applyAlignment="1">
      <alignment horizontal="center" vertical="center" wrapText="1"/>
    </xf>
    <xf numFmtId="0" fontId="67" fillId="0" borderId="15" xfId="35" applyFont="1" applyBorder="1" applyAlignment="1">
      <alignment horizontal="center" vertical="center" wrapText="1"/>
    </xf>
    <xf numFmtId="4" fontId="67" fillId="0" borderId="15" xfId="35" applyNumberFormat="1" applyFont="1" applyBorder="1" applyAlignment="1">
      <alignment horizontal="center" vertical="center"/>
    </xf>
    <xf numFmtId="0" fontId="110" fillId="0" borderId="0" xfId="0" applyFont="1" applyAlignment="1">
      <alignment horizontal="center" vertical="center"/>
    </xf>
    <xf numFmtId="0" fontId="110" fillId="0" borderId="0" xfId="0" applyFont="1" applyAlignment="1">
      <alignment horizontal="left" vertical="center"/>
    </xf>
    <xf numFmtId="4" fontId="110" fillId="0" borderId="0" xfId="0" applyNumberFormat="1" applyFont="1" applyAlignment="1">
      <alignment horizontal="center" vertical="center"/>
    </xf>
    <xf numFmtId="0" fontId="67" fillId="0" borderId="0" xfId="0" applyFont="1" applyAlignment="1">
      <alignment horizontal="left" vertical="center"/>
    </xf>
    <xf numFmtId="0" fontId="67" fillId="0" borderId="0" xfId="39" applyFont="1"/>
    <xf numFmtId="0" fontId="67" fillId="0" borderId="0" xfId="0" applyFont="1" applyAlignment="1">
      <alignment horizontal="center" vertical="center"/>
    </xf>
    <xf numFmtId="49" fontId="64" fillId="0" borderId="19" xfId="0" applyNumberFormat="1" applyFont="1" applyBorder="1" applyAlignment="1">
      <alignment horizontal="center" vertical="center" wrapText="1"/>
    </xf>
    <xf numFmtId="4" fontId="60" fillId="0" borderId="22" xfId="0" applyNumberFormat="1" applyFont="1" applyBorder="1" applyAlignment="1">
      <alignment horizontal="center" vertical="center" wrapText="1"/>
    </xf>
    <xf numFmtId="49" fontId="64" fillId="0" borderId="19" xfId="0" applyNumberFormat="1" applyFont="1" applyBorder="1" applyAlignment="1">
      <alignment horizontal="left" vertical="center" wrapText="1"/>
    </xf>
    <xf numFmtId="4" fontId="64" fillId="0" borderId="22" xfId="0" applyNumberFormat="1" applyFont="1" applyBorder="1" applyAlignment="1">
      <alignment horizontal="center" vertical="center" wrapText="1"/>
    </xf>
    <xf numFmtId="4" fontId="64" fillId="27" borderId="22" xfId="0" applyNumberFormat="1" applyFont="1" applyFill="1" applyBorder="1" applyAlignment="1">
      <alignment horizontal="center" vertical="center" wrapText="1"/>
    </xf>
    <xf numFmtId="49" fontId="64" fillId="0" borderId="15" xfId="0" applyNumberFormat="1" applyFont="1" applyBorder="1" applyAlignment="1">
      <alignment horizontal="left" vertical="center" wrapText="1"/>
    </xf>
    <xf numFmtId="4" fontId="64" fillId="0" borderId="19" xfId="0" applyNumberFormat="1" applyFont="1" applyBorder="1" applyAlignment="1">
      <alignment horizontal="center" vertical="center" wrapText="1"/>
    </xf>
    <xf numFmtId="0" fontId="128" fillId="0" borderId="0" xfId="0" applyFont="1"/>
    <xf numFmtId="4" fontId="67" fillId="0" borderId="16" xfId="30" applyNumberFormat="1" applyFont="1" applyBorder="1" applyAlignment="1">
      <alignment horizontal="center" vertical="center"/>
    </xf>
    <xf numFmtId="0" fontId="158" fillId="0" borderId="15" xfId="100" applyFont="1" applyBorder="1" applyAlignment="1">
      <alignment horizontal="center" vertical="center" wrapText="1"/>
    </xf>
    <xf numFmtId="49" fontId="67" fillId="0" borderId="15" xfId="18" applyNumberFormat="1" applyFont="1" applyBorder="1" applyAlignment="1">
      <alignment horizontal="center" vertical="center" wrapText="1"/>
    </xf>
    <xf numFmtId="0" fontId="67" fillId="0" borderId="15" xfId="92" applyFont="1" applyBorder="1" applyAlignment="1">
      <alignment horizontal="center" vertical="center" wrapText="1"/>
    </xf>
    <xf numFmtId="4" fontId="67" fillId="42" borderId="15" xfId="30" applyNumberFormat="1" applyFont="1" applyFill="1" applyBorder="1" applyAlignment="1">
      <alignment horizontal="center" vertical="center"/>
    </xf>
    <xf numFmtId="0" fontId="67" fillId="0" borderId="15" xfId="40" applyFont="1" applyBorder="1" applyAlignment="1">
      <alignment horizontal="center" vertical="center" wrapText="1"/>
    </xf>
    <xf numFmtId="0" fontId="67" fillId="0" borderId="15" xfId="84" applyFont="1" applyBorder="1" applyAlignment="1">
      <alignment horizontal="center" vertical="center" wrapText="1"/>
    </xf>
    <xf numFmtId="4" fontId="162" fillId="0" borderId="15" xfId="0" applyNumberFormat="1" applyFont="1" applyBorder="1" applyAlignment="1">
      <alignment horizontal="center" vertical="center" wrapText="1"/>
    </xf>
    <xf numFmtId="4" fontId="64" fillId="0" borderId="22" xfId="38" applyNumberFormat="1" applyFont="1" applyFill="1" applyBorder="1" applyAlignment="1" applyProtection="1">
      <alignment horizontal="center" vertical="center" wrapText="1"/>
      <protection locked="0"/>
    </xf>
    <xf numFmtId="165" fontId="64" fillId="0" borderId="16" xfId="30" applyNumberFormat="1" applyFont="1" applyBorder="1" applyAlignment="1">
      <alignment horizontal="center" vertical="center" wrapText="1"/>
    </xf>
    <xf numFmtId="165" fontId="64" fillId="43" borderId="15" xfId="30" applyNumberFormat="1" applyFont="1" applyFill="1" applyBorder="1" applyAlignment="1">
      <alignment horizontal="center" vertical="center" wrapText="1"/>
    </xf>
    <xf numFmtId="4" fontId="64" fillId="43" borderId="15" xfId="0" applyNumberFormat="1" applyFont="1" applyFill="1" applyBorder="1" applyAlignment="1">
      <alignment horizontal="center" vertical="center" wrapText="1"/>
    </xf>
    <xf numFmtId="4" fontId="163" fillId="0" borderId="15" xfId="36" applyNumberFormat="1" applyFont="1" applyFill="1" applyBorder="1" applyAlignment="1">
      <alignment horizontal="center" vertical="center" wrapText="1"/>
    </xf>
    <xf numFmtId="4" fontId="32" fillId="0" borderId="15" xfId="38" applyNumberFormat="1" applyFont="1" applyFill="1" applyBorder="1" applyAlignment="1">
      <alignment horizontal="center" vertical="center" wrapText="1"/>
    </xf>
    <xf numFmtId="4" fontId="32" fillId="0" borderId="15" xfId="0" applyNumberFormat="1" applyFont="1" applyBorder="1" applyAlignment="1">
      <alignment horizontal="center" vertical="center"/>
    </xf>
    <xf numFmtId="4" fontId="30" fillId="0" borderId="15" xfId="38" applyNumberFormat="1" applyFont="1" applyFill="1" applyBorder="1" applyAlignment="1">
      <alignment horizontal="center" vertical="center" wrapText="1"/>
    </xf>
    <xf numFmtId="4" fontId="99" fillId="37" borderId="8" xfId="0" applyNumberFormat="1" applyFont="1" applyFill="1" applyBorder="1" applyAlignment="1">
      <alignment horizontal="center" vertical="center" wrapText="1"/>
    </xf>
    <xf numFmtId="4" fontId="32" fillId="0" borderId="15" xfId="0" applyNumberFormat="1" applyFont="1" applyBorder="1" applyAlignment="1">
      <alignment horizontal="center" vertical="center" wrapText="1"/>
    </xf>
    <xf numFmtId="4" fontId="30" fillId="0" borderId="16" xfId="38" applyNumberFormat="1" applyFont="1" applyFill="1" applyBorder="1" applyAlignment="1">
      <alignment horizontal="center" vertical="center" wrapText="1"/>
    </xf>
    <xf numFmtId="165" fontId="30" fillId="0" borderId="16" xfId="30" applyNumberFormat="1" applyFont="1" applyBorder="1" applyAlignment="1">
      <alignment horizontal="center" vertical="center" wrapText="1"/>
    </xf>
    <xf numFmtId="4" fontId="99" fillId="29" borderId="8" xfId="0" applyNumberFormat="1" applyFont="1" applyFill="1" applyBorder="1" applyAlignment="1">
      <alignment horizontal="center" vertical="center" wrapText="1"/>
    </xf>
    <xf numFmtId="4" fontId="86" fillId="0" borderId="15" xfId="38" applyNumberFormat="1" applyFont="1" applyFill="1" applyBorder="1" applyAlignment="1" applyProtection="1">
      <alignment horizontal="center" vertical="center" wrapText="1"/>
      <protection locked="0"/>
    </xf>
    <xf numFmtId="0" fontId="12" fillId="0" borderId="0" xfId="0" applyFont="1" applyAlignment="1">
      <alignment horizontal="center" vertical="top"/>
    </xf>
    <xf numFmtId="0" fontId="10" fillId="0" borderId="0" xfId="0" applyFont="1" applyAlignment="1">
      <alignment horizontal="center" vertical="center"/>
    </xf>
    <xf numFmtId="0" fontId="16" fillId="0" borderId="0" xfId="0" applyFont="1" applyAlignment="1">
      <alignment horizontal="center" vertical="center"/>
    </xf>
    <xf numFmtId="0" fontId="30" fillId="0" borderId="15" xfId="38" applyFont="1" applyFill="1" applyBorder="1" applyAlignment="1" applyProtection="1">
      <alignment horizontal="center" vertical="center" wrapText="1"/>
      <protection locked="0"/>
    </xf>
    <xf numFmtId="0" fontId="29" fillId="0" borderId="17" xfId="38" applyFont="1" applyFill="1" applyBorder="1" applyAlignment="1" applyProtection="1">
      <alignment horizontal="center" vertical="top" wrapText="1"/>
      <protection locked="0"/>
    </xf>
    <xf numFmtId="0" fontId="16" fillId="0" borderId="0" xfId="39" applyFont="1" applyAlignment="1">
      <alignment vertical="center" wrapText="1"/>
    </xf>
    <xf numFmtId="0" fontId="30" fillId="0" borderId="0" xfId="0" applyFont="1" applyAlignment="1">
      <alignment horizontal="center" vertical="top"/>
    </xf>
    <xf numFmtId="0" fontId="90" fillId="0" borderId="0" xfId="0" applyFont="1" applyAlignment="1">
      <alignment horizontal="center"/>
    </xf>
    <xf numFmtId="0" fontId="0" fillId="0" borderId="0" xfId="0" applyAlignment="1">
      <alignment horizontal="center"/>
    </xf>
    <xf numFmtId="0" fontId="10" fillId="0" borderId="0" xfId="0" applyFont="1"/>
    <xf numFmtId="49" fontId="30" fillId="28" borderId="0" xfId="0" applyNumberFormat="1" applyFont="1" applyFill="1" applyAlignment="1">
      <alignment horizontal="center" vertical="center" wrapText="1"/>
    </xf>
    <xf numFmtId="0" fontId="12" fillId="0" borderId="0" xfId="0" applyFont="1"/>
    <xf numFmtId="0" fontId="166" fillId="0" borderId="0" xfId="0" applyFont="1"/>
    <xf numFmtId="4" fontId="16" fillId="0" borderId="15" xfId="0" applyNumberFormat="1" applyFont="1" applyBorder="1" applyAlignment="1">
      <alignment horizontal="center" vertical="center"/>
    </xf>
    <xf numFmtId="4" fontId="16" fillId="0" borderId="22" xfId="0" applyNumberFormat="1" applyFont="1" applyBorder="1" applyAlignment="1">
      <alignment horizontal="center" vertical="center"/>
    </xf>
    <xf numFmtId="4" fontId="16" fillId="37" borderId="15" xfId="0" applyNumberFormat="1" applyFont="1" applyFill="1" applyBorder="1" applyAlignment="1">
      <alignment horizontal="center" vertical="center"/>
    </xf>
    <xf numFmtId="0" fontId="166" fillId="0" borderId="15" xfId="0" applyFont="1" applyBorder="1" applyAlignment="1">
      <alignment horizontal="center" vertical="top" wrapText="1"/>
    </xf>
    <xf numFmtId="0" fontId="166" fillId="0" borderId="15" xfId="35" applyFont="1" applyBorder="1" applyAlignment="1">
      <alignment horizontal="center" vertical="top" wrapText="1"/>
    </xf>
    <xf numFmtId="0" fontId="166" fillId="0" borderId="15" xfId="0" applyFont="1" applyBorder="1" applyAlignment="1">
      <alignment horizontal="center" vertical="top"/>
    </xf>
    <xf numFmtId="0" fontId="16" fillId="0" borderId="15" xfId="0" applyFont="1" applyBorder="1" applyAlignment="1">
      <alignment horizontal="center" vertical="center"/>
    </xf>
    <xf numFmtId="49" fontId="16"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0" fontId="166" fillId="0" borderId="0" xfId="0" applyFont="1" applyAlignment="1">
      <alignment horizontal="center" vertical="center"/>
    </xf>
    <xf numFmtId="4" fontId="166" fillId="0" borderId="0" xfId="0" applyNumberFormat="1" applyFont="1" applyAlignment="1">
      <alignment horizontal="center" vertical="center"/>
    </xf>
    <xf numFmtId="0" fontId="40" fillId="0" borderId="0" xfId="0" applyFont="1"/>
    <xf numFmtId="0" fontId="16" fillId="0" borderId="0" xfId="0" applyFont="1" applyAlignment="1">
      <alignment horizontal="right" vertical="center"/>
    </xf>
    <xf numFmtId="4" fontId="16" fillId="0" borderId="0" xfId="0" applyNumberFormat="1" applyFont="1" applyAlignment="1">
      <alignment horizontal="left" vertical="center"/>
    </xf>
    <xf numFmtId="4" fontId="16" fillId="0" borderId="0" xfId="0" applyNumberFormat="1" applyFont="1" applyAlignment="1">
      <alignment horizontal="center" vertical="center"/>
    </xf>
    <xf numFmtId="0" fontId="149" fillId="0" borderId="0" xfId="0" applyFont="1" applyAlignment="1">
      <alignment horizontal="justify" vertical="center"/>
    </xf>
    <xf numFmtId="4" fontId="98" fillId="28" borderId="0" xfId="0" applyNumberFormat="1" applyFont="1" applyFill="1" applyAlignment="1">
      <alignment horizontal="center" vertical="center" wrapText="1"/>
    </xf>
    <xf numFmtId="0" fontId="167" fillId="0" borderId="0" xfId="35" applyFont="1"/>
    <xf numFmtId="0" fontId="168" fillId="0" borderId="0" xfId="35" applyFont="1" applyAlignment="1">
      <alignment horizontal="center" vertical="center" wrapText="1"/>
    </xf>
    <xf numFmtId="0" fontId="12" fillId="0" borderId="0" xfId="0" applyFont="1" applyAlignment="1">
      <alignment horizontal="center" vertical="center"/>
    </xf>
    <xf numFmtId="0" fontId="167" fillId="0" borderId="0" xfId="35" applyFont="1" applyAlignment="1">
      <alignment horizontal="center"/>
    </xf>
    <xf numFmtId="0" fontId="168" fillId="0" borderId="0" xfId="35" applyFont="1" applyAlignment="1">
      <alignment horizontal="right"/>
    </xf>
    <xf numFmtId="0" fontId="148" fillId="0" borderId="0" xfId="35" applyFont="1" applyAlignment="1">
      <alignment horizontal="center"/>
    </xf>
    <xf numFmtId="0" fontId="12" fillId="0" borderId="0" xfId="35" applyAlignment="1">
      <alignment horizontal="right" vertical="center"/>
    </xf>
    <xf numFmtId="0" fontId="169" fillId="0" borderId="15" xfId="35" applyFont="1" applyBorder="1" applyAlignment="1">
      <alignment horizontal="center" vertical="top" wrapText="1"/>
    </xf>
    <xf numFmtId="0" fontId="147" fillId="0" borderId="15" xfId="35" applyFont="1" applyBorder="1" applyAlignment="1">
      <alignment horizontal="center" vertical="center" wrapText="1"/>
    </xf>
    <xf numFmtId="0" fontId="147" fillId="0" borderId="15" xfId="0" applyFont="1" applyBorder="1" applyAlignment="1">
      <alignment horizontal="center" vertical="center"/>
    </xf>
    <xf numFmtId="49" fontId="153" fillId="0" borderId="15" xfId="0" applyNumberFormat="1" applyFont="1" applyBorder="1" applyAlignment="1">
      <alignment horizontal="center" vertical="center" wrapText="1"/>
    </xf>
    <xf numFmtId="0" fontId="153" fillId="0" borderId="15" xfId="38" applyFont="1" applyFill="1" applyBorder="1" applyAlignment="1" applyProtection="1">
      <alignment horizontal="center" vertical="center" wrapText="1"/>
      <protection locked="0"/>
    </xf>
    <xf numFmtId="4" fontId="153" fillId="0" borderId="15" xfId="0" applyNumberFormat="1" applyFont="1" applyBorder="1" applyAlignment="1">
      <alignment horizontal="center" vertical="center" wrapText="1"/>
    </xf>
    <xf numFmtId="49" fontId="152" fillId="0" borderId="15" xfId="0" applyNumberFormat="1" applyFont="1" applyBorder="1" applyAlignment="1">
      <alignment horizontal="center" vertical="center" wrapText="1"/>
    </xf>
    <xf numFmtId="0" fontId="152" fillId="0" borderId="15" xfId="38" applyFont="1" applyFill="1" applyBorder="1" applyAlignment="1" applyProtection="1">
      <alignment horizontal="center" vertical="center" wrapText="1"/>
      <protection locked="0"/>
    </xf>
    <xf numFmtId="4" fontId="152" fillId="0" borderId="15" xfId="0" applyNumberFormat="1" applyFont="1" applyBorder="1" applyAlignment="1">
      <alignment horizontal="center" vertical="center" wrapText="1"/>
    </xf>
    <xf numFmtId="49" fontId="149" fillId="0" borderId="15" xfId="35" applyNumberFormat="1" applyFont="1" applyBorder="1" applyAlignment="1">
      <alignment horizontal="center" vertical="center" wrapText="1"/>
    </xf>
    <xf numFmtId="49" fontId="170" fillId="0" borderId="15" xfId="0" applyNumberFormat="1" applyFont="1" applyBorder="1" applyAlignment="1">
      <alignment horizontal="center" vertical="center" wrapText="1"/>
    </xf>
    <xf numFmtId="0" fontId="170" fillId="0" borderId="15" xfId="38" applyFont="1" applyFill="1" applyBorder="1" applyAlignment="1" applyProtection="1">
      <alignment horizontal="center" vertical="center" wrapText="1"/>
      <protection locked="0"/>
    </xf>
    <xf numFmtId="4" fontId="170" fillId="0" borderId="15" xfId="0" applyNumberFormat="1" applyFont="1" applyBorder="1" applyAlignment="1">
      <alignment horizontal="center" vertical="center" wrapText="1"/>
    </xf>
    <xf numFmtId="4" fontId="149" fillId="0" borderId="15" xfId="35" applyNumberFormat="1" applyFont="1" applyBorder="1" applyAlignment="1">
      <alignment horizontal="center" vertical="center"/>
    </xf>
    <xf numFmtId="0" fontId="149" fillId="0" borderId="0" xfId="39" applyFont="1" applyAlignment="1">
      <alignment vertical="center"/>
    </xf>
    <xf numFmtId="0" fontId="69" fillId="0" borderId="15" xfId="0" applyFont="1" applyBorder="1" applyAlignment="1">
      <alignment horizontal="center" vertical="center" wrapText="1"/>
    </xf>
    <xf numFmtId="4" fontId="82" fillId="0" borderId="15" xfId="0" applyNumberFormat="1" applyFont="1" applyBorder="1" applyAlignment="1">
      <alignment horizontal="center" vertical="center"/>
    </xf>
    <xf numFmtId="0" fontId="0" fillId="0" borderId="0" xfId="0" applyAlignment="1">
      <alignment horizontal="left"/>
    </xf>
    <xf numFmtId="0" fontId="12" fillId="0" borderId="0" xfId="0" applyFont="1" applyAlignment="1">
      <alignment horizontal="right"/>
    </xf>
    <xf numFmtId="0" fontId="175" fillId="0" borderId="24" xfId="0" applyFont="1" applyBorder="1" applyAlignment="1">
      <alignment horizontal="center" vertical="center" wrapText="1"/>
    </xf>
    <xf numFmtId="0" fontId="168" fillId="0" borderId="24" xfId="0" applyFont="1" applyBorder="1" applyAlignment="1">
      <alignment horizontal="center" vertical="top" wrapText="1"/>
    </xf>
    <xf numFmtId="0" fontId="176" fillId="0" borderId="24" xfId="0" applyFont="1" applyBorder="1" applyAlignment="1">
      <alignment horizontal="center" vertical="center" wrapText="1"/>
    </xf>
    <xf numFmtId="4" fontId="176" fillId="0" borderId="24" xfId="0" applyNumberFormat="1" applyFont="1" applyBorder="1" applyAlignment="1">
      <alignment horizontal="left" vertical="center" wrapText="1"/>
    </xf>
    <xf numFmtId="4" fontId="176" fillId="0" borderId="24" xfId="0" applyNumberFormat="1" applyFont="1" applyBorder="1" applyAlignment="1">
      <alignment horizontal="center" vertical="center" wrapText="1"/>
    </xf>
    <xf numFmtId="0" fontId="12" fillId="0" borderId="24" xfId="0" applyFont="1" applyBorder="1" applyAlignment="1">
      <alignment horizontal="center" vertical="center" wrapText="1"/>
    </xf>
    <xf numFmtId="0" fontId="12" fillId="0" borderId="24" xfId="0" applyFont="1" applyBorder="1" applyAlignment="1">
      <alignment horizontal="left" vertical="center" wrapText="1"/>
    </xf>
    <xf numFmtId="4" fontId="12" fillId="0" borderId="24" xfId="0" applyNumberFormat="1" applyFont="1" applyBorder="1" applyAlignment="1">
      <alignment horizontal="center" vertical="center" wrapText="1"/>
    </xf>
    <xf numFmtId="0" fontId="177" fillId="0" borderId="24" xfId="0" applyFont="1" applyBorder="1" applyAlignment="1">
      <alignment horizontal="center" vertical="center" wrapText="1"/>
    </xf>
    <xf numFmtId="4" fontId="177" fillId="0" borderId="24" xfId="0" applyNumberFormat="1" applyFont="1" applyBorder="1" applyAlignment="1">
      <alignment horizontal="left" vertical="center" wrapText="1"/>
    </xf>
    <xf numFmtId="4" fontId="177" fillId="0" borderId="24" xfId="0" applyNumberFormat="1" applyFont="1" applyBorder="1" applyAlignment="1">
      <alignment horizontal="center" vertical="center" wrapText="1"/>
    </xf>
    <xf numFmtId="4" fontId="147" fillId="0" borderId="24" xfId="0" applyNumberFormat="1" applyFont="1" applyBorder="1" applyAlignment="1">
      <alignment horizontal="center" vertical="center" wrapText="1"/>
    </xf>
    <xf numFmtId="4" fontId="147" fillId="0" borderId="24" xfId="0" applyNumberFormat="1" applyFont="1" applyBorder="1" applyAlignment="1">
      <alignment horizontal="left" vertical="center" wrapText="1"/>
    </xf>
    <xf numFmtId="0" fontId="177" fillId="0" borderId="24" xfId="0" applyFont="1" applyBorder="1" applyAlignment="1">
      <alignment horizontal="left" vertical="center" wrapText="1"/>
    </xf>
    <xf numFmtId="0" fontId="147" fillId="0" borderId="24" xfId="0" applyFont="1" applyBorder="1" applyAlignment="1">
      <alignment horizontal="center" vertical="center" wrapText="1"/>
    </xf>
    <xf numFmtId="0" fontId="147" fillId="0" borderId="24" xfId="0" applyFont="1" applyBorder="1" applyAlignment="1">
      <alignment horizontal="left" vertical="center" wrapText="1"/>
    </xf>
    <xf numFmtId="0" fontId="147" fillId="41" borderId="24" xfId="0" applyFont="1" applyFill="1" applyBorder="1" applyAlignment="1">
      <alignment horizontal="center" vertical="center" wrapText="1"/>
    </xf>
    <xf numFmtId="0" fontId="147" fillId="41" borderId="24" xfId="0" applyFont="1" applyFill="1" applyBorder="1" applyAlignment="1">
      <alignment horizontal="left" vertical="center" wrapText="1"/>
    </xf>
    <xf numFmtId="4" fontId="147" fillId="41" borderId="24" xfId="0" applyNumberFormat="1" applyFont="1" applyFill="1" applyBorder="1" applyAlignment="1">
      <alignment horizontal="center" vertical="center" wrapText="1"/>
    </xf>
    <xf numFmtId="0" fontId="176" fillId="0" borderId="24" xfId="0" applyFont="1" applyBorder="1" applyAlignment="1">
      <alignment horizontal="left" vertical="center" wrapText="1"/>
    </xf>
    <xf numFmtId="4" fontId="29" fillId="34" borderId="7" xfId="36" applyNumberFormat="1" applyFont="1" applyFill="1" applyBorder="1" applyAlignment="1">
      <alignment horizontal="center" vertical="center" wrapText="1"/>
    </xf>
    <xf numFmtId="0" fontId="30" fillId="0" borderId="0" xfId="0" applyFont="1" applyAlignment="1">
      <alignment horizontal="justify" vertical="center"/>
    </xf>
    <xf numFmtId="0" fontId="150" fillId="0" borderId="15" xfId="38" applyFont="1" applyFill="1" applyBorder="1" applyAlignment="1" applyProtection="1">
      <alignment horizontal="center" vertical="center" wrapText="1"/>
      <protection locked="0"/>
    </xf>
    <xf numFmtId="4" fontId="31"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xf>
    <xf numFmtId="49" fontId="30" fillId="28" borderId="15" xfId="0" applyNumberFormat="1" applyFont="1" applyFill="1" applyBorder="1" applyAlignment="1">
      <alignment horizontal="center" vertical="center" wrapText="1"/>
    </xf>
    <xf numFmtId="4" fontId="30" fillId="28" borderId="15" xfId="0" applyNumberFormat="1" applyFont="1" applyFill="1" applyBorder="1" applyAlignment="1">
      <alignment horizontal="center" vertical="center" wrapText="1"/>
    </xf>
    <xf numFmtId="4" fontId="98" fillId="29" borderId="14" xfId="0" applyNumberFormat="1" applyFont="1" applyFill="1" applyBorder="1" applyAlignment="1">
      <alignment horizontal="center" vertical="center" wrapText="1"/>
    </xf>
    <xf numFmtId="4" fontId="98" fillId="29" borderId="8" xfId="0" applyNumberFormat="1" applyFont="1" applyFill="1" applyBorder="1" applyAlignment="1">
      <alignment horizontal="center" vertical="center" wrapText="1"/>
    </xf>
    <xf numFmtId="0" fontId="99" fillId="28" borderId="0" xfId="0" applyFont="1" applyFill="1" applyAlignment="1">
      <alignment horizontal="center" vertical="center"/>
    </xf>
    <xf numFmtId="49" fontId="30" fillId="0" borderId="15" xfId="0" applyNumberFormat="1" applyFont="1" applyBorder="1" applyAlignment="1">
      <alignment horizontal="left" vertical="center" wrapText="1"/>
    </xf>
    <xf numFmtId="0" fontId="180" fillId="0" borderId="0" xfId="0" applyFont="1" applyAlignment="1">
      <alignment vertical="center"/>
    </xf>
    <xf numFmtId="0" fontId="180" fillId="0" borderId="0" xfId="0" applyFont="1" applyAlignment="1">
      <alignment horizontal="center" vertical="center"/>
    </xf>
    <xf numFmtId="4" fontId="31" fillId="0" borderId="15" xfId="38" applyNumberFormat="1" applyFont="1" applyFill="1" applyBorder="1" applyAlignment="1">
      <alignment horizontal="center" vertical="center" wrapText="1"/>
    </xf>
    <xf numFmtId="4" fontId="181" fillId="28" borderId="0" xfId="0" applyNumberFormat="1" applyFont="1" applyFill="1" applyAlignment="1">
      <alignment horizontal="left" vertical="center"/>
    </xf>
    <xf numFmtId="49" fontId="150" fillId="0" borderId="16" xfId="0" applyNumberFormat="1" applyFont="1" applyBorder="1" applyAlignment="1">
      <alignment horizontal="center" vertical="center" wrapText="1"/>
    </xf>
    <xf numFmtId="0" fontId="30" fillId="0" borderId="16" xfId="38" applyFont="1" applyFill="1" applyBorder="1" applyAlignment="1" applyProtection="1">
      <alignment horizontal="center" wrapText="1"/>
      <protection locked="0"/>
    </xf>
    <xf numFmtId="0" fontId="30" fillId="0" borderId="0" xfId="38" applyFont="1" applyFill="1" applyBorder="1" applyAlignment="1" applyProtection="1">
      <alignment horizontal="center" vertical="top" wrapText="1"/>
      <protection locked="0"/>
    </xf>
    <xf numFmtId="0" fontId="58" fillId="0" borderId="0" xfId="0" applyFont="1" applyAlignment="1">
      <alignment horizontal="center" vertical="center"/>
    </xf>
    <xf numFmtId="0" fontId="39" fillId="0" borderId="0" xfId="36" applyFont="1" applyFill="1" applyAlignment="1">
      <alignment horizontal="center" vertical="center"/>
    </xf>
    <xf numFmtId="0" fontId="39" fillId="28" borderId="0" xfId="36" applyFont="1" applyFill="1" applyAlignment="1">
      <alignment horizontal="center" vertical="top"/>
    </xf>
    <xf numFmtId="0" fontId="38" fillId="0" borderId="0" xfId="36" applyFont="1" applyFill="1" applyAlignment="1">
      <alignment vertical="center"/>
    </xf>
    <xf numFmtId="0" fontId="16" fillId="0" borderId="0" xfId="36" applyFont="1" applyFill="1" applyAlignment="1">
      <alignment horizontal="right" vertical="center"/>
    </xf>
    <xf numFmtId="0" fontId="166" fillId="28" borderId="0" xfId="36" applyFont="1" applyFill="1" applyAlignment="1">
      <alignment horizontal="center" vertical="top"/>
    </xf>
    <xf numFmtId="2" fontId="38" fillId="28" borderId="0" xfId="36" applyNumberFormat="1" applyFont="1" applyFill="1" applyAlignment="1">
      <alignment horizontal="center" vertical="top"/>
    </xf>
    <xf numFmtId="2" fontId="38" fillId="0" borderId="0" xfId="36" applyNumberFormat="1" applyFont="1" applyAlignment="1">
      <alignment horizontal="center" vertical="top"/>
    </xf>
    <xf numFmtId="2" fontId="16" fillId="0"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xf>
    <xf numFmtId="4" fontId="183" fillId="0" borderId="15" xfId="36" applyNumberFormat="1" applyFont="1" applyFill="1" applyBorder="1" applyAlignment="1">
      <alignment horizontal="center" vertical="center" wrapText="1"/>
    </xf>
    <xf numFmtId="2" fontId="16" fillId="28" borderId="15" xfId="36" applyNumberFormat="1" applyFont="1" applyFill="1" applyBorder="1" applyAlignment="1">
      <alignment horizontal="center" vertical="center" wrapText="1"/>
    </xf>
    <xf numFmtId="2" fontId="182" fillId="28" borderId="15" xfId="36" applyNumberFormat="1" applyFont="1" applyFill="1" applyBorder="1" applyAlignment="1">
      <alignment horizontal="center" vertical="center" wrapText="1"/>
    </xf>
    <xf numFmtId="0" fontId="10" fillId="28" borderId="15" xfId="0" applyFont="1" applyFill="1" applyBorder="1" applyAlignment="1">
      <alignment horizontal="center"/>
    </xf>
    <xf numFmtId="4" fontId="16" fillId="28" borderId="15" xfId="36" applyNumberFormat="1" applyFont="1" applyFill="1" applyBorder="1" applyAlignment="1">
      <alignment horizontal="center" vertical="center"/>
    </xf>
    <xf numFmtId="4" fontId="16" fillId="0" borderId="15" xfId="36" applyNumberFormat="1" applyFont="1" applyFill="1" applyBorder="1" applyAlignment="1">
      <alignment horizontal="center" vertical="center" wrapText="1"/>
    </xf>
    <xf numFmtId="0" fontId="29" fillId="0" borderId="15" xfId="0" applyFont="1" applyBorder="1" applyAlignment="1">
      <alignment horizontal="center" vertical="center" wrapText="1"/>
    </xf>
    <xf numFmtId="4" fontId="69" fillId="0" borderId="15" xfId="38" applyNumberFormat="1" applyFont="1" applyFill="1" applyBorder="1" applyAlignment="1" applyProtection="1">
      <alignment horizontal="center" vertical="center" wrapText="1"/>
      <protection locked="0"/>
    </xf>
    <xf numFmtId="4" fontId="29" fillId="0" borderId="15" xfId="38" applyNumberFormat="1" applyFont="1" applyFill="1" applyBorder="1" applyAlignment="1" applyProtection="1">
      <alignment horizontal="center" vertical="center" wrapText="1"/>
      <protection locked="0"/>
    </xf>
    <xf numFmtId="4" fontId="150" fillId="0" borderId="15" xfId="38" applyNumberFormat="1" applyFont="1" applyFill="1" applyBorder="1" applyAlignment="1" applyProtection="1">
      <alignment horizontal="center" vertical="center" wrapText="1"/>
      <protection locked="0"/>
    </xf>
    <xf numFmtId="49" fontId="150" fillId="0" borderId="15" xfId="0" applyNumberFormat="1" applyFont="1" applyBorder="1" applyAlignment="1">
      <alignment horizontal="center" vertical="center"/>
    </xf>
    <xf numFmtId="49" fontId="30" fillId="0" borderId="15" xfId="0" applyNumberFormat="1" applyFont="1" applyBorder="1" applyAlignment="1">
      <alignment horizontal="center" vertical="center"/>
    </xf>
    <xf numFmtId="4" fontId="86" fillId="28" borderId="15" xfId="0" applyNumberFormat="1" applyFont="1" applyFill="1" applyBorder="1" applyAlignment="1">
      <alignment horizontal="center" vertical="center" wrapText="1"/>
    </xf>
    <xf numFmtId="4" fontId="31" fillId="28" borderId="15" xfId="0" applyNumberFormat="1" applyFont="1" applyFill="1" applyBorder="1" applyAlignment="1">
      <alignment horizontal="center" vertical="center" wrapText="1"/>
    </xf>
    <xf numFmtId="4" fontId="32" fillId="28" borderId="15" xfId="0" applyNumberFormat="1" applyFont="1" applyFill="1" applyBorder="1" applyAlignment="1">
      <alignment horizontal="center" vertical="center" wrapText="1"/>
    </xf>
    <xf numFmtId="4" fontId="32" fillId="28" borderId="15" xfId="0" applyNumberFormat="1" applyFont="1" applyFill="1" applyBorder="1" applyAlignment="1">
      <alignment horizontal="center" vertical="center"/>
    </xf>
    <xf numFmtId="4" fontId="184" fillId="0" borderId="15" xfId="0" applyNumberFormat="1" applyFont="1" applyBorder="1" applyAlignment="1">
      <alignment horizontal="center" vertical="center" wrapText="1"/>
    </xf>
    <xf numFmtId="0" fontId="12" fillId="0" borderId="0" xfId="39"/>
    <xf numFmtId="0" fontId="149" fillId="0" borderId="0" xfId="39" applyFont="1" applyAlignment="1">
      <alignment horizontal="center" vertical="center"/>
    </xf>
    <xf numFmtId="0" fontId="185" fillId="0" borderId="0" xfId="39" applyFont="1" applyAlignment="1">
      <alignment horizontal="center" vertical="center"/>
    </xf>
    <xf numFmtId="0" fontId="168" fillId="0" borderId="0" xfId="39" applyFont="1" applyAlignment="1">
      <alignment vertical="center"/>
    </xf>
    <xf numFmtId="0" fontId="12" fillId="0" borderId="0" xfId="39" applyAlignment="1">
      <alignment horizontal="right" vertical="center"/>
    </xf>
    <xf numFmtId="0" fontId="12" fillId="0" borderId="0" xfId="39" applyAlignment="1">
      <alignment vertical="center" wrapText="1"/>
    </xf>
    <xf numFmtId="0" fontId="147" fillId="0" borderId="24" xfId="39" applyFont="1" applyBorder="1" applyAlignment="1">
      <alignment horizontal="center" vertical="center" wrapText="1"/>
    </xf>
    <xf numFmtId="0" fontId="149" fillId="0" borderId="0" xfId="39" applyFont="1" applyAlignment="1">
      <alignment wrapText="1"/>
    </xf>
    <xf numFmtId="4" fontId="147" fillId="0" borderId="24" xfId="39" applyNumberFormat="1" applyFont="1" applyBorder="1" applyAlignment="1">
      <alignment horizontal="center" vertical="center" wrapText="1"/>
    </xf>
    <xf numFmtId="0" fontId="177" fillId="0" borderId="24" xfId="39" applyFont="1" applyBorder="1" applyAlignment="1">
      <alignment horizontal="center" vertical="center" wrapText="1"/>
    </xf>
    <xf numFmtId="0" fontId="177" fillId="0" borderId="24" xfId="39" applyFont="1" applyBorder="1" applyAlignment="1">
      <alignment vertical="center" wrapText="1"/>
    </xf>
    <xf numFmtId="4" fontId="177" fillId="0" borderId="24" xfId="39" applyNumberFormat="1" applyFont="1" applyBorder="1" applyAlignment="1">
      <alignment horizontal="center" vertical="center" wrapText="1"/>
    </xf>
    <xf numFmtId="0" fontId="12" fillId="0" borderId="24" xfId="39" applyBorder="1" applyAlignment="1">
      <alignment horizontal="center" vertical="center" wrapText="1"/>
    </xf>
    <xf numFmtId="0" fontId="12" fillId="0" borderId="24" xfId="39" applyBorder="1" applyAlignment="1">
      <alignment vertical="center" wrapText="1"/>
    </xf>
    <xf numFmtId="4" fontId="12" fillId="0" borderId="24" xfId="39" applyNumberFormat="1" applyBorder="1" applyAlignment="1">
      <alignment horizontal="center" vertical="center" wrapText="1"/>
    </xf>
    <xf numFmtId="0" fontId="12" fillId="0" borderId="24" xfId="37" applyFont="1" applyBorder="1" applyAlignment="1">
      <alignment horizontal="justify" vertical="center" wrapText="1"/>
    </xf>
    <xf numFmtId="0" fontId="147" fillId="0" borderId="24" xfId="37" applyFont="1" applyBorder="1" applyAlignment="1">
      <alignment horizontal="center" vertical="center" wrapText="1"/>
    </xf>
    <xf numFmtId="0" fontId="177" fillId="0" borderId="24" xfId="37" applyFont="1" applyBorder="1" applyAlignment="1">
      <alignment horizontal="justify" vertical="center" wrapText="1"/>
    </xf>
    <xf numFmtId="0" fontId="12" fillId="0" borderId="24" xfId="37" applyFont="1" applyBorder="1" applyAlignment="1">
      <alignment horizontal="left" vertical="center" wrapText="1"/>
    </xf>
    <xf numFmtId="0" fontId="177" fillId="0" borderId="24" xfId="37" applyFont="1" applyBorder="1" applyAlignment="1">
      <alignment horizontal="left" vertical="center" wrapText="1"/>
    </xf>
    <xf numFmtId="0" fontId="147" fillId="0" borderId="24" xfId="37" applyFont="1" applyBorder="1" applyAlignment="1">
      <alignment horizontal="justify" vertical="center" wrapText="1"/>
    </xf>
    <xf numFmtId="0" fontId="12" fillId="0" borderId="24" xfId="37" applyFont="1" applyBorder="1" applyAlignment="1">
      <alignment vertical="center" wrapText="1"/>
    </xf>
    <xf numFmtId="0" fontId="177" fillId="0" borderId="24" xfId="37" applyFont="1" applyBorder="1" applyAlignment="1">
      <alignment vertical="center" wrapText="1"/>
    </xf>
    <xf numFmtId="0" fontId="147" fillId="0" borderId="24" xfId="37" applyFont="1" applyBorder="1" applyAlignment="1">
      <alignment vertical="center" wrapText="1"/>
    </xf>
    <xf numFmtId="0" fontId="12" fillId="0" borderId="24" xfId="0" applyFont="1" applyBorder="1" applyAlignment="1">
      <alignment horizontal="justify" vertical="center"/>
    </xf>
    <xf numFmtId="0" fontId="147" fillId="0" borderId="24" xfId="39" applyFont="1" applyBorder="1" applyAlignment="1">
      <alignment vertical="center" wrapText="1"/>
    </xf>
    <xf numFmtId="0" fontId="147" fillId="40" borderId="24" xfId="39" applyFont="1" applyFill="1" applyBorder="1" applyAlignment="1">
      <alignment horizontal="center" vertical="center" wrapText="1"/>
    </xf>
    <xf numFmtId="0" fontId="147" fillId="40" borderId="24" xfId="37" applyFont="1" applyFill="1" applyBorder="1" applyAlignment="1">
      <alignment horizontal="center" vertical="center" wrapText="1"/>
    </xf>
    <xf numFmtId="4" fontId="147" fillId="40" borderId="24" xfId="39" applyNumberFormat="1" applyFont="1" applyFill="1" applyBorder="1" applyAlignment="1">
      <alignment horizontal="center" vertical="center" wrapText="1"/>
    </xf>
    <xf numFmtId="0" fontId="176" fillId="0" borderId="24" xfId="39" applyFont="1" applyBorder="1" applyAlignment="1">
      <alignment vertical="center" wrapText="1"/>
    </xf>
    <xf numFmtId="4" fontId="176" fillId="0" borderId="24" xfId="39" applyNumberFormat="1" applyFont="1" applyBorder="1" applyAlignment="1">
      <alignment horizontal="center" vertical="center" wrapText="1"/>
    </xf>
    <xf numFmtId="0" fontId="153" fillId="0" borderId="0" xfId="39" applyFont="1" applyAlignment="1">
      <alignment wrapText="1"/>
    </xf>
    <xf numFmtId="4" fontId="29" fillId="0" borderId="22" xfId="0" applyNumberFormat="1" applyFont="1" applyBorder="1" applyAlignment="1">
      <alignment horizontal="center" vertical="center" wrapText="1"/>
    </xf>
    <xf numFmtId="4" fontId="30" fillId="0" borderId="22" xfId="0" applyNumberFormat="1" applyFont="1" applyBorder="1" applyAlignment="1">
      <alignment horizontal="center" vertical="center" wrapText="1"/>
    </xf>
    <xf numFmtId="49" fontId="29" fillId="35" borderId="15" xfId="0" applyNumberFormat="1" applyFont="1" applyFill="1" applyBorder="1" applyAlignment="1">
      <alignment horizontal="center" vertical="center" wrapText="1"/>
    </xf>
    <xf numFmtId="4" fontId="29" fillId="35" borderId="22" xfId="0" applyNumberFormat="1" applyFont="1" applyFill="1" applyBorder="1" applyAlignment="1">
      <alignment horizontal="center" vertical="center" wrapText="1"/>
    </xf>
    <xf numFmtId="49" fontId="30" fillId="35" borderId="15" xfId="0" applyNumberFormat="1" applyFont="1" applyFill="1" applyBorder="1" applyAlignment="1">
      <alignment horizontal="center" vertical="center" wrapText="1"/>
    </xf>
    <xf numFmtId="4" fontId="30" fillId="35" borderId="22" xfId="0" applyNumberFormat="1" applyFont="1" applyFill="1" applyBorder="1" applyAlignment="1">
      <alignment horizontal="center" vertical="center" wrapText="1"/>
    </xf>
    <xf numFmtId="4" fontId="30" fillId="35" borderId="15" xfId="0" applyNumberFormat="1" applyFont="1" applyFill="1" applyBorder="1" applyAlignment="1">
      <alignment horizontal="center" vertical="center" wrapText="1"/>
    </xf>
    <xf numFmtId="49" fontId="149" fillId="0" borderId="15" xfId="18" applyNumberFormat="1" applyFont="1" applyBorder="1" applyAlignment="1">
      <alignment horizontal="center" vertical="center" wrapText="1"/>
    </xf>
    <xf numFmtId="0" fontId="149" fillId="0" borderId="15" xfId="92" applyFont="1" applyBorder="1" applyAlignment="1">
      <alignment horizontal="center" vertical="center" wrapText="1"/>
    </xf>
    <xf numFmtId="9" fontId="149" fillId="0" borderId="15" xfId="30" applyNumberFormat="1" applyFont="1" applyBorder="1" applyAlignment="1">
      <alignment horizontal="center" vertical="center"/>
    </xf>
    <xf numFmtId="0" fontId="16" fillId="0" borderId="15" xfId="92" applyFont="1" applyBorder="1" applyAlignment="1">
      <alignment horizontal="center" vertical="center" wrapText="1"/>
    </xf>
    <xf numFmtId="0" fontId="149" fillId="0" borderId="15" xfId="84" applyFont="1" applyBorder="1" applyAlignment="1">
      <alignment horizontal="center" vertical="center" wrapText="1"/>
    </xf>
    <xf numFmtId="0" fontId="149" fillId="0" borderId="15" xfId="38" applyFont="1" applyFill="1" applyBorder="1" applyAlignment="1" applyProtection="1">
      <alignment horizontal="center" vertical="center" wrapText="1"/>
      <protection locked="0"/>
    </xf>
    <xf numFmtId="0" fontId="149" fillId="0" borderId="15" xfId="100" applyFont="1" applyBorder="1" applyAlignment="1">
      <alignment horizontal="center" vertical="center" wrapText="1"/>
    </xf>
    <xf numFmtId="49" fontId="189" fillId="0" borderId="15" xfId="0" applyNumberFormat="1" applyFont="1" applyBorder="1" applyAlignment="1">
      <alignment horizontal="center" vertical="center" wrapText="1"/>
    </xf>
    <xf numFmtId="165" fontId="149" fillId="0" borderId="15" xfId="30" applyNumberFormat="1" applyFont="1" applyBorder="1" applyAlignment="1">
      <alignment horizontal="center" vertical="center" wrapText="1"/>
    </xf>
    <xf numFmtId="0" fontId="179" fillId="28" borderId="0" xfId="35" applyFont="1" applyFill="1" applyAlignment="1">
      <alignment horizontal="left" vertical="center"/>
    </xf>
    <xf numFmtId="4" fontId="149" fillId="0" borderId="16" xfId="30" applyNumberFormat="1" applyFont="1" applyBorder="1" applyAlignment="1">
      <alignment horizontal="center" vertical="center"/>
    </xf>
    <xf numFmtId="0" fontId="149" fillId="0" borderId="15" xfId="45" applyFont="1" applyBorder="1" applyAlignment="1">
      <alignment horizontal="center" vertical="center" wrapText="1"/>
    </xf>
    <xf numFmtId="4" fontId="149" fillId="0" borderId="20" xfId="30" applyNumberFormat="1" applyFont="1" applyBorder="1" applyAlignment="1">
      <alignment horizontal="center" vertical="center"/>
    </xf>
    <xf numFmtId="0" fontId="170" fillId="0" borderId="15" xfId="100" applyFont="1" applyBorder="1" applyAlignment="1">
      <alignment horizontal="center" vertical="center" wrapText="1"/>
    </xf>
    <xf numFmtId="4" fontId="170" fillId="0" borderId="15" xfId="30" applyNumberFormat="1" applyFont="1" applyBorder="1" applyAlignment="1">
      <alignment horizontal="center" vertical="center"/>
    </xf>
    <xf numFmtId="9" fontId="170" fillId="0" borderId="15" xfId="30" applyNumberFormat="1" applyFont="1" applyBorder="1" applyAlignment="1">
      <alignment horizontal="center" vertical="center"/>
    </xf>
    <xf numFmtId="49" fontId="150" fillId="0" borderId="0" xfId="0" applyNumberFormat="1" applyFont="1" applyAlignment="1">
      <alignment horizontal="center" vertical="center" wrapText="1"/>
    </xf>
    <xf numFmtId="4" fontId="86" fillId="0" borderId="16" xfId="0" applyNumberFormat="1" applyFont="1" applyBorder="1" applyAlignment="1">
      <alignment horizontal="center" vertical="center" wrapText="1"/>
    </xf>
    <xf numFmtId="49" fontId="29" fillId="46" borderId="15" xfId="0" applyNumberFormat="1" applyFont="1" applyFill="1" applyBorder="1" applyAlignment="1">
      <alignment horizontal="center" vertical="center" wrapText="1"/>
    </xf>
    <xf numFmtId="0" fontId="29" fillId="46" borderId="15" xfId="38" applyFont="1" applyFill="1" applyBorder="1" applyAlignment="1" applyProtection="1">
      <alignment horizontal="center" vertical="center" wrapText="1"/>
      <protection locked="0"/>
    </xf>
    <xf numFmtId="4" fontId="29" fillId="46" borderId="15" xfId="38" applyNumberFormat="1" applyFont="1" applyFill="1" applyBorder="1" applyAlignment="1" applyProtection="1">
      <alignment horizontal="center" vertical="center" wrapText="1"/>
      <protection locked="0"/>
    </xf>
    <xf numFmtId="49" fontId="69" fillId="32" borderId="15" xfId="0" applyNumberFormat="1" applyFont="1" applyFill="1" applyBorder="1" applyAlignment="1">
      <alignment horizontal="center" vertical="center" wrapText="1"/>
    </xf>
    <xf numFmtId="0" fontId="69" fillId="32" borderId="15" xfId="38" applyFont="1" applyFill="1" applyBorder="1" applyAlignment="1" applyProtection="1">
      <alignment horizontal="center" vertical="center" wrapText="1"/>
      <protection locked="0"/>
    </xf>
    <xf numFmtId="4" fontId="69" fillId="32" borderId="15" xfId="38" applyNumberFormat="1" applyFont="1" applyFill="1" applyBorder="1" applyAlignment="1" applyProtection="1">
      <alignment horizontal="center" vertical="center" wrapText="1"/>
      <protection locked="0"/>
    </xf>
    <xf numFmtId="4" fontId="69" fillId="32" borderId="15" xfId="0" applyNumberFormat="1" applyFont="1" applyFill="1" applyBorder="1" applyAlignment="1">
      <alignment horizontal="center" vertical="center" wrapText="1"/>
    </xf>
    <xf numFmtId="2" fontId="29" fillId="47" borderId="15" xfId="0" applyNumberFormat="1" applyFont="1" applyFill="1" applyBorder="1" applyAlignment="1">
      <alignment horizontal="center" vertical="center"/>
    </xf>
    <xf numFmtId="4" fontId="31" fillId="47" borderId="15" xfId="0" applyNumberFormat="1" applyFont="1" applyFill="1" applyBorder="1" applyAlignment="1">
      <alignment horizontal="center" vertical="center"/>
    </xf>
    <xf numFmtId="0" fontId="29" fillId="47" borderId="15" xfId="0" applyFont="1" applyFill="1" applyBorder="1" applyAlignment="1">
      <alignment horizontal="center" vertical="center"/>
    </xf>
    <xf numFmtId="0" fontId="29" fillId="47" borderId="15" xfId="0" applyFont="1" applyFill="1" applyBorder="1" applyAlignment="1">
      <alignment horizontal="left" vertical="center"/>
    </xf>
    <xf numFmtId="4" fontId="29" fillId="47" borderId="15" xfId="0" applyNumberFormat="1" applyFont="1" applyFill="1" applyBorder="1" applyAlignment="1">
      <alignment horizontal="center" vertical="center"/>
    </xf>
    <xf numFmtId="2" fontId="39" fillId="46" borderId="15" xfId="36" applyNumberFormat="1" applyFont="1" applyFill="1" applyBorder="1" applyAlignment="1">
      <alignment horizontal="center" vertical="center" wrapText="1"/>
    </xf>
    <xf numFmtId="43" fontId="39" fillId="47" borderId="15" xfId="0" applyNumberFormat="1" applyFont="1" applyFill="1" applyBorder="1" applyAlignment="1">
      <alignment horizontal="center" vertical="center"/>
    </xf>
    <xf numFmtId="43" fontId="39" fillId="47" borderId="15" xfId="36" applyNumberFormat="1" applyFont="1" applyFill="1" applyBorder="1" applyAlignment="1">
      <alignment horizontal="center" vertical="center" wrapText="1"/>
    </xf>
    <xf numFmtId="2" fontId="166" fillId="47" borderId="15" xfId="0" applyNumberFormat="1" applyFont="1" applyFill="1" applyBorder="1" applyAlignment="1">
      <alignment horizontal="center" vertical="center"/>
    </xf>
    <xf numFmtId="4" fontId="166" fillId="47" borderId="15" xfId="0" applyNumberFormat="1" applyFont="1" applyFill="1" applyBorder="1" applyAlignment="1">
      <alignment horizontal="center" vertical="center"/>
    </xf>
    <xf numFmtId="49" fontId="152" fillId="32" borderId="15" xfId="0" applyNumberFormat="1" applyFont="1" applyFill="1" applyBorder="1" applyAlignment="1">
      <alignment horizontal="center" vertical="center" wrapText="1"/>
    </xf>
    <xf numFmtId="0" fontId="152" fillId="32" borderId="15" xfId="38" applyFont="1" applyFill="1" applyBorder="1" applyAlignment="1" applyProtection="1">
      <alignment horizontal="center" vertical="center" wrapText="1"/>
      <protection locked="0"/>
    </xf>
    <xf numFmtId="4" fontId="152" fillId="32" borderId="15" xfId="0" applyNumberFormat="1" applyFont="1" applyFill="1" applyBorder="1" applyAlignment="1">
      <alignment horizontal="center" vertical="center" wrapText="1"/>
    </xf>
    <xf numFmtId="4" fontId="152" fillId="32" borderId="15" xfId="38" applyNumberFormat="1" applyFont="1" applyFill="1" applyBorder="1" applyAlignment="1" applyProtection="1">
      <alignment horizontal="center" vertical="center" wrapText="1"/>
      <protection locked="0"/>
    </xf>
    <xf numFmtId="49" fontId="153" fillId="46" borderId="15" xfId="0" applyNumberFormat="1" applyFont="1" applyFill="1" applyBorder="1" applyAlignment="1">
      <alignment horizontal="center" vertical="center" wrapText="1"/>
    </xf>
    <xf numFmtId="0" fontId="153" fillId="46" borderId="15" xfId="38" applyFont="1" applyFill="1" applyBorder="1" applyAlignment="1" applyProtection="1">
      <alignment horizontal="center" vertical="center" wrapText="1"/>
      <protection locked="0"/>
    </xf>
    <xf numFmtId="4" fontId="153" fillId="46" borderId="15" xfId="38" applyNumberFormat="1" applyFont="1" applyFill="1" applyBorder="1" applyAlignment="1" applyProtection="1">
      <alignment horizontal="center" vertical="center" wrapText="1"/>
      <protection locked="0"/>
    </xf>
    <xf numFmtId="2" fontId="153" fillId="47" borderId="15" xfId="0" applyNumberFormat="1" applyFont="1" applyFill="1" applyBorder="1" applyAlignment="1">
      <alignment horizontal="center" vertical="center"/>
    </xf>
    <xf numFmtId="4" fontId="153" fillId="47" borderId="15" xfId="0" applyNumberFormat="1" applyFont="1" applyFill="1" applyBorder="1" applyAlignment="1">
      <alignment horizontal="center" vertical="center"/>
    </xf>
    <xf numFmtId="0" fontId="107" fillId="0" borderId="15" xfId="92" applyFont="1" applyBorder="1" applyAlignment="1">
      <alignment horizontal="center" vertical="center" wrapText="1"/>
    </xf>
    <xf numFmtId="4" fontId="191" fillId="27" borderId="15" xfId="0" applyNumberFormat="1" applyFont="1" applyFill="1" applyBorder="1" applyAlignment="1">
      <alignment horizontal="center" vertical="center" wrapText="1"/>
    </xf>
    <xf numFmtId="4" fontId="192" fillId="27" borderId="15" xfId="0" applyNumberFormat="1" applyFont="1" applyFill="1" applyBorder="1" applyAlignment="1">
      <alignment horizontal="center" vertical="center" wrapText="1"/>
    </xf>
    <xf numFmtId="4" fontId="192" fillId="0" borderId="15" xfId="0" applyNumberFormat="1" applyFont="1" applyBorder="1" applyAlignment="1">
      <alignment horizontal="center" vertical="center" wrapText="1"/>
    </xf>
    <xf numFmtId="4" fontId="193" fillId="28" borderId="0" xfId="0" applyNumberFormat="1" applyFont="1" applyFill="1" applyAlignment="1">
      <alignment vertical="center"/>
    </xf>
    <xf numFmtId="10" fontId="194" fillId="28" borderId="0" xfId="0" applyNumberFormat="1" applyFont="1" applyFill="1" applyAlignment="1">
      <alignment vertical="center"/>
    </xf>
    <xf numFmtId="165" fontId="193" fillId="28" borderId="0" xfId="0" applyNumberFormat="1" applyFont="1" applyFill="1" applyAlignment="1">
      <alignment horizontal="right" vertical="center" wrapText="1"/>
    </xf>
    <xf numFmtId="49" fontId="30" fillId="46" borderId="19" xfId="0" applyNumberFormat="1" applyFont="1" applyFill="1" applyBorder="1" applyAlignment="1">
      <alignment horizontal="center" vertical="center" wrapText="1"/>
    </xf>
    <xf numFmtId="4" fontId="30" fillId="46" borderId="19" xfId="0" applyNumberFormat="1" applyFont="1" applyFill="1" applyBorder="1" applyAlignment="1">
      <alignment horizontal="center" vertical="center" wrapText="1"/>
    </xf>
    <xf numFmtId="49" fontId="30" fillId="48" borderId="19" xfId="0" applyNumberFormat="1" applyFont="1" applyFill="1" applyBorder="1" applyAlignment="1">
      <alignment horizontal="center" vertical="center" wrapText="1"/>
    </xf>
    <xf numFmtId="49" fontId="30" fillId="48" borderId="19" xfId="0" applyNumberFormat="1" applyFont="1" applyFill="1" applyBorder="1" applyAlignment="1">
      <alignment horizontal="left" vertical="center" wrapText="1"/>
    </xf>
    <xf numFmtId="4" fontId="30" fillId="48" borderId="19" xfId="0" applyNumberFormat="1" applyFont="1" applyFill="1" applyBorder="1" applyAlignment="1">
      <alignment horizontal="center" vertical="center" wrapText="1"/>
    </xf>
    <xf numFmtId="0" fontId="147" fillId="48" borderId="24" xfId="39" applyFont="1" applyFill="1" applyBorder="1" applyAlignment="1">
      <alignment horizontal="center" vertical="center" wrapText="1"/>
    </xf>
    <xf numFmtId="4" fontId="147" fillId="48" borderId="24" xfId="39" applyNumberFormat="1" applyFont="1" applyFill="1" applyBorder="1" applyAlignment="1">
      <alignment horizontal="center" vertical="center" wrapText="1"/>
    </xf>
    <xf numFmtId="0" fontId="195" fillId="0" borderId="24" xfId="39" applyFont="1" applyBorder="1" applyAlignment="1">
      <alignment horizontal="center" vertical="center" wrapText="1"/>
    </xf>
    <xf numFmtId="0" fontId="195" fillId="0" borderId="24" xfId="39" applyFont="1" applyBorder="1" applyAlignment="1">
      <alignment vertical="center" wrapText="1"/>
    </xf>
    <xf numFmtId="4" fontId="196" fillId="0" borderId="24" xfId="39" applyNumberFormat="1" applyFont="1" applyBorder="1" applyAlignment="1">
      <alignment horizontal="center" vertical="center" wrapText="1"/>
    </xf>
    <xf numFmtId="4" fontId="195" fillId="0" borderId="24" xfId="39" applyNumberFormat="1" applyFont="1" applyBorder="1" applyAlignment="1">
      <alignment horizontal="center" vertical="center" wrapText="1"/>
    </xf>
    <xf numFmtId="4" fontId="197" fillId="0" borderId="0" xfId="39" applyNumberFormat="1" applyFont="1"/>
    <xf numFmtId="4" fontId="198" fillId="28" borderId="0" xfId="0" applyNumberFormat="1" applyFont="1" applyFill="1"/>
    <xf numFmtId="4" fontId="198" fillId="28" borderId="0" xfId="0" applyNumberFormat="1" applyFont="1" applyFill="1" applyAlignment="1">
      <alignment horizontal="center" vertical="center"/>
    </xf>
    <xf numFmtId="49" fontId="190" fillId="0" borderId="7" xfId="88" applyNumberFormat="1" applyFont="1" applyBorder="1" applyAlignment="1">
      <alignment horizontal="center" vertical="center" wrapText="1"/>
    </xf>
    <xf numFmtId="9" fontId="152" fillId="32" borderId="15" xfId="0" applyNumberFormat="1" applyFont="1" applyFill="1" applyBorder="1" applyAlignment="1">
      <alignment horizontal="center" vertical="center" wrapText="1"/>
    </xf>
    <xf numFmtId="4" fontId="153" fillId="46" borderId="15" xfId="0" applyNumberFormat="1" applyFont="1" applyFill="1" applyBorder="1" applyAlignment="1">
      <alignment horizontal="center" vertical="center" wrapText="1"/>
    </xf>
    <xf numFmtId="9" fontId="153" fillId="46" borderId="15" xfId="0" applyNumberFormat="1" applyFont="1" applyFill="1" applyBorder="1" applyAlignment="1">
      <alignment horizontal="center" vertical="center" wrapText="1"/>
    </xf>
    <xf numFmtId="4" fontId="149" fillId="47" borderId="15" xfId="0" applyNumberFormat="1" applyFont="1" applyFill="1" applyBorder="1" applyAlignment="1">
      <alignment horizontal="center" vertical="center"/>
    </xf>
    <xf numFmtId="4" fontId="197" fillId="28" borderId="15" xfId="0" applyNumberFormat="1" applyFont="1" applyFill="1" applyBorder="1" applyAlignment="1">
      <alignment horizontal="center" vertical="center"/>
    </xf>
    <xf numFmtId="2" fontId="199" fillId="28" borderId="0" xfId="36" applyNumberFormat="1" applyFont="1" applyFill="1" applyAlignment="1">
      <alignment horizontal="center" vertical="top"/>
    </xf>
    <xf numFmtId="0" fontId="200" fillId="45" borderId="0" xfId="0" applyFont="1" applyFill="1"/>
    <xf numFmtId="4" fontId="200" fillId="45" borderId="0" xfId="0" applyNumberFormat="1" applyFont="1" applyFill="1"/>
    <xf numFmtId="0" fontId="200" fillId="28" borderId="0" xfId="0" applyFont="1" applyFill="1"/>
    <xf numFmtId="4" fontId="201" fillId="28" borderId="15" xfId="35" applyNumberFormat="1" applyFont="1" applyFill="1" applyBorder="1" applyAlignment="1">
      <alignment horizontal="left" vertical="center"/>
    </xf>
    <xf numFmtId="0" fontId="202" fillId="0" borderId="0" xfId="35" applyFont="1" applyAlignment="1">
      <alignment horizontal="center" vertical="center"/>
    </xf>
    <xf numFmtId="4" fontId="99" fillId="29" borderId="0" xfId="0" applyNumberFormat="1" applyFont="1" applyFill="1" applyAlignment="1">
      <alignment horizontal="center" vertical="center" wrapText="1"/>
    </xf>
    <xf numFmtId="49" fontId="30" fillId="0" borderId="16" xfId="0" applyNumberFormat="1" applyFont="1" applyBorder="1" applyAlignment="1">
      <alignment horizontal="center" wrapText="1"/>
    </xf>
    <xf numFmtId="49" fontId="30" fillId="0" borderId="0" xfId="0" applyNumberFormat="1" applyFont="1" applyAlignment="1">
      <alignment horizontal="center" vertical="center" wrapText="1"/>
    </xf>
    <xf numFmtId="49" fontId="30" fillId="0" borderId="17" xfId="0" applyNumberFormat="1" applyFont="1" applyBorder="1" applyAlignment="1">
      <alignment horizontal="center" vertical="top" wrapText="1"/>
    </xf>
    <xf numFmtId="49" fontId="30" fillId="45" borderId="15" xfId="0" applyNumberFormat="1" applyFont="1" applyFill="1" applyBorder="1" applyAlignment="1">
      <alignment horizontal="center" vertical="center" wrapText="1"/>
    </xf>
    <xf numFmtId="49" fontId="30" fillId="49" borderId="15" xfId="0" applyNumberFormat="1" applyFont="1" applyFill="1" applyBorder="1" applyAlignment="1">
      <alignment horizontal="center" vertical="center" wrapText="1"/>
    </xf>
    <xf numFmtId="0" fontId="70" fillId="49" borderId="0" xfId="0" applyFont="1" applyFill="1"/>
    <xf numFmtId="4" fontId="72" fillId="49" borderId="0" xfId="0" applyNumberFormat="1" applyFont="1" applyFill="1" applyAlignment="1">
      <alignment horizontal="left" vertical="center"/>
    </xf>
    <xf numFmtId="0" fontId="36" fillId="49" borderId="0" xfId="0" applyFont="1" applyFill="1"/>
    <xf numFmtId="4" fontId="30" fillId="45" borderId="15" xfId="38" applyNumberFormat="1" applyFont="1" applyFill="1" applyBorder="1" applyAlignment="1" applyProtection="1">
      <alignment horizontal="center" vertical="center" wrapText="1"/>
      <protection locked="0"/>
    </xf>
    <xf numFmtId="49" fontId="30" fillId="0" borderId="16" xfId="0" applyNumberFormat="1" applyFont="1" applyBorder="1" applyAlignment="1">
      <alignment vertical="center" wrapText="1"/>
    </xf>
    <xf numFmtId="49" fontId="30" fillId="45" borderId="16" xfId="0" applyNumberFormat="1" applyFont="1" applyFill="1" applyBorder="1" applyAlignment="1">
      <alignment vertical="center" wrapText="1"/>
    </xf>
    <xf numFmtId="4" fontId="30" fillId="45" borderId="15" xfId="38" applyNumberFormat="1" applyFont="1" applyFill="1" applyBorder="1" applyAlignment="1">
      <alignment horizontal="center" vertical="center" wrapText="1"/>
    </xf>
    <xf numFmtId="0" fontId="75" fillId="0" borderId="0" xfId="0" applyFont="1" applyAlignment="1">
      <alignment wrapText="1"/>
    </xf>
    <xf numFmtId="0" fontId="16" fillId="0" borderId="0" xfId="0" applyFont="1" applyAlignment="1">
      <alignment horizontal="center" vertical="center"/>
    </xf>
    <xf numFmtId="0" fontId="10" fillId="0" borderId="0" xfId="0" applyFont="1"/>
    <xf numFmtId="0" fontId="10" fillId="0" borderId="0" xfId="0" applyFont="1" applyAlignment="1">
      <alignment horizontal="center" vertical="center"/>
    </xf>
    <xf numFmtId="0" fontId="185" fillId="0" borderId="0" xfId="39" applyFont="1" applyAlignment="1">
      <alignment horizontal="center" vertical="center"/>
    </xf>
    <xf numFmtId="0" fontId="10" fillId="0" borderId="0" xfId="0" applyFont="1" applyAlignment="1">
      <alignment horizontal="center"/>
    </xf>
    <xf numFmtId="0" fontId="186" fillId="0" borderId="0" xfId="39" applyFont="1" applyAlignment="1">
      <alignment horizontal="center" vertical="center"/>
    </xf>
    <xf numFmtId="0" fontId="58" fillId="0" borderId="0" xfId="0" applyFont="1"/>
    <xf numFmtId="0" fontId="166" fillId="0" borderId="0" xfId="39" applyFont="1" applyAlignment="1">
      <alignment horizontal="center" vertical="center"/>
    </xf>
    <xf numFmtId="0" fontId="40" fillId="0" borderId="0" xfId="0" applyFont="1"/>
    <xf numFmtId="0" fontId="147" fillId="0" borderId="24" xfId="39" applyFont="1" applyBorder="1" applyAlignment="1">
      <alignment horizontal="center" vertical="top" wrapText="1"/>
    </xf>
    <xf numFmtId="0" fontId="16" fillId="0" borderId="0" xfId="39" applyFont="1" applyAlignment="1">
      <alignment vertical="center" wrapText="1"/>
    </xf>
    <xf numFmtId="0" fontId="0" fillId="0" borderId="0" xfId="0"/>
    <xf numFmtId="0" fontId="148" fillId="0" borderId="0" xfId="0" applyFont="1" applyAlignment="1">
      <alignment horizontal="center" vertical="center" wrapText="1"/>
    </xf>
    <xf numFmtId="0" fontId="171" fillId="0" borderId="0" xfId="0" applyFont="1" applyAlignment="1">
      <alignment horizontal="center"/>
    </xf>
    <xf numFmtId="0" fontId="172" fillId="0" borderId="0" xfId="0" applyFont="1" applyAlignment="1">
      <alignment horizontal="center"/>
    </xf>
    <xf numFmtId="0" fontId="0" fillId="0" borderId="0" xfId="0" applyAlignment="1">
      <alignment horizontal="center"/>
    </xf>
    <xf numFmtId="0" fontId="173" fillId="0" borderId="0" xfId="0" applyFont="1" applyAlignment="1">
      <alignment horizontal="center" vertical="top"/>
    </xf>
    <xf numFmtId="0" fontId="174" fillId="0" borderId="0" xfId="0" applyFont="1" applyAlignment="1">
      <alignment horizontal="center" vertical="top"/>
    </xf>
    <xf numFmtId="0" fontId="175" fillId="0" borderId="24" xfId="0" applyFont="1" applyBorder="1" applyAlignment="1">
      <alignment horizontal="center" vertical="center" wrapText="1"/>
    </xf>
    <xf numFmtId="0" fontId="0" fillId="0" borderId="24" xfId="0" applyBorder="1" applyAlignment="1">
      <alignment horizontal="center" vertical="center" wrapText="1"/>
    </xf>
    <xf numFmtId="0" fontId="147" fillId="44" borderId="24" xfId="0" applyFont="1" applyFill="1" applyBorder="1" applyAlignment="1">
      <alignment horizontal="left" vertical="center" wrapText="1"/>
    </xf>
    <xf numFmtId="0" fontId="0" fillId="44" borderId="24" xfId="0" applyFill="1" applyBorder="1" applyAlignment="1">
      <alignment wrapText="1"/>
    </xf>
    <xf numFmtId="0" fontId="52" fillId="0" borderId="0" xfId="0" applyFont="1" applyAlignment="1">
      <alignment horizontal="left" vertical="center"/>
    </xf>
    <xf numFmtId="0" fontId="53" fillId="0" borderId="0" xfId="0" applyFont="1" applyAlignment="1">
      <alignment horizontal="left" vertical="center"/>
    </xf>
    <xf numFmtId="0" fontId="30" fillId="28" borderId="0" xfId="0" applyFont="1" applyFill="1"/>
    <xf numFmtId="4" fontId="30" fillId="0" borderId="16" xfId="0" applyNumberFormat="1" applyFont="1" applyBorder="1" applyAlignment="1">
      <alignment horizontal="center" vertical="center" wrapText="1"/>
    </xf>
    <xf numFmtId="4" fontId="30" fillId="0" borderId="17" xfId="0" applyNumberFormat="1" applyFont="1" applyBorder="1" applyAlignment="1">
      <alignment horizontal="center" vertical="center" wrapText="1"/>
    </xf>
    <xf numFmtId="4" fontId="32" fillId="0" borderId="16" xfId="0" applyNumberFormat="1" applyFont="1" applyBorder="1" applyAlignment="1">
      <alignment horizontal="center" vertical="center"/>
    </xf>
    <xf numFmtId="4" fontId="32" fillId="0" borderId="17" xfId="0" applyNumberFormat="1" applyFont="1" applyBorder="1" applyAlignment="1">
      <alignment horizontal="center" vertical="center"/>
    </xf>
    <xf numFmtId="4" fontId="29" fillId="0" borderId="16" xfId="0" applyNumberFormat="1" applyFont="1" applyBorder="1" applyAlignment="1">
      <alignment horizontal="center" vertical="center" wrapText="1"/>
    </xf>
    <xf numFmtId="4" fontId="29" fillId="0" borderId="17" xfId="0" applyNumberFormat="1" applyFont="1" applyBorder="1" applyAlignment="1">
      <alignment horizontal="center" vertical="center" wrapText="1"/>
    </xf>
    <xf numFmtId="4" fontId="68" fillId="0" borderId="15" xfId="0" applyNumberFormat="1" applyFont="1" applyBorder="1" applyAlignment="1">
      <alignment horizontal="center" vertical="center" wrapText="1"/>
    </xf>
    <xf numFmtId="4" fontId="64" fillId="0" borderId="15" xfId="0" applyNumberFormat="1" applyFont="1" applyBorder="1" applyAlignment="1">
      <alignment horizontal="center" vertical="center" wrapText="1"/>
    </xf>
    <xf numFmtId="49" fontId="30" fillId="0" borderId="15" xfId="0" applyNumberFormat="1" applyFont="1" applyBorder="1" applyAlignment="1">
      <alignment horizontal="center" vertical="center" wrapText="1"/>
    </xf>
    <xf numFmtId="0" fontId="0" fillId="0" borderId="15" xfId="0"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7" xfId="0" applyNumberFormat="1" applyFont="1" applyBorder="1" applyAlignment="1">
      <alignment horizontal="center" vertical="center" wrapText="1"/>
    </xf>
    <xf numFmtId="0" fontId="3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144" fillId="0" borderId="0" xfId="0" applyFont="1" applyAlignment="1">
      <alignment horizontal="center"/>
    </xf>
    <xf numFmtId="0" fontId="145" fillId="0" borderId="0" xfId="0" applyFont="1" applyAlignment="1">
      <alignment horizontal="center"/>
    </xf>
    <xf numFmtId="0" fontId="29" fillId="0" borderId="15" xfId="0" applyFont="1" applyBorder="1" applyAlignment="1">
      <alignment horizontal="center" vertical="top"/>
    </xf>
    <xf numFmtId="0" fontId="0" fillId="0" borderId="15" xfId="0" applyBorder="1" applyAlignment="1">
      <alignment horizontal="center" vertical="top"/>
    </xf>
    <xf numFmtId="0" fontId="29" fillId="0" borderId="15" xfId="0" applyFont="1" applyBorder="1" applyAlignment="1">
      <alignment horizontal="center" vertical="top" wrapText="1"/>
    </xf>
    <xf numFmtId="0" fontId="30" fillId="0" borderId="0" xfId="0" applyFont="1" applyAlignment="1">
      <alignment horizontal="center" vertical="top"/>
    </xf>
    <xf numFmtId="0" fontId="33" fillId="0" borderId="0" xfId="0" applyFont="1" applyAlignment="1">
      <alignment horizontal="center" vertical="top"/>
    </xf>
    <xf numFmtId="0" fontId="15" fillId="0" borderId="15" xfId="0" applyFont="1" applyBorder="1" applyAlignment="1">
      <alignment horizontal="center" vertical="top"/>
    </xf>
    <xf numFmtId="4" fontId="65" fillId="0" borderId="15" xfId="0" applyNumberFormat="1" applyFont="1" applyBorder="1" applyAlignment="1">
      <alignment horizontal="center" vertical="center"/>
    </xf>
    <xf numFmtId="4" fontId="61"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0" fontId="61" fillId="0" borderId="15" xfId="0" applyFont="1" applyBorder="1" applyAlignment="1">
      <alignment horizontal="center" vertical="center" wrapText="1"/>
    </xf>
    <xf numFmtId="49" fontId="64" fillId="28" borderId="16" xfId="0" applyNumberFormat="1" applyFont="1" applyFill="1" applyBorder="1" applyAlignment="1">
      <alignment horizontal="center" vertical="center" wrapText="1"/>
    </xf>
    <xf numFmtId="0" fontId="61" fillId="28" borderId="17" xfId="0" applyFont="1" applyFill="1" applyBorder="1" applyAlignment="1">
      <alignment horizontal="center" vertical="center" wrapText="1"/>
    </xf>
    <xf numFmtId="4" fontId="68" fillId="28" borderId="16" xfId="0" applyNumberFormat="1" applyFont="1" applyFill="1" applyBorder="1" applyAlignment="1">
      <alignment horizontal="center" vertical="center" wrapText="1"/>
    </xf>
    <xf numFmtId="49" fontId="30" fillId="0" borderId="16" xfId="0" applyNumberFormat="1" applyFont="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4" fontId="32" fillId="0" borderId="16" xfId="0" applyNumberFormat="1" applyFont="1" applyBorder="1" applyAlignment="1">
      <alignment horizontal="center" vertical="center" wrapText="1"/>
    </xf>
    <xf numFmtId="0" fontId="33" fillId="0" borderId="15" xfId="0" applyFont="1" applyBorder="1" applyAlignment="1">
      <alignment horizontal="center" vertical="center" wrapText="1"/>
    </xf>
    <xf numFmtId="0" fontId="71" fillId="0" borderId="15" xfId="0" applyFont="1" applyBorder="1" applyAlignment="1">
      <alignment horizontal="center" vertical="center" wrapText="1"/>
    </xf>
    <xf numFmtId="0" fontId="61" fillId="28" borderId="18" xfId="0" applyFont="1" applyFill="1" applyBorder="1" applyAlignment="1">
      <alignment horizontal="center" vertical="center" wrapText="1"/>
    </xf>
    <xf numFmtId="0" fontId="30" fillId="0" borderId="0" xfId="0" applyFont="1"/>
    <xf numFmtId="4" fontId="60" fillId="0" borderId="15" xfId="0" applyNumberFormat="1" applyFont="1" applyBorder="1" applyAlignment="1">
      <alignment horizontal="center" vertical="center" wrapText="1"/>
    </xf>
    <xf numFmtId="4" fontId="64"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0" fontId="61" fillId="28" borderId="23" xfId="0" applyFont="1" applyFill="1" applyBorder="1"/>
    <xf numFmtId="4" fontId="60" fillId="28" borderId="15" xfId="0" applyNumberFormat="1" applyFont="1" applyFill="1" applyBorder="1" applyAlignment="1">
      <alignment horizontal="center" vertical="center" wrapText="1"/>
    </xf>
    <xf numFmtId="4" fontId="65" fillId="0" borderId="16" xfId="0" applyNumberFormat="1" applyFont="1" applyBorder="1" applyAlignment="1">
      <alignment horizontal="center" vertical="center" wrapText="1"/>
    </xf>
    <xf numFmtId="0" fontId="61" fillId="0" borderId="17" xfId="0" applyFont="1" applyBorder="1" applyAlignment="1">
      <alignment horizontal="center" vertical="center" wrapText="1"/>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5" fillId="28" borderId="16" xfId="0" applyNumberFormat="1" applyFont="1" applyFill="1" applyBorder="1" applyAlignment="1">
      <alignment horizontal="center" vertical="center" wrapText="1"/>
    </xf>
    <xf numFmtId="4" fontId="31" fillId="28" borderId="0" xfId="0" applyNumberFormat="1" applyFont="1" applyFill="1" applyAlignment="1">
      <alignment horizontal="left" vertical="center" wrapText="1"/>
    </xf>
    <xf numFmtId="0" fontId="0" fillId="28" borderId="0" xfId="0" applyFill="1"/>
    <xf numFmtId="0" fontId="0" fillId="28" borderId="0" xfId="0" applyFill="1" applyAlignment="1">
      <alignment horizontal="left" vertical="center" wrapText="1"/>
    </xf>
    <xf numFmtId="0" fontId="30" fillId="0" borderId="0" xfId="39" applyFont="1" applyAlignment="1">
      <alignment vertical="center" wrapText="1"/>
    </xf>
    <xf numFmtId="0" fontId="33" fillId="0" borderId="0" xfId="0" applyFont="1"/>
    <xf numFmtId="4" fontId="68" fillId="0" borderId="16" xfId="0" applyNumberFormat="1" applyFont="1" applyBorder="1" applyAlignment="1">
      <alignment horizontal="center" vertical="center" wrapText="1"/>
    </xf>
    <xf numFmtId="0" fontId="61" fillId="0" borderId="18" xfId="0" applyFont="1" applyBorder="1" applyAlignment="1">
      <alignment horizontal="center" vertical="center" wrapText="1"/>
    </xf>
    <xf numFmtId="0" fontId="61" fillId="0" borderId="15" xfId="0" applyFont="1" applyBorder="1" applyAlignment="1">
      <alignment horizontal="center" vertical="center"/>
    </xf>
    <xf numFmtId="4" fontId="62" fillId="0" borderId="15" xfId="0" applyNumberFormat="1" applyFont="1" applyBorder="1" applyAlignment="1">
      <alignment horizontal="center" vertical="center" wrapText="1"/>
    </xf>
    <xf numFmtId="0" fontId="90" fillId="0" borderId="0" xfId="0" applyFont="1" applyAlignment="1">
      <alignment horizontal="center" vertical="center"/>
    </xf>
    <xf numFmtId="0" fontId="90" fillId="0" borderId="0" xfId="0" applyFont="1" applyAlignment="1">
      <alignment horizontal="center"/>
    </xf>
    <xf numFmtId="0" fontId="58" fillId="0" borderId="0" xfId="0" applyFont="1" applyAlignment="1">
      <alignment horizontal="center"/>
    </xf>
    <xf numFmtId="0" fontId="12" fillId="0" borderId="0" xfId="0" applyFont="1" applyAlignment="1">
      <alignment horizontal="center" vertical="top"/>
    </xf>
    <xf numFmtId="0" fontId="10" fillId="0" borderId="0" xfId="0" applyFont="1" applyAlignment="1">
      <alignment horizontal="center" vertical="top"/>
    </xf>
    <xf numFmtId="0" fontId="76" fillId="0" borderId="0" xfId="35" applyFont="1"/>
    <xf numFmtId="0" fontId="61" fillId="0" borderId="0" xfId="0" applyFont="1"/>
    <xf numFmtId="0" fontId="147" fillId="0" borderId="15" xfId="35" applyFont="1" applyBorder="1" applyAlignment="1">
      <alignment horizontal="center" vertical="top" wrapText="1"/>
    </xf>
    <xf numFmtId="0" fontId="147" fillId="0" borderId="15" xfId="0" applyFont="1" applyBorder="1" applyAlignment="1">
      <alignment horizontal="center" vertical="top" wrapText="1"/>
    </xf>
    <xf numFmtId="0" fontId="147" fillId="0" borderId="15" xfId="0" applyFont="1" applyBorder="1" applyAlignment="1">
      <alignment horizontal="center" vertical="top"/>
    </xf>
    <xf numFmtId="0" fontId="169" fillId="0" borderId="15" xfId="35" applyFont="1" applyBorder="1" applyAlignment="1">
      <alignment horizontal="center" vertical="top" wrapText="1"/>
    </xf>
    <xf numFmtId="0" fontId="148" fillId="0" borderId="0" xfId="35" applyFont="1" applyAlignment="1">
      <alignment horizontal="center" vertical="center" wrapText="1"/>
    </xf>
    <xf numFmtId="0" fontId="10" fillId="0" borderId="0" xfId="0" applyFont="1" applyAlignment="1">
      <alignment horizontal="center" vertical="center" wrapText="1"/>
    </xf>
    <xf numFmtId="0" fontId="149" fillId="0" borderId="0" xfId="0" applyFont="1" applyAlignment="1">
      <alignment horizontal="justify" vertical="center"/>
    </xf>
    <xf numFmtId="0" fontId="15" fillId="0" borderId="15" xfId="0" applyFont="1" applyBorder="1" applyAlignment="1">
      <alignment horizontal="center" vertical="top" wrapText="1"/>
    </xf>
    <xf numFmtId="0" fontId="67" fillId="0" borderId="0" xfId="0" applyFont="1"/>
    <xf numFmtId="0" fontId="149" fillId="0" borderId="0" xfId="35" applyFont="1" applyAlignment="1">
      <alignment horizontal="center" vertical="center" wrapText="1"/>
    </xf>
    <xf numFmtId="0" fontId="149" fillId="0" borderId="0" xfId="0" applyFont="1"/>
    <xf numFmtId="49" fontId="64" fillId="0" borderId="19" xfId="0" applyNumberFormat="1" applyFont="1" applyBorder="1" applyAlignment="1">
      <alignment horizontal="left" vertical="center" wrapText="1"/>
    </xf>
    <xf numFmtId="0" fontId="61" fillId="0" borderId="22" xfId="0" applyFont="1" applyBorder="1" applyAlignment="1">
      <alignment horizontal="left" vertical="center" wrapText="1"/>
    </xf>
    <xf numFmtId="49" fontId="30" fillId="0" borderId="19" xfId="0" applyNumberFormat="1" applyFont="1" applyBorder="1" applyAlignment="1">
      <alignment horizontal="left" vertical="center" wrapText="1"/>
    </xf>
    <xf numFmtId="0" fontId="0" fillId="0" borderId="22" xfId="0" applyBorder="1" applyAlignment="1">
      <alignment horizontal="left" vertical="center" wrapText="1"/>
    </xf>
    <xf numFmtId="49" fontId="30" fillId="0" borderId="26" xfId="0" applyNumberFormat="1" applyFont="1" applyBorder="1" applyAlignment="1">
      <alignment horizontal="left" wrapText="1"/>
    </xf>
    <xf numFmtId="0" fontId="0" fillId="0" borderId="27" xfId="0" applyBorder="1" applyAlignment="1">
      <alignment horizontal="left" wrapText="1"/>
    </xf>
    <xf numFmtId="49" fontId="30" fillId="0" borderId="0" xfId="0" applyNumberFormat="1" applyFont="1" applyAlignment="1">
      <alignment horizontal="left" vertical="top" wrapText="1"/>
    </xf>
    <xf numFmtId="0" fontId="0" fillId="0" borderId="0" xfId="0" applyAlignment="1">
      <alignment horizontal="left" vertical="top" wrapText="1"/>
    </xf>
    <xf numFmtId="0" fontId="29" fillId="0" borderId="0" xfId="0" applyFont="1" applyAlignment="1">
      <alignment horizontal="left" vertical="center"/>
    </xf>
    <xf numFmtId="0" fontId="0" fillId="0" borderId="0" xfId="0" applyAlignment="1">
      <alignment horizontal="left" vertical="center"/>
    </xf>
    <xf numFmtId="49" fontId="29" fillId="46" borderId="19" xfId="0" applyNumberFormat="1" applyFont="1" applyFill="1" applyBorder="1" applyAlignment="1">
      <alignment horizontal="center" vertical="center" wrapText="1"/>
    </xf>
    <xf numFmtId="0" fontId="15" fillId="46" borderId="21" xfId="0" applyFont="1" applyFill="1" applyBorder="1" applyAlignment="1">
      <alignment horizontal="center" vertical="center" wrapText="1"/>
    </xf>
    <xf numFmtId="0" fontId="15" fillId="46" borderId="22" xfId="0" applyFont="1" applyFill="1" applyBorder="1" applyAlignment="1">
      <alignment horizontal="center" vertical="center" wrapText="1"/>
    </xf>
    <xf numFmtId="0" fontId="29" fillId="0" borderId="19" xfId="0" applyFont="1" applyBorder="1" applyAlignment="1">
      <alignment horizontal="center" vertical="center" wrapText="1"/>
    </xf>
    <xf numFmtId="0" fontId="15" fillId="0" borderId="22" xfId="0" applyFont="1" applyBorder="1" applyAlignment="1">
      <alignment horizontal="center" vertical="center" wrapText="1"/>
    </xf>
    <xf numFmtId="49" fontId="30" fillId="0" borderId="19" xfId="0" applyNumberFormat="1" applyFont="1" applyBorder="1" applyAlignment="1">
      <alignment horizontal="center" vertical="center" wrapText="1"/>
    </xf>
    <xf numFmtId="0" fontId="0" fillId="0" borderId="22" xfId="0" applyBorder="1" applyAlignment="1">
      <alignment horizontal="center" vertical="center" wrapText="1"/>
    </xf>
    <xf numFmtId="49" fontId="60" fillId="0" borderId="19" xfId="0" applyNumberFormat="1" applyFont="1" applyBorder="1" applyAlignment="1">
      <alignment horizontal="left" vertical="center" wrapText="1"/>
    </xf>
    <xf numFmtId="0" fontId="62" fillId="0" borderId="22" xfId="0" applyFont="1" applyBorder="1" applyAlignment="1">
      <alignment horizontal="left" vertical="center" wrapText="1"/>
    </xf>
    <xf numFmtId="49" fontId="29" fillId="0" borderId="19" xfId="0" applyNumberFormat="1" applyFont="1" applyBorder="1" applyAlignment="1">
      <alignment horizontal="left" vertical="center" wrapText="1"/>
    </xf>
    <xf numFmtId="49" fontId="29" fillId="0" borderId="22" xfId="0" applyNumberFormat="1" applyFont="1" applyBorder="1" applyAlignment="1">
      <alignment horizontal="left" vertical="center" wrapText="1"/>
    </xf>
    <xf numFmtId="0" fontId="15" fillId="0" borderId="22" xfId="0" applyFont="1" applyBorder="1" applyAlignment="1">
      <alignment horizontal="left" vertical="center" wrapText="1"/>
    </xf>
    <xf numFmtId="49" fontId="30" fillId="0" borderId="22" xfId="0" applyNumberFormat="1" applyFont="1" applyBorder="1" applyAlignment="1">
      <alignment horizontal="left" vertical="center" wrapText="1"/>
    </xf>
    <xf numFmtId="0" fontId="64" fillId="27" borderId="0" xfId="0" applyFont="1" applyFill="1" applyAlignment="1">
      <alignment horizontal="center" vertical="center"/>
    </xf>
    <xf numFmtId="0" fontId="64" fillId="27" borderId="0" xfId="0" applyFont="1" applyFill="1" applyAlignment="1">
      <alignment vertical="center"/>
    </xf>
    <xf numFmtId="0" fontId="64" fillId="0" borderId="0" xfId="39" applyFont="1" applyAlignment="1">
      <alignment vertical="top" wrapText="1"/>
    </xf>
    <xf numFmtId="0" fontId="61" fillId="0" borderId="0" xfId="0" applyFont="1" applyAlignment="1">
      <alignment vertical="top" wrapText="1"/>
    </xf>
    <xf numFmtId="49" fontId="64" fillId="27" borderId="19" xfId="0" applyNumberFormat="1" applyFont="1" applyFill="1" applyBorder="1" applyAlignment="1">
      <alignment horizontal="left" vertical="center" wrapText="1"/>
    </xf>
    <xf numFmtId="0" fontId="61" fillId="27" borderId="22" xfId="0" applyFont="1" applyFill="1" applyBorder="1" applyAlignment="1">
      <alignment horizontal="left" vertical="center" wrapText="1"/>
    </xf>
    <xf numFmtId="49" fontId="29" fillId="35" borderId="19" xfId="0" applyNumberFormat="1" applyFont="1" applyFill="1" applyBorder="1" applyAlignment="1">
      <alignment horizontal="left" vertical="center" wrapText="1"/>
    </xf>
    <xf numFmtId="49" fontId="29" fillId="35" borderId="22" xfId="0" applyNumberFormat="1" applyFont="1" applyFill="1" applyBorder="1" applyAlignment="1">
      <alignment horizontal="left" vertical="center" wrapText="1"/>
    </xf>
    <xf numFmtId="49" fontId="30" fillId="35" borderId="19" xfId="0" applyNumberFormat="1" applyFont="1" applyFill="1" applyBorder="1" applyAlignment="1">
      <alignment horizontal="left" vertical="center" wrapText="1"/>
    </xf>
    <xf numFmtId="0" fontId="0" fillId="35" borderId="22" xfId="0" applyFill="1" applyBorder="1" applyAlignment="1">
      <alignment horizontal="left" vertical="center" wrapText="1"/>
    </xf>
    <xf numFmtId="0" fontId="30" fillId="0" borderId="0" xfId="0" applyFont="1" applyAlignment="1">
      <alignment horizontal="justify" vertical="center"/>
    </xf>
    <xf numFmtId="0" fontId="64" fillId="0" borderId="0" xfId="0" applyFont="1"/>
    <xf numFmtId="49" fontId="29" fillId="48" borderId="19" xfId="0" applyNumberFormat="1" applyFont="1" applyFill="1" applyBorder="1" applyAlignment="1">
      <alignment horizontal="center" vertical="center" wrapText="1"/>
    </xf>
    <xf numFmtId="0" fontId="15" fillId="48" borderId="21" xfId="0" applyFont="1" applyFill="1" applyBorder="1" applyAlignment="1">
      <alignment horizontal="center" vertical="center" wrapText="1"/>
    </xf>
    <xf numFmtId="0" fontId="15" fillId="48" borderId="22" xfId="0" applyFont="1" applyFill="1" applyBorder="1" applyAlignment="1">
      <alignment horizontal="center" vertical="center" wrapText="1"/>
    </xf>
    <xf numFmtId="49" fontId="30" fillId="46" borderId="19" xfId="0" applyNumberFormat="1" applyFont="1" applyFill="1" applyBorder="1" applyAlignment="1">
      <alignment horizontal="left" vertical="center" wrapText="1"/>
    </xf>
    <xf numFmtId="49" fontId="30" fillId="46" borderId="22" xfId="0" applyNumberFormat="1" applyFont="1" applyFill="1" applyBorder="1" applyAlignment="1">
      <alignment horizontal="left" vertical="center" wrapText="1"/>
    </xf>
    <xf numFmtId="0" fontId="160" fillId="0" borderId="0" xfId="0" applyFont="1" applyAlignment="1">
      <alignment horizontal="justify" vertical="center"/>
    </xf>
    <xf numFmtId="0" fontId="154" fillId="0" borderId="0" xfId="0" applyFont="1"/>
    <xf numFmtId="0" fontId="188" fillId="0" borderId="0" xfId="0" applyFont="1" applyAlignment="1">
      <alignment horizontal="left" vertical="center"/>
    </xf>
    <xf numFmtId="0" fontId="157" fillId="0" borderId="0" xfId="0" applyFont="1" applyAlignment="1">
      <alignment horizontal="center" vertical="center"/>
    </xf>
    <xf numFmtId="0" fontId="107" fillId="0" borderId="0" xfId="35" applyFont="1" applyAlignment="1">
      <alignment horizontal="center" vertical="center"/>
    </xf>
    <xf numFmtId="0" fontId="151" fillId="0" borderId="0" xfId="35" applyFont="1" applyAlignment="1">
      <alignment horizontal="center" vertical="center" wrapText="1"/>
    </xf>
    <xf numFmtId="4" fontId="200" fillId="45" borderId="0" xfId="0" applyNumberFormat="1" applyFont="1" applyFill="1" applyAlignment="1">
      <alignment horizontal="center" wrapText="1"/>
    </xf>
    <xf numFmtId="4" fontId="64" fillId="28" borderId="16" xfId="0" applyNumberFormat="1" applyFont="1" applyFill="1" applyBorder="1" applyAlignment="1">
      <alignment horizontal="center" vertical="center" wrapText="1"/>
    </xf>
    <xf numFmtId="0" fontId="64" fillId="28" borderId="17" xfId="0" applyFont="1" applyFill="1" applyBorder="1" applyAlignment="1">
      <alignment horizontal="center" vertical="center" wrapText="1"/>
    </xf>
    <xf numFmtId="4" fontId="64" fillId="0" borderId="16" xfId="0" applyNumberFormat="1" applyFont="1" applyBorder="1" applyAlignment="1">
      <alignment horizontal="center" vertical="center" wrapText="1"/>
    </xf>
    <xf numFmtId="4" fontId="64" fillId="0" borderId="17" xfId="0" applyNumberFormat="1" applyFont="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49" fontId="64" fillId="0" borderId="16" xfId="0" applyNumberFormat="1" applyFont="1" applyBorder="1" applyAlignment="1">
      <alignment horizontal="center" vertical="center" wrapText="1"/>
    </xf>
    <xf numFmtId="0" fontId="159" fillId="0" borderId="0" xfId="0" applyFont="1" applyAlignment="1">
      <alignment horizontal="justify" vertical="center"/>
    </xf>
    <xf numFmtId="165" fontId="64" fillId="0" borderId="16" xfId="30" applyNumberFormat="1" applyFont="1" applyBorder="1" applyAlignment="1">
      <alignment horizontal="center" vertical="center" wrapText="1"/>
    </xf>
    <xf numFmtId="0" fontId="71" fillId="0" borderId="17" xfId="0" applyFont="1" applyBorder="1" applyAlignment="1">
      <alignment horizontal="center" vertical="center" wrapText="1"/>
    </xf>
    <xf numFmtId="165" fontId="30" fillId="0" borderId="16" xfId="30" applyNumberFormat="1" applyFont="1" applyBorder="1" applyAlignment="1">
      <alignment horizontal="center" vertical="center" wrapText="1"/>
    </xf>
    <xf numFmtId="165" fontId="30" fillId="0" borderId="17" xfId="30" applyNumberFormat="1" applyFont="1" applyBorder="1" applyAlignment="1">
      <alignment horizontal="center" vertical="center" wrapText="1"/>
    </xf>
    <xf numFmtId="4" fontId="80" fillId="29" borderId="23" xfId="0" applyNumberFormat="1" applyFont="1" applyFill="1" applyBorder="1" applyAlignment="1">
      <alignment horizontal="center" vertical="center" wrapText="1"/>
    </xf>
    <xf numFmtId="0" fontId="75" fillId="28" borderId="23" xfId="0" applyFont="1" applyFill="1" applyBorder="1"/>
    <xf numFmtId="0" fontId="30" fillId="0" borderId="15" xfId="0" applyFont="1" applyBorder="1" applyAlignment="1">
      <alignment horizontal="center" vertical="top" wrapText="1"/>
    </xf>
    <xf numFmtId="0" fontId="30" fillId="0" borderId="15" xfId="0" applyFont="1" applyBorder="1" applyAlignment="1">
      <alignment horizontal="center" vertical="top"/>
    </xf>
    <xf numFmtId="4" fontId="99" fillId="29" borderId="23" xfId="0" applyNumberFormat="1" applyFont="1" applyFill="1" applyBorder="1" applyAlignment="1">
      <alignment horizontal="center" vertical="center" wrapText="1"/>
    </xf>
    <xf numFmtId="0" fontId="146" fillId="28" borderId="23" xfId="0" applyFont="1" applyFill="1" applyBorder="1"/>
    <xf numFmtId="4" fontId="98" fillId="29" borderId="23" xfId="0" applyNumberFormat="1" applyFont="1" applyFill="1" applyBorder="1" applyAlignment="1">
      <alignment horizontal="center" vertical="center" wrapText="1"/>
    </xf>
    <xf numFmtId="0" fontId="94" fillId="0" borderId="23" xfId="0" applyFont="1" applyBorder="1"/>
    <xf numFmtId="0" fontId="33" fillId="0" borderId="17" xfId="0" applyFont="1" applyBorder="1" applyAlignment="1">
      <alignment horizontal="center" vertical="center" wrapText="1"/>
    </xf>
    <xf numFmtId="2" fontId="78" fillId="28" borderId="23" xfId="36" applyNumberFormat="1" applyFont="1" applyFill="1" applyBorder="1" applyAlignment="1">
      <alignment horizontal="center" vertical="top"/>
    </xf>
    <xf numFmtId="0" fontId="61" fillId="0" borderId="0" xfId="0" applyFont="1" applyAlignment="1">
      <alignment horizontal="center" vertical="top"/>
    </xf>
    <xf numFmtId="2" fontId="182"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0" fontId="39" fillId="0" borderId="0" xfId="0" applyFont="1" applyAlignment="1">
      <alignment horizontal="center" vertical="center"/>
    </xf>
    <xf numFmtId="0" fontId="39" fillId="0" borderId="0" xfId="36" applyFont="1" applyAlignment="1">
      <alignment horizontal="center" vertical="center"/>
    </xf>
    <xf numFmtId="0" fontId="10" fillId="0" borderId="0" xfId="0" applyFont="1" applyAlignment="1">
      <alignment vertical="center"/>
    </xf>
    <xf numFmtId="0" fontId="78" fillId="0" borderId="0" xfId="36" applyFont="1">
      <alignment vertical="top"/>
    </xf>
    <xf numFmtId="0" fontId="107" fillId="0" borderId="0" xfId="36" applyFont="1" applyAlignment="1">
      <alignment horizontal="center" vertical="center" wrapText="1"/>
    </xf>
    <xf numFmtId="0" fontId="132" fillId="0" borderId="0" xfId="36" applyFont="1" applyAlignment="1">
      <alignment horizontal="left" vertical="top" wrapText="1"/>
    </xf>
    <xf numFmtId="2" fontId="66" fillId="0" borderId="15" xfId="36" applyNumberFormat="1" applyFont="1" applyFill="1" applyBorder="1" applyAlignment="1">
      <alignment horizontal="center" vertical="center" wrapText="1"/>
    </xf>
    <xf numFmtId="0" fontId="61" fillId="0" borderId="15" xfId="0" applyFont="1" applyBorder="1" applyAlignment="1">
      <alignment horizontal="center"/>
    </xf>
    <xf numFmtId="2" fontId="39" fillId="0" borderId="15" xfId="36" applyNumberFormat="1" applyFont="1" applyFill="1" applyBorder="1" applyAlignment="1">
      <alignment horizontal="center" vertical="center" wrapText="1"/>
    </xf>
    <xf numFmtId="43" fontId="39" fillId="47" borderId="15" xfId="36" applyNumberFormat="1" applyFont="1" applyFill="1" applyBorder="1" applyAlignment="1">
      <alignment horizontal="left" vertical="center" wrapText="1"/>
    </xf>
    <xf numFmtId="43" fontId="10" fillId="47" borderId="15" xfId="0" applyNumberFormat="1" applyFont="1" applyFill="1" applyBorder="1" applyAlignment="1">
      <alignment horizontal="left"/>
    </xf>
    <xf numFmtId="2" fontId="182" fillId="0" borderId="0" xfId="36" applyNumberFormat="1" applyFont="1" applyFill="1" applyBorder="1" applyAlignment="1">
      <alignment horizontal="center" vertical="center" wrapText="1"/>
    </xf>
    <xf numFmtId="0" fontId="40" fillId="0" borderId="0" xfId="0" applyFont="1" applyAlignment="1">
      <alignment horizontal="center" vertical="center"/>
    </xf>
    <xf numFmtId="2" fontId="39" fillId="46" borderId="15" xfId="36" applyNumberFormat="1" applyFont="1" applyFill="1" applyBorder="1" applyAlignment="1">
      <alignment horizontal="center" vertical="center"/>
    </xf>
    <xf numFmtId="0" fontId="0" fillId="46" borderId="15" xfId="0" applyFill="1" applyBorder="1" applyAlignment="1">
      <alignment horizontal="center"/>
    </xf>
    <xf numFmtId="0" fontId="10" fillId="46" borderId="15" xfId="0" applyFont="1" applyFill="1" applyBorder="1" applyAlignment="1">
      <alignment horizontal="center"/>
    </xf>
    <xf numFmtId="43" fontId="0" fillId="47" borderId="15" xfId="0" applyNumberFormat="1" applyFill="1" applyBorder="1" applyAlignment="1">
      <alignment horizontal="left"/>
    </xf>
    <xf numFmtId="0" fontId="16" fillId="0" borderId="0" xfId="0" applyFont="1" applyAlignment="1">
      <alignment horizontal="left" vertical="center"/>
    </xf>
    <xf numFmtId="0" fontId="40" fillId="0" borderId="0" xfId="0" applyFont="1" applyAlignment="1">
      <alignment horizontal="left" vertical="center"/>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0" fontId="10" fillId="0" borderId="0" xfId="0" applyFont="1" applyAlignment="1">
      <alignment vertical="top"/>
    </xf>
    <xf numFmtId="0" fontId="0" fillId="0" borderId="0" xfId="0" applyAlignment="1">
      <alignment horizontal="center" vertical="top"/>
    </xf>
    <xf numFmtId="0" fontId="16" fillId="0" borderId="0" xfId="0" applyFont="1" applyAlignment="1">
      <alignment horizontal="right" vertical="center"/>
    </xf>
    <xf numFmtId="0" fontId="12" fillId="0" borderId="0" xfId="0" applyFont="1" applyAlignment="1">
      <alignment horizontal="left" vertical="center"/>
    </xf>
    <xf numFmtId="0" fontId="166" fillId="0" borderId="0" xfId="0" applyFont="1" applyAlignment="1">
      <alignment horizontal="center"/>
    </xf>
    <xf numFmtId="4" fontId="31" fillId="0" borderId="18" xfId="0" applyNumberFormat="1" applyFont="1" applyBorder="1" applyAlignment="1">
      <alignment horizontal="center" vertical="center" wrapText="1"/>
    </xf>
  </cellXfs>
  <cellStyles count="191">
    <cellStyle name="20% - Акцент1" xfId="46"/>
    <cellStyle name="20% - Акцент2" xfId="47"/>
    <cellStyle name="20% - Акцент3" xfId="48"/>
    <cellStyle name="20% - Акцент4" xfId="49"/>
    <cellStyle name="20% - Акцент5" xfId="50"/>
    <cellStyle name="20% - Акцент6" xfId="51"/>
    <cellStyle name="40% - Акцент1" xfId="52"/>
    <cellStyle name="40% - Акцент2" xfId="53"/>
    <cellStyle name="40% - Акцент3" xfId="54"/>
    <cellStyle name="40% - Акцент4" xfId="55"/>
    <cellStyle name="40% - Акцент5" xfId="56"/>
    <cellStyle name="40% - Акцент6" xfId="57"/>
    <cellStyle name="60% - Акцент1" xfId="58"/>
    <cellStyle name="60% - Акцент2" xfId="59"/>
    <cellStyle name="60% - Акцент3" xfId="60"/>
    <cellStyle name="60% - Акцент4" xfId="61"/>
    <cellStyle name="60% - Акцент5" xfId="62"/>
    <cellStyle name="60% - Акцент6" xfId="63"/>
    <cellStyle name="Excel Built-in Normal" xfId="102"/>
    <cellStyle name="Excel Built-in Normal 2" xfId="118"/>
    <cellStyle name="Excel Built-in Обычный_УКБ до бюджету 2016р ост" xfId="84"/>
    <cellStyle name="Normal_meresha_07" xfId="1"/>
    <cellStyle name="TableStyleLight1" xfId="131"/>
    <cellStyle name="TableStyleLight1 2" xfId="173"/>
    <cellStyle name="Акцент1" xfId="64"/>
    <cellStyle name="Акцент2" xfId="65"/>
    <cellStyle name="Акцент3" xfId="66"/>
    <cellStyle name="Акцент4" xfId="67"/>
    <cellStyle name="Акцент5" xfId="68"/>
    <cellStyle name="Акцент6" xfId="69"/>
    <cellStyle name="Ввід" xfId="2"/>
    <cellStyle name="Ввід 2" xfId="180"/>
    <cellStyle name="Ввід 3" xfId="103"/>
    <cellStyle name="Ввод " xfId="70"/>
    <cellStyle name="Вывод" xfId="71"/>
    <cellStyle name="Вычисление" xfId="72"/>
    <cellStyle name="Гіперпосилання 2" xfId="73"/>
    <cellStyle name="Добре" xfId="3"/>
    <cellStyle name="Заголовок 1" xfId="4" builtinId="16" customBuiltin="1"/>
    <cellStyle name="Заголовок 1 2" xfId="104"/>
    <cellStyle name="Заголовок 2" xfId="5" builtinId="17" customBuiltin="1"/>
    <cellStyle name="Заголовок 2 2" xfId="105"/>
    <cellStyle name="Заголовок 3" xfId="6" builtinId="18" customBuiltin="1"/>
    <cellStyle name="Заголовок 3 2" xfId="106"/>
    <cellStyle name="Заголовок 4" xfId="7" builtinId="19" customBuiltin="1"/>
    <cellStyle name="Заголовок 4 2" xfId="107"/>
    <cellStyle name="Звичайний" xfId="0" builtinId="0"/>
    <cellStyle name="Звичайний 10" xfId="8"/>
    <cellStyle name="Звичайний 11" xfId="9"/>
    <cellStyle name="Звичайний 12" xfId="10"/>
    <cellStyle name="Звичайний 13" xfId="11"/>
    <cellStyle name="Звичайний 14" xfId="12"/>
    <cellStyle name="Звичайний 15" xfId="13"/>
    <cellStyle name="Звичайний 16" xfId="14"/>
    <cellStyle name="Звичайний 17" xfId="15"/>
    <cellStyle name="Звичайний 18" xfId="16"/>
    <cellStyle name="Звичайний 19" xfId="17"/>
    <cellStyle name="Звичайний 2" xfId="18"/>
    <cellStyle name="Звичайний 2 2" xfId="19"/>
    <cellStyle name="Звичайний 2 2 2" xfId="88"/>
    <cellStyle name="Звичайний 2 3" xfId="94"/>
    <cellStyle name="Звичайний 20" xfId="20"/>
    <cellStyle name="Звичайний 21" xfId="86"/>
    <cellStyle name="Звичайний 21 2" xfId="93"/>
    <cellStyle name="Звичайний 21 2 2" xfId="96"/>
    <cellStyle name="Звичайний 21 2 2 2" xfId="181"/>
    <cellStyle name="Звичайний 21 2 3" xfId="98"/>
    <cellStyle name="Звичайний 21 2 3 2" xfId="100"/>
    <cellStyle name="Звичайний 21 2 3 2 2" xfId="182"/>
    <cellStyle name="Звичайний 21 2 3 2 3" xfId="178"/>
    <cellStyle name="Звичайний 21 2 3 2 3 2 2 2" xfId="190"/>
    <cellStyle name="Звичайний 21 2 4" xfId="160"/>
    <cellStyle name="Звичайний 21 3" xfId="113"/>
    <cellStyle name="Звичайний 22" xfId="114"/>
    <cellStyle name="Звичайний 22 2" xfId="140"/>
    <cellStyle name="Звичайний 23" xfId="115"/>
    <cellStyle name="Звичайний 23 2" xfId="141"/>
    <cellStyle name="Звичайний 24" xfId="116"/>
    <cellStyle name="Звичайний 24 2" xfId="142"/>
    <cellStyle name="Звичайний 25" xfId="117"/>
    <cellStyle name="Звичайний 26" xfId="127"/>
    <cellStyle name="Звичайний 27" xfId="132"/>
    <cellStyle name="Звичайний 27 2" xfId="145"/>
    <cellStyle name="Звичайний 27 2 3" xfId="151"/>
    <cellStyle name="Звичайний 27 2 3 2" xfId="152"/>
    <cellStyle name="Звичайний 27 2 3 2 2" xfId="162"/>
    <cellStyle name="Звичайний 27 2 3 2 2 2" xfId="177"/>
    <cellStyle name="Звичайний 27 3" xfId="129"/>
    <cellStyle name="Звичайний 27 3 2" xfId="87"/>
    <cellStyle name="Звичайний 27 3 2 2" xfId="144"/>
    <cellStyle name="Звичайний 27 3 2 3" xfId="156"/>
    <cellStyle name="Звичайний 27 3 2 4" xfId="165"/>
    <cellStyle name="Звичайний 27 3 2 4 2" xfId="170"/>
    <cellStyle name="Звичайний 27 3 2 5" xfId="130"/>
    <cellStyle name="Звичайний 27 3 3" xfId="143"/>
    <cellStyle name="Звичайний 27 3 3 2" xfId="135"/>
    <cellStyle name="Звичайний 27 3 3 2 2" xfId="147"/>
    <cellStyle name="Звичайний 27 3 3 2 3" xfId="155"/>
    <cellStyle name="Звичайний 27 4 2" xfId="164"/>
    <cellStyle name="Звичайний 27 4 2 2" xfId="169"/>
    <cellStyle name="Звичайний 27 4 2 2 2" xfId="175"/>
    <cellStyle name="Звичайний 27 5" xfId="163"/>
    <cellStyle name="Звичайний 27 5 2" xfId="168"/>
    <cellStyle name="Звичайний 27 5 2 2" xfId="174"/>
    <cellStyle name="Звичайний 28" xfId="136"/>
    <cellStyle name="Звичайний 28 2" xfId="148"/>
    <cellStyle name="Звичайний 28 3" xfId="154"/>
    <cellStyle name="Звичайний 29" xfId="139"/>
    <cellStyle name="Звичайний 29 2" xfId="153"/>
    <cellStyle name="Звичайний 29 2 2" xfId="166"/>
    <cellStyle name="Звичайний 29 2 2 2" xfId="176"/>
    <cellStyle name="Звичайний 3" xfId="21"/>
    <cellStyle name="Звичайний 3 2" xfId="22"/>
    <cellStyle name="Звичайний 3 2 2" xfId="89"/>
    <cellStyle name="Звичайний 30" xfId="158"/>
    <cellStyle name="Звичайний 30 2" xfId="95"/>
    <cellStyle name="Звичайний 30 2 2" xfId="97"/>
    <cellStyle name="Звичайний 30 2 3" xfId="99"/>
    <cellStyle name="Звичайний 30 2 3 2" xfId="101"/>
    <cellStyle name="Звичайний 31" xfId="161"/>
    <cellStyle name="Звичайний 31 2" xfId="171"/>
    <cellStyle name="Звичайний 31 2 2" xfId="172"/>
    <cellStyle name="Звичайний 32" xfId="134"/>
    <cellStyle name="Звичайний 32 2" xfId="137"/>
    <cellStyle name="Звичайний 32 2 2" xfId="138"/>
    <cellStyle name="Звичайний 32 2 2 2" xfId="150"/>
    <cellStyle name="Звичайний 32 2 2 3" xfId="157"/>
    <cellStyle name="Звичайний 32 2 2 4" xfId="159"/>
    <cellStyle name="Звичайний 32 2 3" xfId="149"/>
    <cellStyle name="Звичайний 32 3" xfId="146"/>
    <cellStyle name="Звичайний 33" xfId="179"/>
    <cellStyle name="Звичайний 4" xfId="23"/>
    <cellStyle name="Звичайний 4 2" xfId="24"/>
    <cellStyle name="Звичайний 4 2 2" xfId="90"/>
    <cellStyle name="Звичайний 4 3" xfId="167"/>
    <cellStyle name="Звичайний 5" xfId="25"/>
    <cellStyle name="Звичайний 6" xfId="26"/>
    <cellStyle name="Звичайний 7" xfId="27"/>
    <cellStyle name="Звичайний 8" xfId="28"/>
    <cellStyle name="Звичайний 9" xfId="29"/>
    <cellStyle name="Звичайний_Додаток _ 3 зм_ни 4575" xfId="30"/>
    <cellStyle name="Зв'язана клітинка" xfId="41"/>
    <cellStyle name="Зв'язана клітинка 2" xfId="183"/>
    <cellStyle name="Зв'язана клітинка 3" xfId="108"/>
    <cellStyle name="Итог" xfId="74"/>
    <cellStyle name="Контрольна клітинка" xfId="31"/>
    <cellStyle name="Контрольна клітинка 2" xfId="184"/>
    <cellStyle name="Контрольная ячейка" xfId="75"/>
    <cellStyle name="Назва" xfId="32"/>
    <cellStyle name="Назва 2" xfId="185"/>
    <cellStyle name="Назва 3" xfId="109"/>
    <cellStyle name="Название" xfId="76"/>
    <cellStyle name="Нейтральный" xfId="77"/>
    <cellStyle name="Обычный 2" xfId="33"/>
    <cellStyle name="Обычный 2 2" xfId="34"/>
    <cellStyle name="Обычный 2 2 2" xfId="91"/>
    <cellStyle name="Обычный 2 2 2 2" xfId="120"/>
    <cellStyle name="Обычный 2 2 3" xfId="128"/>
    <cellStyle name="Обычный 2 3" xfId="110"/>
    <cellStyle name="Обычный 2 3 2" xfId="187"/>
    <cellStyle name="Обычный 2 4" xfId="119"/>
    <cellStyle name="Обычный 2 5" xfId="186"/>
    <cellStyle name="Обычный 3" xfId="35"/>
    <cellStyle name="Обычный 3 2" xfId="121"/>
    <cellStyle name="Обычный 3 3" xfId="188"/>
    <cellStyle name="Обычный 3 4" xfId="111"/>
    <cellStyle name="Обычный 4" xfId="112"/>
    <cellStyle name="Обычный 4 2" xfId="122"/>
    <cellStyle name="Обычный 4 3" xfId="85"/>
    <cellStyle name="Обычный 5" xfId="123"/>
    <cellStyle name="Обычный 6" xfId="124"/>
    <cellStyle name="Обычный 7" xfId="125"/>
    <cellStyle name="Обычный 8" xfId="126"/>
    <cellStyle name="Обычный_Plan_kapbud_2006 уточн." xfId="36"/>
    <cellStyle name="Обычный_дод.1" xfId="37"/>
    <cellStyle name="Обычный_Додаток 2 до бюджету 2000 року" xfId="38"/>
    <cellStyle name="Обычный_Додаток №1" xfId="39"/>
    <cellStyle name="Обычный_КАПІТАЛЬНІ  ВКЛАДЕННЯ 2015 2 2" xfId="45"/>
    <cellStyle name="Обычный_УЖКГ бюджет 2016 Після Ямчука 2" xfId="40"/>
    <cellStyle name="Обычный_УКБ до бюджету 2016р ост 2" xfId="92"/>
    <cellStyle name="Плохой" xfId="78"/>
    <cellStyle name="Пояснение" xfId="79"/>
    <cellStyle name="Примечание" xfId="80"/>
    <cellStyle name="Связанная ячейка" xfId="81"/>
    <cellStyle name="Середній" xfId="42"/>
    <cellStyle name="Стиль 1" xfId="43"/>
    <cellStyle name="Текст попередження" xfId="44"/>
    <cellStyle name="Текст попередження 2" xfId="189"/>
    <cellStyle name="Текст предупреждения" xfId="82"/>
    <cellStyle name="Фінансовий 2" xfId="133"/>
    <cellStyle name="Хороший" xfId="83"/>
  </cellStyles>
  <dxfs count="0"/>
  <tableStyles count="0" defaultTableStyle="TableStyleMedium2" defaultPivotStyle="PivotStyleLight16"/>
  <colors>
    <mruColors>
      <color rgb="FF00FFCC"/>
      <color rgb="FFFFFF99"/>
      <color rgb="FFCCFF99"/>
      <color rgb="FFCCECFF"/>
      <color rgb="FFCCFFCC"/>
      <color rgb="FFCCCCFF"/>
      <color rgb="FFFFAFAF"/>
      <color rgb="FFFFABAB"/>
      <color rgb="FFFFCC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0"/>
  <sheetViews>
    <sheetView view="pageBreakPreview" topLeftCell="A132" zoomScale="55" zoomScaleNormal="100" zoomScaleSheetLayoutView="55" workbookViewId="0">
      <selection activeCell="E157" sqref="E157"/>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10" width="10.85546875" style="102" bestFit="1" customWidth="1"/>
    <col min="11" max="252" width="7.85546875" style="102" customWidth="1"/>
    <col min="253" max="16384" width="6.85546875" style="102"/>
  </cols>
  <sheetData>
    <row r="1" spans="1:7" ht="15.75" x14ac:dyDescent="0.2">
      <c r="A1" s="585"/>
      <c r="B1" s="585"/>
      <c r="C1" s="585"/>
      <c r="D1" s="715" t="s">
        <v>56</v>
      </c>
      <c r="E1" s="716"/>
      <c r="F1" s="716"/>
      <c r="G1" s="716"/>
    </row>
    <row r="2" spans="1:7" ht="15.75" x14ac:dyDescent="0.2">
      <c r="A2" s="585"/>
      <c r="B2" s="585"/>
      <c r="C2" s="586"/>
      <c r="D2" s="715" t="s">
        <v>1575</v>
      </c>
      <c r="E2" s="717"/>
      <c r="F2" s="717"/>
      <c r="G2" s="717"/>
    </row>
    <row r="3" spans="1:7" ht="6" hidden="1" customHeight="1" x14ac:dyDescent="0.2">
      <c r="A3" s="585"/>
      <c r="B3" s="585"/>
      <c r="C3" s="586"/>
      <c r="D3" s="715"/>
      <c r="E3" s="717"/>
      <c r="F3" s="717"/>
      <c r="G3" s="717"/>
    </row>
    <row r="4" spans="1:7" ht="12.75" customHeight="1" x14ac:dyDescent="0.2">
      <c r="A4" s="718"/>
      <c r="B4" s="718"/>
      <c r="C4" s="718"/>
      <c r="D4" s="718"/>
      <c r="E4" s="718"/>
      <c r="F4" s="585"/>
      <c r="G4" s="585"/>
    </row>
    <row r="5" spans="1:7" ht="20.25" x14ac:dyDescent="0.2">
      <c r="A5" s="718" t="s">
        <v>1110</v>
      </c>
      <c r="B5" s="719"/>
      <c r="C5" s="719"/>
      <c r="D5" s="719"/>
      <c r="E5" s="719"/>
      <c r="F5" s="719"/>
      <c r="G5" s="585"/>
    </row>
    <row r="6" spans="1:7" ht="20.25" x14ac:dyDescent="0.2">
      <c r="A6" s="718" t="s">
        <v>1527</v>
      </c>
      <c r="B6" s="719"/>
      <c r="C6" s="719"/>
      <c r="D6" s="719"/>
      <c r="E6" s="719"/>
      <c r="F6" s="719"/>
      <c r="G6" s="585"/>
    </row>
    <row r="7" spans="1:7" ht="20.25" x14ac:dyDescent="0.2">
      <c r="A7" s="587"/>
      <c r="B7" s="305"/>
      <c r="C7" s="305"/>
      <c r="D7" s="305"/>
      <c r="E7" s="305"/>
      <c r="F7" s="305"/>
      <c r="G7" s="585"/>
    </row>
    <row r="8" spans="1:7" ht="20.25" x14ac:dyDescent="0.2">
      <c r="A8" s="720">
        <v>2256400000</v>
      </c>
      <c r="B8" s="721"/>
      <c r="C8" s="721"/>
      <c r="D8" s="721"/>
      <c r="E8" s="721"/>
      <c r="F8" s="721"/>
      <c r="G8" s="585"/>
    </row>
    <row r="9" spans="1:7" ht="15.75" x14ac:dyDescent="0.2">
      <c r="A9" s="722" t="s">
        <v>490</v>
      </c>
      <c r="B9" s="723"/>
      <c r="C9" s="723"/>
      <c r="D9" s="723"/>
      <c r="E9" s="723"/>
      <c r="F9" s="723"/>
      <c r="G9" s="585"/>
    </row>
    <row r="10" spans="1:7" ht="20.25" x14ac:dyDescent="0.2">
      <c r="A10" s="587"/>
      <c r="B10" s="472"/>
      <c r="C10" s="472"/>
      <c r="D10" s="472"/>
      <c r="E10" s="472"/>
      <c r="F10" s="472"/>
      <c r="G10" s="585"/>
    </row>
    <row r="11" spans="1:7" ht="13.5" thickBot="1" x14ac:dyDescent="0.25">
      <c r="A11" s="585"/>
      <c r="B11" s="588"/>
      <c r="C11" s="588"/>
      <c r="D11" s="588"/>
      <c r="E11" s="588"/>
      <c r="F11" s="589" t="s">
        <v>404</v>
      </c>
      <c r="G11" s="585"/>
    </row>
    <row r="12" spans="1:7" ht="14.25" thickTop="1" thickBot="1" x14ac:dyDescent="0.25">
      <c r="A12" s="724" t="s">
        <v>57</v>
      </c>
      <c r="B12" s="724" t="s">
        <v>1528</v>
      </c>
      <c r="C12" s="724" t="s">
        <v>383</v>
      </c>
      <c r="D12" s="724" t="s">
        <v>12</v>
      </c>
      <c r="E12" s="724" t="s">
        <v>52</v>
      </c>
      <c r="F12" s="724"/>
      <c r="G12" s="590"/>
    </row>
    <row r="13" spans="1:7" ht="39.75" thickTop="1" thickBot="1" x14ac:dyDescent="0.3">
      <c r="A13" s="724"/>
      <c r="B13" s="724"/>
      <c r="C13" s="724"/>
      <c r="D13" s="724"/>
      <c r="E13" s="591" t="s">
        <v>384</v>
      </c>
      <c r="F13" s="591" t="s">
        <v>426</v>
      </c>
      <c r="G13" s="592"/>
    </row>
    <row r="14" spans="1:7" ht="16.5" thickTop="1" thickBot="1" x14ac:dyDescent="0.3">
      <c r="A14" s="591">
        <v>1</v>
      </c>
      <c r="B14" s="591">
        <v>2</v>
      </c>
      <c r="C14" s="591">
        <v>3</v>
      </c>
      <c r="D14" s="591">
        <v>4</v>
      </c>
      <c r="E14" s="591">
        <v>5</v>
      </c>
      <c r="F14" s="591">
        <v>6</v>
      </c>
      <c r="G14" s="592"/>
    </row>
    <row r="15" spans="1:7" ht="25.5" customHeight="1" thickTop="1" thickBot="1" x14ac:dyDescent="0.25">
      <c r="A15" s="680">
        <v>10000000</v>
      </c>
      <c r="B15" s="680" t="s">
        <v>58</v>
      </c>
      <c r="C15" s="681">
        <f t="shared" ref="C15:C20" si="0">SUM(D15,E15)</f>
        <v>3279682765</v>
      </c>
      <c r="D15" s="681">
        <f>SUM(D16,D32,D40,D61,D26)</f>
        <v>3278482765</v>
      </c>
      <c r="E15" s="681">
        <f>SUM(E16,E32,E40,E61,E26)</f>
        <v>1200000</v>
      </c>
      <c r="F15" s="681">
        <f>SUM(F16,F32,F40,F61,F26)</f>
        <v>0</v>
      </c>
      <c r="G15" s="104"/>
    </row>
    <row r="16" spans="1:7" ht="31.7" customHeight="1" thickTop="1" thickBot="1" x14ac:dyDescent="0.25">
      <c r="A16" s="591">
        <v>11000000</v>
      </c>
      <c r="B16" s="591" t="s">
        <v>59</v>
      </c>
      <c r="C16" s="593">
        <f>SUM(D16,E16)</f>
        <v>1878737665</v>
      </c>
      <c r="D16" s="593">
        <f>SUM(D17,D24)</f>
        <v>1878737665</v>
      </c>
      <c r="E16" s="368"/>
      <c r="F16" s="368"/>
      <c r="G16" s="105"/>
    </row>
    <row r="17" spans="1:7" ht="24.75" customHeight="1" thickTop="1" thickBot="1" x14ac:dyDescent="0.25">
      <c r="A17" s="594">
        <v>11010000</v>
      </c>
      <c r="B17" s="595" t="s">
        <v>60</v>
      </c>
      <c r="C17" s="596">
        <f t="shared" si="0"/>
        <v>1877037665</v>
      </c>
      <c r="D17" s="596">
        <f>SUM(D18:D23)</f>
        <v>1877037665</v>
      </c>
      <c r="E17" s="369"/>
      <c r="F17" s="369"/>
      <c r="G17" s="105"/>
    </row>
    <row r="18" spans="1:7" ht="39.75" thickTop="1" thickBot="1" x14ac:dyDescent="0.25">
      <c r="A18" s="597">
        <v>11010100</v>
      </c>
      <c r="B18" s="598" t="s">
        <v>61</v>
      </c>
      <c r="C18" s="593">
        <f>SUM(D18,E18)</f>
        <v>1749332665</v>
      </c>
      <c r="D18" s="599">
        <f>((1611780000)+87552665)+50000000</f>
        <v>1749332665</v>
      </c>
      <c r="E18" s="372"/>
      <c r="F18" s="372"/>
      <c r="G18" s="105"/>
    </row>
    <row r="19" spans="1:7" ht="65.25" hidden="1" thickTop="1" thickBot="1" x14ac:dyDescent="0.25">
      <c r="A19" s="370">
        <v>11010200</v>
      </c>
      <c r="B19" s="371" t="s">
        <v>62</v>
      </c>
      <c r="C19" s="368">
        <f t="shared" si="0"/>
        <v>0</v>
      </c>
      <c r="D19" s="372">
        <v>0</v>
      </c>
      <c r="E19" s="372"/>
      <c r="F19" s="372"/>
      <c r="G19" s="105"/>
    </row>
    <row r="20" spans="1:7" ht="39.75" thickTop="1" thickBot="1" x14ac:dyDescent="0.25">
      <c r="A20" s="597">
        <v>11010400</v>
      </c>
      <c r="B20" s="598" t="s">
        <v>63</v>
      </c>
      <c r="C20" s="593">
        <f t="shared" si="0"/>
        <v>60665000</v>
      </c>
      <c r="D20" s="599">
        <v>60665000</v>
      </c>
      <c r="E20" s="372"/>
      <c r="F20" s="372"/>
      <c r="G20" s="105"/>
    </row>
    <row r="21" spans="1:7" ht="39.75" thickTop="1" thickBot="1" x14ac:dyDescent="0.3">
      <c r="A21" s="597">
        <v>11010500</v>
      </c>
      <c r="B21" s="598" t="s">
        <v>64</v>
      </c>
      <c r="C21" s="593">
        <f t="shared" ref="C21:C108" si="1">SUM(D21,E21)</f>
        <v>66355000</v>
      </c>
      <c r="D21" s="599">
        <f>((56355000)+5000000)+5000000</f>
        <v>66355000</v>
      </c>
      <c r="E21" s="372"/>
      <c r="F21" s="372"/>
      <c r="G21" s="103"/>
    </row>
    <row r="22" spans="1:7" ht="27" thickTop="1" thickBot="1" x14ac:dyDescent="0.3">
      <c r="A22" s="597">
        <v>11011200</v>
      </c>
      <c r="B22" s="598" t="s">
        <v>1529</v>
      </c>
      <c r="C22" s="593">
        <f t="shared" si="1"/>
        <v>645000</v>
      </c>
      <c r="D22" s="599">
        <v>645000</v>
      </c>
      <c r="E22" s="372"/>
      <c r="F22" s="372"/>
      <c r="G22" s="103"/>
    </row>
    <row r="23" spans="1:7" ht="39.75" thickTop="1" thickBot="1" x14ac:dyDescent="0.3">
      <c r="A23" s="597">
        <v>11011300</v>
      </c>
      <c r="B23" s="598" t="s">
        <v>1530</v>
      </c>
      <c r="C23" s="593">
        <f t="shared" si="1"/>
        <v>40000</v>
      </c>
      <c r="D23" s="599">
        <v>40000</v>
      </c>
      <c r="E23" s="372"/>
      <c r="F23" s="372"/>
      <c r="G23" s="103"/>
    </row>
    <row r="24" spans="1:7" ht="28.5" customHeight="1" thickTop="1" thickBot="1" x14ac:dyDescent="0.25">
      <c r="A24" s="594">
        <v>11020000</v>
      </c>
      <c r="B24" s="595" t="s">
        <v>65</v>
      </c>
      <c r="C24" s="596">
        <f>SUM(D24,E24)</f>
        <v>1700000</v>
      </c>
      <c r="D24" s="596">
        <f>D25</f>
        <v>1700000</v>
      </c>
      <c r="E24" s="369"/>
      <c r="F24" s="369"/>
      <c r="G24" s="104"/>
    </row>
    <row r="25" spans="1:7" ht="27" thickTop="1" thickBot="1" x14ac:dyDescent="0.3">
      <c r="A25" s="597">
        <v>11020200</v>
      </c>
      <c r="B25" s="600" t="s">
        <v>66</v>
      </c>
      <c r="C25" s="593">
        <f>SUM(D25,E25)</f>
        <v>1700000</v>
      </c>
      <c r="D25" s="599">
        <v>1700000</v>
      </c>
      <c r="E25" s="372"/>
      <c r="F25" s="372"/>
      <c r="G25" s="103"/>
    </row>
    <row r="26" spans="1:7" ht="27" thickTop="1" thickBot="1" x14ac:dyDescent="0.3">
      <c r="A26" s="591">
        <v>13000000</v>
      </c>
      <c r="B26" s="601" t="s">
        <v>526</v>
      </c>
      <c r="C26" s="593">
        <f>D26+E26</f>
        <v>1000000</v>
      </c>
      <c r="D26" s="593">
        <f>SUM(D27,D30)</f>
        <v>1000000</v>
      </c>
      <c r="E26" s="372"/>
      <c r="F26" s="372"/>
      <c r="G26" s="103"/>
    </row>
    <row r="27" spans="1:7" ht="28.5" thickTop="1" thickBot="1" x14ac:dyDescent="0.3">
      <c r="A27" s="594">
        <v>13010000</v>
      </c>
      <c r="B27" s="602" t="s">
        <v>527</v>
      </c>
      <c r="C27" s="596">
        <f>D27+E27</f>
        <v>985000</v>
      </c>
      <c r="D27" s="596">
        <f>SUM(D28:D29)</f>
        <v>985000</v>
      </c>
      <c r="E27" s="369"/>
      <c r="F27" s="369"/>
      <c r="G27" s="103"/>
    </row>
    <row r="28" spans="1:7" ht="52.5" thickTop="1" thickBot="1" x14ac:dyDescent="0.3">
      <c r="A28" s="597">
        <v>13010100</v>
      </c>
      <c r="B28" s="603" t="s">
        <v>1531</v>
      </c>
      <c r="C28" s="593">
        <f t="shared" ref="C28:C32" si="2">D28+E28</f>
        <v>450000</v>
      </c>
      <c r="D28" s="599">
        <v>450000</v>
      </c>
      <c r="E28" s="372"/>
      <c r="F28" s="372"/>
      <c r="G28" s="103"/>
    </row>
    <row r="29" spans="1:7" ht="65.25" thickTop="1" thickBot="1" x14ac:dyDescent="0.3">
      <c r="A29" s="597">
        <v>13010200</v>
      </c>
      <c r="B29" s="603" t="s">
        <v>528</v>
      </c>
      <c r="C29" s="593">
        <f t="shared" si="2"/>
        <v>535000</v>
      </c>
      <c r="D29" s="599">
        <v>535000</v>
      </c>
      <c r="E29" s="372"/>
      <c r="F29" s="372"/>
      <c r="G29" s="103"/>
    </row>
    <row r="30" spans="1:7" ht="16.5" thickTop="1" thickBot="1" x14ac:dyDescent="0.3">
      <c r="A30" s="594">
        <v>13030000</v>
      </c>
      <c r="B30" s="604" t="s">
        <v>529</v>
      </c>
      <c r="C30" s="596">
        <f>D30+E30</f>
        <v>15000</v>
      </c>
      <c r="D30" s="596">
        <f>SUM(D31)</f>
        <v>15000</v>
      </c>
      <c r="E30" s="369"/>
      <c r="F30" s="369"/>
      <c r="G30" s="103"/>
    </row>
    <row r="31" spans="1:7" ht="39.75" thickTop="1" thickBot="1" x14ac:dyDescent="0.3">
      <c r="A31" s="597">
        <v>13030100</v>
      </c>
      <c r="B31" s="603" t="s">
        <v>530</v>
      </c>
      <c r="C31" s="593">
        <f t="shared" si="2"/>
        <v>15000</v>
      </c>
      <c r="D31" s="599">
        <v>15000</v>
      </c>
      <c r="E31" s="372"/>
      <c r="F31" s="372"/>
      <c r="G31" s="103"/>
    </row>
    <row r="32" spans="1:7" ht="26.45" customHeight="1" thickTop="1" thickBot="1" x14ac:dyDescent="0.3">
      <c r="A32" s="591">
        <v>14000000</v>
      </c>
      <c r="B32" s="601" t="s">
        <v>531</v>
      </c>
      <c r="C32" s="593">
        <f t="shared" si="2"/>
        <v>400215000</v>
      </c>
      <c r="D32" s="593">
        <f>SUM(D33,D35,D37)</f>
        <v>400215000</v>
      </c>
      <c r="E32" s="368"/>
      <c r="F32" s="372"/>
      <c r="G32" s="103"/>
    </row>
    <row r="33" spans="1:7" ht="30" customHeight="1" thickTop="1" thickBot="1" x14ac:dyDescent="0.3">
      <c r="A33" s="594">
        <v>14020000</v>
      </c>
      <c r="B33" s="602" t="s">
        <v>622</v>
      </c>
      <c r="C33" s="596">
        <f>SUM(D33,E33)</f>
        <v>21715000</v>
      </c>
      <c r="D33" s="596">
        <f>SUM(D34,E34)</f>
        <v>21715000</v>
      </c>
      <c r="E33" s="369"/>
      <c r="F33" s="375"/>
      <c r="G33" s="103"/>
    </row>
    <row r="34" spans="1:7" ht="16.5" thickTop="1" thickBot="1" x14ac:dyDescent="0.3">
      <c r="A34" s="597">
        <v>14021900</v>
      </c>
      <c r="B34" s="600" t="s">
        <v>621</v>
      </c>
      <c r="C34" s="599">
        <f>SUM(D34,E34)</f>
        <v>21715000</v>
      </c>
      <c r="D34" s="599">
        <v>21715000</v>
      </c>
      <c r="E34" s="368"/>
      <c r="F34" s="372"/>
      <c r="G34" s="103"/>
    </row>
    <row r="35" spans="1:7" ht="42" thickTop="1" thickBot="1" x14ac:dyDescent="0.3">
      <c r="A35" s="594">
        <v>14030000</v>
      </c>
      <c r="B35" s="602" t="s">
        <v>623</v>
      </c>
      <c r="C35" s="596">
        <f>SUM(D35,E35)</f>
        <v>73500000</v>
      </c>
      <c r="D35" s="596">
        <f>SUM(D36,E36)</f>
        <v>73500000</v>
      </c>
      <c r="E35" s="369"/>
      <c r="F35" s="375"/>
      <c r="G35" s="103"/>
    </row>
    <row r="36" spans="1:7" ht="16.5" thickTop="1" thickBot="1" x14ac:dyDescent="0.3">
      <c r="A36" s="597">
        <v>14031900</v>
      </c>
      <c r="B36" s="600" t="s">
        <v>621</v>
      </c>
      <c r="C36" s="599">
        <f>SUM(D36,E36)</f>
        <v>73500000</v>
      </c>
      <c r="D36" s="599">
        <v>73500000</v>
      </c>
      <c r="E36" s="368"/>
      <c r="F36" s="372"/>
      <c r="G36" s="103"/>
    </row>
    <row r="37" spans="1:7" ht="42" thickTop="1" thickBot="1" x14ac:dyDescent="0.3">
      <c r="A37" s="594">
        <v>14040000</v>
      </c>
      <c r="B37" s="602" t="s">
        <v>1209</v>
      </c>
      <c r="C37" s="596">
        <f>SUM(C38:C39)</f>
        <v>305000000</v>
      </c>
      <c r="D37" s="596">
        <f>SUM(D38:D39)</f>
        <v>305000000</v>
      </c>
      <c r="E37" s="369"/>
      <c r="F37" s="375"/>
      <c r="G37" s="103"/>
    </row>
    <row r="38" spans="1:7" ht="103.5" thickTop="1" thickBot="1" x14ac:dyDescent="0.25">
      <c r="A38" s="597">
        <v>14040100</v>
      </c>
      <c r="B38" s="600" t="s">
        <v>1229</v>
      </c>
      <c r="C38" s="599">
        <f>SUM(D38,E38)</f>
        <v>198250115</v>
      </c>
      <c r="D38" s="599">
        <v>198250115</v>
      </c>
      <c r="E38" s="368"/>
      <c r="F38" s="372"/>
      <c r="G38" s="106"/>
    </row>
    <row r="39" spans="1:7" ht="78" thickTop="1" thickBot="1" x14ac:dyDescent="0.25">
      <c r="A39" s="597">
        <v>14040200</v>
      </c>
      <c r="B39" s="600" t="s">
        <v>1208</v>
      </c>
      <c r="C39" s="599">
        <f>SUM(D39,E39)</f>
        <v>106749885</v>
      </c>
      <c r="D39" s="599">
        <v>106749885</v>
      </c>
      <c r="E39" s="368"/>
      <c r="F39" s="372"/>
      <c r="G39" s="106"/>
    </row>
    <row r="40" spans="1:7" ht="29.25" customHeight="1" thickTop="1" thickBot="1" x14ac:dyDescent="0.3">
      <c r="A40" s="591">
        <v>18000000</v>
      </c>
      <c r="B40" s="591" t="s">
        <v>67</v>
      </c>
      <c r="C40" s="593">
        <f t="shared" si="1"/>
        <v>998530100</v>
      </c>
      <c r="D40" s="593">
        <f>SUM(D41,D54,D57,D52)</f>
        <v>998530100</v>
      </c>
      <c r="E40" s="368"/>
      <c r="F40" s="368"/>
      <c r="G40" s="103"/>
    </row>
    <row r="41" spans="1:7" ht="16.5" thickTop="1" thickBot="1" x14ac:dyDescent="0.3">
      <c r="A41" s="594">
        <v>18010000</v>
      </c>
      <c r="B41" s="602" t="s">
        <v>68</v>
      </c>
      <c r="C41" s="596">
        <f>SUM(D41,E41)</f>
        <v>319115000</v>
      </c>
      <c r="D41" s="596">
        <f>SUM(D42:D51)</f>
        <v>319115000</v>
      </c>
      <c r="E41" s="369"/>
      <c r="F41" s="369"/>
      <c r="G41" s="103"/>
    </row>
    <row r="42" spans="1:7" ht="52.5" thickTop="1" thickBot="1" x14ac:dyDescent="0.3">
      <c r="A42" s="597">
        <v>18010100</v>
      </c>
      <c r="B42" s="600" t="s">
        <v>69</v>
      </c>
      <c r="C42" s="593">
        <f t="shared" si="1"/>
        <v>310500</v>
      </c>
      <c r="D42" s="599">
        <v>310500</v>
      </c>
      <c r="E42" s="372"/>
      <c r="F42" s="372"/>
      <c r="G42" s="103"/>
    </row>
    <row r="43" spans="1:7" ht="52.5" thickTop="1" thickBot="1" x14ac:dyDescent="0.3">
      <c r="A43" s="597">
        <v>18010200</v>
      </c>
      <c r="B43" s="600" t="s">
        <v>70</v>
      </c>
      <c r="C43" s="593">
        <f t="shared" si="1"/>
        <v>23955000</v>
      </c>
      <c r="D43" s="599">
        <f>(20055000)+3900000</f>
        <v>23955000</v>
      </c>
      <c r="E43" s="372"/>
      <c r="F43" s="372"/>
      <c r="G43" s="103"/>
    </row>
    <row r="44" spans="1:7" ht="52.5" thickTop="1" thickBot="1" x14ac:dyDescent="0.3">
      <c r="A44" s="597">
        <v>18010300</v>
      </c>
      <c r="B44" s="600" t="s">
        <v>71</v>
      </c>
      <c r="C44" s="593">
        <f t="shared" si="1"/>
        <v>17550600</v>
      </c>
      <c r="D44" s="599">
        <f>(10050600)+7500000</f>
        <v>17550600</v>
      </c>
      <c r="E44" s="372"/>
      <c r="F44" s="372"/>
      <c r="G44" s="103"/>
    </row>
    <row r="45" spans="1:7" ht="52.5" thickTop="1" thickBot="1" x14ac:dyDescent="0.3">
      <c r="A45" s="597">
        <v>18010400</v>
      </c>
      <c r="B45" s="600" t="s">
        <v>72</v>
      </c>
      <c r="C45" s="593">
        <f t="shared" si="1"/>
        <v>43583900</v>
      </c>
      <c r="D45" s="599">
        <f>(38083900)+5500000</f>
        <v>43583900</v>
      </c>
      <c r="E45" s="372"/>
      <c r="F45" s="372"/>
      <c r="G45" s="103"/>
    </row>
    <row r="46" spans="1:7" ht="16.5" thickTop="1" thickBot="1" x14ac:dyDescent="0.3">
      <c r="A46" s="597">
        <v>18010500</v>
      </c>
      <c r="B46" s="600" t="s">
        <v>73</v>
      </c>
      <c r="C46" s="593">
        <f t="shared" si="1"/>
        <v>40250000</v>
      </c>
      <c r="D46" s="599">
        <v>40250000</v>
      </c>
      <c r="E46" s="372"/>
      <c r="F46" s="372"/>
      <c r="G46" s="103"/>
    </row>
    <row r="47" spans="1:7" ht="16.5" thickTop="1" thickBot="1" x14ac:dyDescent="0.3">
      <c r="A47" s="597">
        <v>18010600</v>
      </c>
      <c r="B47" s="600" t="s">
        <v>74</v>
      </c>
      <c r="C47" s="593">
        <f t="shared" si="1"/>
        <v>145650800</v>
      </c>
      <c r="D47" s="599">
        <v>145650800</v>
      </c>
      <c r="E47" s="372"/>
      <c r="F47" s="372"/>
      <c r="G47" s="103"/>
    </row>
    <row r="48" spans="1:7" ht="16.5" thickTop="1" thickBot="1" x14ac:dyDescent="0.3">
      <c r="A48" s="597">
        <v>18010700</v>
      </c>
      <c r="B48" s="600" t="s">
        <v>75</v>
      </c>
      <c r="C48" s="593">
        <f t="shared" si="1"/>
        <v>3500000</v>
      </c>
      <c r="D48" s="599">
        <v>3500000</v>
      </c>
      <c r="E48" s="372"/>
      <c r="F48" s="372"/>
      <c r="G48" s="103"/>
    </row>
    <row r="49" spans="1:7" ht="16.5" thickTop="1" thickBot="1" x14ac:dyDescent="0.3">
      <c r="A49" s="597">
        <v>18010900</v>
      </c>
      <c r="B49" s="600" t="s">
        <v>76</v>
      </c>
      <c r="C49" s="593">
        <f t="shared" si="1"/>
        <v>42814200</v>
      </c>
      <c r="D49" s="599">
        <v>42814200</v>
      </c>
      <c r="E49" s="372"/>
      <c r="F49" s="372"/>
      <c r="G49" s="103"/>
    </row>
    <row r="50" spans="1:7" ht="15.75" thickTop="1" thickBot="1" x14ac:dyDescent="0.25">
      <c r="A50" s="597">
        <v>18011000</v>
      </c>
      <c r="B50" s="600" t="s">
        <v>77</v>
      </c>
      <c r="C50" s="593">
        <f t="shared" si="1"/>
        <v>950000</v>
      </c>
      <c r="D50" s="599">
        <v>950000</v>
      </c>
      <c r="E50" s="372"/>
      <c r="F50" s="372"/>
      <c r="G50" s="104"/>
    </row>
    <row r="51" spans="1:7" ht="16.5" thickTop="1" thickBot="1" x14ac:dyDescent="0.3">
      <c r="A51" s="597">
        <v>18011100</v>
      </c>
      <c r="B51" s="600" t="s">
        <v>78</v>
      </c>
      <c r="C51" s="593">
        <f t="shared" si="1"/>
        <v>550000</v>
      </c>
      <c r="D51" s="599">
        <v>550000</v>
      </c>
      <c r="E51" s="372"/>
      <c r="F51" s="372"/>
      <c r="G51" s="103"/>
    </row>
    <row r="52" spans="1:7" ht="28.5" thickTop="1" thickBot="1" x14ac:dyDescent="0.3">
      <c r="A52" s="594">
        <v>18020000</v>
      </c>
      <c r="B52" s="602" t="s">
        <v>1157</v>
      </c>
      <c r="C52" s="596">
        <f t="shared" si="1"/>
        <v>500000</v>
      </c>
      <c r="D52" s="596">
        <f>SUM(D53,E53)</f>
        <v>500000</v>
      </c>
      <c r="E52" s="369"/>
      <c r="F52" s="369"/>
      <c r="G52" s="103"/>
    </row>
    <row r="53" spans="1:7" ht="27" thickTop="1" thickBot="1" x14ac:dyDescent="0.3">
      <c r="A53" s="597">
        <v>180201000</v>
      </c>
      <c r="B53" s="600" t="s">
        <v>1158</v>
      </c>
      <c r="C53" s="593">
        <f t="shared" si="1"/>
        <v>500000</v>
      </c>
      <c r="D53" s="599">
        <v>500000</v>
      </c>
      <c r="E53" s="372"/>
      <c r="F53" s="372"/>
      <c r="G53" s="103"/>
    </row>
    <row r="54" spans="1:7" ht="16.5" thickTop="1" thickBot="1" x14ac:dyDescent="0.3">
      <c r="A54" s="594">
        <v>18030000</v>
      </c>
      <c r="B54" s="602" t="s">
        <v>79</v>
      </c>
      <c r="C54" s="596">
        <f>SUM(D54,E54)</f>
        <v>2215000</v>
      </c>
      <c r="D54" s="596">
        <f>SUM(D55:D56)</f>
        <v>2215000</v>
      </c>
      <c r="E54" s="369"/>
      <c r="F54" s="369"/>
      <c r="G54" s="103"/>
    </row>
    <row r="55" spans="1:7" ht="27" thickTop="1" thickBot="1" x14ac:dyDescent="0.3">
      <c r="A55" s="597">
        <v>18030100</v>
      </c>
      <c r="B55" s="600" t="s">
        <v>80</v>
      </c>
      <c r="C55" s="593">
        <f>SUM(D55,E55)</f>
        <v>1050000</v>
      </c>
      <c r="D55" s="599">
        <v>1050000</v>
      </c>
      <c r="E55" s="372"/>
      <c r="F55" s="372"/>
      <c r="G55" s="103"/>
    </row>
    <row r="56" spans="1:7" ht="27" thickTop="1" thickBot="1" x14ac:dyDescent="0.3">
      <c r="A56" s="597">
        <v>18030200</v>
      </c>
      <c r="B56" s="600" t="s">
        <v>81</v>
      </c>
      <c r="C56" s="593">
        <f>SUM(D56,E56)</f>
        <v>1165000</v>
      </c>
      <c r="D56" s="599">
        <v>1165000</v>
      </c>
      <c r="E56" s="372"/>
      <c r="F56" s="372"/>
      <c r="G56" s="103"/>
    </row>
    <row r="57" spans="1:7" ht="16.5" thickTop="1" thickBot="1" x14ac:dyDescent="0.3">
      <c r="A57" s="594">
        <v>18050000</v>
      </c>
      <c r="B57" s="602" t="s">
        <v>82</v>
      </c>
      <c r="C57" s="596">
        <f>SUM(D57,E57)</f>
        <v>676700100</v>
      </c>
      <c r="D57" s="596">
        <f>SUM(D58:D60)</f>
        <v>676700100</v>
      </c>
      <c r="E57" s="375"/>
      <c r="F57" s="375"/>
      <c r="G57" s="103"/>
    </row>
    <row r="58" spans="1:7" ht="16.5" thickTop="1" thickBot="1" x14ac:dyDescent="0.3">
      <c r="A58" s="597">
        <v>18050300</v>
      </c>
      <c r="B58" s="598" t="s">
        <v>1040</v>
      </c>
      <c r="C58" s="593">
        <f t="shared" si="1"/>
        <v>121450000</v>
      </c>
      <c r="D58" s="599">
        <v>121450000</v>
      </c>
      <c r="E58" s="372"/>
      <c r="F58" s="372"/>
      <c r="G58" s="103"/>
    </row>
    <row r="59" spans="1:7" ht="15.75" thickTop="1" thickBot="1" x14ac:dyDescent="0.25">
      <c r="A59" s="597">
        <v>18050400</v>
      </c>
      <c r="B59" s="600" t="s">
        <v>83</v>
      </c>
      <c r="C59" s="593">
        <f t="shared" si="1"/>
        <v>550250000</v>
      </c>
      <c r="D59" s="599">
        <f>((473750000)+35000000)+41500000</f>
        <v>550250000</v>
      </c>
      <c r="E59" s="372"/>
      <c r="F59" s="372"/>
      <c r="G59" s="104"/>
    </row>
    <row r="60" spans="1:7" ht="65.25" thickTop="1" thickBot="1" x14ac:dyDescent="0.25">
      <c r="A60" s="597">
        <v>18050500</v>
      </c>
      <c r="B60" s="600" t="s">
        <v>539</v>
      </c>
      <c r="C60" s="593">
        <f t="shared" si="1"/>
        <v>5000100</v>
      </c>
      <c r="D60" s="599">
        <v>5000100</v>
      </c>
      <c r="E60" s="372"/>
      <c r="F60" s="372"/>
      <c r="G60" s="104"/>
    </row>
    <row r="61" spans="1:7" ht="31.7" customHeight="1" thickTop="1" thickBot="1" x14ac:dyDescent="0.25">
      <c r="A61" s="591">
        <v>19000000</v>
      </c>
      <c r="B61" s="605" t="s">
        <v>532</v>
      </c>
      <c r="C61" s="593">
        <f t="shared" si="1"/>
        <v>1200000</v>
      </c>
      <c r="D61" s="593"/>
      <c r="E61" s="593">
        <f>SUM(E63:E65)</f>
        <v>1200000</v>
      </c>
      <c r="F61" s="372"/>
      <c r="G61" s="104"/>
    </row>
    <row r="62" spans="1:7" ht="16.5" thickTop="1" thickBot="1" x14ac:dyDescent="0.3">
      <c r="A62" s="594">
        <v>1901000</v>
      </c>
      <c r="B62" s="595" t="s">
        <v>84</v>
      </c>
      <c r="C62" s="596">
        <f t="shared" ref="C62:C66" si="3">SUM(D62,E62)</f>
        <v>1200000</v>
      </c>
      <c r="D62" s="596">
        <f>SUM(D63:D65)</f>
        <v>0</v>
      </c>
      <c r="E62" s="596">
        <f>SUM(E63:E65)</f>
        <v>1200000</v>
      </c>
      <c r="F62" s="369"/>
      <c r="G62" s="103"/>
    </row>
    <row r="63" spans="1:7" ht="52.5" thickTop="1" thickBot="1" x14ac:dyDescent="0.3">
      <c r="A63" s="597">
        <v>19010100</v>
      </c>
      <c r="B63" s="598" t="s">
        <v>533</v>
      </c>
      <c r="C63" s="593">
        <f t="shared" si="3"/>
        <v>165850</v>
      </c>
      <c r="D63" s="599"/>
      <c r="E63" s="599">
        <v>165850</v>
      </c>
      <c r="F63" s="372"/>
      <c r="G63" s="103"/>
    </row>
    <row r="64" spans="1:7" ht="27" thickTop="1" thickBot="1" x14ac:dyDescent="0.25">
      <c r="A64" s="597">
        <v>19010200</v>
      </c>
      <c r="B64" s="598" t="s">
        <v>1272</v>
      </c>
      <c r="C64" s="593">
        <f t="shared" si="3"/>
        <v>318550</v>
      </c>
      <c r="D64" s="599"/>
      <c r="E64" s="599">
        <v>318550</v>
      </c>
      <c r="F64" s="372"/>
      <c r="G64" s="106"/>
    </row>
    <row r="65" spans="1:7" ht="52.5" thickTop="1" thickBot="1" x14ac:dyDescent="0.3">
      <c r="A65" s="597">
        <v>19010300</v>
      </c>
      <c r="B65" s="598" t="s">
        <v>1273</v>
      </c>
      <c r="C65" s="593">
        <f t="shared" si="3"/>
        <v>715600</v>
      </c>
      <c r="D65" s="599"/>
      <c r="E65" s="599">
        <v>715600</v>
      </c>
      <c r="F65" s="372"/>
      <c r="G65" s="103"/>
    </row>
    <row r="66" spans="1:7" ht="30" customHeight="1" thickTop="1" thickBot="1" x14ac:dyDescent="0.3">
      <c r="A66" s="680">
        <v>20000000</v>
      </c>
      <c r="B66" s="680" t="s">
        <v>85</v>
      </c>
      <c r="C66" s="681">
        <f t="shared" si="3"/>
        <v>361492776</v>
      </c>
      <c r="D66" s="681">
        <f>SUM(D67,D77,D90,D95)+D89</f>
        <v>129147600</v>
      </c>
      <c r="E66" s="681">
        <f>SUM(E67,E77,E90,E95)+E89</f>
        <v>232345176</v>
      </c>
      <c r="F66" s="681">
        <f>SUM(F67,F77,F90,F95)+F89</f>
        <v>3200024</v>
      </c>
      <c r="G66" s="103"/>
    </row>
    <row r="67" spans="1:7" ht="27" thickTop="1" thickBot="1" x14ac:dyDescent="0.3">
      <c r="A67" s="591">
        <v>21000000</v>
      </c>
      <c r="B67" s="591" t="s">
        <v>534</v>
      </c>
      <c r="C67" s="593">
        <f>SUM(D67,E67)</f>
        <v>41635000</v>
      </c>
      <c r="D67" s="593">
        <f>SUM(D68,D71,D70)</f>
        <v>41635000</v>
      </c>
      <c r="E67" s="368"/>
      <c r="F67" s="368"/>
      <c r="G67" s="103"/>
    </row>
    <row r="68" spans="1:7" ht="55.5" thickTop="1" thickBot="1" x14ac:dyDescent="0.3">
      <c r="A68" s="594">
        <v>21010000</v>
      </c>
      <c r="B68" s="602" t="s">
        <v>535</v>
      </c>
      <c r="C68" s="596">
        <f t="shared" si="1"/>
        <v>2500000</v>
      </c>
      <c r="D68" s="596">
        <f>D69</f>
        <v>2500000</v>
      </c>
      <c r="E68" s="369"/>
      <c r="F68" s="369"/>
      <c r="G68" s="103"/>
    </row>
    <row r="69" spans="1:7" ht="52.5" thickTop="1" thickBot="1" x14ac:dyDescent="0.3">
      <c r="A69" s="597">
        <v>21010300</v>
      </c>
      <c r="B69" s="600" t="s">
        <v>1399</v>
      </c>
      <c r="C69" s="593">
        <f t="shared" si="1"/>
        <v>2500000</v>
      </c>
      <c r="D69" s="599">
        <v>2500000</v>
      </c>
      <c r="E69" s="372"/>
      <c r="F69" s="372"/>
      <c r="G69" s="103"/>
    </row>
    <row r="70" spans="1:7" ht="28.5" thickTop="1" thickBot="1" x14ac:dyDescent="0.3">
      <c r="A70" s="594">
        <v>21050000</v>
      </c>
      <c r="B70" s="602" t="s">
        <v>86</v>
      </c>
      <c r="C70" s="596">
        <f t="shared" si="1"/>
        <v>13900000</v>
      </c>
      <c r="D70" s="596">
        <v>13900000</v>
      </c>
      <c r="E70" s="369"/>
      <c r="F70" s="369"/>
      <c r="G70" s="103"/>
    </row>
    <row r="71" spans="1:7" ht="15" thickTop="1" thickBot="1" x14ac:dyDescent="0.25">
      <c r="A71" s="594">
        <v>21080000</v>
      </c>
      <c r="B71" s="602" t="s">
        <v>1041</v>
      </c>
      <c r="C71" s="596">
        <f>SUM(D71,E71)</f>
        <v>25235000</v>
      </c>
      <c r="D71" s="596">
        <f>SUM(D72:D76)</f>
        <v>25235000</v>
      </c>
      <c r="E71" s="369"/>
      <c r="F71" s="369"/>
      <c r="G71" s="106"/>
    </row>
    <row r="72" spans="1:7" ht="16.5" thickTop="1" thickBot="1" x14ac:dyDescent="0.3">
      <c r="A72" s="597">
        <v>21081100</v>
      </c>
      <c r="B72" s="606" t="s">
        <v>87</v>
      </c>
      <c r="C72" s="593">
        <f t="shared" ref="C72:C78" si="4">SUM(D72,E72)</f>
        <v>5500000</v>
      </c>
      <c r="D72" s="599">
        <v>5500000</v>
      </c>
      <c r="E72" s="372"/>
      <c r="F72" s="372"/>
      <c r="G72" s="103"/>
    </row>
    <row r="73" spans="1:7" ht="90.75" thickTop="1" thickBot="1" x14ac:dyDescent="0.3">
      <c r="A73" s="597">
        <v>21081500</v>
      </c>
      <c r="B73" s="598" t="s">
        <v>1288</v>
      </c>
      <c r="C73" s="593">
        <f t="shared" si="4"/>
        <v>1055000</v>
      </c>
      <c r="D73" s="599">
        <v>1055000</v>
      </c>
      <c r="E73" s="372"/>
      <c r="F73" s="372"/>
      <c r="G73" s="103"/>
    </row>
    <row r="74" spans="1:7" ht="16.5" thickTop="1" thickBot="1" x14ac:dyDescent="0.3">
      <c r="A74" s="597">
        <v>21081700</v>
      </c>
      <c r="B74" s="598" t="s">
        <v>374</v>
      </c>
      <c r="C74" s="593">
        <f t="shared" si="4"/>
        <v>18000000</v>
      </c>
      <c r="D74" s="599">
        <v>18000000</v>
      </c>
      <c r="E74" s="372"/>
      <c r="F74" s="372"/>
      <c r="G74" s="107"/>
    </row>
    <row r="75" spans="1:7" ht="52.5" thickTop="1" thickBot="1" x14ac:dyDescent="0.3">
      <c r="A75" s="597">
        <v>21081800</v>
      </c>
      <c r="B75" s="598" t="s">
        <v>1532</v>
      </c>
      <c r="C75" s="593">
        <f t="shared" si="4"/>
        <v>650000</v>
      </c>
      <c r="D75" s="599">
        <v>650000</v>
      </c>
      <c r="E75" s="372"/>
      <c r="F75" s="372"/>
      <c r="G75" s="107"/>
    </row>
    <row r="76" spans="1:7" ht="78" thickTop="1" thickBot="1" x14ac:dyDescent="0.3">
      <c r="A76" s="597">
        <v>21082400</v>
      </c>
      <c r="B76" s="598" t="s">
        <v>1533</v>
      </c>
      <c r="C76" s="593">
        <f t="shared" si="4"/>
        <v>30000</v>
      </c>
      <c r="D76" s="599">
        <v>30000</v>
      </c>
      <c r="E76" s="372"/>
      <c r="F76" s="372"/>
      <c r="G76" s="107"/>
    </row>
    <row r="77" spans="1:7" ht="27" thickTop="1" thickBot="1" x14ac:dyDescent="0.3">
      <c r="A77" s="591">
        <v>22000000</v>
      </c>
      <c r="B77" s="591" t="s">
        <v>88</v>
      </c>
      <c r="C77" s="593">
        <f t="shared" si="4"/>
        <v>72151600</v>
      </c>
      <c r="D77" s="593">
        <f>SUM(D78,D84,D86,D82)</f>
        <v>72151600</v>
      </c>
      <c r="E77" s="372"/>
      <c r="F77" s="372"/>
      <c r="G77" s="103"/>
    </row>
    <row r="78" spans="1:7" ht="24.75" customHeight="1" thickTop="1" thickBot="1" x14ac:dyDescent="0.3">
      <c r="A78" s="594">
        <v>22010000</v>
      </c>
      <c r="B78" s="595" t="s">
        <v>536</v>
      </c>
      <c r="C78" s="596">
        <f t="shared" si="4"/>
        <v>45150000</v>
      </c>
      <c r="D78" s="596">
        <f>SUM(D79:D81)</f>
        <v>45150000</v>
      </c>
      <c r="E78" s="369"/>
      <c r="F78" s="369"/>
      <c r="G78" s="103"/>
    </row>
    <row r="79" spans="1:7" ht="39.75" thickTop="1" thickBot="1" x14ac:dyDescent="0.3">
      <c r="A79" s="597">
        <v>22010300</v>
      </c>
      <c r="B79" s="598" t="s">
        <v>147</v>
      </c>
      <c r="C79" s="593">
        <f t="shared" si="1"/>
        <v>1350300</v>
      </c>
      <c r="D79" s="599">
        <v>1350300</v>
      </c>
      <c r="E79" s="372"/>
      <c r="F79" s="372"/>
      <c r="G79" s="103"/>
    </row>
    <row r="80" spans="1:7" ht="27" thickTop="1" thickBot="1" x14ac:dyDescent="0.3">
      <c r="A80" s="597">
        <v>22012500</v>
      </c>
      <c r="B80" s="598" t="s">
        <v>90</v>
      </c>
      <c r="C80" s="593">
        <f t="shared" si="1"/>
        <v>40699700</v>
      </c>
      <c r="D80" s="599">
        <f>(26299700)+14400000</f>
        <v>40699700</v>
      </c>
      <c r="E80" s="372"/>
      <c r="F80" s="372"/>
      <c r="G80" s="103"/>
    </row>
    <row r="81" spans="1:7" ht="39.75" thickTop="1" thickBot="1" x14ac:dyDescent="0.3">
      <c r="A81" s="597">
        <v>22012600</v>
      </c>
      <c r="B81" s="598" t="s">
        <v>89</v>
      </c>
      <c r="C81" s="593">
        <f>SUM(D81,E81)</f>
        <v>3100000</v>
      </c>
      <c r="D81" s="599">
        <v>3100000</v>
      </c>
      <c r="E81" s="372"/>
      <c r="F81" s="372"/>
      <c r="G81" s="103"/>
    </row>
    <row r="82" spans="1:7" ht="42" thickTop="1" thickBot="1" x14ac:dyDescent="0.3">
      <c r="A82" s="594">
        <v>22020000</v>
      </c>
      <c r="B82" s="595" t="s">
        <v>1633</v>
      </c>
      <c r="C82" s="596">
        <f t="shared" ref="C82" si="5">SUM(D82,E82)</f>
        <v>1005000</v>
      </c>
      <c r="D82" s="596">
        <f>SUM(D83)</f>
        <v>1005000</v>
      </c>
      <c r="E82" s="369"/>
      <c r="F82" s="369"/>
      <c r="G82" s="103"/>
    </row>
    <row r="83" spans="1:7" ht="39.75" thickTop="1" thickBot="1" x14ac:dyDescent="0.3">
      <c r="A83" s="597">
        <v>22020400</v>
      </c>
      <c r="B83" s="598" t="s">
        <v>1634</v>
      </c>
      <c r="C83" s="593">
        <f>SUM(D83,E83)</f>
        <v>1005000</v>
      </c>
      <c r="D83" s="599">
        <v>1005000</v>
      </c>
      <c r="E83" s="372"/>
      <c r="F83" s="372"/>
      <c r="G83" s="103"/>
    </row>
    <row r="84" spans="1:7" ht="42" thickTop="1" thickBot="1" x14ac:dyDescent="0.3">
      <c r="A84" s="594">
        <v>2208000</v>
      </c>
      <c r="B84" s="595" t="s">
        <v>537</v>
      </c>
      <c r="C84" s="596">
        <f t="shared" si="1"/>
        <v>25486600</v>
      </c>
      <c r="D84" s="596">
        <f>D85</f>
        <v>25486600</v>
      </c>
      <c r="E84" s="369"/>
      <c r="F84" s="369"/>
      <c r="G84" s="103"/>
    </row>
    <row r="85" spans="1:7" ht="52.5" thickTop="1" thickBot="1" x14ac:dyDescent="0.3">
      <c r="A85" s="597">
        <v>22080400</v>
      </c>
      <c r="B85" s="606" t="s">
        <v>91</v>
      </c>
      <c r="C85" s="593">
        <f t="shared" si="1"/>
        <v>25486600</v>
      </c>
      <c r="D85" s="599">
        <v>25486600</v>
      </c>
      <c r="E85" s="372"/>
      <c r="F85" s="372"/>
      <c r="G85" s="103"/>
    </row>
    <row r="86" spans="1:7" ht="16.5" thickTop="1" thickBot="1" x14ac:dyDescent="0.3">
      <c r="A86" s="594">
        <v>22090000</v>
      </c>
      <c r="B86" s="607" t="s">
        <v>92</v>
      </c>
      <c r="C86" s="596">
        <f t="shared" si="1"/>
        <v>510000</v>
      </c>
      <c r="D86" s="596">
        <f>SUM(D87:D88)</f>
        <v>510000</v>
      </c>
      <c r="E86" s="369"/>
      <c r="F86" s="369"/>
      <c r="G86" s="103"/>
    </row>
    <row r="87" spans="1:7" ht="52.5" thickTop="1" thickBot="1" x14ac:dyDescent="0.3">
      <c r="A87" s="597">
        <v>22090100</v>
      </c>
      <c r="B87" s="600" t="s">
        <v>93</v>
      </c>
      <c r="C87" s="593">
        <f t="shared" si="1"/>
        <v>405000</v>
      </c>
      <c r="D87" s="599">
        <v>405000</v>
      </c>
      <c r="E87" s="372"/>
      <c r="F87" s="372"/>
      <c r="G87" s="103"/>
    </row>
    <row r="88" spans="1:7" ht="39.75" thickTop="1" thickBot="1" x14ac:dyDescent="0.25">
      <c r="A88" s="597">
        <v>22090400</v>
      </c>
      <c r="B88" s="600" t="s">
        <v>94</v>
      </c>
      <c r="C88" s="593">
        <f t="shared" si="1"/>
        <v>105000</v>
      </c>
      <c r="D88" s="599">
        <v>105000</v>
      </c>
      <c r="E88" s="372"/>
      <c r="F88" s="372"/>
      <c r="G88" s="105"/>
    </row>
    <row r="89" spans="1:7" ht="90.75" thickTop="1" thickBot="1" x14ac:dyDescent="0.25">
      <c r="A89" s="591">
        <v>22130000</v>
      </c>
      <c r="B89" s="608" t="s">
        <v>1534</v>
      </c>
      <c r="C89" s="593">
        <f t="shared" si="1"/>
        <v>61000</v>
      </c>
      <c r="D89" s="593">
        <v>61000</v>
      </c>
      <c r="E89" s="593"/>
      <c r="F89" s="593"/>
      <c r="G89" s="105"/>
    </row>
    <row r="90" spans="1:7" ht="20.25" customHeight="1" thickTop="1" thickBot="1" x14ac:dyDescent="0.3">
      <c r="A90" s="591">
        <v>24000000</v>
      </c>
      <c r="B90" s="608" t="s">
        <v>95</v>
      </c>
      <c r="C90" s="593">
        <f t="shared" si="1"/>
        <v>18500024</v>
      </c>
      <c r="D90" s="593">
        <f>D91+D92+D94+D93</f>
        <v>15300000</v>
      </c>
      <c r="E90" s="593">
        <f>E91+E92+E94+E93</f>
        <v>3200024</v>
      </c>
      <c r="F90" s="593">
        <f>F91+F92+F94+F93</f>
        <v>3200024</v>
      </c>
      <c r="G90" s="103"/>
    </row>
    <row r="91" spans="1:7" ht="16.5" thickTop="1" thickBot="1" x14ac:dyDescent="0.3">
      <c r="A91" s="597">
        <v>24060300</v>
      </c>
      <c r="B91" s="598" t="s">
        <v>96</v>
      </c>
      <c r="C91" s="593">
        <f t="shared" si="1"/>
        <v>13000000</v>
      </c>
      <c r="D91" s="599">
        <f>(10000000)+3000000</f>
        <v>13000000</v>
      </c>
      <c r="E91" s="599"/>
      <c r="F91" s="599"/>
      <c r="G91" s="103"/>
    </row>
    <row r="92" spans="1:7" ht="65.25" thickTop="1" thickBot="1" x14ac:dyDescent="0.3">
      <c r="A92" s="597">
        <v>24062200</v>
      </c>
      <c r="B92" s="598" t="s">
        <v>375</v>
      </c>
      <c r="C92" s="593">
        <f t="shared" si="1"/>
        <v>2300000</v>
      </c>
      <c r="D92" s="599">
        <f>(1000000)+1300000</f>
        <v>2300000</v>
      </c>
      <c r="E92" s="372"/>
      <c r="F92" s="372"/>
      <c r="G92" s="103"/>
    </row>
    <row r="93" spans="1:7" ht="39.75" thickTop="1" thickBot="1" x14ac:dyDescent="0.3">
      <c r="A93" s="597">
        <v>24110700</v>
      </c>
      <c r="B93" s="609" t="s">
        <v>589</v>
      </c>
      <c r="C93" s="593">
        <f t="shared" si="1"/>
        <v>24</v>
      </c>
      <c r="D93" s="599"/>
      <c r="E93" s="599">
        <v>24</v>
      </c>
      <c r="F93" s="599">
        <v>24</v>
      </c>
      <c r="G93" s="103"/>
    </row>
    <row r="94" spans="1:7" ht="27" thickTop="1" thickBot="1" x14ac:dyDescent="0.25">
      <c r="A94" s="597">
        <v>24170000</v>
      </c>
      <c r="B94" s="600" t="s">
        <v>97</v>
      </c>
      <c r="C94" s="593">
        <f t="shared" ref="C94:C100" si="6">SUM(D94,E94)</f>
        <v>3200000</v>
      </c>
      <c r="D94" s="599"/>
      <c r="E94" s="599">
        <f>(2000000)+1200000</f>
        <v>3200000</v>
      </c>
      <c r="F94" s="599">
        <f>(2000000)+1200000</f>
        <v>3200000</v>
      </c>
      <c r="G94" s="104"/>
    </row>
    <row r="95" spans="1:7" ht="16.5" thickTop="1" thickBot="1" x14ac:dyDescent="0.3">
      <c r="A95" s="591">
        <v>25000000</v>
      </c>
      <c r="B95" s="610" t="s">
        <v>98</v>
      </c>
      <c r="C95" s="593">
        <f t="shared" si="6"/>
        <v>229145152</v>
      </c>
      <c r="D95" s="593">
        <f>SUM(D96:D100,)</f>
        <v>0</v>
      </c>
      <c r="E95" s="593">
        <f>SUM(E96)</f>
        <v>229145152</v>
      </c>
      <c r="F95" s="368"/>
      <c r="G95" s="103"/>
    </row>
    <row r="96" spans="1:7" ht="42" thickTop="1" thickBot="1" x14ac:dyDescent="0.3">
      <c r="A96" s="594">
        <v>25010000</v>
      </c>
      <c r="B96" s="602" t="s">
        <v>99</v>
      </c>
      <c r="C96" s="596">
        <f t="shared" si="6"/>
        <v>229145152</v>
      </c>
      <c r="D96" s="596">
        <v>0</v>
      </c>
      <c r="E96" s="596">
        <f>SUM(E97:E100)</f>
        <v>229145152</v>
      </c>
      <c r="F96" s="369"/>
      <c r="G96" s="103"/>
    </row>
    <row r="97" spans="1:7" ht="27" thickTop="1" thickBot="1" x14ac:dyDescent="0.3">
      <c r="A97" s="597">
        <v>25010100</v>
      </c>
      <c r="B97" s="600" t="s">
        <v>100</v>
      </c>
      <c r="C97" s="593">
        <f t="shared" si="6"/>
        <v>212790555</v>
      </c>
      <c r="D97" s="599"/>
      <c r="E97" s="599">
        <f>(212809795)-19240</f>
        <v>212790555</v>
      </c>
      <c r="F97" s="372"/>
      <c r="G97" s="103"/>
    </row>
    <row r="98" spans="1:7" ht="27" thickTop="1" thickBot="1" x14ac:dyDescent="0.3">
      <c r="A98" s="597">
        <v>25010200</v>
      </c>
      <c r="B98" s="600" t="s">
        <v>101</v>
      </c>
      <c r="C98" s="593">
        <f t="shared" si="6"/>
        <v>12810270</v>
      </c>
      <c r="D98" s="599"/>
      <c r="E98" s="599">
        <v>12810270</v>
      </c>
      <c r="F98" s="372"/>
      <c r="G98" s="103"/>
    </row>
    <row r="99" spans="1:7" ht="16.5" thickTop="1" thickBot="1" x14ac:dyDescent="0.3">
      <c r="A99" s="597">
        <v>25010300</v>
      </c>
      <c r="B99" s="600" t="s">
        <v>102</v>
      </c>
      <c r="C99" s="593">
        <f t="shared" si="6"/>
        <v>3488027</v>
      </c>
      <c r="D99" s="599"/>
      <c r="E99" s="599">
        <f>(3462787)+25240</f>
        <v>3488027</v>
      </c>
      <c r="F99" s="372"/>
      <c r="G99" s="103"/>
    </row>
    <row r="100" spans="1:7" ht="39.75" thickTop="1" thickBot="1" x14ac:dyDescent="0.3">
      <c r="A100" s="597">
        <v>25010400</v>
      </c>
      <c r="B100" s="600" t="s">
        <v>103</v>
      </c>
      <c r="C100" s="593">
        <f t="shared" si="6"/>
        <v>56300</v>
      </c>
      <c r="D100" s="599"/>
      <c r="E100" s="599">
        <f>(62300)-6000</f>
        <v>56300</v>
      </c>
      <c r="F100" s="372"/>
      <c r="G100" s="103"/>
    </row>
    <row r="101" spans="1:7" ht="24.75" customHeight="1" thickTop="1" thickBot="1" x14ac:dyDescent="0.25">
      <c r="A101" s="680">
        <v>30000000</v>
      </c>
      <c r="B101" s="680" t="s">
        <v>104</v>
      </c>
      <c r="C101" s="681">
        <f>SUM(D101,E101)</f>
        <v>47487979</v>
      </c>
      <c r="D101" s="681">
        <f>SUM(D102)+D106</f>
        <v>45000</v>
      </c>
      <c r="E101" s="681">
        <f>SUM(E102)+E106</f>
        <v>47442979</v>
      </c>
      <c r="F101" s="681">
        <f>SUM(F102)+F106</f>
        <v>47442979</v>
      </c>
      <c r="G101" s="105"/>
    </row>
    <row r="102" spans="1:7" ht="27" customHeight="1" thickTop="1" thickBot="1" x14ac:dyDescent="0.3">
      <c r="A102" s="591">
        <v>31000000</v>
      </c>
      <c r="B102" s="591" t="s">
        <v>105</v>
      </c>
      <c r="C102" s="593">
        <f>SUM(D102,E102)</f>
        <v>25545000</v>
      </c>
      <c r="D102" s="593">
        <f>D103+D105</f>
        <v>45000</v>
      </c>
      <c r="E102" s="593">
        <f>E103+E105</f>
        <v>25500000</v>
      </c>
      <c r="F102" s="593">
        <f>F103+F105</f>
        <v>25500000</v>
      </c>
      <c r="G102" s="103"/>
    </row>
    <row r="103" spans="1:7" ht="82.5" thickTop="1" thickBot="1" x14ac:dyDescent="0.3">
      <c r="A103" s="594">
        <v>3101000</v>
      </c>
      <c r="B103" s="595" t="s">
        <v>538</v>
      </c>
      <c r="C103" s="596">
        <f>SUM(D103,E103)</f>
        <v>45000</v>
      </c>
      <c r="D103" s="596">
        <f>D104</f>
        <v>45000</v>
      </c>
      <c r="E103" s="596"/>
      <c r="F103" s="596"/>
      <c r="G103" s="103"/>
    </row>
    <row r="104" spans="1:7" ht="78" thickTop="1" thickBot="1" x14ac:dyDescent="0.3">
      <c r="A104" s="597">
        <v>31010200</v>
      </c>
      <c r="B104" s="600" t="s">
        <v>106</v>
      </c>
      <c r="C104" s="593">
        <f>SUM(D104,E104)</f>
        <v>45000</v>
      </c>
      <c r="D104" s="599">
        <v>45000</v>
      </c>
      <c r="E104" s="599"/>
      <c r="F104" s="599"/>
      <c r="G104" s="103"/>
    </row>
    <row r="105" spans="1:7" ht="55.5" thickTop="1" thickBot="1" x14ac:dyDescent="0.3">
      <c r="A105" s="594">
        <v>31030000</v>
      </c>
      <c r="B105" s="602" t="s">
        <v>107</v>
      </c>
      <c r="C105" s="596">
        <f t="shared" si="1"/>
        <v>25500000</v>
      </c>
      <c r="D105" s="596"/>
      <c r="E105" s="596">
        <f>((800000)+9500000)+15200000</f>
        <v>25500000</v>
      </c>
      <c r="F105" s="596">
        <f>((800000)+9500000)+15200000</f>
        <v>25500000</v>
      </c>
      <c r="G105" s="103"/>
    </row>
    <row r="106" spans="1:7" ht="27" thickTop="1" thickBot="1" x14ac:dyDescent="0.3">
      <c r="A106" s="591">
        <v>33000000</v>
      </c>
      <c r="B106" s="591" t="s">
        <v>108</v>
      </c>
      <c r="C106" s="593">
        <f t="shared" si="1"/>
        <v>21942979</v>
      </c>
      <c r="D106" s="593">
        <f>SUM(D107)</f>
        <v>0</v>
      </c>
      <c r="E106" s="593">
        <f>SUM(E107)</f>
        <v>21942979</v>
      </c>
      <c r="F106" s="593">
        <f>SUM(F107)</f>
        <v>21942979</v>
      </c>
      <c r="G106" s="103"/>
    </row>
    <row r="107" spans="1:7" ht="16.5" thickTop="1" thickBot="1" x14ac:dyDescent="0.3">
      <c r="A107" s="594">
        <v>33010000</v>
      </c>
      <c r="B107" s="595" t="s">
        <v>109</v>
      </c>
      <c r="C107" s="596">
        <f>SUM(D107,E107)</f>
        <v>21942979</v>
      </c>
      <c r="D107" s="596">
        <f>SUM(D108:D110)</f>
        <v>0</v>
      </c>
      <c r="E107" s="596">
        <f>SUM(E108:E110)</f>
        <v>21942979</v>
      </c>
      <c r="F107" s="596">
        <f>SUM(F108:F110)</f>
        <v>21942979</v>
      </c>
      <c r="G107" s="103"/>
    </row>
    <row r="108" spans="1:7" ht="52.5" thickTop="1" thickBot="1" x14ac:dyDescent="0.3">
      <c r="A108" s="597">
        <v>33010100</v>
      </c>
      <c r="B108" s="600" t="s">
        <v>343</v>
      </c>
      <c r="C108" s="593">
        <f t="shared" si="1"/>
        <v>20517840</v>
      </c>
      <c r="D108" s="599"/>
      <c r="E108" s="599">
        <f>(7517840)+13000000</f>
        <v>20517840</v>
      </c>
      <c r="F108" s="599">
        <f>(7517840)+13000000</f>
        <v>20517840</v>
      </c>
      <c r="G108" s="103"/>
    </row>
    <row r="109" spans="1:7" ht="52.5" thickTop="1" thickBot="1" x14ac:dyDescent="0.3">
      <c r="A109" s="597">
        <v>33010200</v>
      </c>
      <c r="B109" s="600" t="s">
        <v>110</v>
      </c>
      <c r="C109" s="593">
        <f>SUM(D109,E109)</f>
        <v>1425139</v>
      </c>
      <c r="D109" s="599"/>
      <c r="E109" s="599">
        <v>1425139</v>
      </c>
      <c r="F109" s="599">
        <v>1425139</v>
      </c>
      <c r="G109" s="103"/>
    </row>
    <row r="110" spans="1:7" ht="78" hidden="1" thickTop="1" thickBot="1" x14ac:dyDescent="0.3">
      <c r="A110" s="370">
        <v>33010500</v>
      </c>
      <c r="B110" s="373" t="s">
        <v>1400</v>
      </c>
      <c r="C110" s="368">
        <f>SUM(D110,E110)</f>
        <v>0</v>
      </c>
      <c r="D110" s="372"/>
      <c r="E110" s="372">
        <v>0</v>
      </c>
      <c r="F110" s="372">
        <v>0</v>
      </c>
      <c r="G110" s="103"/>
    </row>
    <row r="111" spans="1:7" ht="27" customHeight="1" thickTop="1" thickBot="1" x14ac:dyDescent="0.3">
      <c r="A111" s="680">
        <v>50000000</v>
      </c>
      <c r="B111" s="680" t="s">
        <v>487</v>
      </c>
      <c r="C111" s="681">
        <f>SUM(D111,E111)</f>
        <v>6515800</v>
      </c>
      <c r="D111" s="681">
        <f>SUM(D112)</f>
        <v>0</v>
      </c>
      <c r="E111" s="681">
        <f>SUM(E112)</f>
        <v>6515800</v>
      </c>
      <c r="F111" s="681">
        <f>SUM(F112)</f>
        <v>0</v>
      </c>
      <c r="G111" s="103"/>
    </row>
    <row r="112" spans="1:7" ht="52.5" thickTop="1" thickBot="1" x14ac:dyDescent="0.3">
      <c r="A112" s="591">
        <v>50110000</v>
      </c>
      <c r="B112" s="605" t="s">
        <v>111</v>
      </c>
      <c r="C112" s="593">
        <f t="shared" ref="C112:C149" si="7">SUM(D112,E112)</f>
        <v>6515800</v>
      </c>
      <c r="D112" s="599"/>
      <c r="E112" s="593">
        <f>(5215800)+1300000</f>
        <v>6515800</v>
      </c>
      <c r="F112" s="599"/>
      <c r="G112" s="103"/>
    </row>
    <row r="113" spans="1:7" ht="45.75" customHeight="1" thickTop="1" thickBot="1" x14ac:dyDescent="0.25">
      <c r="A113" s="611"/>
      <c r="B113" s="612" t="s">
        <v>488</v>
      </c>
      <c r="C113" s="613">
        <f t="shared" ref="C113:C121" si="8">SUM(D113,E113)</f>
        <v>3695179320</v>
      </c>
      <c r="D113" s="613">
        <f>D111+D101+D66+D15</f>
        <v>3407675365</v>
      </c>
      <c r="E113" s="613">
        <f>E111+E101+E66+E15</f>
        <v>287503955</v>
      </c>
      <c r="F113" s="613">
        <f>F111+F101+F66+F15</f>
        <v>50643003</v>
      </c>
      <c r="G113" s="104"/>
    </row>
    <row r="114" spans="1:7" ht="34.5" customHeight="1" thickTop="1" thickBot="1" x14ac:dyDescent="0.25">
      <c r="A114" s="680">
        <v>40000000</v>
      </c>
      <c r="B114" s="680" t="s">
        <v>427</v>
      </c>
      <c r="C114" s="681">
        <f>SUM(D114,E114)</f>
        <v>915854794.66999996</v>
      </c>
      <c r="D114" s="681">
        <f>SUM(D120,D117,D115)</f>
        <v>908182683.66999996</v>
      </c>
      <c r="E114" s="681">
        <f>SUM(E120,E117,E115)</f>
        <v>7672111</v>
      </c>
      <c r="F114" s="681">
        <f>SUM(F120,F117,F115)</f>
        <v>0</v>
      </c>
      <c r="G114" s="104"/>
    </row>
    <row r="115" spans="1:7" ht="34.5" hidden="1" customHeight="1" thickTop="1" thickBot="1" x14ac:dyDescent="0.25">
      <c r="A115" s="367">
        <v>41020000</v>
      </c>
      <c r="B115" s="374" t="s">
        <v>1337</v>
      </c>
      <c r="C115" s="368">
        <f t="shared" ref="C115:C116" si="9">SUM(D115,E115)</f>
        <v>0</v>
      </c>
      <c r="D115" s="368">
        <f>SUM(D116)</f>
        <v>0</v>
      </c>
      <c r="E115" s="368"/>
      <c r="F115" s="368"/>
      <c r="G115" s="104"/>
    </row>
    <row r="116" spans="1:7" ht="103.5" hidden="1" thickTop="1" thickBot="1" x14ac:dyDescent="0.25">
      <c r="A116" s="370">
        <v>41021400</v>
      </c>
      <c r="B116" s="373" t="s">
        <v>1344</v>
      </c>
      <c r="C116" s="368">
        <f t="shared" si="9"/>
        <v>0</v>
      </c>
      <c r="D116" s="372">
        <v>0</v>
      </c>
      <c r="E116" s="368"/>
      <c r="F116" s="368"/>
      <c r="G116" s="104"/>
    </row>
    <row r="117" spans="1:7" ht="27" thickTop="1" thickBot="1" x14ac:dyDescent="0.25">
      <c r="A117" s="591">
        <v>41040000</v>
      </c>
      <c r="B117" s="601" t="s">
        <v>344</v>
      </c>
      <c r="C117" s="593">
        <f>SUM(D117,E117)</f>
        <v>7753824.6699999999</v>
      </c>
      <c r="D117" s="593">
        <f>SUM(D118:D119)</f>
        <v>7753824.6699999999</v>
      </c>
      <c r="E117" s="368"/>
      <c r="F117" s="368"/>
      <c r="G117" s="104"/>
    </row>
    <row r="118" spans="1:7" ht="66" customHeight="1" thickTop="1" thickBot="1" x14ac:dyDescent="0.25">
      <c r="A118" s="597">
        <v>41040200</v>
      </c>
      <c r="B118" s="600" t="s">
        <v>1159</v>
      </c>
      <c r="C118" s="593">
        <f t="shared" si="8"/>
        <v>7509500</v>
      </c>
      <c r="D118" s="599">
        <v>7509500</v>
      </c>
      <c r="E118" s="368"/>
      <c r="F118" s="368"/>
      <c r="G118" s="104"/>
    </row>
    <row r="119" spans="1:7" ht="15.75" thickTop="1" thickBot="1" x14ac:dyDescent="0.25">
      <c r="A119" s="597">
        <v>41040400</v>
      </c>
      <c r="B119" s="600" t="s">
        <v>1217</v>
      </c>
      <c r="C119" s="593">
        <f t="shared" si="8"/>
        <v>244324.67</v>
      </c>
      <c r="D119" s="599">
        <f>(140989.01)+73066.32+30269.34</f>
        <v>244324.67</v>
      </c>
      <c r="E119" s="368"/>
      <c r="F119" s="368"/>
      <c r="G119" s="104"/>
    </row>
    <row r="120" spans="1:7" s="585" customFormat="1" ht="15.75" thickTop="1" thickBot="1" x14ac:dyDescent="0.25">
      <c r="A120" s="591">
        <v>41000000</v>
      </c>
      <c r="B120" s="591" t="s">
        <v>112</v>
      </c>
      <c r="C120" s="593">
        <f t="shared" si="8"/>
        <v>908100970</v>
      </c>
      <c r="D120" s="593">
        <f>SUM(D121,D129)</f>
        <v>900428859</v>
      </c>
      <c r="E120" s="593">
        <f>SUM(E121,E129)</f>
        <v>7672111</v>
      </c>
      <c r="F120" s="593">
        <f>SUM(F121,F129)</f>
        <v>0</v>
      </c>
      <c r="G120" s="616"/>
    </row>
    <row r="121" spans="1:7" s="585" customFormat="1" ht="27" thickTop="1" thickBot="1" x14ac:dyDescent="0.3">
      <c r="A121" s="591">
        <v>41030000</v>
      </c>
      <c r="B121" s="610" t="s">
        <v>438</v>
      </c>
      <c r="C121" s="593">
        <f t="shared" si="8"/>
        <v>762406300</v>
      </c>
      <c r="D121" s="593">
        <f>SUM(D122:D128)</f>
        <v>762406300</v>
      </c>
      <c r="E121" s="593">
        <f>SUM(E122:E128)</f>
        <v>0</v>
      </c>
      <c r="F121" s="593">
        <f>SUM(F122:F128)</f>
        <v>0</v>
      </c>
      <c r="G121" s="592"/>
    </row>
    <row r="122" spans="1:7" ht="52.5" hidden="1" thickTop="1" thickBot="1" x14ac:dyDescent="0.3">
      <c r="A122" s="370">
        <v>41032300</v>
      </c>
      <c r="B122" s="371" t="s">
        <v>983</v>
      </c>
      <c r="C122" s="368">
        <f t="shared" si="7"/>
        <v>0</v>
      </c>
      <c r="D122" s="372">
        <v>0</v>
      </c>
      <c r="E122" s="368"/>
      <c r="F122" s="372"/>
      <c r="G122" s="103"/>
    </row>
    <row r="123" spans="1:7" ht="52.5" thickTop="1" thickBot="1" x14ac:dyDescent="0.3">
      <c r="A123" s="682">
        <v>41033800</v>
      </c>
      <c r="B123" s="683" t="s">
        <v>1043</v>
      </c>
      <c r="C123" s="684">
        <f t="shared" si="7"/>
        <v>8649900</v>
      </c>
      <c r="D123" s="685">
        <f>(0)+8649900</f>
        <v>8649900</v>
      </c>
      <c r="E123" s="684"/>
      <c r="F123" s="685"/>
      <c r="G123" s="103"/>
    </row>
    <row r="124" spans="1:7" ht="27" thickTop="1" thickBot="1" x14ac:dyDescent="0.3">
      <c r="A124" s="597">
        <v>41033900</v>
      </c>
      <c r="B124" s="598" t="s">
        <v>113</v>
      </c>
      <c r="C124" s="593">
        <f t="shared" si="7"/>
        <v>753756400</v>
      </c>
      <c r="D124" s="599">
        <f>(752597500)+1158900</f>
        <v>753756400</v>
      </c>
      <c r="E124" s="599"/>
      <c r="F124" s="599"/>
      <c r="G124" s="103"/>
    </row>
    <row r="125" spans="1:7" ht="52.5" hidden="1" thickTop="1" thickBot="1" x14ac:dyDescent="0.3">
      <c r="A125" s="370">
        <v>41034500</v>
      </c>
      <c r="B125" s="371" t="s">
        <v>1044</v>
      </c>
      <c r="C125" s="368">
        <f t="shared" si="7"/>
        <v>0</v>
      </c>
      <c r="D125" s="372">
        <v>0</v>
      </c>
      <c r="E125" s="372">
        <v>0</v>
      </c>
      <c r="F125" s="372">
        <v>0</v>
      </c>
      <c r="G125" s="103"/>
    </row>
    <row r="126" spans="1:7" ht="52.5" hidden="1" thickTop="1" thickBot="1" x14ac:dyDescent="0.3">
      <c r="A126" s="370">
        <v>41035500</v>
      </c>
      <c r="B126" s="371" t="s">
        <v>985</v>
      </c>
      <c r="C126" s="368">
        <f t="shared" si="7"/>
        <v>0</v>
      </c>
      <c r="D126" s="372">
        <v>0</v>
      </c>
      <c r="E126" s="372"/>
      <c r="F126" s="372"/>
      <c r="G126" s="103"/>
    </row>
    <row r="127" spans="1:7" ht="65.25" hidden="1" thickTop="1" thickBot="1" x14ac:dyDescent="0.3">
      <c r="A127" s="370">
        <v>41035600</v>
      </c>
      <c r="B127" s="371" t="s">
        <v>1009</v>
      </c>
      <c r="C127" s="368">
        <f t="shared" si="7"/>
        <v>0</v>
      </c>
      <c r="D127" s="372">
        <v>0</v>
      </c>
      <c r="E127" s="372"/>
      <c r="F127" s="372"/>
      <c r="G127" s="103"/>
    </row>
    <row r="128" spans="1:7" ht="39.75" hidden="1" thickTop="1" thickBot="1" x14ac:dyDescent="0.3">
      <c r="A128" s="370">
        <v>41035700</v>
      </c>
      <c r="B128" s="371" t="s">
        <v>975</v>
      </c>
      <c r="C128" s="368">
        <f t="shared" si="7"/>
        <v>0</v>
      </c>
      <c r="D128" s="372">
        <v>0</v>
      </c>
      <c r="E128" s="372"/>
      <c r="F128" s="372"/>
      <c r="G128" s="103"/>
    </row>
    <row r="129" spans="1:7" ht="27" thickTop="1" thickBot="1" x14ac:dyDescent="0.3">
      <c r="A129" s="591">
        <v>41050000</v>
      </c>
      <c r="B129" s="610" t="s">
        <v>473</v>
      </c>
      <c r="C129" s="593">
        <f t="shared" ref="C129:C137" si="10">SUM(D129,E129)</f>
        <v>145694670</v>
      </c>
      <c r="D129" s="593">
        <f>SUM(D130:D143)+D150+D151</f>
        <v>138022559</v>
      </c>
      <c r="E129" s="593">
        <f>SUM(E130:E143)</f>
        <v>7672111</v>
      </c>
      <c r="F129" s="593">
        <f>SUM(F130:F143)</f>
        <v>0</v>
      </c>
      <c r="G129" s="103"/>
    </row>
    <row r="130" spans="1:7" ht="333" thickTop="1" thickBot="1" x14ac:dyDescent="0.3">
      <c r="A130" s="597">
        <v>41050400</v>
      </c>
      <c r="B130" s="598" t="s">
        <v>1422</v>
      </c>
      <c r="C130" s="593">
        <f t="shared" si="10"/>
        <v>82535515</v>
      </c>
      <c r="D130" s="599">
        <f>(0)+82535515</f>
        <v>82535515</v>
      </c>
      <c r="E130" s="599"/>
      <c r="F130" s="599"/>
      <c r="G130" s="103"/>
    </row>
    <row r="131" spans="1:7" ht="231" thickTop="1" thickBot="1" x14ac:dyDescent="0.3">
      <c r="A131" s="597">
        <v>41050500</v>
      </c>
      <c r="B131" s="598" t="s">
        <v>1045</v>
      </c>
      <c r="C131" s="593">
        <f t="shared" si="10"/>
        <v>9627478</v>
      </c>
      <c r="D131" s="599">
        <f>(0)+9627478</f>
        <v>9627478</v>
      </c>
      <c r="E131" s="599"/>
      <c r="F131" s="599"/>
      <c r="G131" s="103"/>
    </row>
    <row r="132" spans="1:7" ht="320.25" thickTop="1" thickBot="1" x14ac:dyDescent="0.3">
      <c r="A132" s="597">
        <v>41050600</v>
      </c>
      <c r="B132" s="598" t="s">
        <v>1423</v>
      </c>
      <c r="C132" s="593">
        <f t="shared" si="10"/>
        <v>29419182</v>
      </c>
      <c r="D132" s="599">
        <f>(0)+29419182</f>
        <v>29419182</v>
      </c>
      <c r="E132" s="599"/>
      <c r="F132" s="599"/>
      <c r="G132" s="103"/>
    </row>
    <row r="133" spans="1:7" ht="116.25" hidden="1" thickTop="1" thickBot="1" x14ac:dyDescent="0.3">
      <c r="A133" s="376">
        <v>41050900</v>
      </c>
      <c r="B133" s="377" t="s">
        <v>1046</v>
      </c>
      <c r="C133" s="378">
        <f t="shared" si="10"/>
        <v>0</v>
      </c>
      <c r="D133" s="379">
        <v>0</v>
      </c>
      <c r="E133" s="379"/>
      <c r="F133" s="379"/>
      <c r="G133" s="103"/>
    </row>
    <row r="134" spans="1:7" ht="39.75" thickTop="1" thickBot="1" x14ac:dyDescent="0.3">
      <c r="A134" s="597">
        <v>41051000</v>
      </c>
      <c r="B134" s="598" t="s">
        <v>474</v>
      </c>
      <c r="C134" s="593">
        <f t="shared" si="10"/>
        <v>11127203</v>
      </c>
      <c r="D134" s="599">
        <v>11127203</v>
      </c>
      <c r="E134" s="372"/>
      <c r="F134" s="372"/>
      <c r="G134" s="103"/>
    </row>
    <row r="135" spans="1:7" ht="39.75" thickTop="1" thickBot="1" x14ac:dyDescent="0.3">
      <c r="A135" s="597">
        <v>41051100</v>
      </c>
      <c r="B135" s="598" t="s">
        <v>1591</v>
      </c>
      <c r="C135" s="593">
        <f t="shared" si="10"/>
        <v>7672111</v>
      </c>
      <c r="D135" s="599"/>
      <c r="E135" s="599">
        <v>7672111</v>
      </c>
      <c r="F135" s="372"/>
      <c r="G135" s="103"/>
    </row>
    <row r="136" spans="1:7" ht="52.5" thickTop="1" thickBot="1" x14ac:dyDescent="0.3">
      <c r="A136" s="597">
        <v>41051200</v>
      </c>
      <c r="B136" s="598" t="s">
        <v>1290</v>
      </c>
      <c r="C136" s="593">
        <f>SUM(D136,E136)</f>
        <v>3668858</v>
      </c>
      <c r="D136" s="599">
        <v>3668858</v>
      </c>
      <c r="E136" s="372"/>
      <c r="F136" s="372"/>
      <c r="G136" s="103"/>
    </row>
    <row r="137" spans="1:7" ht="65.25" hidden="1" thickTop="1" thickBot="1" x14ac:dyDescent="0.3">
      <c r="A137" s="376">
        <v>41051400</v>
      </c>
      <c r="B137" s="377" t="s">
        <v>988</v>
      </c>
      <c r="C137" s="378">
        <f t="shared" si="10"/>
        <v>0</v>
      </c>
      <c r="D137" s="379">
        <v>0</v>
      </c>
      <c r="E137" s="379"/>
      <c r="F137" s="379"/>
      <c r="G137" s="103"/>
    </row>
    <row r="138" spans="1:7" ht="65.25" thickTop="1" thickBot="1" x14ac:dyDescent="0.3">
      <c r="A138" s="597">
        <v>41051700</v>
      </c>
      <c r="B138" s="598" t="s">
        <v>945</v>
      </c>
      <c r="C138" s="593">
        <f t="shared" si="7"/>
        <v>532739</v>
      </c>
      <c r="D138" s="599">
        <v>532739</v>
      </c>
      <c r="E138" s="372"/>
      <c r="F138" s="372"/>
      <c r="G138" s="103"/>
    </row>
    <row r="139" spans="1:7" ht="90.75" hidden="1" thickTop="1" thickBot="1" x14ac:dyDescent="0.3">
      <c r="A139" s="376">
        <v>41056600</v>
      </c>
      <c r="B139" s="377" t="s">
        <v>1028</v>
      </c>
      <c r="C139" s="378">
        <f t="shared" si="7"/>
        <v>0</v>
      </c>
      <c r="D139" s="379">
        <f>10623233.82-10623233.82</f>
        <v>0</v>
      </c>
      <c r="E139" s="379"/>
      <c r="F139" s="379"/>
      <c r="G139" s="103"/>
    </row>
    <row r="140" spans="1:7" ht="52.5" hidden="1" thickTop="1" thickBot="1" x14ac:dyDescent="0.25">
      <c r="A140" s="376">
        <v>41055000</v>
      </c>
      <c r="B140" s="377" t="s">
        <v>1047</v>
      </c>
      <c r="C140" s="378">
        <f t="shared" si="7"/>
        <v>0</v>
      </c>
      <c r="D140" s="379">
        <v>0</v>
      </c>
      <c r="E140" s="379"/>
      <c r="F140" s="379"/>
      <c r="G140" s="104"/>
    </row>
    <row r="141" spans="1:7" ht="27" hidden="1" thickTop="1" thickBot="1" x14ac:dyDescent="0.25">
      <c r="A141" s="376">
        <v>41053600</v>
      </c>
      <c r="B141" s="377" t="s">
        <v>947</v>
      </c>
      <c r="C141" s="378">
        <f t="shared" si="7"/>
        <v>0</v>
      </c>
      <c r="D141" s="379"/>
      <c r="E141" s="379">
        <v>0</v>
      </c>
      <c r="F141" s="379"/>
      <c r="G141" s="104"/>
    </row>
    <row r="142" spans="1:7" ht="205.5" hidden="1" thickTop="1" thickBot="1" x14ac:dyDescent="0.25">
      <c r="A142" s="376">
        <v>41054200</v>
      </c>
      <c r="B142" s="377" t="s">
        <v>1048</v>
      </c>
      <c r="C142" s="378">
        <f t="shared" si="7"/>
        <v>0</v>
      </c>
      <c r="D142" s="379">
        <v>0</v>
      </c>
      <c r="E142" s="379"/>
      <c r="F142" s="379"/>
      <c r="G142" s="104"/>
    </row>
    <row r="143" spans="1:7" ht="27" thickTop="1" thickBot="1" x14ac:dyDescent="0.25">
      <c r="A143" s="597">
        <v>41053900</v>
      </c>
      <c r="B143" s="598" t="s">
        <v>901</v>
      </c>
      <c r="C143" s="593">
        <f t="shared" si="7"/>
        <v>1018034</v>
      </c>
      <c r="D143" s="593">
        <f>SUM(D144:D149)</f>
        <v>1018034</v>
      </c>
      <c r="E143" s="593">
        <f>SUM(E144:E149)</f>
        <v>0</v>
      </c>
      <c r="F143" s="593">
        <f>SUM(F144:F149)</f>
        <v>0</v>
      </c>
      <c r="G143" s="104"/>
    </row>
    <row r="144" spans="1:7" ht="15.75" hidden="1" thickTop="1" thickBot="1" x14ac:dyDescent="0.25">
      <c r="A144" s="597"/>
      <c r="B144" s="614" t="s">
        <v>948</v>
      </c>
      <c r="C144" s="596">
        <f>SUM(D144,E144)</f>
        <v>0</v>
      </c>
      <c r="D144" s="615"/>
      <c r="E144" s="375">
        <v>0</v>
      </c>
      <c r="F144" s="375">
        <v>0</v>
      </c>
      <c r="G144" s="104"/>
    </row>
    <row r="145" spans="1:10" ht="39.75" thickTop="1" thickBot="1" x14ac:dyDescent="0.25">
      <c r="A145" s="597"/>
      <c r="B145" s="614" t="s">
        <v>902</v>
      </c>
      <c r="C145" s="596">
        <f t="shared" si="7"/>
        <v>362971</v>
      </c>
      <c r="D145" s="615">
        <v>362971</v>
      </c>
      <c r="E145" s="375"/>
      <c r="F145" s="375"/>
      <c r="G145" s="104"/>
    </row>
    <row r="146" spans="1:10" ht="52.5" thickTop="1" thickBot="1" x14ac:dyDescent="0.25">
      <c r="A146" s="597"/>
      <c r="B146" s="614" t="s">
        <v>903</v>
      </c>
      <c r="C146" s="596">
        <f t="shared" si="7"/>
        <v>184607</v>
      </c>
      <c r="D146" s="615">
        <v>184607</v>
      </c>
      <c r="E146" s="375"/>
      <c r="F146" s="375"/>
      <c r="G146" s="104"/>
    </row>
    <row r="147" spans="1:10" ht="27" thickTop="1" thickBot="1" x14ac:dyDescent="0.25">
      <c r="A147" s="597"/>
      <c r="B147" s="614" t="s">
        <v>904</v>
      </c>
      <c r="C147" s="596">
        <f t="shared" si="7"/>
        <v>470456</v>
      </c>
      <c r="D147" s="615">
        <v>470456</v>
      </c>
      <c r="E147" s="375"/>
      <c r="F147" s="375"/>
      <c r="G147" s="104"/>
    </row>
    <row r="148" spans="1:10" ht="39.75" hidden="1" thickTop="1" thickBot="1" x14ac:dyDescent="0.25">
      <c r="A148" s="376"/>
      <c r="B148" s="380" t="s">
        <v>1085</v>
      </c>
      <c r="C148" s="108">
        <f t="shared" si="7"/>
        <v>0</v>
      </c>
      <c r="D148" s="109">
        <v>0</v>
      </c>
      <c r="E148" s="109"/>
      <c r="F148" s="109"/>
      <c r="G148" s="104"/>
    </row>
    <row r="149" spans="1:10" ht="27" hidden="1" thickTop="1" thickBot="1" x14ac:dyDescent="0.25">
      <c r="A149" s="376"/>
      <c r="B149" s="380" t="s">
        <v>1086</v>
      </c>
      <c r="C149" s="108">
        <f t="shared" si="7"/>
        <v>0</v>
      </c>
      <c r="D149" s="109"/>
      <c r="E149" s="109">
        <v>0</v>
      </c>
      <c r="F149" s="109">
        <v>0</v>
      </c>
      <c r="G149" s="104"/>
    </row>
    <row r="150" spans="1:10" ht="65.25" thickTop="1" thickBot="1" x14ac:dyDescent="0.25">
      <c r="A150" s="597">
        <v>41057700</v>
      </c>
      <c r="B150" s="598" t="s">
        <v>1376</v>
      </c>
      <c r="C150" s="593">
        <f>SUM(D150,E150)</f>
        <v>93550</v>
      </c>
      <c r="D150" s="599">
        <v>93550</v>
      </c>
      <c r="E150" s="372"/>
      <c r="F150" s="372"/>
      <c r="G150" s="104"/>
    </row>
    <row r="151" spans="1:10" ht="52.5" hidden="1" thickTop="1" thickBot="1" x14ac:dyDescent="0.25">
      <c r="A151" s="370">
        <v>41059000</v>
      </c>
      <c r="B151" s="371" t="s">
        <v>1401</v>
      </c>
      <c r="C151" s="368">
        <f>SUM(D151,E151)</f>
        <v>0</v>
      </c>
      <c r="D151" s="372">
        <v>0</v>
      </c>
      <c r="E151" s="372"/>
      <c r="F151" s="372"/>
      <c r="G151" s="104"/>
    </row>
    <row r="152" spans="1:10" ht="33.75" customHeight="1" thickTop="1" thickBot="1" x14ac:dyDescent="0.3">
      <c r="A152" s="611"/>
      <c r="B152" s="612" t="s">
        <v>1039</v>
      </c>
      <c r="C152" s="613">
        <f>SUM(D152,E152)</f>
        <v>4611034114.6700001</v>
      </c>
      <c r="D152" s="613">
        <f>SUM(D113,D114)</f>
        <v>4315858048.6700001</v>
      </c>
      <c r="E152" s="613">
        <f>SUM(E113,E114)</f>
        <v>295176066</v>
      </c>
      <c r="F152" s="613">
        <f>SUM(F113,F114)</f>
        <v>50643003</v>
      </c>
      <c r="G152" s="686" t="b">
        <f>C152=C147+C146+C145+C124+C118+C112+C105+C104+C100+C99+C98+C97+C94+C93+C92+C91+C88+C87+C85+C81+C80+C79+C74+C73+C72+C70+C69+C65+C64+C63+C60+C59+C58+C56+C55+C51+C50+C49+C48+C47+C46+C45+C44+C43+C42+C38+C36+C33+C31+C29+C25+C21+C20+C19+C18+C109+C108+C39+C53+C136+C134+C116+C150+C119+C151+C110+C132+C130+C131+C138+C89+C28+C23+C22+C76+C75+C135+C123+C83</f>
        <v>1</v>
      </c>
      <c r="H152" s="686" t="b">
        <f>D152=D147+D146+D145+D124+D118+D112+D105+D104+D100+D99+D98+D97+D94+D93+D92+D91+D88+D87+D85+D81+D80+D79+D74+D73+D72+D70+D69+D65+D64+D63+D60+D59+D58+D56+D55+D51+D50+D49+D48+D47+D46+D45+D44+D43+D42+D38+D36+D33+D31+D29+D25+D21+D20+D19+D18+D109+D108+D39+D53+D136+D134+D116+D150+D119+D151+D110+D132+D130+D131+D138+D89+D28+D23+D22+D76+D75+D135+D123+D83</f>
        <v>1</v>
      </c>
      <c r="I152" s="686" t="b">
        <f>E152=E147+E146+E145+E124+E118+E112+E105+E104+E100+E99+E98+E97+E94+E93+E92+E91+E88+E87+E85+E81+E80+E79+E74+E73+E72+E70+E69+E65+E64+E63+E60+E59+E58+E56+E55+E51+E50+E49+E48+E47+E46+E45+E44+E43+E42+E38+E36+E33+E31+E29+E25+E21+E20+E19+E18+E109+E108+E39+E53+E136+E134+E116+E150+E119+E151+E110+E132+E130+E131+E138+E89+E28+E23+E22+E76+E75+E135+E123+E83</f>
        <v>1</v>
      </c>
      <c r="J152" s="686" t="b">
        <f>F152=F147+F146+F145+F124+F118+F112+F105+F104+F100+F99+F98+F97+F94+F93+F92+F91+F88+F87+F85+F81+F80+F79+F74+F73+F72+F70+F69+F65+F64+F63+F60+F59+F58+F56+F55+F51+F50+F49+F48+F47+F46+F45+F44+F43+F42+F38+F36+F33+F31+F29+F25+F21+F20+F19+F18+F109+F108+F39+F53+F136+F134+F116+F150+F119+F151+F110+F132+F130+F131+F138+F89+F28+F23+F22+F76+F75+F135+F123+F83</f>
        <v>1</v>
      </c>
    </row>
    <row r="153" spans="1:10" ht="16.5" thickTop="1" x14ac:dyDescent="0.25">
      <c r="B153" s="110"/>
      <c r="G153" s="686" t="b">
        <f>(((((4196633892-'d2'!C37-'d2'!C22)+129600000)+1158900+4436136.01+7672111)+178202565)+73066.32+121612444.34)+131305000=C152</f>
        <v>0</v>
      </c>
    </row>
    <row r="154" spans="1:10" ht="15.75" x14ac:dyDescent="0.2">
      <c r="B154" s="362" t="s">
        <v>1478</v>
      </c>
      <c r="C154"/>
      <c r="D154"/>
      <c r="E154" s="363" t="s">
        <v>1479</v>
      </c>
      <c r="F154" s="112"/>
    </row>
    <row r="155" spans="1:10" ht="15.75" hidden="1" x14ac:dyDescent="0.2">
      <c r="B155" s="362" t="s">
        <v>1443</v>
      </c>
      <c r="C155"/>
      <c r="D155"/>
      <c r="E155" s="363" t="s">
        <v>1444</v>
      </c>
      <c r="F155" s="112"/>
    </row>
    <row r="156" spans="1:10" ht="15.75" x14ac:dyDescent="0.25">
      <c r="B156" s="1"/>
      <c r="C156" s="585"/>
      <c r="D156" s="585"/>
      <c r="E156" s="1"/>
    </row>
    <row r="157" spans="1:10" ht="15.75" x14ac:dyDescent="0.25">
      <c r="A157" s="113"/>
      <c r="B157" s="468" t="s">
        <v>523</v>
      </c>
      <c r="C157" s="1"/>
      <c r="D157" s="1"/>
      <c r="E157" s="1" t="s">
        <v>1345</v>
      </c>
      <c r="F157" s="113"/>
    </row>
    <row r="160" spans="1:10" x14ac:dyDescent="0.2">
      <c r="C160" s="111"/>
      <c r="D160" s="111"/>
      <c r="E160" s="111"/>
      <c r="F160" s="111"/>
    </row>
  </sheetData>
  <mergeCells count="13">
    <mergeCell ref="A6:F6"/>
    <mergeCell ref="A8:F8"/>
    <mergeCell ref="A9:F9"/>
    <mergeCell ref="A12:A13"/>
    <mergeCell ref="B12:B13"/>
    <mergeCell ref="C12:C13"/>
    <mergeCell ref="D12:D13"/>
    <mergeCell ref="E12:F12"/>
    <mergeCell ref="D1:G1"/>
    <mergeCell ref="D2:G2"/>
    <mergeCell ref="D3:G3"/>
    <mergeCell ref="A4:E4"/>
    <mergeCell ref="A5:F5"/>
  </mergeCells>
  <hyperlinks>
    <hyperlink ref="B102" location="_ftn1" display="_ftn1"/>
    <hyperlink ref="B101" location="_ftn1" display="_ftn1"/>
    <hyperlink ref="B88" location="_ftn1" display="_ftn1"/>
    <hyperlink ref="B20" location="_ftn1" display="_ftn1"/>
    <hyperlink ref="B19" location="_ftn1" display="_ftn1"/>
    <hyperlink ref="B64" location="_ftn1" display="_ftn1"/>
    <hyperlink ref="B106" location="_ftn1" display="_ftn1"/>
    <hyperlink ref="B107" location="_ftn1" display="_ftn1"/>
    <hyperlink ref="B72" location="_ftn1" display="_ftn1"/>
  </hyperlinks>
  <printOptions horizontalCentered="1"/>
  <pageMargins left="0.35433070866141736" right="0.15748031496062992" top="0.59055118110236227" bottom="0.51181102362204722" header="0.51181102362204722" footer="0.51181102362204722"/>
  <pageSetup paperSize="9" scale="86" fitToHeight="0" orientation="portrait" verticalDpi="4294967295" r:id="rId1"/>
  <headerFooter alignWithMargins="0"/>
  <rowBreaks count="1" manualBreakCount="1">
    <brk id="107"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J158"/>
  <sheetViews>
    <sheetView view="pageBreakPreview" topLeftCell="A74" zoomScaleNormal="100" zoomScaleSheetLayoutView="100" workbookViewId="0">
      <selection activeCell="D167" sqref="D167"/>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10" width="10.85546875" style="102" bestFit="1" customWidth="1"/>
    <col min="11" max="252" width="7.85546875" style="102" customWidth="1"/>
    <col min="253" max="16384" width="6.85546875" style="102"/>
  </cols>
  <sheetData>
    <row r="1" spans="1:7" ht="15.75" x14ac:dyDescent="0.2">
      <c r="A1" s="585"/>
      <c r="B1" s="585"/>
      <c r="C1" s="585"/>
      <c r="D1" s="715" t="s">
        <v>56</v>
      </c>
      <c r="E1" s="716"/>
      <c r="F1" s="716"/>
      <c r="G1" s="716"/>
    </row>
    <row r="2" spans="1:7" ht="15.75" x14ac:dyDescent="0.2">
      <c r="A2" s="585"/>
      <c r="B2" s="585"/>
      <c r="C2" s="586"/>
      <c r="D2" s="715" t="s">
        <v>1575</v>
      </c>
      <c r="E2" s="717"/>
      <c r="F2" s="717"/>
      <c r="G2" s="717"/>
    </row>
    <row r="3" spans="1:7" ht="6" hidden="1" customHeight="1" x14ac:dyDescent="0.2">
      <c r="A3" s="585"/>
      <c r="B3" s="585"/>
      <c r="C3" s="586"/>
      <c r="D3" s="715"/>
      <c r="E3" s="717"/>
      <c r="F3" s="717"/>
      <c r="G3" s="717"/>
    </row>
    <row r="4" spans="1:7" ht="12.75" customHeight="1" x14ac:dyDescent="0.2">
      <c r="A4" s="718"/>
      <c r="B4" s="718"/>
      <c r="C4" s="718"/>
      <c r="D4" s="718"/>
      <c r="E4" s="718"/>
      <c r="F4" s="585"/>
      <c r="G4" s="585"/>
    </row>
    <row r="5" spans="1:7" ht="20.25" x14ac:dyDescent="0.2">
      <c r="A5" s="718" t="s">
        <v>1110</v>
      </c>
      <c r="B5" s="719"/>
      <c r="C5" s="719"/>
      <c r="D5" s="719"/>
      <c r="E5" s="719"/>
      <c r="F5" s="719"/>
      <c r="G5" s="585"/>
    </row>
    <row r="6" spans="1:7" ht="20.25" x14ac:dyDescent="0.2">
      <c r="A6" s="718" t="s">
        <v>1527</v>
      </c>
      <c r="B6" s="719"/>
      <c r="C6" s="719"/>
      <c r="D6" s="719"/>
      <c r="E6" s="719"/>
      <c r="F6" s="719"/>
      <c r="G6" s="585"/>
    </row>
    <row r="7" spans="1:7" ht="20.25" x14ac:dyDescent="0.2">
      <c r="A7" s="587"/>
      <c r="B7" s="305"/>
      <c r="C7" s="305"/>
      <c r="D7" s="305"/>
      <c r="E7" s="305"/>
      <c r="F7" s="305"/>
      <c r="G7" s="585"/>
    </row>
    <row r="8" spans="1:7" ht="20.25" x14ac:dyDescent="0.2">
      <c r="A8" s="720">
        <v>2256400000</v>
      </c>
      <c r="B8" s="721"/>
      <c r="C8" s="721"/>
      <c r="D8" s="721"/>
      <c r="E8" s="721"/>
      <c r="F8" s="721"/>
      <c r="G8" s="585"/>
    </row>
    <row r="9" spans="1:7" ht="15.75" x14ac:dyDescent="0.2">
      <c r="A9" s="722" t="s">
        <v>490</v>
      </c>
      <c r="B9" s="723"/>
      <c r="C9" s="723"/>
      <c r="D9" s="723"/>
      <c r="E9" s="723"/>
      <c r="F9" s="723"/>
      <c r="G9" s="585"/>
    </row>
    <row r="10" spans="1:7" ht="20.25" x14ac:dyDescent="0.2">
      <c r="A10" s="587"/>
      <c r="B10" s="472"/>
      <c r="C10" s="472"/>
      <c r="D10" s="472"/>
      <c r="E10" s="472"/>
      <c r="F10" s="472"/>
      <c r="G10" s="585"/>
    </row>
    <row r="11" spans="1:7" ht="13.5" thickBot="1" x14ac:dyDescent="0.25">
      <c r="A11" s="585"/>
      <c r="B11" s="588"/>
      <c r="C11" s="588"/>
      <c r="D11" s="588"/>
      <c r="E11" s="588"/>
      <c r="F11" s="589" t="s">
        <v>404</v>
      </c>
      <c r="G11" s="585"/>
    </row>
    <row r="12" spans="1:7" ht="14.25" thickTop="1" thickBot="1" x14ac:dyDescent="0.25">
      <c r="A12" s="724" t="s">
        <v>57</v>
      </c>
      <c r="B12" s="724" t="s">
        <v>1528</v>
      </c>
      <c r="C12" s="724" t="s">
        <v>383</v>
      </c>
      <c r="D12" s="724" t="s">
        <v>12</v>
      </c>
      <c r="E12" s="724" t="s">
        <v>52</v>
      </c>
      <c r="F12" s="724"/>
      <c r="G12" s="590"/>
    </row>
    <row r="13" spans="1:7" ht="39.75" thickTop="1" thickBot="1" x14ac:dyDescent="0.3">
      <c r="A13" s="724"/>
      <c r="B13" s="724"/>
      <c r="C13" s="724"/>
      <c r="D13" s="724"/>
      <c r="E13" s="591" t="s">
        <v>384</v>
      </c>
      <c r="F13" s="591" t="s">
        <v>426</v>
      </c>
      <c r="G13" s="592"/>
    </row>
    <row r="14" spans="1:7" ht="16.5" thickTop="1" thickBot="1" x14ac:dyDescent="0.3">
      <c r="A14" s="591">
        <v>1</v>
      </c>
      <c r="B14" s="591">
        <v>2</v>
      </c>
      <c r="C14" s="591">
        <v>3</v>
      </c>
      <c r="D14" s="591">
        <v>4</v>
      </c>
      <c r="E14" s="591">
        <v>5</v>
      </c>
      <c r="F14" s="591">
        <v>6</v>
      </c>
      <c r="G14" s="592"/>
    </row>
    <row r="15" spans="1:7" ht="25.5" customHeight="1" thickTop="1" thickBot="1" x14ac:dyDescent="0.25">
      <c r="A15" s="680">
        <v>10000000</v>
      </c>
      <c r="B15" s="680" t="s">
        <v>58</v>
      </c>
      <c r="C15" s="681">
        <f t="shared" ref="C15:C70" si="0">SUM(D15,E15)</f>
        <v>3183182765</v>
      </c>
      <c r="D15" s="681">
        <f>SUM(D16,D32,D40,D61,D26)</f>
        <v>3181982765</v>
      </c>
      <c r="E15" s="681">
        <f>SUM(E16,E32,E40,E61,E26)</f>
        <v>1200000</v>
      </c>
      <c r="F15" s="681">
        <f>SUM(F16,F32,F40,F61,F26)</f>
        <v>0</v>
      </c>
      <c r="G15" s="104"/>
    </row>
    <row r="16" spans="1:7" ht="31.7" customHeight="1" thickTop="1" thickBot="1" x14ac:dyDescent="0.25">
      <c r="A16" s="591">
        <v>11000000</v>
      </c>
      <c r="B16" s="591" t="s">
        <v>59</v>
      </c>
      <c r="C16" s="593">
        <f>SUM(D16,E16)</f>
        <v>1823737665</v>
      </c>
      <c r="D16" s="593">
        <f>SUM(D17,D24)</f>
        <v>1823737665</v>
      </c>
      <c r="E16" s="368"/>
      <c r="F16" s="368"/>
      <c r="G16" s="105"/>
    </row>
    <row r="17" spans="1:7" ht="24.75" customHeight="1" thickTop="1" thickBot="1" x14ac:dyDescent="0.25">
      <c r="A17" s="594">
        <v>11010000</v>
      </c>
      <c r="B17" s="595" t="s">
        <v>60</v>
      </c>
      <c r="C17" s="596">
        <f t="shared" si="0"/>
        <v>1822037665</v>
      </c>
      <c r="D17" s="596">
        <f>SUM(D18:D23)</f>
        <v>1822037665</v>
      </c>
      <c r="E17" s="369"/>
      <c r="F17" s="369"/>
      <c r="G17" s="105"/>
    </row>
    <row r="18" spans="1:7" ht="39.75" thickTop="1" thickBot="1" x14ac:dyDescent="0.25">
      <c r="A18" s="597">
        <v>11010100</v>
      </c>
      <c r="B18" s="598" t="s">
        <v>61</v>
      </c>
      <c r="C18" s="593">
        <f>SUM(D18,E18)</f>
        <v>1699332665</v>
      </c>
      <c r="D18" s="599">
        <f>(1611780000)+87552665</f>
        <v>1699332665</v>
      </c>
      <c r="E18" s="372"/>
      <c r="F18" s="372"/>
      <c r="G18" s="105"/>
    </row>
    <row r="19" spans="1:7" ht="65.25" hidden="1" thickTop="1" thickBot="1" x14ac:dyDescent="0.25">
      <c r="A19" s="370">
        <v>11010200</v>
      </c>
      <c r="B19" s="371" t="s">
        <v>62</v>
      </c>
      <c r="C19" s="368">
        <f t="shared" si="0"/>
        <v>0</v>
      </c>
      <c r="D19" s="372">
        <v>0</v>
      </c>
      <c r="E19" s="372"/>
      <c r="F19" s="372"/>
      <c r="G19" s="105"/>
    </row>
    <row r="20" spans="1:7" ht="39.75" thickTop="1" thickBot="1" x14ac:dyDescent="0.25">
      <c r="A20" s="597">
        <v>11010400</v>
      </c>
      <c r="B20" s="598" t="s">
        <v>63</v>
      </c>
      <c r="C20" s="593">
        <f t="shared" si="0"/>
        <v>60665000</v>
      </c>
      <c r="D20" s="599">
        <v>60665000</v>
      </c>
      <c r="E20" s="372"/>
      <c r="F20" s="372"/>
      <c r="G20" s="105"/>
    </row>
    <row r="21" spans="1:7" ht="39.75" thickTop="1" thickBot="1" x14ac:dyDescent="0.3">
      <c r="A21" s="597">
        <v>11010500</v>
      </c>
      <c r="B21" s="598" t="s">
        <v>64</v>
      </c>
      <c r="C21" s="593">
        <f t="shared" si="0"/>
        <v>61355000</v>
      </c>
      <c r="D21" s="599">
        <f>(56355000)+5000000</f>
        <v>61355000</v>
      </c>
      <c r="E21" s="372"/>
      <c r="F21" s="372"/>
      <c r="G21" s="103"/>
    </row>
    <row r="22" spans="1:7" ht="27" thickTop="1" thickBot="1" x14ac:dyDescent="0.3">
      <c r="A22" s="597">
        <v>11011200</v>
      </c>
      <c r="B22" s="598" t="s">
        <v>1529</v>
      </c>
      <c r="C22" s="593">
        <f t="shared" si="0"/>
        <v>645000</v>
      </c>
      <c r="D22" s="599">
        <v>645000</v>
      </c>
      <c r="E22" s="372"/>
      <c r="F22" s="372"/>
      <c r="G22" s="103"/>
    </row>
    <row r="23" spans="1:7" ht="39.75" thickTop="1" thickBot="1" x14ac:dyDescent="0.3">
      <c r="A23" s="597">
        <v>11011300</v>
      </c>
      <c r="B23" s="598" t="s">
        <v>1530</v>
      </c>
      <c r="C23" s="593">
        <f t="shared" si="0"/>
        <v>40000</v>
      </c>
      <c r="D23" s="599">
        <v>40000</v>
      </c>
      <c r="E23" s="372"/>
      <c r="F23" s="372"/>
      <c r="G23" s="103"/>
    </row>
    <row r="24" spans="1:7" ht="28.5" customHeight="1" thickTop="1" thickBot="1" x14ac:dyDescent="0.25">
      <c r="A24" s="594">
        <v>11020000</v>
      </c>
      <c r="B24" s="595" t="s">
        <v>65</v>
      </c>
      <c r="C24" s="596">
        <f>SUM(D24,E24)</f>
        <v>1700000</v>
      </c>
      <c r="D24" s="596">
        <f>D25</f>
        <v>1700000</v>
      </c>
      <c r="E24" s="369"/>
      <c r="F24" s="369"/>
      <c r="G24" s="104"/>
    </row>
    <row r="25" spans="1:7" ht="27" thickTop="1" thickBot="1" x14ac:dyDescent="0.3">
      <c r="A25" s="597">
        <v>11020200</v>
      </c>
      <c r="B25" s="600" t="s">
        <v>66</v>
      </c>
      <c r="C25" s="593">
        <f>SUM(D25,E25)</f>
        <v>1700000</v>
      </c>
      <c r="D25" s="599">
        <v>1700000</v>
      </c>
      <c r="E25" s="372"/>
      <c r="F25" s="372"/>
      <c r="G25" s="103"/>
    </row>
    <row r="26" spans="1:7" ht="27" thickTop="1" thickBot="1" x14ac:dyDescent="0.3">
      <c r="A26" s="591">
        <v>13000000</v>
      </c>
      <c r="B26" s="601" t="s">
        <v>526</v>
      </c>
      <c r="C26" s="593">
        <f>D26+E26</f>
        <v>1000000</v>
      </c>
      <c r="D26" s="593">
        <f>SUM(D27,D30)</f>
        <v>1000000</v>
      </c>
      <c r="E26" s="372"/>
      <c r="F26" s="372"/>
      <c r="G26" s="103"/>
    </row>
    <row r="27" spans="1:7" ht="28.5" thickTop="1" thickBot="1" x14ac:dyDescent="0.3">
      <c r="A27" s="594">
        <v>13010000</v>
      </c>
      <c r="B27" s="602" t="s">
        <v>527</v>
      </c>
      <c r="C27" s="596">
        <f>D27+E27</f>
        <v>985000</v>
      </c>
      <c r="D27" s="596">
        <f>SUM(D28:D29)</f>
        <v>985000</v>
      </c>
      <c r="E27" s="369"/>
      <c r="F27" s="369"/>
      <c r="G27" s="103"/>
    </row>
    <row r="28" spans="1:7" ht="52.5" thickTop="1" thickBot="1" x14ac:dyDescent="0.3">
      <c r="A28" s="597">
        <v>13010100</v>
      </c>
      <c r="B28" s="603" t="s">
        <v>1531</v>
      </c>
      <c r="C28" s="593">
        <f t="shared" ref="C28:C32" si="1">D28+E28</f>
        <v>450000</v>
      </c>
      <c r="D28" s="599">
        <v>450000</v>
      </c>
      <c r="E28" s="372"/>
      <c r="F28" s="372"/>
      <c r="G28" s="103"/>
    </row>
    <row r="29" spans="1:7" ht="65.25" thickTop="1" thickBot="1" x14ac:dyDescent="0.3">
      <c r="A29" s="597">
        <v>13010200</v>
      </c>
      <c r="B29" s="603" t="s">
        <v>528</v>
      </c>
      <c r="C29" s="593">
        <f t="shared" si="1"/>
        <v>535000</v>
      </c>
      <c r="D29" s="599">
        <v>535000</v>
      </c>
      <c r="E29" s="372"/>
      <c r="F29" s="372"/>
      <c r="G29" s="103"/>
    </row>
    <row r="30" spans="1:7" ht="16.5" thickTop="1" thickBot="1" x14ac:dyDescent="0.3">
      <c r="A30" s="594">
        <v>13030000</v>
      </c>
      <c r="B30" s="604" t="s">
        <v>529</v>
      </c>
      <c r="C30" s="596">
        <f>D30+E30</f>
        <v>15000</v>
      </c>
      <c r="D30" s="596">
        <f>SUM(D31)</f>
        <v>15000</v>
      </c>
      <c r="E30" s="369"/>
      <c r="F30" s="369"/>
      <c r="G30" s="103"/>
    </row>
    <row r="31" spans="1:7" ht="39.75" thickTop="1" thickBot="1" x14ac:dyDescent="0.3">
      <c r="A31" s="597">
        <v>13030100</v>
      </c>
      <c r="B31" s="603" t="s">
        <v>530</v>
      </c>
      <c r="C31" s="593">
        <f t="shared" si="1"/>
        <v>15000</v>
      </c>
      <c r="D31" s="599">
        <v>15000</v>
      </c>
      <c r="E31" s="372"/>
      <c r="F31" s="372"/>
      <c r="G31" s="103"/>
    </row>
    <row r="32" spans="1:7" ht="26.45" customHeight="1" thickTop="1" thickBot="1" x14ac:dyDescent="0.3">
      <c r="A32" s="591">
        <v>14000000</v>
      </c>
      <c r="B32" s="601" t="s">
        <v>531</v>
      </c>
      <c r="C32" s="593">
        <f t="shared" si="1"/>
        <v>400215000</v>
      </c>
      <c r="D32" s="593">
        <f>SUM(D33,D35,D37)</f>
        <v>400215000</v>
      </c>
      <c r="E32" s="368"/>
      <c r="F32" s="372"/>
      <c r="G32" s="103"/>
    </row>
    <row r="33" spans="1:7" ht="30" customHeight="1" thickTop="1" thickBot="1" x14ac:dyDescent="0.3">
      <c r="A33" s="594">
        <v>14020000</v>
      </c>
      <c r="B33" s="602" t="s">
        <v>622</v>
      </c>
      <c r="C33" s="596">
        <f>SUM(D33,E33)</f>
        <v>21715000</v>
      </c>
      <c r="D33" s="596">
        <f>SUM(D34,E34)</f>
        <v>21715000</v>
      </c>
      <c r="E33" s="369"/>
      <c r="F33" s="375"/>
      <c r="G33" s="103"/>
    </row>
    <row r="34" spans="1:7" ht="16.5" thickTop="1" thickBot="1" x14ac:dyDescent="0.3">
      <c r="A34" s="597">
        <v>14021900</v>
      </c>
      <c r="B34" s="600" t="s">
        <v>621</v>
      </c>
      <c r="C34" s="599">
        <f>SUM(D34,E34)</f>
        <v>21715000</v>
      </c>
      <c r="D34" s="599">
        <v>21715000</v>
      </c>
      <c r="E34" s="368"/>
      <c r="F34" s="372"/>
      <c r="G34" s="103"/>
    </row>
    <row r="35" spans="1:7" ht="42" thickTop="1" thickBot="1" x14ac:dyDescent="0.3">
      <c r="A35" s="594">
        <v>14030000</v>
      </c>
      <c r="B35" s="602" t="s">
        <v>623</v>
      </c>
      <c r="C35" s="596">
        <f>SUM(D35,E35)</f>
        <v>73500000</v>
      </c>
      <c r="D35" s="596">
        <f>SUM(D36,E36)</f>
        <v>73500000</v>
      </c>
      <c r="E35" s="369"/>
      <c r="F35" s="375"/>
      <c r="G35" s="103"/>
    </row>
    <row r="36" spans="1:7" ht="16.5" thickTop="1" thickBot="1" x14ac:dyDescent="0.3">
      <c r="A36" s="597">
        <v>14031900</v>
      </c>
      <c r="B36" s="600" t="s">
        <v>621</v>
      </c>
      <c r="C36" s="599">
        <f>SUM(D36,E36)</f>
        <v>73500000</v>
      </c>
      <c r="D36" s="599">
        <v>73500000</v>
      </c>
      <c r="E36" s="368"/>
      <c r="F36" s="372"/>
      <c r="G36" s="103"/>
    </row>
    <row r="37" spans="1:7" ht="42" thickTop="1" thickBot="1" x14ac:dyDescent="0.3">
      <c r="A37" s="594">
        <v>14040000</v>
      </c>
      <c r="B37" s="602" t="s">
        <v>1209</v>
      </c>
      <c r="C37" s="596">
        <f>SUM(C38:C39)</f>
        <v>305000000</v>
      </c>
      <c r="D37" s="596">
        <f>SUM(D38:D39)</f>
        <v>305000000</v>
      </c>
      <c r="E37" s="369"/>
      <c r="F37" s="375"/>
      <c r="G37" s="103"/>
    </row>
    <row r="38" spans="1:7" ht="103.5" thickTop="1" thickBot="1" x14ac:dyDescent="0.25">
      <c r="A38" s="597">
        <v>14040100</v>
      </c>
      <c r="B38" s="600" t="s">
        <v>1229</v>
      </c>
      <c r="C38" s="599">
        <f>SUM(D38,E38)</f>
        <v>198250115</v>
      </c>
      <c r="D38" s="599">
        <v>198250115</v>
      </c>
      <c r="E38" s="368"/>
      <c r="F38" s="372"/>
      <c r="G38" s="106"/>
    </row>
    <row r="39" spans="1:7" ht="65.25" thickTop="1" thickBot="1" x14ac:dyDescent="0.25">
      <c r="A39" s="597">
        <v>14040200</v>
      </c>
      <c r="B39" s="600" t="s">
        <v>1208</v>
      </c>
      <c r="C39" s="599">
        <f>SUM(D39,E39)</f>
        <v>106749885</v>
      </c>
      <c r="D39" s="599">
        <v>106749885</v>
      </c>
      <c r="E39" s="368"/>
      <c r="F39" s="372"/>
      <c r="G39" s="106"/>
    </row>
    <row r="40" spans="1:7" ht="29.25" customHeight="1" thickTop="1" thickBot="1" x14ac:dyDescent="0.3">
      <c r="A40" s="591">
        <v>18000000</v>
      </c>
      <c r="B40" s="591" t="s">
        <v>67</v>
      </c>
      <c r="C40" s="593">
        <f t="shared" si="0"/>
        <v>957030100</v>
      </c>
      <c r="D40" s="593">
        <f>SUM(D41,D54,D57,D52)</f>
        <v>957030100</v>
      </c>
      <c r="E40" s="368"/>
      <c r="F40" s="368"/>
      <c r="G40" s="103"/>
    </row>
    <row r="41" spans="1:7" ht="16.5" thickTop="1" thickBot="1" x14ac:dyDescent="0.3">
      <c r="A41" s="594">
        <v>18010000</v>
      </c>
      <c r="B41" s="602" t="s">
        <v>68</v>
      </c>
      <c r="C41" s="596">
        <f>SUM(D41,E41)</f>
        <v>319115000</v>
      </c>
      <c r="D41" s="596">
        <f>SUM(D42:D51)</f>
        <v>319115000</v>
      </c>
      <c r="E41" s="369"/>
      <c r="F41" s="369"/>
      <c r="G41" s="103"/>
    </row>
    <row r="42" spans="1:7" ht="52.5" thickTop="1" thickBot="1" x14ac:dyDescent="0.3">
      <c r="A42" s="597">
        <v>18010100</v>
      </c>
      <c r="B42" s="600" t="s">
        <v>69</v>
      </c>
      <c r="C42" s="593">
        <f t="shared" si="0"/>
        <v>310500</v>
      </c>
      <c r="D42" s="599">
        <v>310500</v>
      </c>
      <c r="E42" s="372"/>
      <c r="F42" s="372"/>
      <c r="G42" s="103"/>
    </row>
    <row r="43" spans="1:7" ht="52.5" thickTop="1" thickBot="1" x14ac:dyDescent="0.3">
      <c r="A43" s="597">
        <v>18010200</v>
      </c>
      <c r="B43" s="600" t="s">
        <v>70</v>
      </c>
      <c r="C43" s="593">
        <f t="shared" si="0"/>
        <v>23955000</v>
      </c>
      <c r="D43" s="599">
        <f>(20055000)+3900000</f>
        <v>23955000</v>
      </c>
      <c r="E43" s="372"/>
      <c r="F43" s="372"/>
      <c r="G43" s="103"/>
    </row>
    <row r="44" spans="1:7" ht="52.5" thickTop="1" thickBot="1" x14ac:dyDescent="0.3">
      <c r="A44" s="597">
        <v>18010300</v>
      </c>
      <c r="B44" s="600" t="s">
        <v>71</v>
      </c>
      <c r="C44" s="593">
        <f t="shared" si="0"/>
        <v>17550600</v>
      </c>
      <c r="D44" s="599">
        <f>(10050600)+7500000</f>
        <v>17550600</v>
      </c>
      <c r="E44" s="372"/>
      <c r="F44" s="372"/>
      <c r="G44" s="103"/>
    </row>
    <row r="45" spans="1:7" ht="52.5" thickTop="1" thickBot="1" x14ac:dyDescent="0.3">
      <c r="A45" s="597">
        <v>18010400</v>
      </c>
      <c r="B45" s="600" t="s">
        <v>72</v>
      </c>
      <c r="C45" s="593">
        <f t="shared" si="0"/>
        <v>43583900</v>
      </c>
      <c r="D45" s="599">
        <f>(38083900)+5500000</f>
        <v>43583900</v>
      </c>
      <c r="E45" s="372"/>
      <c r="F45" s="372"/>
      <c r="G45" s="103"/>
    </row>
    <row r="46" spans="1:7" ht="16.5" thickTop="1" thickBot="1" x14ac:dyDescent="0.3">
      <c r="A46" s="597">
        <v>18010500</v>
      </c>
      <c r="B46" s="600" t="s">
        <v>73</v>
      </c>
      <c r="C46" s="593">
        <f t="shared" si="0"/>
        <v>40250000</v>
      </c>
      <c r="D46" s="599">
        <v>40250000</v>
      </c>
      <c r="E46" s="372"/>
      <c r="F46" s="372"/>
      <c r="G46" s="103"/>
    </row>
    <row r="47" spans="1:7" ht="16.5" thickTop="1" thickBot="1" x14ac:dyDescent="0.3">
      <c r="A47" s="597">
        <v>18010600</v>
      </c>
      <c r="B47" s="600" t="s">
        <v>74</v>
      </c>
      <c r="C47" s="593">
        <f t="shared" si="0"/>
        <v>145650800</v>
      </c>
      <c r="D47" s="599">
        <v>145650800</v>
      </c>
      <c r="E47" s="372"/>
      <c r="F47" s="372"/>
      <c r="G47" s="103"/>
    </row>
    <row r="48" spans="1:7" ht="16.5" thickTop="1" thickBot="1" x14ac:dyDescent="0.3">
      <c r="A48" s="597">
        <v>18010700</v>
      </c>
      <c r="B48" s="600" t="s">
        <v>75</v>
      </c>
      <c r="C48" s="593">
        <f t="shared" si="0"/>
        <v>3500000</v>
      </c>
      <c r="D48" s="599">
        <v>3500000</v>
      </c>
      <c r="E48" s="372"/>
      <c r="F48" s="372"/>
      <c r="G48" s="103"/>
    </row>
    <row r="49" spans="1:7" ht="16.5" thickTop="1" thickBot="1" x14ac:dyDescent="0.3">
      <c r="A49" s="597">
        <v>18010900</v>
      </c>
      <c r="B49" s="600" t="s">
        <v>76</v>
      </c>
      <c r="C49" s="593">
        <f t="shared" si="0"/>
        <v>42814200</v>
      </c>
      <c r="D49" s="599">
        <v>42814200</v>
      </c>
      <c r="E49" s="372"/>
      <c r="F49" s="372"/>
      <c r="G49" s="103"/>
    </row>
    <row r="50" spans="1:7" ht="15.75" thickTop="1" thickBot="1" x14ac:dyDescent="0.25">
      <c r="A50" s="597">
        <v>18011000</v>
      </c>
      <c r="B50" s="600" t="s">
        <v>77</v>
      </c>
      <c r="C50" s="593">
        <f t="shared" si="0"/>
        <v>950000</v>
      </c>
      <c r="D50" s="599">
        <v>950000</v>
      </c>
      <c r="E50" s="372"/>
      <c r="F50" s="372"/>
      <c r="G50" s="104"/>
    </row>
    <row r="51" spans="1:7" ht="16.5" thickTop="1" thickBot="1" x14ac:dyDescent="0.3">
      <c r="A51" s="597">
        <v>18011100</v>
      </c>
      <c r="B51" s="600" t="s">
        <v>78</v>
      </c>
      <c r="C51" s="593">
        <f t="shared" si="0"/>
        <v>550000</v>
      </c>
      <c r="D51" s="599">
        <v>550000</v>
      </c>
      <c r="E51" s="372"/>
      <c r="F51" s="372"/>
      <c r="G51" s="103"/>
    </row>
    <row r="52" spans="1:7" ht="28.5" thickTop="1" thickBot="1" x14ac:dyDescent="0.3">
      <c r="A52" s="594">
        <v>18020000</v>
      </c>
      <c r="B52" s="602" t="s">
        <v>1157</v>
      </c>
      <c r="C52" s="596">
        <f t="shared" si="0"/>
        <v>500000</v>
      </c>
      <c r="D52" s="596">
        <f>SUM(D53,E53)</f>
        <v>500000</v>
      </c>
      <c r="E52" s="369"/>
      <c r="F52" s="369"/>
      <c r="G52" s="103"/>
    </row>
    <row r="53" spans="1:7" ht="27" thickTop="1" thickBot="1" x14ac:dyDescent="0.3">
      <c r="A53" s="597">
        <v>180201000</v>
      </c>
      <c r="B53" s="600" t="s">
        <v>1158</v>
      </c>
      <c r="C53" s="593">
        <f t="shared" si="0"/>
        <v>500000</v>
      </c>
      <c r="D53" s="599">
        <v>500000</v>
      </c>
      <c r="E53" s="372"/>
      <c r="F53" s="372"/>
      <c r="G53" s="103"/>
    </row>
    <row r="54" spans="1:7" ht="16.5" thickTop="1" thickBot="1" x14ac:dyDescent="0.3">
      <c r="A54" s="594">
        <v>18030000</v>
      </c>
      <c r="B54" s="602" t="s">
        <v>79</v>
      </c>
      <c r="C54" s="596">
        <f>SUM(D54,E54)</f>
        <v>2215000</v>
      </c>
      <c r="D54" s="596">
        <f>SUM(D55:D56)</f>
        <v>2215000</v>
      </c>
      <c r="E54" s="369"/>
      <c r="F54" s="369"/>
      <c r="G54" s="103"/>
    </row>
    <row r="55" spans="1:7" ht="27" thickTop="1" thickBot="1" x14ac:dyDescent="0.3">
      <c r="A55" s="597">
        <v>18030100</v>
      </c>
      <c r="B55" s="600" t="s">
        <v>80</v>
      </c>
      <c r="C55" s="593">
        <f>SUM(D55,E55)</f>
        <v>1050000</v>
      </c>
      <c r="D55" s="599">
        <v>1050000</v>
      </c>
      <c r="E55" s="372"/>
      <c r="F55" s="372"/>
      <c r="G55" s="103"/>
    </row>
    <row r="56" spans="1:7" ht="27" thickTop="1" thickBot="1" x14ac:dyDescent="0.3">
      <c r="A56" s="597">
        <v>18030200</v>
      </c>
      <c r="B56" s="600" t="s">
        <v>81</v>
      </c>
      <c r="C56" s="593">
        <f>SUM(D56,E56)</f>
        <v>1165000</v>
      </c>
      <c r="D56" s="599">
        <v>1165000</v>
      </c>
      <c r="E56" s="372"/>
      <c r="F56" s="372"/>
      <c r="G56" s="103"/>
    </row>
    <row r="57" spans="1:7" ht="16.5" thickTop="1" thickBot="1" x14ac:dyDescent="0.3">
      <c r="A57" s="594">
        <v>18050000</v>
      </c>
      <c r="B57" s="602" t="s">
        <v>82</v>
      </c>
      <c r="C57" s="596">
        <f>SUM(D57,E57)</f>
        <v>635200100</v>
      </c>
      <c r="D57" s="596">
        <f>SUM(D58:D60)</f>
        <v>635200100</v>
      </c>
      <c r="E57" s="375"/>
      <c r="F57" s="375"/>
      <c r="G57" s="103"/>
    </row>
    <row r="58" spans="1:7" ht="16.5" thickTop="1" thickBot="1" x14ac:dyDescent="0.3">
      <c r="A58" s="597">
        <v>18050300</v>
      </c>
      <c r="B58" s="598" t="s">
        <v>1040</v>
      </c>
      <c r="C58" s="593">
        <f t="shared" si="0"/>
        <v>121450000</v>
      </c>
      <c r="D58" s="599">
        <v>121450000</v>
      </c>
      <c r="E58" s="372"/>
      <c r="F58" s="372"/>
      <c r="G58" s="103"/>
    </row>
    <row r="59" spans="1:7" ht="15.75" thickTop="1" thickBot="1" x14ac:dyDescent="0.25">
      <c r="A59" s="597">
        <v>18050400</v>
      </c>
      <c r="B59" s="600" t="s">
        <v>83</v>
      </c>
      <c r="C59" s="593">
        <f t="shared" si="0"/>
        <v>508750000</v>
      </c>
      <c r="D59" s="599">
        <f>(473750000)+35000000</f>
        <v>508750000</v>
      </c>
      <c r="E59" s="372"/>
      <c r="F59" s="372"/>
      <c r="G59" s="104"/>
    </row>
    <row r="60" spans="1:7" ht="65.25" thickTop="1" thickBot="1" x14ac:dyDescent="0.25">
      <c r="A60" s="597">
        <v>18050500</v>
      </c>
      <c r="B60" s="600" t="s">
        <v>539</v>
      </c>
      <c r="C60" s="593">
        <f t="shared" si="0"/>
        <v>5000100</v>
      </c>
      <c r="D60" s="599">
        <v>5000100</v>
      </c>
      <c r="E60" s="372"/>
      <c r="F60" s="372"/>
      <c r="G60" s="104"/>
    </row>
    <row r="61" spans="1:7" ht="31.7" customHeight="1" thickTop="1" thickBot="1" x14ac:dyDescent="0.25">
      <c r="A61" s="591">
        <v>19000000</v>
      </c>
      <c r="B61" s="605" t="s">
        <v>532</v>
      </c>
      <c r="C61" s="593">
        <f t="shared" si="0"/>
        <v>1200000</v>
      </c>
      <c r="D61" s="593"/>
      <c r="E61" s="593">
        <f>SUM(E63:E65)</f>
        <v>1200000</v>
      </c>
      <c r="F61" s="372"/>
      <c r="G61" s="104"/>
    </row>
    <row r="62" spans="1:7" ht="16.5" thickTop="1" thickBot="1" x14ac:dyDescent="0.3">
      <c r="A62" s="594">
        <v>1901000</v>
      </c>
      <c r="B62" s="595" t="s">
        <v>84</v>
      </c>
      <c r="C62" s="596">
        <f t="shared" si="0"/>
        <v>1200000</v>
      </c>
      <c r="D62" s="596">
        <f>SUM(D63:D65)</f>
        <v>0</v>
      </c>
      <c r="E62" s="596">
        <f>SUM(E63:E65)</f>
        <v>1200000</v>
      </c>
      <c r="F62" s="369"/>
      <c r="G62" s="103"/>
    </row>
    <row r="63" spans="1:7" ht="52.5" thickTop="1" thickBot="1" x14ac:dyDescent="0.3">
      <c r="A63" s="597">
        <v>19010100</v>
      </c>
      <c r="B63" s="598" t="s">
        <v>533</v>
      </c>
      <c r="C63" s="593">
        <f t="shared" si="0"/>
        <v>165850</v>
      </c>
      <c r="D63" s="599"/>
      <c r="E63" s="599">
        <v>165850</v>
      </c>
      <c r="F63" s="372"/>
      <c r="G63" s="103"/>
    </row>
    <row r="64" spans="1:7" ht="27" thickTop="1" thickBot="1" x14ac:dyDescent="0.25">
      <c r="A64" s="597">
        <v>19010200</v>
      </c>
      <c r="B64" s="598" t="s">
        <v>1272</v>
      </c>
      <c r="C64" s="593">
        <f t="shared" si="0"/>
        <v>318550</v>
      </c>
      <c r="D64" s="599"/>
      <c r="E64" s="599">
        <v>318550</v>
      </c>
      <c r="F64" s="372"/>
      <c r="G64" s="106"/>
    </row>
    <row r="65" spans="1:7" ht="52.5" thickTop="1" thickBot="1" x14ac:dyDescent="0.3">
      <c r="A65" s="597">
        <v>19010300</v>
      </c>
      <c r="B65" s="598" t="s">
        <v>1273</v>
      </c>
      <c r="C65" s="593">
        <f t="shared" si="0"/>
        <v>715600</v>
      </c>
      <c r="D65" s="599"/>
      <c r="E65" s="599">
        <v>715600</v>
      </c>
      <c r="F65" s="372"/>
      <c r="G65" s="103"/>
    </row>
    <row r="66" spans="1:7" ht="30" customHeight="1" thickTop="1" thickBot="1" x14ac:dyDescent="0.3">
      <c r="A66" s="680">
        <v>20000000</v>
      </c>
      <c r="B66" s="680" t="s">
        <v>85</v>
      </c>
      <c r="C66" s="681">
        <f t="shared" si="0"/>
        <v>356187776</v>
      </c>
      <c r="D66" s="681">
        <f>SUM(D67,D77,D88,D93)+D87</f>
        <v>123842600</v>
      </c>
      <c r="E66" s="681">
        <f>SUM(E67,E77,E88,E93)+E87</f>
        <v>232345176</v>
      </c>
      <c r="F66" s="681">
        <f>SUM(F67,F77,F88,F93)+F87</f>
        <v>3200024</v>
      </c>
      <c r="G66" s="103"/>
    </row>
    <row r="67" spans="1:7" ht="27" thickTop="1" thickBot="1" x14ac:dyDescent="0.3">
      <c r="A67" s="591">
        <v>21000000</v>
      </c>
      <c r="B67" s="591" t="s">
        <v>534</v>
      </c>
      <c r="C67" s="593">
        <f>SUM(D67,E67)</f>
        <v>41635000</v>
      </c>
      <c r="D67" s="593">
        <f>SUM(D68,D71,D70)</f>
        <v>41635000</v>
      </c>
      <c r="E67" s="368"/>
      <c r="F67" s="368"/>
      <c r="G67" s="103"/>
    </row>
    <row r="68" spans="1:7" ht="55.5" thickTop="1" thickBot="1" x14ac:dyDescent="0.3">
      <c r="A68" s="594">
        <v>21010000</v>
      </c>
      <c r="B68" s="602" t="s">
        <v>535</v>
      </c>
      <c r="C68" s="596">
        <f t="shared" si="0"/>
        <v>2500000</v>
      </c>
      <c r="D68" s="596">
        <f>D69</f>
        <v>2500000</v>
      </c>
      <c r="E68" s="369"/>
      <c r="F68" s="369"/>
      <c r="G68" s="103"/>
    </row>
    <row r="69" spans="1:7" ht="52.5" thickTop="1" thickBot="1" x14ac:dyDescent="0.3">
      <c r="A69" s="597">
        <v>21010300</v>
      </c>
      <c r="B69" s="600" t="s">
        <v>1399</v>
      </c>
      <c r="C69" s="593">
        <f t="shared" si="0"/>
        <v>2500000</v>
      </c>
      <c r="D69" s="599">
        <v>2500000</v>
      </c>
      <c r="E69" s="372"/>
      <c r="F69" s="372"/>
      <c r="G69" s="103"/>
    </row>
    <row r="70" spans="1:7" ht="28.5" thickTop="1" thickBot="1" x14ac:dyDescent="0.3">
      <c r="A70" s="594">
        <v>21050000</v>
      </c>
      <c r="B70" s="602" t="s">
        <v>86</v>
      </c>
      <c r="C70" s="596">
        <f t="shared" si="0"/>
        <v>13900000</v>
      </c>
      <c r="D70" s="596">
        <v>13900000</v>
      </c>
      <c r="E70" s="369"/>
      <c r="F70" s="369"/>
      <c r="G70" s="103"/>
    </row>
    <row r="71" spans="1:7" ht="15" thickTop="1" thickBot="1" x14ac:dyDescent="0.25">
      <c r="A71" s="594">
        <v>21080000</v>
      </c>
      <c r="B71" s="602" t="s">
        <v>1041</v>
      </c>
      <c r="C71" s="596">
        <f>SUM(D71,E71)</f>
        <v>25235000</v>
      </c>
      <c r="D71" s="596">
        <f>SUM(D72:D76)</f>
        <v>25235000</v>
      </c>
      <c r="E71" s="369"/>
      <c r="F71" s="369"/>
      <c r="G71" s="106"/>
    </row>
    <row r="72" spans="1:7" ht="16.5" thickTop="1" thickBot="1" x14ac:dyDescent="0.3">
      <c r="A72" s="597">
        <v>21081100</v>
      </c>
      <c r="B72" s="606" t="s">
        <v>87</v>
      </c>
      <c r="C72" s="593">
        <f t="shared" ref="C72:C106" si="2">SUM(D72,E72)</f>
        <v>5500000</v>
      </c>
      <c r="D72" s="599">
        <v>5500000</v>
      </c>
      <c r="E72" s="372"/>
      <c r="F72" s="372"/>
      <c r="G72" s="103"/>
    </row>
    <row r="73" spans="1:7" ht="90.75" thickTop="1" thickBot="1" x14ac:dyDescent="0.3">
      <c r="A73" s="597">
        <v>21081500</v>
      </c>
      <c r="B73" s="598" t="s">
        <v>1288</v>
      </c>
      <c r="C73" s="593">
        <f t="shared" si="2"/>
        <v>1055000</v>
      </c>
      <c r="D73" s="599">
        <v>1055000</v>
      </c>
      <c r="E73" s="372"/>
      <c r="F73" s="372"/>
      <c r="G73" s="103"/>
    </row>
    <row r="74" spans="1:7" ht="16.5" thickTop="1" thickBot="1" x14ac:dyDescent="0.3">
      <c r="A74" s="597">
        <v>21081700</v>
      </c>
      <c r="B74" s="598" t="s">
        <v>374</v>
      </c>
      <c r="C74" s="593">
        <f t="shared" si="2"/>
        <v>18000000</v>
      </c>
      <c r="D74" s="599">
        <v>18000000</v>
      </c>
      <c r="E74" s="372"/>
      <c r="F74" s="372"/>
      <c r="G74" s="107"/>
    </row>
    <row r="75" spans="1:7" ht="52.5" thickTop="1" thickBot="1" x14ac:dyDescent="0.3">
      <c r="A75" s="597">
        <v>21081800</v>
      </c>
      <c r="B75" s="598" t="s">
        <v>1532</v>
      </c>
      <c r="C75" s="593">
        <f t="shared" si="2"/>
        <v>650000</v>
      </c>
      <c r="D75" s="599">
        <v>650000</v>
      </c>
      <c r="E75" s="372"/>
      <c r="F75" s="372"/>
      <c r="G75" s="107"/>
    </row>
    <row r="76" spans="1:7" ht="78" thickTop="1" thickBot="1" x14ac:dyDescent="0.3">
      <c r="A76" s="597">
        <v>21082400</v>
      </c>
      <c r="B76" s="598" t="s">
        <v>1533</v>
      </c>
      <c r="C76" s="593">
        <f t="shared" si="2"/>
        <v>30000</v>
      </c>
      <c r="D76" s="599">
        <v>30000</v>
      </c>
      <c r="E76" s="372"/>
      <c r="F76" s="372"/>
      <c r="G76" s="107"/>
    </row>
    <row r="77" spans="1:7" ht="27" thickTop="1" thickBot="1" x14ac:dyDescent="0.3">
      <c r="A77" s="591">
        <v>22000000</v>
      </c>
      <c r="B77" s="591" t="s">
        <v>88</v>
      </c>
      <c r="C77" s="593">
        <f t="shared" si="2"/>
        <v>71146600</v>
      </c>
      <c r="D77" s="593">
        <f>SUM(D78,D82,D84)</f>
        <v>71146600</v>
      </c>
      <c r="E77" s="372"/>
      <c r="F77" s="372"/>
      <c r="G77" s="103"/>
    </row>
    <row r="78" spans="1:7" ht="24.75" customHeight="1" thickTop="1" thickBot="1" x14ac:dyDescent="0.3">
      <c r="A78" s="594">
        <v>22010000</v>
      </c>
      <c r="B78" s="595" t="s">
        <v>536</v>
      </c>
      <c r="C78" s="596">
        <f t="shared" si="2"/>
        <v>45150000</v>
      </c>
      <c r="D78" s="596">
        <f>SUM(D79:D81)</f>
        <v>45150000</v>
      </c>
      <c r="E78" s="369"/>
      <c r="F78" s="369"/>
      <c r="G78" s="103"/>
    </row>
    <row r="79" spans="1:7" ht="39.75" thickTop="1" thickBot="1" x14ac:dyDescent="0.3">
      <c r="A79" s="597">
        <v>22010300</v>
      </c>
      <c r="B79" s="598" t="s">
        <v>147</v>
      </c>
      <c r="C79" s="593">
        <f t="shared" si="2"/>
        <v>1350300</v>
      </c>
      <c r="D79" s="599">
        <v>1350300</v>
      </c>
      <c r="E79" s="372"/>
      <c r="F79" s="372"/>
      <c r="G79" s="103"/>
    </row>
    <row r="80" spans="1:7" ht="16.5" thickTop="1" thickBot="1" x14ac:dyDescent="0.3">
      <c r="A80" s="597">
        <v>22012500</v>
      </c>
      <c r="B80" s="598" t="s">
        <v>90</v>
      </c>
      <c r="C80" s="593">
        <f t="shared" si="2"/>
        <v>40699700</v>
      </c>
      <c r="D80" s="599">
        <f>(26299700)+14400000</f>
        <v>40699700</v>
      </c>
      <c r="E80" s="372"/>
      <c r="F80" s="372"/>
      <c r="G80" s="103"/>
    </row>
    <row r="81" spans="1:7" ht="27" thickTop="1" thickBot="1" x14ac:dyDescent="0.3">
      <c r="A81" s="597">
        <v>22012600</v>
      </c>
      <c r="B81" s="598" t="s">
        <v>89</v>
      </c>
      <c r="C81" s="593">
        <f>SUM(D81,E81)</f>
        <v>3100000</v>
      </c>
      <c r="D81" s="599">
        <v>3100000</v>
      </c>
      <c r="E81" s="372"/>
      <c r="F81" s="372"/>
      <c r="G81" s="103"/>
    </row>
    <row r="82" spans="1:7" ht="42" thickTop="1" thickBot="1" x14ac:dyDescent="0.3">
      <c r="A82" s="594">
        <v>2208000</v>
      </c>
      <c r="B82" s="595" t="s">
        <v>537</v>
      </c>
      <c r="C82" s="596">
        <f t="shared" si="2"/>
        <v>25486600</v>
      </c>
      <c r="D82" s="596">
        <f>D83</f>
        <v>25486600</v>
      </c>
      <c r="E82" s="369"/>
      <c r="F82" s="369"/>
      <c r="G82" s="103"/>
    </row>
    <row r="83" spans="1:7" ht="52.5" thickTop="1" thickBot="1" x14ac:dyDescent="0.3">
      <c r="A83" s="597">
        <v>22080400</v>
      </c>
      <c r="B83" s="606" t="s">
        <v>91</v>
      </c>
      <c r="C83" s="593">
        <f t="shared" si="2"/>
        <v>25486600</v>
      </c>
      <c r="D83" s="599">
        <v>25486600</v>
      </c>
      <c r="E83" s="372"/>
      <c r="F83" s="372"/>
      <c r="G83" s="103"/>
    </row>
    <row r="84" spans="1:7" ht="16.5" thickTop="1" thickBot="1" x14ac:dyDescent="0.3">
      <c r="A84" s="594">
        <v>22090000</v>
      </c>
      <c r="B84" s="607" t="s">
        <v>92</v>
      </c>
      <c r="C84" s="596">
        <f t="shared" si="2"/>
        <v>510000</v>
      </c>
      <c r="D84" s="596">
        <f>SUM(D85:D86)</f>
        <v>510000</v>
      </c>
      <c r="E84" s="369"/>
      <c r="F84" s="369"/>
      <c r="G84" s="103"/>
    </row>
    <row r="85" spans="1:7" ht="52.5" thickTop="1" thickBot="1" x14ac:dyDescent="0.3">
      <c r="A85" s="597">
        <v>22090100</v>
      </c>
      <c r="B85" s="600" t="s">
        <v>93</v>
      </c>
      <c r="C85" s="593">
        <f t="shared" si="2"/>
        <v>405000</v>
      </c>
      <c r="D85" s="599">
        <v>405000</v>
      </c>
      <c r="E85" s="372"/>
      <c r="F85" s="372"/>
      <c r="G85" s="103"/>
    </row>
    <row r="86" spans="1:7" ht="39.75" thickTop="1" thickBot="1" x14ac:dyDescent="0.25">
      <c r="A86" s="597">
        <v>22090400</v>
      </c>
      <c r="B86" s="600" t="s">
        <v>94</v>
      </c>
      <c r="C86" s="593">
        <f t="shared" si="2"/>
        <v>105000</v>
      </c>
      <c r="D86" s="599">
        <v>105000</v>
      </c>
      <c r="E86" s="372"/>
      <c r="F86" s="372"/>
      <c r="G86" s="105"/>
    </row>
    <row r="87" spans="1:7" ht="78" thickTop="1" thickBot="1" x14ac:dyDescent="0.25">
      <c r="A87" s="591">
        <v>22130000</v>
      </c>
      <c r="B87" s="608" t="s">
        <v>1534</v>
      </c>
      <c r="C87" s="593">
        <f t="shared" si="2"/>
        <v>61000</v>
      </c>
      <c r="D87" s="593">
        <v>61000</v>
      </c>
      <c r="E87" s="593"/>
      <c r="F87" s="593"/>
      <c r="G87" s="105"/>
    </row>
    <row r="88" spans="1:7" ht="20.25" customHeight="1" thickTop="1" thickBot="1" x14ac:dyDescent="0.3">
      <c r="A88" s="591">
        <v>24000000</v>
      </c>
      <c r="B88" s="608" t="s">
        <v>95</v>
      </c>
      <c r="C88" s="593">
        <f t="shared" si="2"/>
        <v>14200024</v>
      </c>
      <c r="D88" s="593">
        <f>D89+D90+D92+D91</f>
        <v>11000000</v>
      </c>
      <c r="E88" s="593">
        <f>E89+E90+E92+E91</f>
        <v>3200024</v>
      </c>
      <c r="F88" s="593">
        <f>F89+F90+F92+F91</f>
        <v>3200024</v>
      </c>
      <c r="G88" s="103"/>
    </row>
    <row r="89" spans="1:7" ht="16.5" thickTop="1" thickBot="1" x14ac:dyDescent="0.3">
      <c r="A89" s="597">
        <v>24060300</v>
      </c>
      <c r="B89" s="598" t="s">
        <v>96</v>
      </c>
      <c r="C89" s="593">
        <f t="shared" si="2"/>
        <v>10000000</v>
      </c>
      <c r="D89" s="599">
        <v>10000000</v>
      </c>
      <c r="E89" s="599"/>
      <c r="F89" s="599"/>
      <c r="G89" s="103"/>
    </row>
    <row r="90" spans="1:7" ht="78" thickTop="1" thickBot="1" x14ac:dyDescent="0.3">
      <c r="A90" s="597">
        <v>24062200</v>
      </c>
      <c r="B90" s="598" t="s">
        <v>375</v>
      </c>
      <c r="C90" s="593">
        <f t="shared" si="2"/>
        <v>1000000</v>
      </c>
      <c r="D90" s="599">
        <v>1000000</v>
      </c>
      <c r="E90" s="372"/>
      <c r="F90" s="372"/>
      <c r="G90" s="103"/>
    </row>
    <row r="91" spans="1:7" ht="39.75" thickTop="1" thickBot="1" x14ac:dyDescent="0.3">
      <c r="A91" s="597">
        <v>24110700</v>
      </c>
      <c r="B91" s="609" t="s">
        <v>589</v>
      </c>
      <c r="C91" s="593">
        <f t="shared" si="2"/>
        <v>24</v>
      </c>
      <c r="D91" s="599"/>
      <c r="E91" s="599">
        <v>24</v>
      </c>
      <c r="F91" s="599">
        <v>24</v>
      </c>
      <c r="G91" s="103"/>
    </row>
    <row r="92" spans="1:7" ht="39.75" thickTop="1" thickBot="1" x14ac:dyDescent="0.25">
      <c r="A92" s="597">
        <v>24170000</v>
      </c>
      <c r="B92" s="600" t="s">
        <v>97</v>
      </c>
      <c r="C92" s="593">
        <f t="shared" si="2"/>
        <v>3200000</v>
      </c>
      <c r="D92" s="599"/>
      <c r="E92" s="599">
        <f>(2000000)+1200000</f>
        <v>3200000</v>
      </c>
      <c r="F92" s="599">
        <f>(2000000)+1200000</f>
        <v>3200000</v>
      </c>
      <c r="G92" s="104"/>
    </row>
    <row r="93" spans="1:7" ht="16.5" thickTop="1" thickBot="1" x14ac:dyDescent="0.3">
      <c r="A93" s="591">
        <v>25000000</v>
      </c>
      <c r="B93" s="610" t="s">
        <v>98</v>
      </c>
      <c r="C93" s="593">
        <f t="shared" si="2"/>
        <v>229145152</v>
      </c>
      <c r="D93" s="593">
        <f>SUM(D94:D98,)</f>
        <v>0</v>
      </c>
      <c r="E93" s="593">
        <f>SUM(E94)</f>
        <v>229145152</v>
      </c>
      <c r="F93" s="368"/>
      <c r="G93" s="103"/>
    </row>
    <row r="94" spans="1:7" ht="42" thickTop="1" thickBot="1" x14ac:dyDescent="0.3">
      <c r="A94" s="594">
        <v>25010000</v>
      </c>
      <c r="B94" s="602" t="s">
        <v>99</v>
      </c>
      <c r="C94" s="596">
        <f t="shared" si="2"/>
        <v>229145152</v>
      </c>
      <c r="D94" s="596">
        <v>0</v>
      </c>
      <c r="E94" s="596">
        <f>SUM(E95:E98)</f>
        <v>229145152</v>
      </c>
      <c r="F94" s="369"/>
      <c r="G94" s="103"/>
    </row>
    <row r="95" spans="1:7" ht="39.75" thickTop="1" thickBot="1" x14ac:dyDescent="0.3">
      <c r="A95" s="597">
        <v>25010100</v>
      </c>
      <c r="B95" s="600" t="s">
        <v>100</v>
      </c>
      <c r="C95" s="593">
        <f t="shared" si="2"/>
        <v>212790555</v>
      </c>
      <c r="D95" s="599"/>
      <c r="E95" s="599">
        <f>(212809795)-19240</f>
        <v>212790555</v>
      </c>
      <c r="F95" s="372"/>
      <c r="G95" s="103"/>
    </row>
    <row r="96" spans="1:7" ht="27" thickTop="1" thickBot="1" x14ac:dyDescent="0.3">
      <c r="A96" s="597">
        <v>25010200</v>
      </c>
      <c r="B96" s="600" t="s">
        <v>101</v>
      </c>
      <c r="C96" s="593">
        <f t="shared" si="2"/>
        <v>12810270</v>
      </c>
      <c r="D96" s="599"/>
      <c r="E96" s="599">
        <v>12810270</v>
      </c>
      <c r="F96" s="372"/>
      <c r="G96" s="103"/>
    </row>
    <row r="97" spans="1:7" ht="16.5" thickTop="1" thickBot="1" x14ac:dyDescent="0.3">
      <c r="A97" s="597">
        <v>25010300</v>
      </c>
      <c r="B97" s="600" t="s">
        <v>102</v>
      </c>
      <c r="C97" s="593">
        <f t="shared" si="2"/>
        <v>3488027</v>
      </c>
      <c r="D97" s="599"/>
      <c r="E97" s="599">
        <f>(3462787)+25240</f>
        <v>3488027</v>
      </c>
      <c r="F97" s="372"/>
      <c r="G97" s="103"/>
    </row>
    <row r="98" spans="1:7" ht="39.75" thickTop="1" thickBot="1" x14ac:dyDescent="0.3">
      <c r="A98" s="597">
        <v>25010400</v>
      </c>
      <c r="B98" s="600" t="s">
        <v>103</v>
      </c>
      <c r="C98" s="593">
        <f t="shared" si="2"/>
        <v>56300</v>
      </c>
      <c r="D98" s="599"/>
      <c r="E98" s="599">
        <f>(62300)-6000</f>
        <v>56300</v>
      </c>
      <c r="F98" s="372"/>
      <c r="G98" s="103"/>
    </row>
    <row r="99" spans="1:7" ht="24.75" customHeight="1" thickTop="1" thickBot="1" x14ac:dyDescent="0.25">
      <c r="A99" s="680">
        <v>30000000</v>
      </c>
      <c r="B99" s="680" t="s">
        <v>104</v>
      </c>
      <c r="C99" s="681">
        <f>SUM(D99,E99)</f>
        <v>19287979</v>
      </c>
      <c r="D99" s="681">
        <f>SUM(D100)+D104</f>
        <v>45000</v>
      </c>
      <c r="E99" s="681">
        <f>SUM(E100)+E104</f>
        <v>19242979</v>
      </c>
      <c r="F99" s="681">
        <f>SUM(F100)+F104</f>
        <v>19242979</v>
      </c>
      <c r="G99" s="105"/>
    </row>
    <row r="100" spans="1:7" ht="27" customHeight="1" thickTop="1" thickBot="1" x14ac:dyDescent="0.3">
      <c r="A100" s="591">
        <v>31000000</v>
      </c>
      <c r="B100" s="591" t="s">
        <v>105</v>
      </c>
      <c r="C100" s="593">
        <f>SUM(D100,E100)</f>
        <v>10345000</v>
      </c>
      <c r="D100" s="593">
        <f>D101+D103</f>
        <v>45000</v>
      </c>
      <c r="E100" s="593">
        <f>E101+E103</f>
        <v>10300000</v>
      </c>
      <c r="F100" s="593">
        <f>F101+F103</f>
        <v>10300000</v>
      </c>
      <c r="G100" s="103"/>
    </row>
    <row r="101" spans="1:7" ht="82.5" thickTop="1" thickBot="1" x14ac:dyDescent="0.3">
      <c r="A101" s="594">
        <v>3101000</v>
      </c>
      <c r="B101" s="595" t="s">
        <v>538</v>
      </c>
      <c r="C101" s="596">
        <f>SUM(D101,E101)</f>
        <v>45000</v>
      </c>
      <c r="D101" s="596">
        <f>D102</f>
        <v>45000</v>
      </c>
      <c r="E101" s="596"/>
      <c r="F101" s="596"/>
      <c r="G101" s="103"/>
    </row>
    <row r="102" spans="1:7" ht="78" thickTop="1" thickBot="1" x14ac:dyDescent="0.3">
      <c r="A102" s="597">
        <v>31010200</v>
      </c>
      <c r="B102" s="600" t="s">
        <v>106</v>
      </c>
      <c r="C102" s="593">
        <f>SUM(D102,E102)</f>
        <v>45000</v>
      </c>
      <c r="D102" s="599">
        <v>45000</v>
      </c>
      <c r="E102" s="599"/>
      <c r="F102" s="599"/>
      <c r="G102" s="103"/>
    </row>
    <row r="103" spans="1:7" ht="55.5" thickTop="1" thickBot="1" x14ac:dyDescent="0.3">
      <c r="A103" s="594">
        <v>31030000</v>
      </c>
      <c r="B103" s="602" t="s">
        <v>107</v>
      </c>
      <c r="C103" s="596">
        <f t="shared" si="2"/>
        <v>10300000</v>
      </c>
      <c r="D103" s="596"/>
      <c r="E103" s="596">
        <f>(800000)+9500000</f>
        <v>10300000</v>
      </c>
      <c r="F103" s="596">
        <f>(800000)+9500000</f>
        <v>10300000</v>
      </c>
      <c r="G103" s="103"/>
    </row>
    <row r="104" spans="1:7" ht="27" thickTop="1" thickBot="1" x14ac:dyDescent="0.3">
      <c r="A104" s="591">
        <v>33000000</v>
      </c>
      <c r="B104" s="591" t="s">
        <v>108</v>
      </c>
      <c r="C104" s="593">
        <f t="shared" si="2"/>
        <v>8942979</v>
      </c>
      <c r="D104" s="593">
        <f>SUM(D105)</f>
        <v>0</v>
      </c>
      <c r="E104" s="593">
        <f>SUM(E105)</f>
        <v>8942979</v>
      </c>
      <c r="F104" s="593">
        <f>SUM(F105)</f>
        <v>8942979</v>
      </c>
      <c r="G104" s="103"/>
    </row>
    <row r="105" spans="1:7" ht="16.5" thickTop="1" thickBot="1" x14ac:dyDescent="0.3">
      <c r="A105" s="594">
        <v>33010000</v>
      </c>
      <c r="B105" s="595" t="s">
        <v>109</v>
      </c>
      <c r="C105" s="596">
        <f>SUM(D105,E105)</f>
        <v>8942979</v>
      </c>
      <c r="D105" s="596">
        <f>SUM(D106:D108)</f>
        <v>0</v>
      </c>
      <c r="E105" s="596">
        <f>SUM(E106:E108)</f>
        <v>8942979</v>
      </c>
      <c r="F105" s="596">
        <f>SUM(F106:F108)</f>
        <v>8942979</v>
      </c>
      <c r="G105" s="103"/>
    </row>
    <row r="106" spans="1:7" ht="52.5" thickTop="1" thickBot="1" x14ac:dyDescent="0.3">
      <c r="A106" s="597">
        <v>33010100</v>
      </c>
      <c r="B106" s="600" t="s">
        <v>343</v>
      </c>
      <c r="C106" s="593">
        <f t="shared" si="2"/>
        <v>7517840</v>
      </c>
      <c r="D106" s="599"/>
      <c r="E106" s="599">
        <v>7517840</v>
      </c>
      <c r="F106" s="599">
        <v>7517840</v>
      </c>
      <c r="G106" s="103"/>
    </row>
    <row r="107" spans="1:7" ht="52.5" thickTop="1" thickBot="1" x14ac:dyDescent="0.3">
      <c r="A107" s="597">
        <v>33010200</v>
      </c>
      <c r="B107" s="600" t="s">
        <v>110</v>
      </c>
      <c r="C107" s="593">
        <f>SUM(D107,E107)</f>
        <v>1425139</v>
      </c>
      <c r="D107" s="599"/>
      <c r="E107" s="599">
        <v>1425139</v>
      </c>
      <c r="F107" s="599">
        <v>1425139</v>
      </c>
      <c r="G107" s="103"/>
    </row>
    <row r="108" spans="1:7" ht="78" hidden="1" thickTop="1" thickBot="1" x14ac:dyDescent="0.3">
      <c r="A108" s="370">
        <v>33010500</v>
      </c>
      <c r="B108" s="373" t="s">
        <v>1400</v>
      </c>
      <c r="C108" s="368">
        <f>SUM(D108,E108)</f>
        <v>0</v>
      </c>
      <c r="D108" s="372"/>
      <c r="E108" s="372">
        <v>0</v>
      </c>
      <c r="F108" s="372">
        <v>0</v>
      </c>
      <c r="G108" s="103"/>
    </row>
    <row r="109" spans="1:7" ht="27" customHeight="1" thickTop="1" thickBot="1" x14ac:dyDescent="0.3">
      <c r="A109" s="680">
        <v>50000000</v>
      </c>
      <c r="B109" s="680" t="s">
        <v>487</v>
      </c>
      <c r="C109" s="681">
        <f>SUM(D109,E109)</f>
        <v>5215800</v>
      </c>
      <c r="D109" s="681">
        <f>SUM(D110)</f>
        <v>0</v>
      </c>
      <c r="E109" s="681">
        <f>SUM(E110)</f>
        <v>5215800</v>
      </c>
      <c r="F109" s="681">
        <f>SUM(F110)</f>
        <v>0</v>
      </c>
      <c r="G109" s="103"/>
    </row>
    <row r="110" spans="1:7" ht="52.5" thickTop="1" thickBot="1" x14ac:dyDescent="0.3">
      <c r="A110" s="591">
        <v>50110000</v>
      </c>
      <c r="B110" s="605" t="s">
        <v>111</v>
      </c>
      <c r="C110" s="593">
        <f t="shared" ref="C110:C147" si="3">SUM(D110,E110)</f>
        <v>5215800</v>
      </c>
      <c r="D110" s="599"/>
      <c r="E110" s="593">
        <v>5215800</v>
      </c>
      <c r="F110" s="599"/>
      <c r="G110" s="103"/>
    </row>
    <row r="111" spans="1:7" ht="45.75" customHeight="1" thickTop="1" thickBot="1" x14ac:dyDescent="0.25">
      <c r="A111" s="611"/>
      <c r="B111" s="612" t="s">
        <v>488</v>
      </c>
      <c r="C111" s="613">
        <f t="shared" si="3"/>
        <v>3563874320</v>
      </c>
      <c r="D111" s="613">
        <f>D109+D99+D66+D15</f>
        <v>3305870365</v>
      </c>
      <c r="E111" s="613">
        <f>E109+E99+E66+E15</f>
        <v>258003955</v>
      </c>
      <c r="F111" s="613">
        <f>F109+F99+F66+F15</f>
        <v>22443003</v>
      </c>
      <c r="G111" s="104"/>
    </row>
    <row r="112" spans="1:7" ht="34.5" customHeight="1" thickTop="1" thickBot="1" x14ac:dyDescent="0.25">
      <c r="A112" s="680">
        <v>40000000</v>
      </c>
      <c r="B112" s="680" t="s">
        <v>427</v>
      </c>
      <c r="C112" s="681">
        <f>SUM(D112,E112)</f>
        <v>794169284.00999999</v>
      </c>
      <c r="D112" s="681">
        <f>SUM(D118,D115,D113)</f>
        <v>786497173.00999999</v>
      </c>
      <c r="E112" s="681">
        <f>SUM(E118,E115,E113)</f>
        <v>7672111</v>
      </c>
      <c r="F112" s="681">
        <f>SUM(F118,F115,F113)</f>
        <v>0</v>
      </c>
      <c r="G112" s="104"/>
    </row>
    <row r="113" spans="1:7" ht="34.5" hidden="1" customHeight="1" thickTop="1" thickBot="1" x14ac:dyDescent="0.25">
      <c r="A113" s="367">
        <v>41020000</v>
      </c>
      <c r="B113" s="374" t="s">
        <v>1337</v>
      </c>
      <c r="C113" s="368">
        <f t="shared" ref="C113:C114" si="4">SUM(D113,E113)</f>
        <v>0</v>
      </c>
      <c r="D113" s="368">
        <f>SUM(D114)</f>
        <v>0</v>
      </c>
      <c r="E113" s="368"/>
      <c r="F113" s="368"/>
      <c r="G113" s="104"/>
    </row>
    <row r="114" spans="1:7" ht="103.5" hidden="1" thickTop="1" thickBot="1" x14ac:dyDescent="0.25">
      <c r="A114" s="370">
        <v>41021400</v>
      </c>
      <c r="B114" s="373" t="s">
        <v>1344</v>
      </c>
      <c r="C114" s="368">
        <f t="shared" si="4"/>
        <v>0</v>
      </c>
      <c r="D114" s="372">
        <v>0</v>
      </c>
      <c r="E114" s="368"/>
      <c r="F114" s="368"/>
      <c r="G114" s="104"/>
    </row>
    <row r="115" spans="1:7" ht="27" thickTop="1" thickBot="1" x14ac:dyDescent="0.25">
      <c r="A115" s="591">
        <v>41040000</v>
      </c>
      <c r="B115" s="601" t="s">
        <v>344</v>
      </c>
      <c r="C115" s="593">
        <f>SUM(D115,E115)</f>
        <v>7650489.0099999998</v>
      </c>
      <c r="D115" s="593">
        <f>SUM(D116:D117)</f>
        <v>7650489.0099999998</v>
      </c>
      <c r="E115" s="368"/>
      <c r="F115" s="368"/>
      <c r="G115" s="104"/>
    </row>
    <row r="116" spans="1:7" ht="66" customHeight="1" thickTop="1" thickBot="1" x14ac:dyDescent="0.25">
      <c r="A116" s="597">
        <v>41040200</v>
      </c>
      <c r="B116" s="600" t="s">
        <v>1159</v>
      </c>
      <c r="C116" s="593">
        <f t="shared" si="3"/>
        <v>7509500</v>
      </c>
      <c r="D116" s="599">
        <v>7509500</v>
      </c>
      <c r="E116" s="368"/>
      <c r="F116" s="368"/>
      <c r="G116" s="104"/>
    </row>
    <row r="117" spans="1:7" ht="15.75" thickTop="1" thickBot="1" x14ac:dyDescent="0.25">
      <c r="A117" s="597">
        <v>41040400</v>
      </c>
      <c r="B117" s="600" t="s">
        <v>1217</v>
      </c>
      <c r="C117" s="593">
        <f t="shared" si="3"/>
        <v>140989.01</v>
      </c>
      <c r="D117" s="599">
        <v>140989.01</v>
      </c>
      <c r="E117" s="368"/>
      <c r="F117" s="368"/>
      <c r="G117" s="104"/>
    </row>
    <row r="118" spans="1:7" s="585" customFormat="1" ht="15.75" thickTop="1" thickBot="1" x14ac:dyDescent="0.25">
      <c r="A118" s="591">
        <v>41000000</v>
      </c>
      <c r="B118" s="591" t="s">
        <v>112</v>
      </c>
      <c r="C118" s="593">
        <f t="shared" si="3"/>
        <v>786518795</v>
      </c>
      <c r="D118" s="593">
        <f>SUM(D119,D127)</f>
        <v>778846684</v>
      </c>
      <c r="E118" s="593">
        <f>SUM(E119,E127)</f>
        <v>7672111</v>
      </c>
      <c r="F118" s="593">
        <f>SUM(F119,F127)</f>
        <v>0</v>
      </c>
      <c r="G118" s="616"/>
    </row>
    <row r="119" spans="1:7" s="585" customFormat="1" ht="27" thickTop="1" thickBot="1" x14ac:dyDescent="0.3">
      <c r="A119" s="591">
        <v>41030000</v>
      </c>
      <c r="B119" s="610" t="s">
        <v>438</v>
      </c>
      <c r="C119" s="593">
        <f t="shared" si="3"/>
        <v>762406300</v>
      </c>
      <c r="D119" s="593">
        <f>SUM(D120:D126)</f>
        <v>762406300</v>
      </c>
      <c r="E119" s="593">
        <f>SUM(E120:E126)</f>
        <v>0</v>
      </c>
      <c r="F119" s="593">
        <f>SUM(F120:F126)</f>
        <v>0</v>
      </c>
      <c r="G119" s="592"/>
    </row>
    <row r="120" spans="1:7" ht="52.5" hidden="1" thickTop="1" thickBot="1" x14ac:dyDescent="0.3">
      <c r="A120" s="370">
        <v>41032300</v>
      </c>
      <c r="B120" s="371" t="s">
        <v>983</v>
      </c>
      <c r="C120" s="368">
        <f t="shared" si="3"/>
        <v>0</v>
      </c>
      <c r="D120" s="372">
        <v>0</v>
      </c>
      <c r="E120" s="368"/>
      <c r="F120" s="372"/>
      <c r="G120" s="103"/>
    </row>
    <row r="121" spans="1:7" ht="52.5" thickTop="1" thickBot="1" x14ac:dyDescent="0.3">
      <c r="A121" s="682">
        <v>41033800</v>
      </c>
      <c r="B121" s="683" t="s">
        <v>1043</v>
      </c>
      <c r="C121" s="684">
        <f t="shared" si="3"/>
        <v>8649900</v>
      </c>
      <c r="D121" s="685">
        <f>(0)+8649900</f>
        <v>8649900</v>
      </c>
      <c r="E121" s="684"/>
      <c r="F121" s="685"/>
      <c r="G121" s="103"/>
    </row>
    <row r="122" spans="1:7" ht="27" thickTop="1" thickBot="1" x14ac:dyDescent="0.3">
      <c r="A122" s="597">
        <v>41033900</v>
      </c>
      <c r="B122" s="598" t="s">
        <v>113</v>
      </c>
      <c r="C122" s="593">
        <f t="shared" si="3"/>
        <v>753756400</v>
      </c>
      <c r="D122" s="599">
        <f>(752597500)+1158900</f>
        <v>753756400</v>
      </c>
      <c r="E122" s="599"/>
      <c r="F122" s="599"/>
      <c r="G122" s="103"/>
    </row>
    <row r="123" spans="1:7" ht="52.5" hidden="1" thickTop="1" thickBot="1" x14ac:dyDescent="0.3">
      <c r="A123" s="370">
        <v>41034500</v>
      </c>
      <c r="B123" s="371" t="s">
        <v>1044</v>
      </c>
      <c r="C123" s="368">
        <f t="shared" si="3"/>
        <v>0</v>
      </c>
      <c r="D123" s="372">
        <v>0</v>
      </c>
      <c r="E123" s="372">
        <v>0</v>
      </c>
      <c r="F123" s="372">
        <v>0</v>
      </c>
      <c r="G123" s="103"/>
    </row>
    <row r="124" spans="1:7" ht="65.25" hidden="1" thickTop="1" thickBot="1" x14ac:dyDescent="0.3">
      <c r="A124" s="370">
        <v>41035500</v>
      </c>
      <c r="B124" s="371" t="s">
        <v>985</v>
      </c>
      <c r="C124" s="368">
        <f t="shared" si="3"/>
        <v>0</v>
      </c>
      <c r="D124" s="372">
        <v>0</v>
      </c>
      <c r="E124" s="372"/>
      <c r="F124" s="372"/>
      <c r="G124" s="103"/>
    </row>
    <row r="125" spans="1:7" ht="65.25" hidden="1" thickTop="1" thickBot="1" x14ac:dyDescent="0.3">
      <c r="A125" s="370">
        <v>41035600</v>
      </c>
      <c r="B125" s="371" t="s">
        <v>1009</v>
      </c>
      <c r="C125" s="368">
        <f t="shared" si="3"/>
        <v>0</v>
      </c>
      <c r="D125" s="372">
        <v>0</v>
      </c>
      <c r="E125" s="372"/>
      <c r="F125" s="372"/>
      <c r="G125" s="103"/>
    </row>
    <row r="126" spans="1:7" ht="39.75" hidden="1" thickTop="1" thickBot="1" x14ac:dyDescent="0.3">
      <c r="A126" s="370">
        <v>41035700</v>
      </c>
      <c r="B126" s="371" t="s">
        <v>975</v>
      </c>
      <c r="C126" s="368">
        <f t="shared" si="3"/>
        <v>0</v>
      </c>
      <c r="D126" s="372">
        <v>0</v>
      </c>
      <c r="E126" s="372"/>
      <c r="F126" s="372"/>
      <c r="G126" s="103"/>
    </row>
    <row r="127" spans="1:7" ht="27" thickTop="1" thickBot="1" x14ac:dyDescent="0.3">
      <c r="A127" s="591">
        <v>41050000</v>
      </c>
      <c r="B127" s="610" t="s">
        <v>473</v>
      </c>
      <c r="C127" s="593">
        <f t="shared" si="3"/>
        <v>24112495</v>
      </c>
      <c r="D127" s="593">
        <f>SUM(D128:D141)+D148+D149</f>
        <v>16440384</v>
      </c>
      <c r="E127" s="593">
        <f>SUM(E128:E141)</f>
        <v>7672111</v>
      </c>
      <c r="F127" s="593">
        <f>SUM(F128:F141)</f>
        <v>0</v>
      </c>
      <c r="G127" s="103"/>
    </row>
    <row r="128" spans="1:7" ht="345.75" hidden="1" thickTop="1" thickBot="1" x14ac:dyDescent="0.3">
      <c r="A128" s="370">
        <v>41050400</v>
      </c>
      <c r="B128" s="371" t="s">
        <v>1422</v>
      </c>
      <c r="C128" s="368">
        <f t="shared" si="3"/>
        <v>0</v>
      </c>
      <c r="D128" s="372">
        <v>0</v>
      </c>
      <c r="E128" s="372"/>
      <c r="F128" s="372"/>
      <c r="G128" s="103"/>
    </row>
    <row r="129" spans="1:7" ht="243.75" hidden="1" thickTop="1" thickBot="1" x14ac:dyDescent="0.3">
      <c r="A129" s="370">
        <v>41050500</v>
      </c>
      <c r="B129" s="371" t="s">
        <v>1045</v>
      </c>
      <c r="C129" s="368">
        <f t="shared" si="3"/>
        <v>0</v>
      </c>
      <c r="D129" s="372">
        <v>0</v>
      </c>
      <c r="E129" s="372"/>
      <c r="F129" s="372"/>
      <c r="G129" s="103"/>
    </row>
    <row r="130" spans="1:7" ht="345.75" hidden="1" thickTop="1" thickBot="1" x14ac:dyDescent="0.3">
      <c r="A130" s="370">
        <v>41050600</v>
      </c>
      <c r="B130" s="371" t="s">
        <v>1423</v>
      </c>
      <c r="C130" s="368">
        <f t="shared" si="3"/>
        <v>0</v>
      </c>
      <c r="D130" s="372">
        <v>0</v>
      </c>
      <c r="E130" s="372"/>
      <c r="F130" s="372"/>
      <c r="G130" s="103"/>
    </row>
    <row r="131" spans="1:7" ht="129" hidden="1" thickTop="1" thickBot="1" x14ac:dyDescent="0.3">
      <c r="A131" s="376">
        <v>41050900</v>
      </c>
      <c r="B131" s="377" t="s">
        <v>1046</v>
      </c>
      <c r="C131" s="378">
        <f t="shared" si="3"/>
        <v>0</v>
      </c>
      <c r="D131" s="379">
        <v>0</v>
      </c>
      <c r="E131" s="379"/>
      <c r="F131" s="379"/>
      <c r="G131" s="103"/>
    </row>
    <row r="132" spans="1:7" ht="39.75" thickTop="1" thickBot="1" x14ac:dyDescent="0.3">
      <c r="A132" s="597">
        <v>41051000</v>
      </c>
      <c r="B132" s="598" t="s">
        <v>474</v>
      </c>
      <c r="C132" s="593">
        <f t="shared" si="3"/>
        <v>11127203</v>
      </c>
      <c r="D132" s="599">
        <v>11127203</v>
      </c>
      <c r="E132" s="372"/>
      <c r="F132" s="372"/>
      <c r="G132" s="103"/>
    </row>
    <row r="133" spans="1:7" ht="39.75" thickTop="1" thickBot="1" x14ac:dyDescent="0.3">
      <c r="A133" s="597">
        <v>41051100</v>
      </c>
      <c r="B133" s="598" t="s">
        <v>1591</v>
      </c>
      <c r="C133" s="593">
        <f t="shared" si="3"/>
        <v>7672111</v>
      </c>
      <c r="D133" s="599"/>
      <c r="E133" s="599">
        <v>7672111</v>
      </c>
      <c r="F133" s="372"/>
      <c r="G133" s="103"/>
    </row>
    <row r="134" spans="1:7" ht="52.5" thickTop="1" thickBot="1" x14ac:dyDescent="0.3">
      <c r="A134" s="597">
        <v>41051200</v>
      </c>
      <c r="B134" s="598" t="s">
        <v>1290</v>
      </c>
      <c r="C134" s="593">
        <f>SUM(D134,E134)</f>
        <v>3668858</v>
      </c>
      <c r="D134" s="599">
        <v>3668858</v>
      </c>
      <c r="E134" s="372"/>
      <c r="F134" s="372"/>
      <c r="G134" s="103"/>
    </row>
    <row r="135" spans="1:7" ht="65.25" hidden="1" thickTop="1" thickBot="1" x14ac:dyDescent="0.3">
      <c r="A135" s="376">
        <v>41051400</v>
      </c>
      <c r="B135" s="377" t="s">
        <v>988</v>
      </c>
      <c r="C135" s="378">
        <f t="shared" si="3"/>
        <v>0</v>
      </c>
      <c r="D135" s="379">
        <v>0</v>
      </c>
      <c r="E135" s="379"/>
      <c r="F135" s="379"/>
      <c r="G135" s="103"/>
    </row>
    <row r="136" spans="1:7" ht="65.25" thickTop="1" thickBot="1" x14ac:dyDescent="0.3">
      <c r="A136" s="597">
        <v>41051700</v>
      </c>
      <c r="B136" s="598" t="s">
        <v>945</v>
      </c>
      <c r="C136" s="593">
        <f t="shared" si="3"/>
        <v>532739</v>
      </c>
      <c r="D136" s="599">
        <v>532739</v>
      </c>
      <c r="E136" s="372"/>
      <c r="F136" s="372"/>
      <c r="G136" s="103"/>
    </row>
    <row r="137" spans="1:7" ht="103.5" hidden="1" thickTop="1" thickBot="1" x14ac:dyDescent="0.3">
      <c r="A137" s="376">
        <v>41056600</v>
      </c>
      <c r="B137" s="377" t="s">
        <v>1028</v>
      </c>
      <c r="C137" s="378">
        <f t="shared" si="3"/>
        <v>0</v>
      </c>
      <c r="D137" s="379">
        <f>10623233.82-10623233.82</f>
        <v>0</v>
      </c>
      <c r="E137" s="379"/>
      <c r="F137" s="379"/>
      <c r="G137" s="103"/>
    </row>
    <row r="138" spans="1:7" ht="65.25" hidden="1" thickTop="1" thickBot="1" x14ac:dyDescent="0.25">
      <c r="A138" s="376">
        <v>41055000</v>
      </c>
      <c r="B138" s="377" t="s">
        <v>1047</v>
      </c>
      <c r="C138" s="378">
        <f t="shared" si="3"/>
        <v>0</v>
      </c>
      <c r="D138" s="379">
        <v>0</v>
      </c>
      <c r="E138" s="379"/>
      <c r="F138" s="379"/>
      <c r="G138" s="104"/>
    </row>
    <row r="139" spans="1:7" ht="27" hidden="1" thickTop="1" thickBot="1" x14ac:dyDescent="0.25">
      <c r="A139" s="376">
        <v>41053600</v>
      </c>
      <c r="B139" s="377" t="s">
        <v>947</v>
      </c>
      <c r="C139" s="378">
        <f t="shared" si="3"/>
        <v>0</v>
      </c>
      <c r="D139" s="379"/>
      <c r="E139" s="379">
        <v>0</v>
      </c>
      <c r="F139" s="379"/>
      <c r="G139" s="104"/>
    </row>
    <row r="140" spans="1:7" ht="218.25" hidden="1" thickTop="1" thickBot="1" x14ac:dyDescent="0.25">
      <c r="A140" s="376">
        <v>41054200</v>
      </c>
      <c r="B140" s="377" t="s">
        <v>1048</v>
      </c>
      <c r="C140" s="378">
        <f t="shared" si="3"/>
        <v>0</v>
      </c>
      <c r="D140" s="379">
        <v>0</v>
      </c>
      <c r="E140" s="379"/>
      <c r="F140" s="379"/>
      <c r="G140" s="104"/>
    </row>
    <row r="141" spans="1:7" ht="27" thickTop="1" thickBot="1" x14ac:dyDescent="0.25">
      <c r="A141" s="597">
        <v>41053900</v>
      </c>
      <c r="B141" s="598" t="s">
        <v>901</v>
      </c>
      <c r="C141" s="593">
        <f t="shared" si="3"/>
        <v>1018034</v>
      </c>
      <c r="D141" s="593">
        <f>SUM(D142:D147)</f>
        <v>1018034</v>
      </c>
      <c r="E141" s="593">
        <f>SUM(E142:E147)</f>
        <v>0</v>
      </c>
      <c r="F141" s="593">
        <f>SUM(F142:F147)</f>
        <v>0</v>
      </c>
      <c r="G141" s="104"/>
    </row>
    <row r="142" spans="1:7" ht="15.75" hidden="1" thickTop="1" thickBot="1" x14ac:dyDescent="0.25">
      <c r="A142" s="597"/>
      <c r="B142" s="614" t="s">
        <v>948</v>
      </c>
      <c r="C142" s="596">
        <f>SUM(D142,E142)</f>
        <v>0</v>
      </c>
      <c r="D142" s="615"/>
      <c r="E142" s="375">
        <v>0</v>
      </c>
      <c r="F142" s="375">
        <v>0</v>
      </c>
      <c r="G142" s="104"/>
    </row>
    <row r="143" spans="1:7" ht="39.75" thickTop="1" thickBot="1" x14ac:dyDescent="0.25">
      <c r="A143" s="597"/>
      <c r="B143" s="614" t="s">
        <v>902</v>
      </c>
      <c r="C143" s="596">
        <f t="shared" si="3"/>
        <v>362971</v>
      </c>
      <c r="D143" s="615">
        <v>362971</v>
      </c>
      <c r="E143" s="375"/>
      <c r="F143" s="375"/>
      <c r="G143" s="104"/>
    </row>
    <row r="144" spans="1:7" ht="52.5" thickTop="1" thickBot="1" x14ac:dyDescent="0.25">
      <c r="A144" s="597"/>
      <c r="B144" s="614" t="s">
        <v>903</v>
      </c>
      <c r="C144" s="596">
        <f t="shared" si="3"/>
        <v>184607</v>
      </c>
      <c r="D144" s="615">
        <v>184607</v>
      </c>
      <c r="E144" s="375"/>
      <c r="F144" s="375"/>
      <c r="G144" s="104"/>
    </row>
    <row r="145" spans="1:10" ht="27" thickTop="1" thickBot="1" x14ac:dyDescent="0.25">
      <c r="A145" s="597"/>
      <c r="B145" s="614" t="s">
        <v>904</v>
      </c>
      <c r="C145" s="596">
        <f t="shared" si="3"/>
        <v>470456</v>
      </c>
      <c r="D145" s="615">
        <v>470456</v>
      </c>
      <c r="E145" s="375"/>
      <c r="F145" s="375"/>
      <c r="G145" s="104"/>
    </row>
    <row r="146" spans="1:10" ht="39.75" hidden="1" thickTop="1" thickBot="1" x14ac:dyDescent="0.25">
      <c r="A146" s="376"/>
      <c r="B146" s="380" t="s">
        <v>1085</v>
      </c>
      <c r="C146" s="108">
        <f t="shared" si="3"/>
        <v>0</v>
      </c>
      <c r="D146" s="109">
        <v>0</v>
      </c>
      <c r="E146" s="109"/>
      <c r="F146" s="109"/>
      <c r="G146" s="104"/>
    </row>
    <row r="147" spans="1:10" ht="27" hidden="1" thickTop="1" thickBot="1" x14ac:dyDescent="0.25">
      <c r="A147" s="376"/>
      <c r="B147" s="380" t="s">
        <v>1086</v>
      </c>
      <c r="C147" s="108">
        <f t="shared" si="3"/>
        <v>0</v>
      </c>
      <c r="D147" s="109"/>
      <c r="E147" s="109">
        <v>0</v>
      </c>
      <c r="F147" s="109">
        <v>0</v>
      </c>
      <c r="G147" s="104"/>
    </row>
    <row r="148" spans="1:10" ht="65.25" thickTop="1" thickBot="1" x14ac:dyDescent="0.25">
      <c r="A148" s="597">
        <v>41057700</v>
      </c>
      <c r="B148" s="598" t="s">
        <v>1376</v>
      </c>
      <c r="C148" s="593">
        <f>SUM(D148,E148)</f>
        <v>93550</v>
      </c>
      <c r="D148" s="599">
        <v>93550</v>
      </c>
      <c r="E148" s="372"/>
      <c r="F148" s="372"/>
      <c r="G148" s="104"/>
    </row>
    <row r="149" spans="1:10" ht="52.5" hidden="1" thickTop="1" thickBot="1" x14ac:dyDescent="0.25">
      <c r="A149" s="370">
        <v>41059000</v>
      </c>
      <c r="B149" s="371" t="s">
        <v>1401</v>
      </c>
      <c r="C149" s="368">
        <f>SUM(D149,E149)</f>
        <v>0</v>
      </c>
      <c r="D149" s="372">
        <v>0</v>
      </c>
      <c r="E149" s="372"/>
      <c r="F149" s="372"/>
      <c r="G149" s="104"/>
    </row>
    <row r="150" spans="1:10" ht="33.75" customHeight="1" thickTop="1" thickBot="1" x14ac:dyDescent="0.3">
      <c r="A150" s="611"/>
      <c r="B150" s="612" t="s">
        <v>1039</v>
      </c>
      <c r="C150" s="613">
        <f>SUM(D150,E150)</f>
        <v>4358043604.0100002</v>
      </c>
      <c r="D150" s="613">
        <f>SUM(D111,D112)</f>
        <v>4092367538.0100002</v>
      </c>
      <c r="E150" s="613">
        <f>SUM(E111,E112)</f>
        <v>265676066</v>
      </c>
      <c r="F150" s="613">
        <f>SUM(F111,F112)</f>
        <v>22443003</v>
      </c>
      <c r="G150" s="686" t="b">
        <f>C150=C145+C144+C143+C122+C116+C110+C103+C102+C98+C97+C96+C95+C92+C91+C90+C89+C86+C85+C83+C81+C80+C79+C74+C73+C72+C70+C69+C65+C64+C63+C60+C59+C58+C56+C55+C51+C50+C49+C48+C47+C46+C45+C44+C43+C42+C38+C36+C33+C31+C29+C25+C21+C20+C19+C18+C107+C106+C39+C53+C134+C132+C114+C148+C117+C149+C108+C130+C128+C129+C136+C87+C28+C23+C22+C76+C75+C133+C121</f>
        <v>1</v>
      </c>
      <c r="H150" s="686" t="b">
        <f>D150=D145+D144+D143+D122+D116+D110+D103+D102+D98+D97+D96+D95+D92+D91+D90+D89+D86+D85+D83+D81+D80+D79+D74+D73+D72+D70+D69+D65+D64+D63+D60+D59+D58+D56+D55+D51+D50+D49+D48+D47+D46+D45+D44+D43+D42+D38+D36+D33+D31+D29+D25+D21+D20+D19+D18+D107+D106+D39+D53+D134+D132+D114+D148+D117+D149+D108+D130+D128+D129+D136+D87+D28+D23+D22+D76+D75+D133+D121</f>
        <v>1</v>
      </c>
      <c r="I150" s="686" t="b">
        <f>E150=E145+E144+E143+E122+E116+E110+E103+E102+E98+E97+E96+E95+E92+E91+E90+E89+E86+E85+E83+E81+E80+E79+E74+E73+E72+E70+E69+E65+E64+E63+E60+E59+E58+E56+E55+E51+E50+E49+E48+E47+E46+E45+E44+E43+E42+E38+E36+E33+E31+E29+E25+E21+E20+E19+E18+E107+E106+E39+E53+E134+E132+E114+E148+E117+E149+E108+E130+E128+E129+E136+E87+E28+E23+E22+E76+E75+E133+E121</f>
        <v>1</v>
      </c>
      <c r="J150" s="686" t="b">
        <f>F150=F145+F144+F143+F122+F116+F110+F103+F102+F98+F97+F96+F95+F92+F91+F90+F89+F86+F85+F83+F81+F80+F79+F74+F73+F72+F70+F69+F65+F64+F63+F60+F59+F58+F56+F55+F51+F50+F49+F48+F47+F46+F45+F44+F43+F42+F38+F36+F33+F31+F29+F25+F21+F20+F19+F18+F107+F106+F39+F53+F134+F132+F114+F148+F117+F149+F108+F130+F128+F129+F136+F87+F28+F23+F22+F76+F75+F133+F121</f>
        <v>1</v>
      </c>
    </row>
    <row r="151" spans="1:10" ht="16.5" thickTop="1" x14ac:dyDescent="0.25">
      <c r="B151" s="110"/>
      <c r="G151" s="686" t="b">
        <f>(((4196633892-'d2'!C37-'d2'!C22)+129600000)+1158900+4436136.01+7672111)+178202565=C150</f>
        <v>0</v>
      </c>
    </row>
    <row r="152" spans="1:10" ht="15.75" hidden="1" x14ac:dyDescent="0.2">
      <c r="B152" s="362" t="s">
        <v>1478</v>
      </c>
      <c r="C152"/>
      <c r="D152"/>
      <c r="E152" s="363" t="s">
        <v>1479</v>
      </c>
      <c r="F152" s="112"/>
    </row>
    <row r="153" spans="1:10" ht="15.75" x14ac:dyDescent="0.2">
      <c r="B153" s="362" t="s">
        <v>1443</v>
      </c>
      <c r="C153"/>
      <c r="D153"/>
      <c r="E153" s="363" t="s">
        <v>1444</v>
      </c>
      <c r="F153" s="112"/>
    </row>
    <row r="154" spans="1:10" ht="15.75" x14ac:dyDescent="0.25">
      <c r="B154" s="1"/>
      <c r="C154" s="585"/>
      <c r="D154" s="585"/>
      <c r="E154" s="1"/>
    </row>
    <row r="155" spans="1:10" ht="15.75" x14ac:dyDescent="0.25">
      <c r="A155" s="113"/>
      <c r="B155" s="468" t="s">
        <v>523</v>
      </c>
      <c r="C155" s="1"/>
      <c r="D155" s="1"/>
      <c r="E155" s="1" t="s">
        <v>1345</v>
      </c>
      <c r="F155" s="113"/>
    </row>
    <row r="158" spans="1:10" x14ac:dyDescent="0.2">
      <c r="C158" s="111"/>
      <c r="D158" s="111"/>
      <c r="E158" s="111"/>
      <c r="F158" s="111"/>
    </row>
  </sheetData>
  <mergeCells count="13">
    <mergeCell ref="A8:F8"/>
    <mergeCell ref="A9:F9"/>
    <mergeCell ref="A12:A13"/>
    <mergeCell ref="B12:B13"/>
    <mergeCell ref="C12:C13"/>
    <mergeCell ref="D12:D13"/>
    <mergeCell ref="E12:F12"/>
    <mergeCell ref="A6:F6"/>
    <mergeCell ref="D1:G1"/>
    <mergeCell ref="D2:G2"/>
    <mergeCell ref="D3:G3"/>
    <mergeCell ref="A4:E4"/>
    <mergeCell ref="A5:F5"/>
  </mergeCells>
  <hyperlinks>
    <hyperlink ref="B100" location="_ftn1" display="_ftn1"/>
    <hyperlink ref="B99" location="_ftn1" display="_ftn1"/>
    <hyperlink ref="B86" location="_ftn1" display="_ftn1"/>
    <hyperlink ref="B20" location="_ftn1" display="_ftn1"/>
    <hyperlink ref="B19" location="_ftn1" display="_ftn1"/>
    <hyperlink ref="B64" location="_ftn1" display="_ftn1"/>
    <hyperlink ref="B104" location="_ftn1" display="_ftn1"/>
    <hyperlink ref="B105" location="_ftn1" display="_ftn1"/>
    <hyperlink ref="B72" location="_ftn1" display="_ftn1"/>
  </hyperlinks>
  <printOptions horizontalCentered="1"/>
  <pageMargins left="0.35433070866141736" right="0.15748031496062992" top="0.59055118110236227" bottom="0.51181102362204722" header="0.51181102362204722" footer="0.51181102362204722"/>
  <pageSetup paperSize="9" scale="86" fitToHeight="0" orientation="portrait" verticalDpi="4294967295" r:id="rId1"/>
  <headerFooter alignWithMargins="0"/>
  <rowBreaks count="1" manualBreakCount="1">
    <brk id="106"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0"/>
  <sheetViews>
    <sheetView view="pageBreakPreview" topLeftCell="A75" zoomScaleNormal="100" zoomScaleSheetLayoutView="100" workbookViewId="0">
      <selection activeCell="A82" sqref="A82:B83"/>
    </sheetView>
  </sheetViews>
  <sheetFormatPr defaultColWidth="6.85546875" defaultRowHeight="12.75" x14ac:dyDescent="0.2"/>
  <cols>
    <col min="1" max="1" width="10.140625" style="102" customWidth="1"/>
    <col min="2" max="2" width="40.42578125" style="102" customWidth="1"/>
    <col min="3" max="4" width="17.28515625" style="102" customWidth="1"/>
    <col min="5" max="5" width="15.7109375" style="102" customWidth="1"/>
    <col min="6" max="6" width="14.5703125" style="102" customWidth="1"/>
    <col min="7" max="10" width="10.85546875" style="102" bestFit="1" customWidth="1"/>
    <col min="11" max="252" width="7.85546875" style="102" customWidth="1"/>
    <col min="253" max="16384" width="6.85546875" style="102"/>
  </cols>
  <sheetData>
    <row r="1" spans="1:7" ht="15.75" x14ac:dyDescent="0.2">
      <c r="A1" s="585"/>
      <c r="B1" s="585"/>
      <c r="C1" s="585"/>
      <c r="D1" s="715" t="s">
        <v>56</v>
      </c>
      <c r="E1" s="716"/>
      <c r="F1" s="716"/>
      <c r="G1" s="716"/>
    </row>
    <row r="2" spans="1:7" ht="15.75" x14ac:dyDescent="0.2">
      <c r="A2" s="585"/>
      <c r="B2" s="585"/>
      <c r="C2" s="586"/>
      <c r="D2" s="715" t="s">
        <v>1575</v>
      </c>
      <c r="E2" s="717"/>
      <c r="F2" s="717"/>
      <c r="G2" s="717"/>
    </row>
    <row r="3" spans="1:7" ht="6" hidden="1" customHeight="1" x14ac:dyDescent="0.2">
      <c r="A3" s="585"/>
      <c r="B3" s="585"/>
      <c r="C3" s="586"/>
      <c r="D3" s="715"/>
      <c r="E3" s="717"/>
      <c r="F3" s="717"/>
      <c r="G3" s="717"/>
    </row>
    <row r="4" spans="1:7" ht="12.75" customHeight="1" x14ac:dyDescent="0.2">
      <c r="A4" s="718"/>
      <c r="B4" s="718"/>
      <c r="C4" s="718"/>
      <c r="D4" s="718"/>
      <c r="E4" s="718"/>
      <c r="F4" s="585"/>
      <c r="G4" s="585"/>
    </row>
    <row r="5" spans="1:7" ht="20.25" x14ac:dyDescent="0.2">
      <c r="A5" s="718" t="s">
        <v>1643</v>
      </c>
      <c r="B5" s="719"/>
      <c r="C5" s="719"/>
      <c r="D5" s="719"/>
      <c r="E5" s="719"/>
      <c r="F5" s="719"/>
      <c r="G5" s="585"/>
    </row>
    <row r="6" spans="1:7" ht="20.25" x14ac:dyDescent="0.2">
      <c r="A6" s="718" t="s">
        <v>1527</v>
      </c>
      <c r="B6" s="719"/>
      <c r="C6" s="719"/>
      <c r="D6" s="719"/>
      <c r="E6" s="719"/>
      <c r="F6" s="719"/>
      <c r="G6" s="585"/>
    </row>
    <row r="7" spans="1:7" ht="20.25" x14ac:dyDescent="0.2">
      <c r="A7" s="587"/>
      <c r="B7" s="305"/>
      <c r="C7" s="305"/>
      <c r="D7" s="305"/>
      <c r="E7" s="305"/>
      <c r="F7" s="305"/>
      <c r="G7" s="585"/>
    </row>
    <row r="8" spans="1:7" ht="20.25" x14ac:dyDescent="0.2">
      <c r="A8" s="720">
        <v>2256400000</v>
      </c>
      <c r="B8" s="721"/>
      <c r="C8" s="721"/>
      <c r="D8" s="721"/>
      <c r="E8" s="721"/>
      <c r="F8" s="721"/>
      <c r="G8" s="585"/>
    </row>
    <row r="9" spans="1:7" ht="15.75" x14ac:dyDescent="0.2">
      <c r="A9" s="722" t="s">
        <v>490</v>
      </c>
      <c r="B9" s="723"/>
      <c r="C9" s="723"/>
      <c r="D9" s="723"/>
      <c r="E9" s="723"/>
      <c r="F9" s="723"/>
      <c r="G9" s="585"/>
    </row>
    <row r="10" spans="1:7" ht="20.25" x14ac:dyDescent="0.2">
      <c r="A10" s="587"/>
      <c r="B10" s="472"/>
      <c r="C10" s="472"/>
      <c r="D10" s="472"/>
      <c r="E10" s="472"/>
      <c r="F10" s="472"/>
      <c r="G10" s="585"/>
    </row>
    <row r="11" spans="1:7" ht="13.5" thickBot="1" x14ac:dyDescent="0.25">
      <c r="A11" s="585"/>
      <c r="B11" s="588"/>
      <c r="C11" s="588"/>
      <c r="D11" s="588"/>
      <c r="E11" s="588"/>
      <c r="F11" s="589" t="s">
        <v>404</v>
      </c>
      <c r="G11" s="585"/>
    </row>
    <row r="12" spans="1:7" ht="14.25" thickTop="1" thickBot="1" x14ac:dyDescent="0.25">
      <c r="A12" s="724" t="s">
        <v>57</v>
      </c>
      <c r="B12" s="724" t="s">
        <v>1528</v>
      </c>
      <c r="C12" s="724" t="s">
        <v>383</v>
      </c>
      <c r="D12" s="724" t="s">
        <v>12</v>
      </c>
      <c r="E12" s="724" t="s">
        <v>52</v>
      </c>
      <c r="F12" s="724"/>
      <c r="G12" s="590"/>
    </row>
    <row r="13" spans="1:7" ht="39.75" thickTop="1" thickBot="1" x14ac:dyDescent="0.3">
      <c r="A13" s="724"/>
      <c r="B13" s="724"/>
      <c r="C13" s="724"/>
      <c r="D13" s="724"/>
      <c r="E13" s="591" t="s">
        <v>384</v>
      </c>
      <c r="F13" s="591" t="s">
        <v>426</v>
      </c>
      <c r="G13" s="592"/>
    </row>
    <row r="14" spans="1:7" ht="16.5" thickTop="1" thickBot="1" x14ac:dyDescent="0.3">
      <c r="A14" s="591">
        <v>1</v>
      </c>
      <c r="B14" s="591">
        <v>2</v>
      </c>
      <c r="C14" s="591">
        <v>3</v>
      </c>
      <c r="D14" s="591">
        <v>4</v>
      </c>
      <c r="E14" s="591">
        <v>5</v>
      </c>
      <c r="F14" s="591">
        <v>6</v>
      </c>
      <c r="G14" s="592"/>
    </row>
    <row r="15" spans="1:7" ht="25.5" customHeight="1" thickTop="1" thickBot="1" x14ac:dyDescent="0.25">
      <c r="A15" s="680">
        <v>10000000</v>
      </c>
      <c r="B15" s="680" t="s">
        <v>58</v>
      </c>
      <c r="C15" s="681">
        <f t="shared" ref="C15:C66" si="0">SUM(D15,E15)</f>
        <v>96500000</v>
      </c>
      <c r="D15" s="681">
        <f>SUM(D16,D32,D40,D61,D26)</f>
        <v>96500000</v>
      </c>
      <c r="E15" s="681">
        <f>SUM(E16,E32,E40,E61,E26)</f>
        <v>0</v>
      </c>
      <c r="F15" s="681">
        <f>SUM(F16,F32,F40,F61,F26)</f>
        <v>0</v>
      </c>
      <c r="G15" s="104"/>
    </row>
    <row r="16" spans="1:7" ht="31.7" customHeight="1" thickTop="1" thickBot="1" x14ac:dyDescent="0.25">
      <c r="A16" s="591">
        <v>11000000</v>
      </c>
      <c r="B16" s="591" t="s">
        <v>59</v>
      </c>
      <c r="C16" s="593">
        <f>'d1'!C16-d1П!C16</f>
        <v>55000000</v>
      </c>
      <c r="D16" s="593">
        <f>'d1'!D16-d1П!D16</f>
        <v>55000000</v>
      </c>
      <c r="E16" s="593">
        <f>'d1'!E16-d1П!E16</f>
        <v>0</v>
      </c>
      <c r="F16" s="593">
        <f>'d1'!F16-d1П!F16</f>
        <v>0</v>
      </c>
      <c r="G16" s="105"/>
    </row>
    <row r="17" spans="1:7" ht="24.75" customHeight="1" thickTop="1" thickBot="1" x14ac:dyDescent="0.25">
      <c r="A17" s="594">
        <v>11010000</v>
      </c>
      <c r="B17" s="595" t="s">
        <v>60</v>
      </c>
      <c r="C17" s="593">
        <f>'d1'!C17-d1П!C17</f>
        <v>55000000</v>
      </c>
      <c r="D17" s="593">
        <f>'d1'!D17-d1П!D17</f>
        <v>55000000</v>
      </c>
      <c r="E17" s="593">
        <f>'d1'!E17-d1П!E17</f>
        <v>0</v>
      </c>
      <c r="F17" s="593">
        <f>'d1'!F17-d1П!F17</f>
        <v>0</v>
      </c>
      <c r="G17" s="105"/>
    </row>
    <row r="18" spans="1:7" ht="39.75" thickTop="1" thickBot="1" x14ac:dyDescent="0.25">
      <c r="A18" s="597">
        <v>11010100</v>
      </c>
      <c r="B18" s="598" t="s">
        <v>61</v>
      </c>
      <c r="C18" s="593">
        <f>'d1'!C18-d1П!C18</f>
        <v>50000000</v>
      </c>
      <c r="D18" s="593">
        <f>'d1'!D18-d1П!D18</f>
        <v>50000000</v>
      </c>
      <c r="E18" s="593">
        <f>'d1'!E18-d1П!E18</f>
        <v>0</v>
      </c>
      <c r="F18" s="593">
        <f>'d1'!F18-d1П!F18</f>
        <v>0</v>
      </c>
      <c r="G18" s="105"/>
    </row>
    <row r="19" spans="1:7" ht="65.25" hidden="1" thickTop="1" thickBot="1" x14ac:dyDescent="0.25">
      <c r="A19" s="370">
        <v>11010200</v>
      </c>
      <c r="B19" s="371" t="s">
        <v>62</v>
      </c>
      <c r="C19" s="593">
        <f>'d1'!C19-d1П!C19</f>
        <v>0</v>
      </c>
      <c r="D19" s="593">
        <f>'d1'!D19-d1П!D19</f>
        <v>0</v>
      </c>
      <c r="E19" s="593">
        <f>'d1'!E19-d1П!E19</f>
        <v>0</v>
      </c>
      <c r="F19" s="593">
        <f>'d1'!F19-d1П!F19</f>
        <v>0</v>
      </c>
      <c r="G19" s="105"/>
    </row>
    <row r="20" spans="1:7" ht="39.75" thickTop="1" thickBot="1" x14ac:dyDescent="0.25">
      <c r="A20" s="597">
        <v>11010400</v>
      </c>
      <c r="B20" s="598" t="s">
        <v>63</v>
      </c>
      <c r="C20" s="593">
        <f>'d1'!C20-d1П!C20</f>
        <v>0</v>
      </c>
      <c r="D20" s="593">
        <f>'d1'!D20-d1П!D20</f>
        <v>0</v>
      </c>
      <c r="E20" s="593">
        <f>'d1'!E20-d1П!E20</f>
        <v>0</v>
      </c>
      <c r="F20" s="593">
        <f>'d1'!F20-d1П!F20</f>
        <v>0</v>
      </c>
      <c r="G20" s="105"/>
    </row>
    <row r="21" spans="1:7" ht="39.75" thickTop="1" thickBot="1" x14ac:dyDescent="0.3">
      <c r="A21" s="597">
        <v>11010500</v>
      </c>
      <c r="B21" s="598" t="s">
        <v>64</v>
      </c>
      <c r="C21" s="593">
        <f>'d1'!C21-d1П!C21</f>
        <v>5000000</v>
      </c>
      <c r="D21" s="593">
        <f>'d1'!D21-d1П!D21</f>
        <v>5000000</v>
      </c>
      <c r="E21" s="593">
        <f>'d1'!E21-d1П!E21</f>
        <v>0</v>
      </c>
      <c r="F21" s="593">
        <f>'d1'!F21-d1П!F21</f>
        <v>0</v>
      </c>
      <c r="G21" s="103"/>
    </row>
    <row r="22" spans="1:7" ht="27" thickTop="1" thickBot="1" x14ac:dyDescent="0.3">
      <c r="A22" s="597">
        <v>11011200</v>
      </c>
      <c r="B22" s="598" t="s">
        <v>1529</v>
      </c>
      <c r="C22" s="593">
        <f>'d1'!C22-d1П!C22</f>
        <v>0</v>
      </c>
      <c r="D22" s="593">
        <f>'d1'!D22-d1П!D22</f>
        <v>0</v>
      </c>
      <c r="E22" s="593">
        <f>'d1'!E22-d1П!E22</f>
        <v>0</v>
      </c>
      <c r="F22" s="593">
        <f>'d1'!F22-d1П!F22</f>
        <v>0</v>
      </c>
      <c r="G22" s="103"/>
    </row>
    <row r="23" spans="1:7" ht="39.75" thickTop="1" thickBot="1" x14ac:dyDescent="0.3">
      <c r="A23" s="597">
        <v>11011300</v>
      </c>
      <c r="B23" s="598" t="s">
        <v>1530</v>
      </c>
      <c r="C23" s="593">
        <f>'d1'!C23-d1П!C23</f>
        <v>0</v>
      </c>
      <c r="D23" s="593">
        <f>'d1'!D23-d1П!D23</f>
        <v>0</v>
      </c>
      <c r="E23" s="593">
        <f>'d1'!E23-d1П!E23</f>
        <v>0</v>
      </c>
      <c r="F23" s="593">
        <f>'d1'!F23-d1П!F23</f>
        <v>0</v>
      </c>
      <c r="G23" s="103"/>
    </row>
    <row r="24" spans="1:7" ht="28.5" customHeight="1" thickTop="1" thickBot="1" x14ac:dyDescent="0.25">
      <c r="A24" s="594">
        <v>11020000</v>
      </c>
      <c r="B24" s="595" t="s">
        <v>65</v>
      </c>
      <c r="C24" s="593">
        <f>'d1'!C24-d1П!C24</f>
        <v>0</v>
      </c>
      <c r="D24" s="593">
        <f>'d1'!D24-d1П!D24</f>
        <v>0</v>
      </c>
      <c r="E24" s="593">
        <f>'d1'!E24-d1П!E24</f>
        <v>0</v>
      </c>
      <c r="F24" s="593">
        <f>'d1'!F24-d1П!F24</f>
        <v>0</v>
      </c>
      <c r="G24" s="104"/>
    </row>
    <row r="25" spans="1:7" ht="27" thickTop="1" thickBot="1" x14ac:dyDescent="0.3">
      <c r="A25" s="597">
        <v>11020200</v>
      </c>
      <c r="B25" s="600" t="s">
        <v>66</v>
      </c>
      <c r="C25" s="593">
        <f>'d1'!C25-d1П!C25</f>
        <v>0</v>
      </c>
      <c r="D25" s="593">
        <f>'d1'!D25-d1П!D25</f>
        <v>0</v>
      </c>
      <c r="E25" s="593">
        <f>'d1'!E25-d1П!E25</f>
        <v>0</v>
      </c>
      <c r="F25" s="593">
        <f>'d1'!F25-d1П!F25</f>
        <v>0</v>
      </c>
      <c r="G25" s="103"/>
    </row>
    <row r="26" spans="1:7" ht="27" thickTop="1" thickBot="1" x14ac:dyDescent="0.3">
      <c r="A26" s="591">
        <v>13000000</v>
      </c>
      <c r="B26" s="601" t="s">
        <v>526</v>
      </c>
      <c r="C26" s="593">
        <f>'d1'!C26-d1П!C26</f>
        <v>0</v>
      </c>
      <c r="D26" s="593">
        <f>'d1'!D26-d1П!D26</f>
        <v>0</v>
      </c>
      <c r="E26" s="593">
        <f>'d1'!E26-d1П!E26</f>
        <v>0</v>
      </c>
      <c r="F26" s="593">
        <f>'d1'!F26-d1П!F26</f>
        <v>0</v>
      </c>
      <c r="G26" s="103"/>
    </row>
    <row r="27" spans="1:7" ht="28.5" thickTop="1" thickBot="1" x14ac:dyDescent="0.3">
      <c r="A27" s="594">
        <v>13010000</v>
      </c>
      <c r="B27" s="602" t="s">
        <v>527</v>
      </c>
      <c r="C27" s="593">
        <f>'d1'!C27-d1П!C27</f>
        <v>0</v>
      </c>
      <c r="D27" s="593">
        <f>'d1'!D27-d1П!D27</f>
        <v>0</v>
      </c>
      <c r="E27" s="593">
        <f>'d1'!E27-d1П!E27</f>
        <v>0</v>
      </c>
      <c r="F27" s="593">
        <f>'d1'!F27-d1П!F27</f>
        <v>0</v>
      </c>
      <c r="G27" s="103"/>
    </row>
    <row r="28" spans="1:7" ht="52.5" thickTop="1" thickBot="1" x14ac:dyDescent="0.3">
      <c r="A28" s="597">
        <v>13010100</v>
      </c>
      <c r="B28" s="603" t="s">
        <v>1531</v>
      </c>
      <c r="C28" s="593">
        <f>'d1'!C28-d1П!C28</f>
        <v>0</v>
      </c>
      <c r="D28" s="593">
        <f>'d1'!D28-d1П!D28</f>
        <v>0</v>
      </c>
      <c r="E28" s="593">
        <f>'d1'!E28-d1П!E28</f>
        <v>0</v>
      </c>
      <c r="F28" s="593">
        <f>'d1'!F28-d1П!F28</f>
        <v>0</v>
      </c>
      <c r="G28" s="103"/>
    </row>
    <row r="29" spans="1:7" ht="65.25" thickTop="1" thickBot="1" x14ac:dyDescent="0.3">
      <c r="A29" s="597">
        <v>13010200</v>
      </c>
      <c r="B29" s="603" t="s">
        <v>528</v>
      </c>
      <c r="C29" s="593">
        <f>'d1'!C29-d1П!C29</f>
        <v>0</v>
      </c>
      <c r="D29" s="593">
        <f>'d1'!D29-d1П!D29</f>
        <v>0</v>
      </c>
      <c r="E29" s="593">
        <f>'d1'!E29-d1П!E29</f>
        <v>0</v>
      </c>
      <c r="F29" s="593">
        <f>'d1'!F29-d1П!F29</f>
        <v>0</v>
      </c>
      <c r="G29" s="103"/>
    </row>
    <row r="30" spans="1:7" ht="16.5" thickTop="1" thickBot="1" x14ac:dyDescent="0.3">
      <c r="A30" s="594">
        <v>13030000</v>
      </c>
      <c r="B30" s="604" t="s">
        <v>529</v>
      </c>
      <c r="C30" s="593">
        <f>'d1'!C30-d1П!C30</f>
        <v>0</v>
      </c>
      <c r="D30" s="593">
        <f>'d1'!D30-d1П!D30</f>
        <v>0</v>
      </c>
      <c r="E30" s="593">
        <f>'d1'!E30-d1П!E30</f>
        <v>0</v>
      </c>
      <c r="F30" s="593">
        <f>'d1'!F30-d1П!F30</f>
        <v>0</v>
      </c>
      <c r="G30" s="103"/>
    </row>
    <row r="31" spans="1:7" ht="39.75" thickTop="1" thickBot="1" x14ac:dyDescent="0.3">
      <c r="A31" s="597">
        <v>13030100</v>
      </c>
      <c r="B31" s="603" t="s">
        <v>530</v>
      </c>
      <c r="C31" s="593">
        <f>'d1'!C31-d1П!C31</f>
        <v>0</v>
      </c>
      <c r="D31" s="593">
        <f>'d1'!D31-d1П!D31</f>
        <v>0</v>
      </c>
      <c r="E31" s="593">
        <f>'d1'!E31-d1П!E31</f>
        <v>0</v>
      </c>
      <c r="F31" s="593">
        <f>'d1'!F31-d1П!F31</f>
        <v>0</v>
      </c>
      <c r="G31" s="103"/>
    </row>
    <row r="32" spans="1:7" ht="26.45" customHeight="1" thickTop="1" thickBot="1" x14ac:dyDescent="0.3">
      <c r="A32" s="591">
        <v>14000000</v>
      </c>
      <c r="B32" s="601" t="s">
        <v>531</v>
      </c>
      <c r="C32" s="593">
        <f>'d1'!C32-d1П!C32</f>
        <v>0</v>
      </c>
      <c r="D32" s="593">
        <f>'d1'!D32-d1П!D32</f>
        <v>0</v>
      </c>
      <c r="E32" s="593">
        <f>'d1'!E32-d1П!E32</f>
        <v>0</v>
      </c>
      <c r="F32" s="593">
        <f>'d1'!F32-d1П!F32</f>
        <v>0</v>
      </c>
      <c r="G32" s="103"/>
    </row>
    <row r="33" spans="1:7" ht="30" customHeight="1" thickTop="1" thickBot="1" x14ac:dyDescent="0.3">
      <c r="A33" s="594">
        <v>14020000</v>
      </c>
      <c r="B33" s="602" t="s">
        <v>622</v>
      </c>
      <c r="C33" s="593">
        <f>'d1'!C33-d1П!C33</f>
        <v>0</v>
      </c>
      <c r="D33" s="593">
        <f>'d1'!D33-d1П!D33</f>
        <v>0</v>
      </c>
      <c r="E33" s="593">
        <f>'d1'!E33-d1П!E33</f>
        <v>0</v>
      </c>
      <c r="F33" s="593">
        <f>'d1'!F33-d1П!F33</f>
        <v>0</v>
      </c>
      <c r="G33" s="103"/>
    </row>
    <row r="34" spans="1:7" ht="16.5" thickTop="1" thickBot="1" x14ac:dyDescent="0.3">
      <c r="A34" s="597">
        <v>14021900</v>
      </c>
      <c r="B34" s="600" t="s">
        <v>621</v>
      </c>
      <c r="C34" s="593">
        <f>'d1'!C34-d1П!C34</f>
        <v>0</v>
      </c>
      <c r="D34" s="593">
        <f>'d1'!D34-d1П!D34</f>
        <v>0</v>
      </c>
      <c r="E34" s="593">
        <f>'d1'!E34-d1П!E34</f>
        <v>0</v>
      </c>
      <c r="F34" s="593">
        <f>'d1'!F34-d1П!F34</f>
        <v>0</v>
      </c>
      <c r="G34" s="103"/>
    </row>
    <row r="35" spans="1:7" ht="42" thickTop="1" thickBot="1" x14ac:dyDescent="0.3">
      <c r="A35" s="594">
        <v>14030000</v>
      </c>
      <c r="B35" s="602" t="s">
        <v>623</v>
      </c>
      <c r="C35" s="593">
        <f>'d1'!C35-d1П!C35</f>
        <v>0</v>
      </c>
      <c r="D35" s="593">
        <f>'d1'!D35-d1П!D35</f>
        <v>0</v>
      </c>
      <c r="E35" s="593">
        <f>'d1'!E35-d1П!E35</f>
        <v>0</v>
      </c>
      <c r="F35" s="593">
        <f>'d1'!F35-d1П!F35</f>
        <v>0</v>
      </c>
      <c r="G35" s="103"/>
    </row>
    <row r="36" spans="1:7" ht="16.5" thickTop="1" thickBot="1" x14ac:dyDescent="0.3">
      <c r="A36" s="597">
        <v>14031900</v>
      </c>
      <c r="B36" s="600" t="s">
        <v>621</v>
      </c>
      <c r="C36" s="593">
        <f>'d1'!C36-d1П!C36</f>
        <v>0</v>
      </c>
      <c r="D36" s="593">
        <f>'d1'!D36-d1П!D36</f>
        <v>0</v>
      </c>
      <c r="E36" s="593">
        <f>'d1'!E36-d1П!E36</f>
        <v>0</v>
      </c>
      <c r="F36" s="593">
        <f>'d1'!F36-d1П!F36</f>
        <v>0</v>
      </c>
      <c r="G36" s="103"/>
    </row>
    <row r="37" spans="1:7" ht="42" thickTop="1" thickBot="1" x14ac:dyDescent="0.3">
      <c r="A37" s="594">
        <v>14040000</v>
      </c>
      <c r="B37" s="602" t="s">
        <v>1209</v>
      </c>
      <c r="C37" s="593">
        <f>'d1'!C37-d1П!C37</f>
        <v>0</v>
      </c>
      <c r="D37" s="593">
        <f>'d1'!D37-d1П!D37</f>
        <v>0</v>
      </c>
      <c r="E37" s="593">
        <f>'d1'!E37-d1П!E37</f>
        <v>0</v>
      </c>
      <c r="F37" s="593">
        <f>'d1'!F37-d1П!F37</f>
        <v>0</v>
      </c>
      <c r="G37" s="103"/>
    </row>
    <row r="38" spans="1:7" ht="103.5" thickTop="1" thickBot="1" x14ac:dyDescent="0.25">
      <c r="A38" s="597">
        <v>14040100</v>
      </c>
      <c r="B38" s="600" t="s">
        <v>1229</v>
      </c>
      <c r="C38" s="593">
        <f>'d1'!C38-d1П!C38</f>
        <v>0</v>
      </c>
      <c r="D38" s="593">
        <f>'d1'!D38-d1П!D38</f>
        <v>0</v>
      </c>
      <c r="E38" s="593">
        <f>'d1'!E38-d1П!E38</f>
        <v>0</v>
      </c>
      <c r="F38" s="593">
        <f>'d1'!F38-d1П!F38</f>
        <v>0</v>
      </c>
      <c r="G38" s="106"/>
    </row>
    <row r="39" spans="1:7" ht="65.25" thickTop="1" thickBot="1" x14ac:dyDescent="0.25">
      <c r="A39" s="597">
        <v>14040200</v>
      </c>
      <c r="B39" s="600" t="s">
        <v>1208</v>
      </c>
      <c r="C39" s="593">
        <f>'d1'!C39-d1П!C39</f>
        <v>0</v>
      </c>
      <c r="D39" s="593">
        <f>'d1'!D39-d1П!D39</f>
        <v>0</v>
      </c>
      <c r="E39" s="593">
        <f>'d1'!E39-d1П!E39</f>
        <v>0</v>
      </c>
      <c r="F39" s="593">
        <f>'d1'!F39-d1П!F39</f>
        <v>0</v>
      </c>
      <c r="G39" s="106"/>
    </row>
    <row r="40" spans="1:7" ht="29.25" customHeight="1" thickTop="1" thickBot="1" x14ac:dyDescent="0.3">
      <c r="A40" s="591">
        <v>18000000</v>
      </c>
      <c r="B40" s="591" t="s">
        <v>67</v>
      </c>
      <c r="C40" s="593">
        <f>'d1'!C40-d1П!C40</f>
        <v>41500000</v>
      </c>
      <c r="D40" s="593">
        <f>'d1'!D40-d1П!D40</f>
        <v>41500000</v>
      </c>
      <c r="E40" s="593">
        <f>'d1'!E40-d1П!E40</f>
        <v>0</v>
      </c>
      <c r="F40" s="593">
        <f>'d1'!F40-d1П!F40</f>
        <v>0</v>
      </c>
      <c r="G40" s="103"/>
    </row>
    <row r="41" spans="1:7" ht="16.5" thickTop="1" thickBot="1" x14ac:dyDescent="0.3">
      <c r="A41" s="594">
        <v>18010000</v>
      </c>
      <c r="B41" s="602" t="s">
        <v>68</v>
      </c>
      <c r="C41" s="593">
        <f>'d1'!C41-d1П!C41</f>
        <v>0</v>
      </c>
      <c r="D41" s="593">
        <f>'d1'!D41-d1П!D41</f>
        <v>0</v>
      </c>
      <c r="E41" s="593">
        <f>'d1'!E41-d1П!E41</f>
        <v>0</v>
      </c>
      <c r="F41" s="593">
        <f>'d1'!F41-d1П!F41</f>
        <v>0</v>
      </c>
      <c r="G41" s="103"/>
    </row>
    <row r="42" spans="1:7" ht="52.5" thickTop="1" thickBot="1" x14ac:dyDescent="0.3">
      <c r="A42" s="597">
        <v>18010100</v>
      </c>
      <c r="B42" s="600" t="s">
        <v>69</v>
      </c>
      <c r="C42" s="593">
        <f>'d1'!C42-d1П!C42</f>
        <v>0</v>
      </c>
      <c r="D42" s="593">
        <f>'d1'!D42-d1П!D42</f>
        <v>0</v>
      </c>
      <c r="E42" s="593">
        <f>'d1'!E42-d1П!E42</f>
        <v>0</v>
      </c>
      <c r="F42" s="593">
        <f>'d1'!F42-d1П!F42</f>
        <v>0</v>
      </c>
      <c r="G42" s="103"/>
    </row>
    <row r="43" spans="1:7" ht="52.5" thickTop="1" thickBot="1" x14ac:dyDescent="0.3">
      <c r="A43" s="597">
        <v>18010200</v>
      </c>
      <c r="B43" s="600" t="s">
        <v>70</v>
      </c>
      <c r="C43" s="593">
        <f>'d1'!C43-d1П!C43</f>
        <v>0</v>
      </c>
      <c r="D43" s="593">
        <f>'d1'!D43-d1П!D43</f>
        <v>0</v>
      </c>
      <c r="E43" s="593">
        <f>'d1'!E43-d1П!E43</f>
        <v>0</v>
      </c>
      <c r="F43" s="593">
        <f>'d1'!F43-d1П!F43</f>
        <v>0</v>
      </c>
      <c r="G43" s="103"/>
    </row>
    <row r="44" spans="1:7" ht="52.5" thickTop="1" thickBot="1" x14ac:dyDescent="0.3">
      <c r="A44" s="597">
        <v>18010300</v>
      </c>
      <c r="B44" s="600" t="s">
        <v>71</v>
      </c>
      <c r="C44" s="593">
        <f>'d1'!C44-d1П!C44</f>
        <v>0</v>
      </c>
      <c r="D44" s="593">
        <f>'d1'!D44-d1П!D44</f>
        <v>0</v>
      </c>
      <c r="E44" s="593">
        <f>'d1'!E44-d1П!E44</f>
        <v>0</v>
      </c>
      <c r="F44" s="593">
        <f>'d1'!F44-d1П!F44</f>
        <v>0</v>
      </c>
      <c r="G44" s="103"/>
    </row>
    <row r="45" spans="1:7" ht="52.5" thickTop="1" thickBot="1" x14ac:dyDescent="0.3">
      <c r="A45" s="597">
        <v>18010400</v>
      </c>
      <c r="B45" s="600" t="s">
        <v>72</v>
      </c>
      <c r="C45" s="593">
        <f>'d1'!C45-d1П!C45</f>
        <v>0</v>
      </c>
      <c r="D45" s="593">
        <f>'d1'!D45-d1П!D45</f>
        <v>0</v>
      </c>
      <c r="E45" s="593">
        <f>'d1'!E45-d1П!E45</f>
        <v>0</v>
      </c>
      <c r="F45" s="593">
        <f>'d1'!F45-d1П!F45</f>
        <v>0</v>
      </c>
      <c r="G45" s="103"/>
    </row>
    <row r="46" spans="1:7" ht="16.5" thickTop="1" thickBot="1" x14ac:dyDescent="0.3">
      <c r="A46" s="597">
        <v>18010500</v>
      </c>
      <c r="B46" s="600" t="s">
        <v>73</v>
      </c>
      <c r="C46" s="593">
        <f>'d1'!C46-d1П!C46</f>
        <v>0</v>
      </c>
      <c r="D46" s="593">
        <f>'d1'!D46-d1П!D46</f>
        <v>0</v>
      </c>
      <c r="E46" s="593">
        <f>'d1'!E46-d1П!E46</f>
        <v>0</v>
      </c>
      <c r="F46" s="593">
        <f>'d1'!F46-d1П!F46</f>
        <v>0</v>
      </c>
      <c r="G46" s="103"/>
    </row>
    <row r="47" spans="1:7" ht="16.5" thickTop="1" thickBot="1" x14ac:dyDescent="0.3">
      <c r="A47" s="597">
        <v>18010600</v>
      </c>
      <c r="B47" s="600" t="s">
        <v>74</v>
      </c>
      <c r="C47" s="593">
        <f>'d1'!C47-d1П!C47</f>
        <v>0</v>
      </c>
      <c r="D47" s="593">
        <f>'d1'!D47-d1П!D47</f>
        <v>0</v>
      </c>
      <c r="E47" s="593">
        <f>'d1'!E47-d1П!E47</f>
        <v>0</v>
      </c>
      <c r="F47" s="593">
        <f>'d1'!F47-d1П!F47</f>
        <v>0</v>
      </c>
      <c r="G47" s="103"/>
    </row>
    <row r="48" spans="1:7" ht="16.5" thickTop="1" thickBot="1" x14ac:dyDescent="0.3">
      <c r="A48" s="597">
        <v>18010700</v>
      </c>
      <c r="B48" s="600" t="s">
        <v>75</v>
      </c>
      <c r="C48" s="593">
        <f>'d1'!C48-d1П!C48</f>
        <v>0</v>
      </c>
      <c r="D48" s="593">
        <f>'d1'!D48-d1П!D48</f>
        <v>0</v>
      </c>
      <c r="E48" s="593">
        <f>'d1'!E48-d1П!E48</f>
        <v>0</v>
      </c>
      <c r="F48" s="593">
        <f>'d1'!F48-d1П!F48</f>
        <v>0</v>
      </c>
      <c r="G48" s="103"/>
    </row>
    <row r="49" spans="1:7" ht="16.5" thickTop="1" thickBot="1" x14ac:dyDescent="0.3">
      <c r="A49" s="597">
        <v>18010900</v>
      </c>
      <c r="B49" s="600" t="s">
        <v>76</v>
      </c>
      <c r="C49" s="593">
        <f>'d1'!C49-d1П!C49</f>
        <v>0</v>
      </c>
      <c r="D49" s="593">
        <f>'d1'!D49-d1П!D49</f>
        <v>0</v>
      </c>
      <c r="E49" s="593">
        <f>'d1'!E49-d1П!E49</f>
        <v>0</v>
      </c>
      <c r="F49" s="593">
        <f>'d1'!F49-d1П!F49</f>
        <v>0</v>
      </c>
      <c r="G49" s="103"/>
    </row>
    <row r="50" spans="1:7" ht="15.75" thickTop="1" thickBot="1" x14ac:dyDescent="0.25">
      <c r="A50" s="597">
        <v>18011000</v>
      </c>
      <c r="B50" s="600" t="s">
        <v>77</v>
      </c>
      <c r="C50" s="593">
        <f>'d1'!C50-d1П!C50</f>
        <v>0</v>
      </c>
      <c r="D50" s="593">
        <f>'d1'!D50-d1П!D50</f>
        <v>0</v>
      </c>
      <c r="E50" s="593">
        <f>'d1'!E50-d1П!E50</f>
        <v>0</v>
      </c>
      <c r="F50" s="593">
        <f>'d1'!F50-d1П!F50</f>
        <v>0</v>
      </c>
      <c r="G50" s="104"/>
    </row>
    <row r="51" spans="1:7" ht="16.5" thickTop="1" thickBot="1" x14ac:dyDescent="0.3">
      <c r="A51" s="597">
        <v>18011100</v>
      </c>
      <c r="B51" s="600" t="s">
        <v>78</v>
      </c>
      <c r="C51" s="593">
        <f>'d1'!C51-d1П!C51</f>
        <v>0</v>
      </c>
      <c r="D51" s="593">
        <f>'d1'!D51-d1П!D51</f>
        <v>0</v>
      </c>
      <c r="E51" s="593">
        <f>'d1'!E51-d1П!E51</f>
        <v>0</v>
      </c>
      <c r="F51" s="593">
        <f>'d1'!F51-d1П!F51</f>
        <v>0</v>
      </c>
      <c r="G51" s="103"/>
    </row>
    <row r="52" spans="1:7" ht="28.5" thickTop="1" thickBot="1" x14ac:dyDescent="0.3">
      <c r="A52" s="594">
        <v>18020000</v>
      </c>
      <c r="B52" s="602" t="s">
        <v>1157</v>
      </c>
      <c r="C52" s="593">
        <f>'d1'!C52-d1П!C52</f>
        <v>0</v>
      </c>
      <c r="D52" s="593">
        <f>'d1'!D52-d1П!D52</f>
        <v>0</v>
      </c>
      <c r="E52" s="593">
        <f>'d1'!E52-d1П!E52</f>
        <v>0</v>
      </c>
      <c r="F52" s="593">
        <f>'d1'!F52-d1П!F52</f>
        <v>0</v>
      </c>
      <c r="G52" s="103"/>
    </row>
    <row r="53" spans="1:7" ht="27" thickTop="1" thickBot="1" x14ac:dyDescent="0.3">
      <c r="A53" s="597">
        <v>180201000</v>
      </c>
      <c r="B53" s="600" t="s">
        <v>1158</v>
      </c>
      <c r="C53" s="593">
        <f>'d1'!C53-d1П!C53</f>
        <v>0</v>
      </c>
      <c r="D53" s="593">
        <f>'d1'!D53-d1П!D53</f>
        <v>0</v>
      </c>
      <c r="E53" s="593">
        <f>'d1'!E53-d1П!E53</f>
        <v>0</v>
      </c>
      <c r="F53" s="593">
        <f>'d1'!F53-d1П!F53</f>
        <v>0</v>
      </c>
      <c r="G53" s="103"/>
    </row>
    <row r="54" spans="1:7" ht="16.5" thickTop="1" thickBot="1" x14ac:dyDescent="0.3">
      <c r="A54" s="594">
        <v>18030000</v>
      </c>
      <c r="B54" s="602" t="s">
        <v>79</v>
      </c>
      <c r="C54" s="593">
        <f>'d1'!C54-d1П!C54</f>
        <v>0</v>
      </c>
      <c r="D54" s="593">
        <f>'d1'!D54-d1П!D54</f>
        <v>0</v>
      </c>
      <c r="E54" s="593">
        <f>'d1'!E54-d1П!E54</f>
        <v>0</v>
      </c>
      <c r="F54" s="593">
        <f>'d1'!F54-d1П!F54</f>
        <v>0</v>
      </c>
      <c r="G54" s="103"/>
    </row>
    <row r="55" spans="1:7" ht="27" thickTop="1" thickBot="1" x14ac:dyDescent="0.3">
      <c r="A55" s="597">
        <v>18030100</v>
      </c>
      <c r="B55" s="600" t="s">
        <v>80</v>
      </c>
      <c r="C55" s="593">
        <f>'d1'!C55-d1П!C55</f>
        <v>0</v>
      </c>
      <c r="D55" s="593">
        <f>'d1'!D55-d1П!D55</f>
        <v>0</v>
      </c>
      <c r="E55" s="593">
        <f>'d1'!E55-d1П!E55</f>
        <v>0</v>
      </c>
      <c r="F55" s="593">
        <f>'d1'!F55-d1П!F55</f>
        <v>0</v>
      </c>
      <c r="G55" s="103"/>
    </row>
    <row r="56" spans="1:7" ht="27" thickTop="1" thickBot="1" x14ac:dyDescent="0.3">
      <c r="A56" s="597">
        <v>18030200</v>
      </c>
      <c r="B56" s="600" t="s">
        <v>81</v>
      </c>
      <c r="C56" s="593">
        <f>'d1'!C56-d1П!C56</f>
        <v>0</v>
      </c>
      <c r="D56" s="593">
        <f>'d1'!D56-d1П!D56</f>
        <v>0</v>
      </c>
      <c r="E56" s="593">
        <f>'d1'!E56-d1П!E56</f>
        <v>0</v>
      </c>
      <c r="F56" s="593">
        <f>'d1'!F56-d1П!F56</f>
        <v>0</v>
      </c>
      <c r="G56" s="103"/>
    </row>
    <row r="57" spans="1:7" ht="16.5" thickTop="1" thickBot="1" x14ac:dyDescent="0.3">
      <c r="A57" s="594">
        <v>18050000</v>
      </c>
      <c r="B57" s="602" t="s">
        <v>82</v>
      </c>
      <c r="C57" s="593">
        <f>'d1'!C57-d1П!C57</f>
        <v>41500000</v>
      </c>
      <c r="D57" s="593">
        <f>'d1'!D57-d1П!D57</f>
        <v>41500000</v>
      </c>
      <c r="E57" s="593">
        <f>'d1'!E57-d1П!E57</f>
        <v>0</v>
      </c>
      <c r="F57" s="593">
        <f>'d1'!F57-d1П!F57</f>
        <v>0</v>
      </c>
      <c r="G57" s="103"/>
    </row>
    <row r="58" spans="1:7" ht="16.5" thickTop="1" thickBot="1" x14ac:dyDescent="0.3">
      <c r="A58" s="597">
        <v>18050300</v>
      </c>
      <c r="B58" s="598" t="s">
        <v>1040</v>
      </c>
      <c r="C58" s="593">
        <f>'d1'!C58-d1П!C58</f>
        <v>0</v>
      </c>
      <c r="D58" s="593">
        <f>'d1'!D58-d1П!D58</f>
        <v>0</v>
      </c>
      <c r="E58" s="593">
        <f>'d1'!E58-d1П!E58</f>
        <v>0</v>
      </c>
      <c r="F58" s="593">
        <f>'d1'!F58-d1П!F58</f>
        <v>0</v>
      </c>
      <c r="G58" s="103"/>
    </row>
    <row r="59" spans="1:7" ht="15.75" thickTop="1" thickBot="1" x14ac:dyDescent="0.25">
      <c r="A59" s="597">
        <v>18050400</v>
      </c>
      <c r="B59" s="600" t="s">
        <v>83</v>
      </c>
      <c r="C59" s="593">
        <f>'d1'!C59-d1П!C59</f>
        <v>41500000</v>
      </c>
      <c r="D59" s="593">
        <f>'d1'!D59-d1П!D59</f>
        <v>41500000</v>
      </c>
      <c r="E59" s="593">
        <f>'d1'!E59-d1П!E59</f>
        <v>0</v>
      </c>
      <c r="F59" s="593">
        <f>'d1'!F59-d1П!F59</f>
        <v>0</v>
      </c>
      <c r="G59" s="104"/>
    </row>
    <row r="60" spans="1:7" ht="65.25" thickTop="1" thickBot="1" x14ac:dyDescent="0.25">
      <c r="A60" s="597">
        <v>18050500</v>
      </c>
      <c r="B60" s="600" t="s">
        <v>539</v>
      </c>
      <c r="C60" s="593">
        <f>'d1'!C60-d1П!C60</f>
        <v>0</v>
      </c>
      <c r="D60" s="593">
        <f>'d1'!D60-d1П!D60</f>
        <v>0</v>
      </c>
      <c r="E60" s="593">
        <f>'d1'!E60-d1П!E60</f>
        <v>0</v>
      </c>
      <c r="F60" s="593">
        <f>'d1'!F60-d1П!F60</f>
        <v>0</v>
      </c>
      <c r="G60" s="104"/>
    </row>
    <row r="61" spans="1:7" ht="31.7" customHeight="1" thickTop="1" thickBot="1" x14ac:dyDescent="0.25">
      <c r="A61" s="591">
        <v>19000000</v>
      </c>
      <c r="B61" s="605" t="s">
        <v>532</v>
      </c>
      <c r="C61" s="593">
        <f>'d1'!C61-d1П!C61</f>
        <v>0</v>
      </c>
      <c r="D61" s="593">
        <f>'d1'!D61-d1П!D61</f>
        <v>0</v>
      </c>
      <c r="E61" s="593">
        <f>'d1'!E61-d1П!E61</f>
        <v>0</v>
      </c>
      <c r="F61" s="593">
        <f>'d1'!F61-d1П!F61</f>
        <v>0</v>
      </c>
      <c r="G61" s="104"/>
    </row>
    <row r="62" spans="1:7" ht="16.5" thickTop="1" thickBot="1" x14ac:dyDescent="0.3">
      <c r="A62" s="594">
        <v>1901000</v>
      </c>
      <c r="B62" s="595" t="s">
        <v>84</v>
      </c>
      <c r="C62" s="593">
        <f>'d1'!C62-d1П!C62</f>
        <v>0</v>
      </c>
      <c r="D62" s="593">
        <f>'d1'!D62-d1П!D62</f>
        <v>0</v>
      </c>
      <c r="E62" s="593">
        <f>'d1'!E62-d1П!E62</f>
        <v>0</v>
      </c>
      <c r="F62" s="593">
        <f>'d1'!F62-d1П!F62</f>
        <v>0</v>
      </c>
      <c r="G62" s="103"/>
    </row>
    <row r="63" spans="1:7" ht="52.5" thickTop="1" thickBot="1" x14ac:dyDescent="0.3">
      <c r="A63" s="597">
        <v>19010100</v>
      </c>
      <c r="B63" s="598" t="s">
        <v>533</v>
      </c>
      <c r="C63" s="593">
        <f>'d1'!C63-d1П!C63</f>
        <v>0</v>
      </c>
      <c r="D63" s="593">
        <f>'d1'!D63-d1П!D63</f>
        <v>0</v>
      </c>
      <c r="E63" s="593">
        <f>'d1'!E63-d1П!E63</f>
        <v>0</v>
      </c>
      <c r="F63" s="593">
        <f>'d1'!F63-d1П!F63</f>
        <v>0</v>
      </c>
      <c r="G63" s="103"/>
    </row>
    <row r="64" spans="1:7" ht="27" thickTop="1" thickBot="1" x14ac:dyDescent="0.25">
      <c r="A64" s="597">
        <v>19010200</v>
      </c>
      <c r="B64" s="598" t="s">
        <v>1272</v>
      </c>
      <c r="C64" s="593">
        <f>'d1'!C64-d1П!C64</f>
        <v>0</v>
      </c>
      <c r="D64" s="593">
        <f>'d1'!D64-d1П!D64</f>
        <v>0</v>
      </c>
      <c r="E64" s="593">
        <f>'d1'!E64-d1П!E64</f>
        <v>0</v>
      </c>
      <c r="F64" s="593">
        <f>'d1'!F64-d1П!F64</f>
        <v>0</v>
      </c>
      <c r="G64" s="106"/>
    </row>
    <row r="65" spans="1:7" ht="52.5" thickTop="1" thickBot="1" x14ac:dyDescent="0.3">
      <c r="A65" s="597">
        <v>19010300</v>
      </c>
      <c r="B65" s="598" t="s">
        <v>1273</v>
      </c>
      <c r="C65" s="593">
        <f>'d1'!C65-d1П!C65</f>
        <v>0</v>
      </c>
      <c r="D65" s="593">
        <f>'d1'!D65-d1П!D65</f>
        <v>0</v>
      </c>
      <c r="E65" s="593">
        <f>'d1'!E65-d1П!E65</f>
        <v>0</v>
      </c>
      <c r="F65" s="593">
        <f>'d1'!F65-d1П!F65</f>
        <v>0</v>
      </c>
      <c r="G65" s="103"/>
    </row>
    <row r="66" spans="1:7" ht="30" customHeight="1" thickTop="1" thickBot="1" x14ac:dyDescent="0.3">
      <c r="A66" s="680">
        <v>20000000</v>
      </c>
      <c r="B66" s="680" t="s">
        <v>85</v>
      </c>
      <c r="C66" s="681">
        <f t="shared" si="0"/>
        <v>5305000</v>
      </c>
      <c r="D66" s="681">
        <f>SUM(D67,D77,D90,D95)+D89</f>
        <v>5305000</v>
      </c>
      <c r="E66" s="681">
        <f>SUM(E67,E77,E90,E95)+E89</f>
        <v>0</v>
      </c>
      <c r="F66" s="681">
        <f>SUM(F67,F77,F90,F95)+F89</f>
        <v>0</v>
      </c>
      <c r="G66" s="103"/>
    </row>
    <row r="67" spans="1:7" ht="27" thickTop="1" thickBot="1" x14ac:dyDescent="0.3">
      <c r="A67" s="591">
        <v>21000000</v>
      </c>
      <c r="B67" s="591" t="s">
        <v>534</v>
      </c>
      <c r="C67" s="593">
        <f>'d1'!C67-d1П!C67</f>
        <v>0</v>
      </c>
      <c r="D67" s="593">
        <f>'d1'!D67-d1П!D67</f>
        <v>0</v>
      </c>
      <c r="E67" s="593">
        <f>'d1'!E67-d1П!E67</f>
        <v>0</v>
      </c>
      <c r="F67" s="593">
        <f>'d1'!F67-d1П!F67</f>
        <v>0</v>
      </c>
      <c r="G67" s="103"/>
    </row>
    <row r="68" spans="1:7" ht="55.5" thickTop="1" thickBot="1" x14ac:dyDescent="0.3">
      <c r="A68" s="594">
        <v>21010000</v>
      </c>
      <c r="B68" s="602" t="s">
        <v>535</v>
      </c>
      <c r="C68" s="593">
        <f>'d1'!C68-d1П!C68</f>
        <v>0</v>
      </c>
      <c r="D68" s="593">
        <f>'d1'!D68-d1П!D68</f>
        <v>0</v>
      </c>
      <c r="E68" s="593">
        <f>'d1'!E68-d1П!E68</f>
        <v>0</v>
      </c>
      <c r="F68" s="593">
        <f>'d1'!F68-d1П!F68</f>
        <v>0</v>
      </c>
      <c r="G68" s="103"/>
    </row>
    <row r="69" spans="1:7" ht="52.5" thickTop="1" thickBot="1" x14ac:dyDescent="0.3">
      <c r="A69" s="597">
        <v>21010300</v>
      </c>
      <c r="B69" s="600" t="s">
        <v>1399</v>
      </c>
      <c r="C69" s="593">
        <f>'d1'!C69-d1П!C69</f>
        <v>0</v>
      </c>
      <c r="D69" s="593">
        <f>'d1'!D69-d1П!D69</f>
        <v>0</v>
      </c>
      <c r="E69" s="593">
        <f>'d1'!E69-d1П!E69</f>
        <v>0</v>
      </c>
      <c r="F69" s="593">
        <f>'d1'!F69-d1П!F69</f>
        <v>0</v>
      </c>
      <c r="G69" s="103"/>
    </row>
    <row r="70" spans="1:7" ht="28.5" thickTop="1" thickBot="1" x14ac:dyDescent="0.3">
      <c r="A70" s="594">
        <v>21050000</v>
      </c>
      <c r="B70" s="602" t="s">
        <v>86</v>
      </c>
      <c r="C70" s="593">
        <f>'d1'!C70-d1П!C70</f>
        <v>0</v>
      </c>
      <c r="D70" s="593">
        <f>'d1'!D70-d1П!D70</f>
        <v>0</v>
      </c>
      <c r="E70" s="593">
        <f>'d1'!E70-d1П!E70</f>
        <v>0</v>
      </c>
      <c r="F70" s="593">
        <f>'d1'!F70-d1П!F70</f>
        <v>0</v>
      </c>
      <c r="G70" s="103"/>
    </row>
    <row r="71" spans="1:7" ht="15" thickTop="1" thickBot="1" x14ac:dyDescent="0.25">
      <c r="A71" s="594">
        <v>21080000</v>
      </c>
      <c r="B71" s="602" t="s">
        <v>1041</v>
      </c>
      <c r="C71" s="593">
        <f>'d1'!C71-d1П!C71</f>
        <v>0</v>
      </c>
      <c r="D71" s="593">
        <f>'d1'!D71-d1П!D71</f>
        <v>0</v>
      </c>
      <c r="E71" s="593">
        <f>'d1'!E71-d1П!E71</f>
        <v>0</v>
      </c>
      <c r="F71" s="593">
        <f>'d1'!F71-d1П!F71</f>
        <v>0</v>
      </c>
      <c r="G71" s="106"/>
    </row>
    <row r="72" spans="1:7" ht="16.5" thickTop="1" thickBot="1" x14ac:dyDescent="0.3">
      <c r="A72" s="597">
        <v>21081100</v>
      </c>
      <c r="B72" s="606" t="s">
        <v>87</v>
      </c>
      <c r="C72" s="593">
        <f>'d1'!C72-d1П!C72</f>
        <v>0</v>
      </c>
      <c r="D72" s="593">
        <f>'d1'!D72-d1П!D72</f>
        <v>0</v>
      </c>
      <c r="E72" s="593">
        <f>'d1'!E72-d1П!E72</f>
        <v>0</v>
      </c>
      <c r="F72" s="593">
        <f>'d1'!F72-d1П!F72</f>
        <v>0</v>
      </c>
      <c r="G72" s="103"/>
    </row>
    <row r="73" spans="1:7" ht="90.75" thickTop="1" thickBot="1" x14ac:dyDescent="0.3">
      <c r="A73" s="597">
        <v>21081500</v>
      </c>
      <c r="B73" s="598" t="s">
        <v>1288</v>
      </c>
      <c r="C73" s="593">
        <f>'d1'!C73-d1П!C73</f>
        <v>0</v>
      </c>
      <c r="D73" s="593">
        <f>'d1'!D73-d1П!D73</f>
        <v>0</v>
      </c>
      <c r="E73" s="593">
        <f>'d1'!E73-d1П!E73</f>
        <v>0</v>
      </c>
      <c r="F73" s="593">
        <f>'d1'!F73-d1П!F73</f>
        <v>0</v>
      </c>
      <c r="G73" s="103"/>
    </row>
    <row r="74" spans="1:7" ht="16.5" thickTop="1" thickBot="1" x14ac:dyDescent="0.3">
      <c r="A74" s="597">
        <v>21081700</v>
      </c>
      <c r="B74" s="598" t="s">
        <v>374</v>
      </c>
      <c r="C74" s="593">
        <f>'d1'!C74-d1П!C74</f>
        <v>0</v>
      </c>
      <c r="D74" s="593">
        <f>'d1'!D74-d1П!D74</f>
        <v>0</v>
      </c>
      <c r="E74" s="593">
        <f>'d1'!E74-d1П!E74</f>
        <v>0</v>
      </c>
      <c r="F74" s="593">
        <f>'d1'!F74-d1П!F74</f>
        <v>0</v>
      </c>
      <c r="G74" s="107"/>
    </row>
    <row r="75" spans="1:7" ht="52.5" thickTop="1" thickBot="1" x14ac:dyDescent="0.3">
      <c r="A75" s="597">
        <v>21081800</v>
      </c>
      <c r="B75" s="598" t="s">
        <v>1532</v>
      </c>
      <c r="C75" s="593">
        <f>'d1'!C75-d1П!C75</f>
        <v>0</v>
      </c>
      <c r="D75" s="593">
        <f>'d1'!D75-d1П!D75</f>
        <v>0</v>
      </c>
      <c r="E75" s="593">
        <f>'d1'!E75-d1П!E75</f>
        <v>0</v>
      </c>
      <c r="F75" s="593">
        <f>'d1'!F75-d1П!F75</f>
        <v>0</v>
      </c>
      <c r="G75" s="107"/>
    </row>
    <row r="76" spans="1:7" ht="78" thickTop="1" thickBot="1" x14ac:dyDescent="0.3">
      <c r="A76" s="597">
        <v>21082400</v>
      </c>
      <c r="B76" s="598" t="s">
        <v>1533</v>
      </c>
      <c r="C76" s="593">
        <f>'d1'!C76-d1П!C76</f>
        <v>0</v>
      </c>
      <c r="D76" s="593">
        <f>'d1'!D76-d1П!D76</f>
        <v>0</v>
      </c>
      <c r="E76" s="593">
        <f>'d1'!E76-d1П!E76</f>
        <v>0</v>
      </c>
      <c r="F76" s="593">
        <f>'d1'!F76-d1П!F76</f>
        <v>0</v>
      </c>
      <c r="G76" s="107"/>
    </row>
    <row r="77" spans="1:7" ht="27" thickTop="1" thickBot="1" x14ac:dyDescent="0.3">
      <c r="A77" s="591">
        <v>22000000</v>
      </c>
      <c r="B77" s="591" t="s">
        <v>88</v>
      </c>
      <c r="C77" s="593">
        <f>'d1'!C77-d1П!C77</f>
        <v>1005000</v>
      </c>
      <c r="D77" s="593">
        <f>'d1'!D77-d1П!D77</f>
        <v>1005000</v>
      </c>
      <c r="E77" s="593">
        <f>'d1'!E77-d1П!E77</f>
        <v>0</v>
      </c>
      <c r="F77" s="593">
        <f>'d1'!F77-d1П!F77</f>
        <v>0</v>
      </c>
      <c r="G77" s="103"/>
    </row>
    <row r="78" spans="1:7" ht="24.75" customHeight="1" thickTop="1" thickBot="1" x14ac:dyDescent="0.3">
      <c r="A78" s="594">
        <v>22010000</v>
      </c>
      <c r="B78" s="595" t="s">
        <v>536</v>
      </c>
      <c r="C78" s="593">
        <f>'d1'!C78-d1П!C78</f>
        <v>0</v>
      </c>
      <c r="D78" s="593">
        <f>'d1'!D78-d1П!D78</f>
        <v>0</v>
      </c>
      <c r="E78" s="593">
        <f>'d1'!E78-d1П!E78</f>
        <v>0</v>
      </c>
      <c r="F78" s="593">
        <f>'d1'!F78-d1П!F78</f>
        <v>0</v>
      </c>
      <c r="G78" s="103"/>
    </row>
    <row r="79" spans="1:7" ht="39.75" thickTop="1" thickBot="1" x14ac:dyDescent="0.3">
      <c r="A79" s="597">
        <v>22010300</v>
      </c>
      <c r="B79" s="598" t="s">
        <v>147</v>
      </c>
      <c r="C79" s="593">
        <f>'d1'!C79-d1П!C79</f>
        <v>0</v>
      </c>
      <c r="D79" s="593">
        <f>'d1'!D79-d1П!D79</f>
        <v>0</v>
      </c>
      <c r="E79" s="593">
        <f>'d1'!E79-d1П!E79</f>
        <v>0</v>
      </c>
      <c r="F79" s="593">
        <f>'d1'!F79-d1П!F79</f>
        <v>0</v>
      </c>
      <c r="G79" s="103"/>
    </row>
    <row r="80" spans="1:7" ht="16.5" thickTop="1" thickBot="1" x14ac:dyDescent="0.3">
      <c r="A80" s="597">
        <v>22012500</v>
      </c>
      <c r="B80" s="598" t="s">
        <v>90</v>
      </c>
      <c r="C80" s="593">
        <f>'d1'!C80-d1П!C80</f>
        <v>0</v>
      </c>
      <c r="D80" s="593">
        <f>'d1'!D80-d1П!D80</f>
        <v>0</v>
      </c>
      <c r="E80" s="593">
        <f>'d1'!E80-d1П!E80</f>
        <v>0</v>
      </c>
      <c r="F80" s="593">
        <f>'d1'!F80-d1П!F80</f>
        <v>0</v>
      </c>
      <c r="G80" s="103"/>
    </row>
    <row r="81" spans="1:7" ht="27" thickTop="1" thickBot="1" x14ac:dyDescent="0.3">
      <c r="A81" s="597">
        <v>22012600</v>
      </c>
      <c r="B81" s="598" t="s">
        <v>89</v>
      </c>
      <c r="C81" s="593">
        <f>'d1'!C81-d1П!C81</f>
        <v>0</v>
      </c>
      <c r="D81" s="593">
        <f>'d1'!D81-d1П!D81</f>
        <v>0</v>
      </c>
      <c r="E81" s="593">
        <f>'d1'!E81-d1П!E81</f>
        <v>0</v>
      </c>
      <c r="F81" s="593">
        <f>'d1'!F81-d1П!F81</f>
        <v>0</v>
      </c>
      <c r="G81" s="103"/>
    </row>
    <row r="82" spans="1:7" ht="42" thickTop="1" thickBot="1" x14ac:dyDescent="0.3">
      <c r="A82" s="594">
        <v>22020000</v>
      </c>
      <c r="B82" s="595" t="s">
        <v>1633</v>
      </c>
      <c r="C82" s="593">
        <f>'d1'!C82-0</f>
        <v>1005000</v>
      </c>
      <c r="D82" s="593">
        <f>'d1'!D82-0</f>
        <v>1005000</v>
      </c>
      <c r="E82" s="593">
        <f>'d1'!E82-0</f>
        <v>0</v>
      </c>
      <c r="F82" s="593">
        <f>'d1'!F82-0</f>
        <v>0</v>
      </c>
      <c r="G82" s="103"/>
    </row>
    <row r="83" spans="1:7" ht="39.75" thickTop="1" thickBot="1" x14ac:dyDescent="0.3">
      <c r="A83" s="597">
        <v>22020400</v>
      </c>
      <c r="B83" s="598" t="s">
        <v>1634</v>
      </c>
      <c r="C83" s="593">
        <f>'d1'!C83-0</f>
        <v>1005000</v>
      </c>
      <c r="D83" s="593">
        <f>'d1'!D83-0</f>
        <v>1005000</v>
      </c>
      <c r="E83" s="593">
        <f>'d1'!E83-0</f>
        <v>0</v>
      </c>
      <c r="F83" s="593">
        <f>'d1'!F83-0</f>
        <v>0</v>
      </c>
      <c r="G83" s="103"/>
    </row>
    <row r="84" spans="1:7" ht="42" thickTop="1" thickBot="1" x14ac:dyDescent="0.3">
      <c r="A84" s="594">
        <v>2208000</v>
      </c>
      <c r="B84" s="595" t="s">
        <v>537</v>
      </c>
      <c r="C84" s="596">
        <f>'d1'!C84-d1П!C82</f>
        <v>0</v>
      </c>
      <c r="D84" s="596">
        <f>'d1'!D84-d1П!D82</f>
        <v>0</v>
      </c>
      <c r="E84" s="596">
        <f>'d1'!E84-d1П!E82</f>
        <v>0</v>
      </c>
      <c r="F84" s="596">
        <f>'d1'!F84-d1П!F82</f>
        <v>0</v>
      </c>
      <c r="G84" s="103"/>
    </row>
    <row r="85" spans="1:7" ht="52.5" thickTop="1" thickBot="1" x14ac:dyDescent="0.3">
      <c r="A85" s="597">
        <v>22080400</v>
      </c>
      <c r="B85" s="606" t="s">
        <v>91</v>
      </c>
      <c r="C85" s="596">
        <f>'d1'!C85-d1П!C83</f>
        <v>0</v>
      </c>
      <c r="D85" s="596">
        <f>'d1'!D85-d1П!D83</f>
        <v>0</v>
      </c>
      <c r="E85" s="596">
        <f>'d1'!E85-d1П!E83</f>
        <v>0</v>
      </c>
      <c r="F85" s="596">
        <f>'d1'!F85-d1П!F83</f>
        <v>0</v>
      </c>
      <c r="G85" s="103"/>
    </row>
    <row r="86" spans="1:7" ht="16.5" thickTop="1" thickBot="1" x14ac:dyDescent="0.3">
      <c r="A86" s="594">
        <v>22090000</v>
      </c>
      <c r="B86" s="607" t="s">
        <v>92</v>
      </c>
      <c r="C86" s="596">
        <f>'d1'!C86-d1П!C84</f>
        <v>0</v>
      </c>
      <c r="D86" s="596">
        <f>'d1'!D86-d1П!D84</f>
        <v>0</v>
      </c>
      <c r="E86" s="596">
        <f>'d1'!E86-d1П!E84</f>
        <v>0</v>
      </c>
      <c r="F86" s="596">
        <f>'d1'!F86-d1П!F84</f>
        <v>0</v>
      </c>
      <c r="G86" s="103"/>
    </row>
    <row r="87" spans="1:7" ht="52.5" thickTop="1" thickBot="1" x14ac:dyDescent="0.3">
      <c r="A87" s="597">
        <v>22090100</v>
      </c>
      <c r="B87" s="600" t="s">
        <v>93</v>
      </c>
      <c r="C87" s="596">
        <f>'d1'!C87-d1П!C85</f>
        <v>0</v>
      </c>
      <c r="D87" s="596">
        <f>'d1'!D87-d1П!D85</f>
        <v>0</v>
      </c>
      <c r="E87" s="596">
        <f>'d1'!E87-d1П!E85</f>
        <v>0</v>
      </c>
      <c r="F87" s="596">
        <f>'d1'!F87-d1П!F85</f>
        <v>0</v>
      </c>
      <c r="G87" s="103"/>
    </row>
    <row r="88" spans="1:7" ht="39.75" thickTop="1" thickBot="1" x14ac:dyDescent="0.25">
      <c r="A88" s="597">
        <v>22090400</v>
      </c>
      <c r="B88" s="600" t="s">
        <v>94</v>
      </c>
      <c r="C88" s="596">
        <f>'d1'!C88-d1П!C86</f>
        <v>0</v>
      </c>
      <c r="D88" s="596">
        <f>'d1'!D88-d1П!D86</f>
        <v>0</v>
      </c>
      <c r="E88" s="596">
        <f>'d1'!E88-d1П!E86</f>
        <v>0</v>
      </c>
      <c r="F88" s="596">
        <f>'d1'!F88-d1П!F86</f>
        <v>0</v>
      </c>
      <c r="G88" s="105"/>
    </row>
    <row r="89" spans="1:7" ht="78" thickTop="1" thickBot="1" x14ac:dyDescent="0.25">
      <c r="A89" s="591">
        <v>22130000</v>
      </c>
      <c r="B89" s="608" t="s">
        <v>1534</v>
      </c>
      <c r="C89" s="596">
        <f>'d1'!C89-d1П!C87</f>
        <v>0</v>
      </c>
      <c r="D89" s="596">
        <f>'d1'!D89-d1П!D87</f>
        <v>0</v>
      </c>
      <c r="E89" s="596">
        <f>'d1'!E89-d1П!E87</f>
        <v>0</v>
      </c>
      <c r="F89" s="596">
        <f>'d1'!F89-d1П!F87</f>
        <v>0</v>
      </c>
      <c r="G89" s="105"/>
    </row>
    <row r="90" spans="1:7" ht="20.25" customHeight="1" thickTop="1" thickBot="1" x14ac:dyDescent="0.3">
      <c r="A90" s="591">
        <v>24000000</v>
      </c>
      <c r="B90" s="608" t="s">
        <v>95</v>
      </c>
      <c r="C90" s="596">
        <f>'d1'!C90-d1П!C88</f>
        <v>4300000</v>
      </c>
      <c r="D90" s="596">
        <f>'d1'!D90-d1П!D88</f>
        <v>4300000</v>
      </c>
      <c r="E90" s="596">
        <f>'d1'!E90-d1П!E88</f>
        <v>0</v>
      </c>
      <c r="F90" s="596">
        <f>'d1'!F90-d1П!F88</f>
        <v>0</v>
      </c>
      <c r="G90" s="103"/>
    </row>
    <row r="91" spans="1:7" ht="16.5" thickTop="1" thickBot="1" x14ac:dyDescent="0.3">
      <c r="A91" s="597">
        <v>24060300</v>
      </c>
      <c r="B91" s="598" t="s">
        <v>96</v>
      </c>
      <c r="C91" s="596">
        <f>'d1'!C91-d1П!C89</f>
        <v>3000000</v>
      </c>
      <c r="D91" s="596">
        <f>'d1'!D91-d1П!D89</f>
        <v>3000000</v>
      </c>
      <c r="E91" s="596">
        <f>'d1'!E91-d1П!E89</f>
        <v>0</v>
      </c>
      <c r="F91" s="596">
        <f>'d1'!F91-d1П!F89</f>
        <v>0</v>
      </c>
      <c r="G91" s="103"/>
    </row>
    <row r="92" spans="1:7" ht="78" thickTop="1" thickBot="1" x14ac:dyDescent="0.3">
      <c r="A92" s="597">
        <v>24062200</v>
      </c>
      <c r="B92" s="598" t="s">
        <v>375</v>
      </c>
      <c r="C92" s="596">
        <f>'d1'!C92-d1П!C90</f>
        <v>1300000</v>
      </c>
      <c r="D92" s="596">
        <f>'d1'!D92-d1П!D90</f>
        <v>1300000</v>
      </c>
      <c r="E92" s="596">
        <f>'d1'!E92-d1П!E90</f>
        <v>0</v>
      </c>
      <c r="F92" s="596">
        <f>'d1'!F92-d1П!F90</f>
        <v>0</v>
      </c>
      <c r="G92" s="103"/>
    </row>
    <row r="93" spans="1:7" ht="39.75" thickTop="1" thickBot="1" x14ac:dyDescent="0.3">
      <c r="A93" s="597">
        <v>24110700</v>
      </c>
      <c r="B93" s="609" t="s">
        <v>589</v>
      </c>
      <c r="C93" s="596">
        <f>'d1'!C93-d1П!C91</f>
        <v>0</v>
      </c>
      <c r="D93" s="596">
        <f>'d1'!D93-d1П!D91</f>
        <v>0</v>
      </c>
      <c r="E93" s="596">
        <f>'d1'!E93-d1П!E91</f>
        <v>0</v>
      </c>
      <c r="F93" s="596">
        <f>'d1'!F93-d1П!F91</f>
        <v>0</v>
      </c>
      <c r="G93" s="103"/>
    </row>
    <row r="94" spans="1:7" ht="39.75" thickTop="1" thickBot="1" x14ac:dyDescent="0.25">
      <c r="A94" s="597">
        <v>24170000</v>
      </c>
      <c r="B94" s="600" t="s">
        <v>97</v>
      </c>
      <c r="C94" s="596">
        <f>'d1'!C94-d1П!C92</f>
        <v>0</v>
      </c>
      <c r="D94" s="596">
        <f>'d1'!D94-d1П!D92</f>
        <v>0</v>
      </c>
      <c r="E94" s="596">
        <f>'d1'!E94-d1П!E92</f>
        <v>0</v>
      </c>
      <c r="F94" s="596">
        <f>'d1'!F94-d1П!F92</f>
        <v>0</v>
      </c>
      <c r="G94" s="104"/>
    </row>
    <row r="95" spans="1:7" ht="16.5" thickTop="1" thickBot="1" x14ac:dyDescent="0.3">
      <c r="A95" s="591">
        <v>25000000</v>
      </c>
      <c r="B95" s="610" t="s">
        <v>98</v>
      </c>
      <c r="C95" s="596">
        <f>'d1'!C95-d1П!C93</f>
        <v>0</v>
      </c>
      <c r="D95" s="596">
        <f>'d1'!D95-d1П!D93</f>
        <v>0</v>
      </c>
      <c r="E95" s="596">
        <f>'d1'!E95-d1П!E93</f>
        <v>0</v>
      </c>
      <c r="F95" s="596">
        <f>'d1'!F95-d1П!F93</f>
        <v>0</v>
      </c>
      <c r="G95" s="103"/>
    </row>
    <row r="96" spans="1:7" ht="42" thickTop="1" thickBot="1" x14ac:dyDescent="0.3">
      <c r="A96" s="594">
        <v>25010000</v>
      </c>
      <c r="B96" s="602" t="s">
        <v>99</v>
      </c>
      <c r="C96" s="596">
        <f>'d1'!C96-d1П!C94</f>
        <v>0</v>
      </c>
      <c r="D96" s="596">
        <f>'d1'!D96-d1П!D94</f>
        <v>0</v>
      </c>
      <c r="E96" s="596">
        <f>'d1'!E96-d1П!E94</f>
        <v>0</v>
      </c>
      <c r="F96" s="596">
        <f>'d1'!F96-d1П!F94</f>
        <v>0</v>
      </c>
      <c r="G96" s="103"/>
    </row>
    <row r="97" spans="1:7" ht="39.75" thickTop="1" thickBot="1" x14ac:dyDescent="0.3">
      <c r="A97" s="597">
        <v>25010100</v>
      </c>
      <c r="B97" s="600" t="s">
        <v>100</v>
      </c>
      <c r="C97" s="596">
        <f>'d1'!C97-d1П!C95</f>
        <v>0</v>
      </c>
      <c r="D97" s="596">
        <f>'d1'!D97-d1П!D95</f>
        <v>0</v>
      </c>
      <c r="E97" s="596">
        <f>'d1'!E97-d1П!E95</f>
        <v>0</v>
      </c>
      <c r="F97" s="596">
        <f>'d1'!F97-d1П!F95</f>
        <v>0</v>
      </c>
      <c r="G97" s="103"/>
    </row>
    <row r="98" spans="1:7" ht="27" thickTop="1" thickBot="1" x14ac:dyDescent="0.3">
      <c r="A98" s="597">
        <v>25010200</v>
      </c>
      <c r="B98" s="600" t="s">
        <v>101</v>
      </c>
      <c r="C98" s="596">
        <f>'d1'!C98-d1П!C96</f>
        <v>0</v>
      </c>
      <c r="D98" s="596">
        <f>'d1'!D98-d1П!D96</f>
        <v>0</v>
      </c>
      <c r="E98" s="596">
        <f>'d1'!E98-d1П!E96</f>
        <v>0</v>
      </c>
      <c r="F98" s="596">
        <f>'d1'!F98-d1П!F96</f>
        <v>0</v>
      </c>
      <c r="G98" s="103"/>
    </row>
    <row r="99" spans="1:7" ht="16.5" thickTop="1" thickBot="1" x14ac:dyDescent="0.3">
      <c r="A99" s="597">
        <v>25010300</v>
      </c>
      <c r="B99" s="600" t="s">
        <v>102</v>
      </c>
      <c r="C99" s="596">
        <f>'d1'!C99-d1П!C97</f>
        <v>0</v>
      </c>
      <c r="D99" s="596">
        <f>'d1'!D99-d1П!D97</f>
        <v>0</v>
      </c>
      <c r="E99" s="596">
        <f>'d1'!E99-d1П!E97</f>
        <v>0</v>
      </c>
      <c r="F99" s="596">
        <f>'d1'!F99-d1П!F97</f>
        <v>0</v>
      </c>
      <c r="G99" s="103"/>
    </row>
    <row r="100" spans="1:7" ht="39.75" thickTop="1" thickBot="1" x14ac:dyDescent="0.3">
      <c r="A100" s="597">
        <v>25010400</v>
      </c>
      <c r="B100" s="600" t="s">
        <v>103</v>
      </c>
      <c r="C100" s="596">
        <f>'d1'!C100-d1П!C98</f>
        <v>0</v>
      </c>
      <c r="D100" s="596">
        <f>'d1'!D100-d1П!D98</f>
        <v>0</v>
      </c>
      <c r="E100" s="596">
        <f>'d1'!E100-d1П!E98</f>
        <v>0</v>
      </c>
      <c r="F100" s="596">
        <f>'d1'!F100-d1П!F98</f>
        <v>0</v>
      </c>
      <c r="G100" s="103"/>
    </row>
    <row r="101" spans="1:7" ht="24.75" customHeight="1" thickTop="1" thickBot="1" x14ac:dyDescent="0.25">
      <c r="A101" s="680">
        <v>30000000</v>
      </c>
      <c r="B101" s="680" t="s">
        <v>104</v>
      </c>
      <c r="C101" s="681">
        <f>SUM(D101,E101)</f>
        <v>28200000</v>
      </c>
      <c r="D101" s="681">
        <f>SUM(D102)+D106</f>
        <v>0</v>
      </c>
      <c r="E101" s="681">
        <f>SUM(E102)+E106</f>
        <v>28200000</v>
      </c>
      <c r="F101" s="681">
        <f>SUM(F102)+F106</f>
        <v>28200000</v>
      </c>
      <c r="G101" s="105"/>
    </row>
    <row r="102" spans="1:7" ht="27" customHeight="1" thickTop="1" thickBot="1" x14ac:dyDescent="0.3">
      <c r="A102" s="591">
        <v>31000000</v>
      </c>
      <c r="B102" s="591" t="s">
        <v>105</v>
      </c>
      <c r="C102" s="596">
        <f>'d1'!C102-d1П!C100</f>
        <v>15200000</v>
      </c>
      <c r="D102" s="596">
        <f>'d1'!D102-d1П!D100</f>
        <v>0</v>
      </c>
      <c r="E102" s="596">
        <f>'d1'!E102-d1П!E100</f>
        <v>15200000</v>
      </c>
      <c r="F102" s="596">
        <f>'d1'!F102-d1П!F100</f>
        <v>15200000</v>
      </c>
      <c r="G102" s="103"/>
    </row>
    <row r="103" spans="1:7" ht="82.5" thickTop="1" thickBot="1" x14ac:dyDescent="0.3">
      <c r="A103" s="594">
        <v>3101000</v>
      </c>
      <c r="B103" s="595" t="s">
        <v>538</v>
      </c>
      <c r="C103" s="596">
        <f>'d1'!C103-d1П!C101</f>
        <v>0</v>
      </c>
      <c r="D103" s="596">
        <f>'d1'!D103-d1П!D101</f>
        <v>0</v>
      </c>
      <c r="E103" s="596">
        <f>'d1'!E103-d1П!E101</f>
        <v>0</v>
      </c>
      <c r="F103" s="596">
        <f>'d1'!F103-d1П!F101</f>
        <v>0</v>
      </c>
      <c r="G103" s="103"/>
    </row>
    <row r="104" spans="1:7" ht="78" thickTop="1" thickBot="1" x14ac:dyDescent="0.3">
      <c r="A104" s="597">
        <v>31010200</v>
      </c>
      <c r="B104" s="600" t="s">
        <v>106</v>
      </c>
      <c r="C104" s="596">
        <f>'d1'!C104-d1П!C102</f>
        <v>0</v>
      </c>
      <c r="D104" s="596">
        <f>'d1'!D104-d1П!D102</f>
        <v>0</v>
      </c>
      <c r="E104" s="596">
        <f>'d1'!E104-d1П!E102</f>
        <v>0</v>
      </c>
      <c r="F104" s="596">
        <f>'d1'!F104-d1П!F102</f>
        <v>0</v>
      </c>
      <c r="G104" s="103"/>
    </row>
    <row r="105" spans="1:7" ht="55.5" thickTop="1" thickBot="1" x14ac:dyDescent="0.3">
      <c r="A105" s="594">
        <v>31030000</v>
      </c>
      <c r="B105" s="602" t="s">
        <v>107</v>
      </c>
      <c r="C105" s="596">
        <f>'d1'!C105-d1П!C103</f>
        <v>15200000</v>
      </c>
      <c r="D105" s="596">
        <f>'d1'!D105-d1П!D103</f>
        <v>0</v>
      </c>
      <c r="E105" s="596">
        <f>'d1'!E105-d1П!E103</f>
        <v>15200000</v>
      </c>
      <c r="F105" s="596">
        <f>'d1'!F105-d1П!F103</f>
        <v>15200000</v>
      </c>
      <c r="G105" s="103"/>
    </row>
    <row r="106" spans="1:7" ht="27" thickTop="1" thickBot="1" x14ac:dyDescent="0.3">
      <c r="A106" s="591">
        <v>33000000</v>
      </c>
      <c r="B106" s="591" t="s">
        <v>108</v>
      </c>
      <c r="C106" s="596">
        <f>'d1'!C106-d1П!C104</f>
        <v>13000000</v>
      </c>
      <c r="D106" s="596">
        <f>'d1'!D106-d1П!D104</f>
        <v>0</v>
      </c>
      <c r="E106" s="596">
        <f>'d1'!E106-d1П!E104</f>
        <v>13000000</v>
      </c>
      <c r="F106" s="596">
        <f>'d1'!F106-d1П!F104</f>
        <v>13000000</v>
      </c>
      <c r="G106" s="103"/>
    </row>
    <row r="107" spans="1:7" ht="16.5" thickTop="1" thickBot="1" x14ac:dyDescent="0.3">
      <c r="A107" s="594">
        <v>33010000</v>
      </c>
      <c r="B107" s="595" t="s">
        <v>109</v>
      </c>
      <c r="C107" s="596">
        <f>'d1'!C107-d1П!C105</f>
        <v>13000000</v>
      </c>
      <c r="D107" s="596">
        <f>'d1'!D107-d1П!D105</f>
        <v>0</v>
      </c>
      <c r="E107" s="596">
        <f>'d1'!E107-d1П!E105</f>
        <v>13000000</v>
      </c>
      <c r="F107" s="596">
        <f>'d1'!F107-d1П!F105</f>
        <v>13000000</v>
      </c>
      <c r="G107" s="103"/>
    </row>
    <row r="108" spans="1:7" ht="52.5" thickTop="1" thickBot="1" x14ac:dyDescent="0.3">
      <c r="A108" s="597">
        <v>33010100</v>
      </c>
      <c r="B108" s="600" t="s">
        <v>343</v>
      </c>
      <c r="C108" s="596">
        <f>'d1'!C108-d1П!C106</f>
        <v>13000000</v>
      </c>
      <c r="D108" s="596">
        <f>'d1'!D108-d1П!D106</f>
        <v>0</v>
      </c>
      <c r="E108" s="596">
        <f>'d1'!E108-d1П!E106</f>
        <v>13000000</v>
      </c>
      <c r="F108" s="596">
        <f>'d1'!F108-d1П!F106</f>
        <v>13000000</v>
      </c>
      <c r="G108" s="103"/>
    </row>
    <row r="109" spans="1:7" ht="52.5" thickTop="1" thickBot="1" x14ac:dyDescent="0.3">
      <c r="A109" s="597">
        <v>33010200</v>
      </c>
      <c r="B109" s="600" t="s">
        <v>110</v>
      </c>
      <c r="C109" s="596">
        <f>'d1'!C109-d1П!C107</f>
        <v>0</v>
      </c>
      <c r="D109" s="596">
        <f>'d1'!D109-d1П!D107</f>
        <v>0</v>
      </c>
      <c r="E109" s="596">
        <f>'d1'!E109-d1П!E107</f>
        <v>0</v>
      </c>
      <c r="F109" s="596">
        <f>'d1'!F109-d1П!F107</f>
        <v>0</v>
      </c>
      <c r="G109" s="103"/>
    </row>
    <row r="110" spans="1:7" ht="78" hidden="1" thickTop="1" thickBot="1" x14ac:dyDescent="0.3">
      <c r="A110" s="370">
        <v>33010500</v>
      </c>
      <c r="B110" s="373" t="s">
        <v>1400</v>
      </c>
      <c r="C110" s="368">
        <f>SUM(D110,E110)</f>
        <v>0</v>
      </c>
      <c r="D110" s="372"/>
      <c r="E110" s="372">
        <v>0</v>
      </c>
      <c r="F110" s="372">
        <v>0</v>
      </c>
      <c r="G110" s="103"/>
    </row>
    <row r="111" spans="1:7" ht="27" customHeight="1" thickTop="1" thickBot="1" x14ac:dyDescent="0.3">
      <c r="A111" s="680">
        <v>50000000</v>
      </c>
      <c r="B111" s="680" t="s">
        <v>487</v>
      </c>
      <c r="C111" s="681">
        <f>SUM(D111,E111)</f>
        <v>1300000</v>
      </c>
      <c r="D111" s="681">
        <f>SUM(D112)</f>
        <v>0</v>
      </c>
      <c r="E111" s="681">
        <f>SUM(E112)</f>
        <v>1300000</v>
      </c>
      <c r="F111" s="681">
        <f>SUM(F112)</f>
        <v>0</v>
      </c>
      <c r="G111" s="103"/>
    </row>
    <row r="112" spans="1:7" ht="52.5" thickTop="1" thickBot="1" x14ac:dyDescent="0.3">
      <c r="A112" s="591">
        <v>50110000</v>
      </c>
      <c r="B112" s="605" t="s">
        <v>111</v>
      </c>
      <c r="C112" s="596">
        <f>'d1'!C112-d1П!C110</f>
        <v>1300000</v>
      </c>
      <c r="D112" s="596">
        <f>'d1'!D112-d1П!D110</f>
        <v>0</v>
      </c>
      <c r="E112" s="596">
        <f>'d1'!E112-d1П!E110</f>
        <v>1300000</v>
      </c>
      <c r="F112" s="596">
        <f>'d1'!F112-d1П!F110</f>
        <v>0</v>
      </c>
      <c r="G112" s="103"/>
    </row>
    <row r="113" spans="1:7" ht="45.75" customHeight="1" thickTop="1" thickBot="1" x14ac:dyDescent="0.25">
      <c r="A113" s="611"/>
      <c r="B113" s="612" t="s">
        <v>488</v>
      </c>
      <c r="C113" s="613">
        <f t="shared" ref="C113" si="1">SUM(D113,E113)</f>
        <v>131305000</v>
      </c>
      <c r="D113" s="613">
        <f>D111+D101+D66+D15</f>
        <v>101805000</v>
      </c>
      <c r="E113" s="613">
        <f>E111+E101+E66+E15</f>
        <v>29500000</v>
      </c>
      <c r="F113" s="613">
        <f>F111+F101+F66+F15</f>
        <v>28200000</v>
      </c>
      <c r="G113" s="104"/>
    </row>
    <row r="114" spans="1:7" ht="34.5" customHeight="1" thickTop="1" thickBot="1" x14ac:dyDescent="0.25">
      <c r="A114" s="680">
        <v>40000000</v>
      </c>
      <c r="B114" s="680" t="s">
        <v>427</v>
      </c>
      <c r="C114" s="681">
        <f>SUM(D114,E114)</f>
        <v>121685510.66</v>
      </c>
      <c r="D114" s="681">
        <f>SUM(D120,D117,D115)</f>
        <v>121685510.66</v>
      </c>
      <c r="E114" s="681">
        <f>SUM(E120,E117,E115)</f>
        <v>0</v>
      </c>
      <c r="F114" s="681">
        <f>SUM(F120,F117,F115)</f>
        <v>0</v>
      </c>
      <c r="G114" s="104"/>
    </row>
    <row r="115" spans="1:7" ht="34.5" hidden="1" customHeight="1" thickTop="1" thickBot="1" x14ac:dyDescent="0.25">
      <c r="A115" s="367">
        <v>41020000</v>
      </c>
      <c r="B115" s="374" t="s">
        <v>1337</v>
      </c>
      <c r="C115" s="368">
        <f t="shared" ref="C115:C116" si="2">SUM(D115,E115)</f>
        <v>0</v>
      </c>
      <c r="D115" s="368">
        <f>SUM(D116)</f>
        <v>0</v>
      </c>
      <c r="E115" s="368"/>
      <c r="F115" s="368"/>
      <c r="G115" s="104"/>
    </row>
    <row r="116" spans="1:7" ht="103.5" hidden="1" thickTop="1" thickBot="1" x14ac:dyDescent="0.25">
      <c r="A116" s="370">
        <v>41021400</v>
      </c>
      <c r="B116" s="373" t="s">
        <v>1344</v>
      </c>
      <c r="C116" s="368">
        <f t="shared" si="2"/>
        <v>0</v>
      </c>
      <c r="D116" s="372">
        <v>0</v>
      </c>
      <c r="E116" s="368"/>
      <c r="F116" s="368"/>
      <c r="G116" s="104"/>
    </row>
    <row r="117" spans="1:7" ht="27" thickTop="1" thickBot="1" x14ac:dyDescent="0.25">
      <c r="A117" s="591">
        <v>41040000</v>
      </c>
      <c r="B117" s="601" t="s">
        <v>344</v>
      </c>
      <c r="C117" s="596">
        <f>'d1'!C117-d1П!C115</f>
        <v>103335.66000000015</v>
      </c>
      <c r="D117" s="596">
        <f>'d1'!D117-d1П!D115</f>
        <v>103335.66000000015</v>
      </c>
      <c r="E117" s="596">
        <f>'d1'!E117-d1П!E115</f>
        <v>0</v>
      </c>
      <c r="F117" s="596">
        <f>'d1'!F117-d1П!F115</f>
        <v>0</v>
      </c>
      <c r="G117" s="104"/>
    </row>
    <row r="118" spans="1:7" ht="66" customHeight="1" thickTop="1" thickBot="1" x14ac:dyDescent="0.25">
      <c r="A118" s="597">
        <v>41040200</v>
      </c>
      <c r="B118" s="600" t="s">
        <v>1159</v>
      </c>
      <c r="C118" s="596">
        <f>'d1'!C118-d1П!C116</f>
        <v>0</v>
      </c>
      <c r="D118" s="596">
        <f>'d1'!D118-d1П!D116</f>
        <v>0</v>
      </c>
      <c r="E118" s="596">
        <f>'d1'!E118-d1П!E116</f>
        <v>0</v>
      </c>
      <c r="F118" s="596">
        <f>'d1'!F118-d1П!F116</f>
        <v>0</v>
      </c>
      <c r="G118" s="104"/>
    </row>
    <row r="119" spans="1:7" ht="15.75" thickTop="1" thickBot="1" x14ac:dyDescent="0.25">
      <c r="A119" s="597">
        <v>41040400</v>
      </c>
      <c r="B119" s="600" t="s">
        <v>1217</v>
      </c>
      <c r="C119" s="596">
        <f>'d1'!C119-d1П!C117</f>
        <v>103335.66</v>
      </c>
      <c r="D119" s="596">
        <f>'d1'!D119-d1П!D117</f>
        <v>103335.66</v>
      </c>
      <c r="E119" s="596">
        <f>'d1'!E119-d1П!E117</f>
        <v>0</v>
      </c>
      <c r="F119" s="596">
        <f>'d1'!F119-d1П!F117</f>
        <v>0</v>
      </c>
      <c r="G119" s="104"/>
    </row>
    <row r="120" spans="1:7" s="585" customFormat="1" ht="15.75" thickTop="1" thickBot="1" x14ac:dyDescent="0.25">
      <c r="A120" s="591">
        <v>41000000</v>
      </c>
      <c r="B120" s="591" t="s">
        <v>112</v>
      </c>
      <c r="C120" s="596">
        <f>'d1'!C120-d1П!C118</f>
        <v>121582175</v>
      </c>
      <c r="D120" s="596">
        <f>'d1'!D120-d1П!D118</f>
        <v>121582175</v>
      </c>
      <c r="E120" s="596">
        <f>'d1'!E120-d1П!E118</f>
        <v>0</v>
      </c>
      <c r="F120" s="596">
        <f>'d1'!F120-d1П!F118</f>
        <v>0</v>
      </c>
      <c r="G120" s="616"/>
    </row>
    <row r="121" spans="1:7" s="585" customFormat="1" ht="27" thickTop="1" thickBot="1" x14ac:dyDescent="0.3">
      <c r="A121" s="591">
        <v>41030000</v>
      </c>
      <c r="B121" s="610" t="s">
        <v>438</v>
      </c>
      <c r="C121" s="596">
        <f>'d1'!C121-d1П!C119</f>
        <v>0</v>
      </c>
      <c r="D121" s="596">
        <f>'d1'!D121-d1П!D119</f>
        <v>0</v>
      </c>
      <c r="E121" s="596">
        <f>'d1'!E121-d1П!E119</f>
        <v>0</v>
      </c>
      <c r="F121" s="596">
        <f>'d1'!F121-d1П!F119</f>
        <v>0</v>
      </c>
      <c r="G121" s="592"/>
    </row>
    <row r="122" spans="1:7" ht="52.5" hidden="1" thickTop="1" thickBot="1" x14ac:dyDescent="0.3">
      <c r="A122" s="370">
        <v>41032300</v>
      </c>
      <c r="B122" s="371" t="s">
        <v>983</v>
      </c>
      <c r="C122" s="596">
        <f>'d1'!C122-d1П!C120</f>
        <v>0</v>
      </c>
      <c r="D122" s="596">
        <f>'d1'!D122-d1П!D120</f>
        <v>0</v>
      </c>
      <c r="E122" s="596">
        <f>'d1'!E122-d1П!E120</f>
        <v>0</v>
      </c>
      <c r="F122" s="596">
        <f>'d1'!F122-d1П!F120</f>
        <v>0</v>
      </c>
      <c r="G122" s="103"/>
    </row>
    <row r="123" spans="1:7" ht="52.5" thickTop="1" thickBot="1" x14ac:dyDescent="0.3">
      <c r="A123" s="682">
        <v>41033800</v>
      </c>
      <c r="B123" s="683" t="s">
        <v>1043</v>
      </c>
      <c r="C123" s="596">
        <f>'d1'!C123-d1П!C121</f>
        <v>0</v>
      </c>
      <c r="D123" s="596">
        <f>'d1'!D123-d1П!D121</f>
        <v>0</v>
      </c>
      <c r="E123" s="596">
        <f>'d1'!E123-d1П!E121</f>
        <v>0</v>
      </c>
      <c r="F123" s="596">
        <f>'d1'!F123-d1П!F121</f>
        <v>0</v>
      </c>
      <c r="G123" s="103"/>
    </row>
    <row r="124" spans="1:7" ht="27" thickTop="1" thickBot="1" x14ac:dyDescent="0.3">
      <c r="A124" s="597">
        <v>41033900</v>
      </c>
      <c r="B124" s="598" t="s">
        <v>113</v>
      </c>
      <c r="C124" s="596">
        <f>'d1'!C124-d1П!C122</f>
        <v>0</v>
      </c>
      <c r="D124" s="596">
        <f>'d1'!D124-d1П!D122</f>
        <v>0</v>
      </c>
      <c r="E124" s="596">
        <f>'d1'!E124-d1П!E122</f>
        <v>0</v>
      </c>
      <c r="F124" s="596">
        <f>'d1'!F124-d1П!F122</f>
        <v>0</v>
      </c>
      <c r="G124" s="103"/>
    </row>
    <row r="125" spans="1:7" ht="52.5" hidden="1" thickTop="1" thickBot="1" x14ac:dyDescent="0.3">
      <c r="A125" s="370">
        <v>41034500</v>
      </c>
      <c r="B125" s="371" t="s">
        <v>1044</v>
      </c>
      <c r="C125" s="596">
        <f>'d1'!C125-d1П!C123</f>
        <v>0</v>
      </c>
      <c r="D125" s="596">
        <f>'d1'!D125-d1П!D123</f>
        <v>0</v>
      </c>
      <c r="E125" s="596">
        <f>'d1'!E125-d1П!E123</f>
        <v>0</v>
      </c>
      <c r="F125" s="596">
        <f>'d1'!F125-d1П!F123</f>
        <v>0</v>
      </c>
      <c r="G125" s="103"/>
    </row>
    <row r="126" spans="1:7" ht="65.25" hidden="1" thickTop="1" thickBot="1" x14ac:dyDescent="0.3">
      <c r="A126" s="370">
        <v>41035500</v>
      </c>
      <c r="B126" s="371" t="s">
        <v>985</v>
      </c>
      <c r="C126" s="596">
        <f>'d1'!C126-d1П!C124</f>
        <v>0</v>
      </c>
      <c r="D126" s="596">
        <f>'d1'!D126-d1П!D124</f>
        <v>0</v>
      </c>
      <c r="E126" s="596">
        <f>'d1'!E126-d1П!E124</f>
        <v>0</v>
      </c>
      <c r="F126" s="596">
        <f>'d1'!F126-d1П!F124</f>
        <v>0</v>
      </c>
      <c r="G126" s="103"/>
    </row>
    <row r="127" spans="1:7" ht="65.25" hidden="1" thickTop="1" thickBot="1" x14ac:dyDescent="0.3">
      <c r="A127" s="370">
        <v>41035600</v>
      </c>
      <c r="B127" s="371" t="s">
        <v>1009</v>
      </c>
      <c r="C127" s="596">
        <f>'d1'!C127-d1П!C125</f>
        <v>0</v>
      </c>
      <c r="D127" s="596">
        <f>'d1'!D127-d1П!D125</f>
        <v>0</v>
      </c>
      <c r="E127" s="596">
        <f>'d1'!E127-d1П!E125</f>
        <v>0</v>
      </c>
      <c r="F127" s="596">
        <f>'d1'!F127-d1П!F125</f>
        <v>0</v>
      </c>
      <c r="G127" s="103"/>
    </row>
    <row r="128" spans="1:7" ht="39.75" hidden="1" thickTop="1" thickBot="1" x14ac:dyDescent="0.3">
      <c r="A128" s="370">
        <v>41035700</v>
      </c>
      <c r="B128" s="371" t="s">
        <v>975</v>
      </c>
      <c r="C128" s="596">
        <f>'d1'!C128-d1П!C126</f>
        <v>0</v>
      </c>
      <c r="D128" s="596">
        <f>'d1'!D128-d1П!D126</f>
        <v>0</v>
      </c>
      <c r="E128" s="596">
        <f>'d1'!E128-d1П!E126</f>
        <v>0</v>
      </c>
      <c r="F128" s="596">
        <f>'d1'!F128-d1П!F126</f>
        <v>0</v>
      </c>
      <c r="G128" s="103"/>
    </row>
    <row r="129" spans="1:7" ht="27" thickTop="1" thickBot="1" x14ac:dyDescent="0.3">
      <c r="A129" s="591">
        <v>41050000</v>
      </c>
      <c r="B129" s="610" t="s">
        <v>473</v>
      </c>
      <c r="C129" s="596">
        <f>'d1'!C129-d1П!C127</f>
        <v>121582175</v>
      </c>
      <c r="D129" s="596">
        <f>'d1'!D129-d1П!D127</f>
        <v>121582175</v>
      </c>
      <c r="E129" s="596">
        <f>'d1'!E129-d1П!E127</f>
        <v>0</v>
      </c>
      <c r="F129" s="596">
        <f>'d1'!F129-d1П!F127</f>
        <v>0</v>
      </c>
      <c r="G129" s="103"/>
    </row>
    <row r="130" spans="1:7" ht="345.75" thickTop="1" thickBot="1" x14ac:dyDescent="0.3">
      <c r="A130" s="597">
        <v>41050400</v>
      </c>
      <c r="B130" s="598" t="s">
        <v>1422</v>
      </c>
      <c r="C130" s="596">
        <f>'d1'!C130-d1П!C128</f>
        <v>82535515</v>
      </c>
      <c r="D130" s="596">
        <f>'d1'!D130-d1П!D128</f>
        <v>82535515</v>
      </c>
      <c r="E130" s="596">
        <f>'d1'!E130-d1П!E128</f>
        <v>0</v>
      </c>
      <c r="F130" s="596">
        <f>'d1'!F130-d1П!F128</f>
        <v>0</v>
      </c>
      <c r="G130" s="103"/>
    </row>
    <row r="131" spans="1:7" ht="243.75" thickTop="1" thickBot="1" x14ac:dyDescent="0.3">
      <c r="A131" s="597">
        <v>41050500</v>
      </c>
      <c r="B131" s="598" t="s">
        <v>1045</v>
      </c>
      <c r="C131" s="596">
        <f>'d1'!C131-d1П!C129</f>
        <v>9627478</v>
      </c>
      <c r="D131" s="596">
        <f>'d1'!D131-d1П!D129</f>
        <v>9627478</v>
      </c>
      <c r="E131" s="596">
        <f>'d1'!E131-d1П!E129</f>
        <v>0</v>
      </c>
      <c r="F131" s="596">
        <f>'d1'!F131-d1П!F129</f>
        <v>0</v>
      </c>
      <c r="G131" s="103"/>
    </row>
    <row r="132" spans="1:7" ht="345.75" thickTop="1" thickBot="1" x14ac:dyDescent="0.3">
      <c r="A132" s="597">
        <v>41050600</v>
      </c>
      <c r="B132" s="598" t="s">
        <v>1423</v>
      </c>
      <c r="C132" s="596">
        <f>'d1'!C132-d1П!C130</f>
        <v>29419182</v>
      </c>
      <c r="D132" s="596">
        <f>'d1'!D132-d1П!D130</f>
        <v>29419182</v>
      </c>
      <c r="E132" s="596">
        <f>'d1'!E132-d1П!E130</f>
        <v>0</v>
      </c>
      <c r="F132" s="596">
        <f>'d1'!F132-d1П!F130</f>
        <v>0</v>
      </c>
      <c r="G132" s="103"/>
    </row>
    <row r="133" spans="1:7" ht="129" hidden="1" thickTop="1" thickBot="1" x14ac:dyDescent="0.3">
      <c r="A133" s="376">
        <v>41050900</v>
      </c>
      <c r="B133" s="377" t="s">
        <v>1046</v>
      </c>
      <c r="C133" s="596">
        <f>'d1'!C133-d1П!C131</f>
        <v>0</v>
      </c>
      <c r="D133" s="596">
        <f>'d1'!D133-d1П!D131</f>
        <v>0</v>
      </c>
      <c r="E133" s="596">
        <f>'d1'!E133-d1П!E131</f>
        <v>0</v>
      </c>
      <c r="F133" s="596">
        <f>'d1'!F133-d1П!F131</f>
        <v>0</v>
      </c>
      <c r="G133" s="103"/>
    </row>
    <row r="134" spans="1:7" ht="39.75" thickTop="1" thickBot="1" x14ac:dyDescent="0.3">
      <c r="A134" s="597">
        <v>41051000</v>
      </c>
      <c r="B134" s="598" t="s">
        <v>474</v>
      </c>
      <c r="C134" s="596">
        <f>'d1'!C134-d1П!C132</f>
        <v>0</v>
      </c>
      <c r="D134" s="596">
        <f>'d1'!D134-d1П!D132</f>
        <v>0</v>
      </c>
      <c r="E134" s="596">
        <f>'d1'!E134-d1П!E132</f>
        <v>0</v>
      </c>
      <c r="F134" s="596">
        <f>'d1'!F134-d1П!F132</f>
        <v>0</v>
      </c>
      <c r="G134" s="103"/>
    </row>
    <row r="135" spans="1:7" ht="39.75" thickTop="1" thickBot="1" x14ac:dyDescent="0.3">
      <c r="A135" s="597">
        <v>41051100</v>
      </c>
      <c r="B135" s="598" t="s">
        <v>1591</v>
      </c>
      <c r="C135" s="596">
        <f>'d1'!C135-d1П!C133</f>
        <v>0</v>
      </c>
      <c r="D135" s="596">
        <f>'d1'!D135-d1П!D133</f>
        <v>0</v>
      </c>
      <c r="E135" s="596">
        <f>'d1'!E135-d1П!E133</f>
        <v>0</v>
      </c>
      <c r="F135" s="596">
        <f>'d1'!F135-d1П!F133</f>
        <v>0</v>
      </c>
      <c r="G135" s="103"/>
    </row>
    <row r="136" spans="1:7" ht="52.5" thickTop="1" thickBot="1" x14ac:dyDescent="0.3">
      <c r="A136" s="597">
        <v>41051200</v>
      </c>
      <c r="B136" s="598" t="s">
        <v>1290</v>
      </c>
      <c r="C136" s="596">
        <f>'d1'!C136-d1П!C134</f>
        <v>0</v>
      </c>
      <c r="D136" s="596">
        <f>'d1'!D136-d1П!D134</f>
        <v>0</v>
      </c>
      <c r="E136" s="596">
        <f>'d1'!E136-d1П!E134</f>
        <v>0</v>
      </c>
      <c r="F136" s="596">
        <f>'d1'!F136-d1П!F134</f>
        <v>0</v>
      </c>
      <c r="G136" s="103"/>
    </row>
    <row r="137" spans="1:7" ht="65.25" hidden="1" thickTop="1" thickBot="1" x14ac:dyDescent="0.3">
      <c r="A137" s="376">
        <v>41051400</v>
      </c>
      <c r="B137" s="377" t="s">
        <v>988</v>
      </c>
      <c r="C137" s="596">
        <f>'d1'!C137-d1П!C135</f>
        <v>0</v>
      </c>
      <c r="D137" s="596">
        <f>'d1'!D137-d1П!D135</f>
        <v>0</v>
      </c>
      <c r="E137" s="596">
        <f>'d1'!E137-d1П!E135</f>
        <v>0</v>
      </c>
      <c r="F137" s="596">
        <f>'d1'!F137-d1П!F135</f>
        <v>0</v>
      </c>
      <c r="G137" s="103"/>
    </row>
    <row r="138" spans="1:7" ht="65.25" thickTop="1" thickBot="1" x14ac:dyDescent="0.3">
      <c r="A138" s="597">
        <v>41051700</v>
      </c>
      <c r="B138" s="598" t="s">
        <v>945</v>
      </c>
      <c r="C138" s="596">
        <f>'d1'!C138-d1П!C136</f>
        <v>0</v>
      </c>
      <c r="D138" s="596">
        <f>'d1'!D138-d1П!D136</f>
        <v>0</v>
      </c>
      <c r="E138" s="596">
        <f>'d1'!E138-d1П!E136</f>
        <v>0</v>
      </c>
      <c r="F138" s="596">
        <f>'d1'!F138-d1П!F136</f>
        <v>0</v>
      </c>
      <c r="G138" s="103"/>
    </row>
    <row r="139" spans="1:7" ht="103.5" hidden="1" thickTop="1" thickBot="1" x14ac:dyDescent="0.3">
      <c r="A139" s="376">
        <v>41056600</v>
      </c>
      <c r="B139" s="377" t="s">
        <v>1028</v>
      </c>
      <c r="C139" s="596">
        <f>'d1'!C139-d1П!C137</f>
        <v>0</v>
      </c>
      <c r="D139" s="596">
        <f>'d1'!D139-d1П!D137</f>
        <v>0</v>
      </c>
      <c r="E139" s="596">
        <f>'d1'!E139-d1П!E137</f>
        <v>0</v>
      </c>
      <c r="F139" s="596">
        <f>'d1'!F139-d1П!F137</f>
        <v>0</v>
      </c>
      <c r="G139" s="103"/>
    </row>
    <row r="140" spans="1:7" ht="65.25" hidden="1" thickTop="1" thickBot="1" x14ac:dyDescent="0.25">
      <c r="A140" s="376">
        <v>41055000</v>
      </c>
      <c r="B140" s="377" t="s">
        <v>1047</v>
      </c>
      <c r="C140" s="596">
        <f>'d1'!C140-d1П!C138</f>
        <v>0</v>
      </c>
      <c r="D140" s="596">
        <f>'d1'!D140-d1П!D138</f>
        <v>0</v>
      </c>
      <c r="E140" s="596">
        <f>'d1'!E140-d1П!E138</f>
        <v>0</v>
      </c>
      <c r="F140" s="596">
        <f>'d1'!F140-d1П!F138</f>
        <v>0</v>
      </c>
      <c r="G140" s="104"/>
    </row>
    <row r="141" spans="1:7" ht="27" hidden="1" thickTop="1" thickBot="1" x14ac:dyDescent="0.25">
      <c r="A141" s="376">
        <v>41053600</v>
      </c>
      <c r="B141" s="377" t="s">
        <v>947</v>
      </c>
      <c r="C141" s="596">
        <f>'d1'!C141-d1П!C139</f>
        <v>0</v>
      </c>
      <c r="D141" s="596">
        <f>'d1'!D141-d1П!D139</f>
        <v>0</v>
      </c>
      <c r="E141" s="596">
        <f>'d1'!E141-d1П!E139</f>
        <v>0</v>
      </c>
      <c r="F141" s="596">
        <f>'d1'!F141-d1П!F139</f>
        <v>0</v>
      </c>
      <c r="G141" s="104"/>
    </row>
    <row r="142" spans="1:7" ht="218.25" hidden="1" thickTop="1" thickBot="1" x14ac:dyDescent="0.25">
      <c r="A142" s="376">
        <v>41054200</v>
      </c>
      <c r="B142" s="377" t="s">
        <v>1048</v>
      </c>
      <c r="C142" s="596">
        <f>'d1'!C142-d1П!C140</f>
        <v>0</v>
      </c>
      <c r="D142" s="596">
        <f>'d1'!D142-d1П!D140</f>
        <v>0</v>
      </c>
      <c r="E142" s="596">
        <f>'d1'!E142-d1П!E140</f>
        <v>0</v>
      </c>
      <c r="F142" s="596">
        <f>'d1'!F142-d1П!F140</f>
        <v>0</v>
      </c>
      <c r="G142" s="104"/>
    </row>
    <row r="143" spans="1:7" ht="27" thickTop="1" thickBot="1" x14ac:dyDescent="0.25">
      <c r="A143" s="597">
        <v>41053900</v>
      </c>
      <c r="B143" s="598" t="s">
        <v>901</v>
      </c>
      <c r="C143" s="596">
        <f>'d1'!C143-d1П!C141</f>
        <v>0</v>
      </c>
      <c r="D143" s="596">
        <f>'d1'!D143-d1П!D141</f>
        <v>0</v>
      </c>
      <c r="E143" s="596">
        <f>'d1'!E143-d1П!E141</f>
        <v>0</v>
      </c>
      <c r="F143" s="596">
        <f>'d1'!F143-d1П!F141</f>
        <v>0</v>
      </c>
      <c r="G143" s="104"/>
    </row>
    <row r="144" spans="1:7" ht="15.75" hidden="1" thickTop="1" thickBot="1" x14ac:dyDescent="0.25">
      <c r="A144" s="597"/>
      <c r="B144" s="614" t="s">
        <v>948</v>
      </c>
      <c r="C144" s="596">
        <f>'d1'!C144-d1П!C142</f>
        <v>0</v>
      </c>
      <c r="D144" s="596">
        <f>'d1'!D144-d1П!D142</f>
        <v>0</v>
      </c>
      <c r="E144" s="596">
        <f>'d1'!E144-d1П!E142</f>
        <v>0</v>
      </c>
      <c r="F144" s="596">
        <f>'d1'!F144-d1П!F142</f>
        <v>0</v>
      </c>
      <c r="G144" s="104"/>
    </row>
    <row r="145" spans="1:10" ht="39.75" thickTop="1" thickBot="1" x14ac:dyDescent="0.25">
      <c r="A145" s="597"/>
      <c r="B145" s="614" t="s">
        <v>902</v>
      </c>
      <c r="C145" s="596">
        <f>'d1'!C145-d1П!C143</f>
        <v>0</v>
      </c>
      <c r="D145" s="596">
        <f>'d1'!D145-d1П!D143</f>
        <v>0</v>
      </c>
      <c r="E145" s="596">
        <f>'d1'!E145-d1П!E143</f>
        <v>0</v>
      </c>
      <c r="F145" s="596">
        <f>'d1'!F145-d1П!F143</f>
        <v>0</v>
      </c>
      <c r="G145" s="104"/>
    </row>
    <row r="146" spans="1:10" ht="52.5" thickTop="1" thickBot="1" x14ac:dyDescent="0.25">
      <c r="A146" s="597"/>
      <c r="B146" s="614" t="s">
        <v>903</v>
      </c>
      <c r="C146" s="596">
        <f>'d1'!C146-d1П!C144</f>
        <v>0</v>
      </c>
      <c r="D146" s="596">
        <f>'d1'!D146-d1П!D144</f>
        <v>0</v>
      </c>
      <c r="E146" s="596">
        <f>'d1'!E146-d1П!E144</f>
        <v>0</v>
      </c>
      <c r="F146" s="596">
        <f>'d1'!F146-d1П!F144</f>
        <v>0</v>
      </c>
      <c r="G146" s="104"/>
    </row>
    <row r="147" spans="1:10" ht="27" thickTop="1" thickBot="1" x14ac:dyDescent="0.25">
      <c r="A147" s="597"/>
      <c r="B147" s="614" t="s">
        <v>904</v>
      </c>
      <c r="C147" s="596">
        <f>'d1'!C147-d1П!C145</f>
        <v>0</v>
      </c>
      <c r="D147" s="596">
        <f>'d1'!D147-d1П!D145</f>
        <v>0</v>
      </c>
      <c r="E147" s="596">
        <f>'d1'!E147-d1П!E145</f>
        <v>0</v>
      </c>
      <c r="F147" s="596">
        <f>'d1'!F147-d1П!F145</f>
        <v>0</v>
      </c>
      <c r="G147" s="104"/>
    </row>
    <row r="148" spans="1:10" ht="39.75" hidden="1" thickTop="1" thickBot="1" x14ac:dyDescent="0.25">
      <c r="A148" s="376"/>
      <c r="B148" s="380" t="s">
        <v>1085</v>
      </c>
      <c r="C148" s="596">
        <f>'d1'!C148-d1П!C146</f>
        <v>0</v>
      </c>
      <c r="D148" s="596">
        <f>'d1'!D148-d1П!D146</f>
        <v>0</v>
      </c>
      <c r="E148" s="596">
        <f>'d1'!E148-d1П!E146</f>
        <v>0</v>
      </c>
      <c r="F148" s="596">
        <f>'d1'!F148-d1П!F146</f>
        <v>0</v>
      </c>
      <c r="G148" s="104"/>
    </row>
    <row r="149" spans="1:10" ht="27" hidden="1" thickTop="1" thickBot="1" x14ac:dyDescent="0.25">
      <c r="A149" s="376"/>
      <c r="B149" s="380" t="s">
        <v>1086</v>
      </c>
      <c r="C149" s="596">
        <f>'d1'!C149-d1П!C147</f>
        <v>0</v>
      </c>
      <c r="D149" s="596">
        <f>'d1'!D149-d1П!D147</f>
        <v>0</v>
      </c>
      <c r="E149" s="596">
        <f>'d1'!E149-d1П!E147</f>
        <v>0</v>
      </c>
      <c r="F149" s="596">
        <f>'d1'!F149-d1П!F147</f>
        <v>0</v>
      </c>
      <c r="G149" s="104"/>
    </row>
    <row r="150" spans="1:10" ht="65.25" thickTop="1" thickBot="1" x14ac:dyDescent="0.25">
      <c r="A150" s="597">
        <v>41057700</v>
      </c>
      <c r="B150" s="598" t="s">
        <v>1376</v>
      </c>
      <c r="C150" s="596">
        <f>'d1'!C150-d1П!C148</f>
        <v>0</v>
      </c>
      <c r="D150" s="596">
        <f>'d1'!D150-d1П!D148</f>
        <v>0</v>
      </c>
      <c r="E150" s="596">
        <f>'d1'!E150-d1П!E148</f>
        <v>0</v>
      </c>
      <c r="F150" s="596">
        <f>'d1'!F150-d1П!F148</f>
        <v>0</v>
      </c>
      <c r="G150" s="104"/>
    </row>
    <row r="151" spans="1:10" ht="52.5" hidden="1" thickTop="1" thickBot="1" x14ac:dyDescent="0.25">
      <c r="A151" s="370">
        <v>41059000</v>
      </c>
      <c r="B151" s="371" t="s">
        <v>1401</v>
      </c>
      <c r="C151" s="368">
        <f>SUM(D151,E151)</f>
        <v>0</v>
      </c>
      <c r="D151" s="372">
        <v>0</v>
      </c>
      <c r="E151" s="372"/>
      <c r="F151" s="372"/>
      <c r="G151" s="104"/>
    </row>
    <row r="152" spans="1:10" ht="33.75" customHeight="1" thickTop="1" thickBot="1" x14ac:dyDescent="0.3">
      <c r="A152" s="611"/>
      <c r="B152" s="612" t="s">
        <v>1039</v>
      </c>
      <c r="C152" s="613">
        <f>SUM(D152,E152)</f>
        <v>252990510.66</v>
      </c>
      <c r="D152" s="613">
        <f>SUM(D113,D114)</f>
        <v>223490510.66</v>
      </c>
      <c r="E152" s="613">
        <f>SUM(E113,E114)</f>
        <v>29500000</v>
      </c>
      <c r="F152" s="613">
        <f>SUM(F113,F114)</f>
        <v>28200000</v>
      </c>
      <c r="G152" s="686" t="b">
        <f>C152=C147+C146+C145+C124+C118+C112+C105+C104+C100+C99+C98+C97+C94+C93+C92+C91+C88+C87+C85+C81+C80+C79+C74+C73+C72+C70+C69+C65+C64+C63+C60+C59+C58+C56+C55+C51+C50+C49+C48+C47+C46+C45+C44+C43+C42+C38+C36+C33+C31+C29+C25+C21+C20+C19+C18+C109+C108+C39+C53+C136+C134+C116+C150+C119+C151+C110+C132+C130+C131+C138+C89+C28+C23+C22+C76+C75+C135+C123+C83</f>
        <v>1</v>
      </c>
      <c r="H152" s="686" t="b">
        <f>D152=D147+D146+D145+D124+D118+D112+D105+D104+D100+D99+D98+D97+D94+D93+D92+D91+D88+D87+D85+D81+D80+D79+D74+D73+D72+D70+D69+D65+D64+D63+D60+D59+D58+D56+D55+D51+D50+D49+D48+D47+D46+D45+D44+D43+D42+D38+D36+D33+D31+D29+D25+D21+D20+D19+D18+D109+D108+D39+D53+D136+D134+D116+D150+D119+D151+D110+D132+D130+D131+D138+D89+D28+D23+D22+D76+D75+D135+D123+D83</f>
        <v>1</v>
      </c>
      <c r="I152" s="686" t="b">
        <f>E152=E147+E146+E145+E124+E118+E112+E105+E104+E100+E99+E98+E97+E94+E93+E92+E91+E88+E87+E85+E81+E80+E79+E74+E73+E72+E70+E69+E65+E64+E63+E60+E59+E58+E56+E55+E51+E50+E49+E48+E47+E46+E45+E44+E43+E42+E38+E36+E33+E31+E29+E25+E21+E20+E19+E18+E109+E108+E39+E53+E136+E134+E116+E150+E119+E151+E110+E132+E130+E131+E138+E89+E28+E23+E22+E76+E75+E135+E123+E83</f>
        <v>1</v>
      </c>
      <c r="J152" s="686" t="b">
        <f>F152=F147+F146+F145+F124+F118+F112+F105+F104+F100+F99+F98+F97+F94+F93+F92+F91+F88+F87+F85+F81+F80+F79+F74+F73+F72+F70+F69+F65+F64+F63+F60+F59+F58+F56+F55+F51+F50+F49+F48+F47+F46+F45+F44+F43+F42+F38+F36+F33+F31+F29+F25+F21+F20+F19+F18+F109+F108+F39+F53+F136+F134+F116+F150+F119+F151+F110+F132+F130+F131+F138+F89+F28+F23+F22+F76+F75+F135+F123+F83</f>
        <v>1</v>
      </c>
    </row>
    <row r="153" spans="1:10" ht="16.5" thickTop="1" x14ac:dyDescent="0.25">
      <c r="B153" s="110"/>
      <c r="G153" s="686" t="b">
        <f>(((((4196633892-'d2'!C37-'d2'!C22)+129600000)+1158900+4436136.01+7672111)+178202565)+73066.32+121612444.34)+131305000=C152</f>
        <v>0</v>
      </c>
    </row>
    <row r="154" spans="1:10" ht="15.75" x14ac:dyDescent="0.2">
      <c r="B154" s="362" t="s">
        <v>1478</v>
      </c>
      <c r="C154"/>
      <c r="D154"/>
      <c r="E154" s="363" t="s">
        <v>1479</v>
      </c>
      <c r="F154" s="112"/>
    </row>
    <row r="155" spans="1:10" ht="15.75" hidden="1" x14ac:dyDescent="0.2">
      <c r="B155" s="362" t="s">
        <v>1443</v>
      </c>
      <c r="C155"/>
      <c r="D155"/>
      <c r="E155" s="363" t="s">
        <v>1444</v>
      </c>
      <c r="F155" s="112"/>
    </row>
    <row r="156" spans="1:10" ht="15.75" x14ac:dyDescent="0.25">
      <c r="B156" s="1"/>
      <c r="C156" s="585"/>
      <c r="D156" s="585"/>
      <c r="E156" s="1"/>
    </row>
    <row r="157" spans="1:10" ht="15.75" x14ac:dyDescent="0.25">
      <c r="A157" s="113"/>
      <c r="B157" s="468" t="s">
        <v>523</v>
      </c>
      <c r="C157" s="1"/>
      <c r="D157" s="1"/>
      <c r="E157" s="1" t="s">
        <v>1345</v>
      </c>
      <c r="F157" s="113"/>
    </row>
    <row r="160" spans="1:10" x14ac:dyDescent="0.2">
      <c r="C160" s="111"/>
      <c r="D160" s="111"/>
      <c r="E160" s="111"/>
      <c r="F160" s="111"/>
    </row>
  </sheetData>
  <mergeCells count="13">
    <mergeCell ref="A8:F8"/>
    <mergeCell ref="A9:F9"/>
    <mergeCell ref="A12:A13"/>
    <mergeCell ref="B12:B13"/>
    <mergeCell ref="C12:C13"/>
    <mergeCell ref="D12:D13"/>
    <mergeCell ref="E12:F12"/>
    <mergeCell ref="A6:F6"/>
    <mergeCell ref="D1:G1"/>
    <mergeCell ref="D2:G2"/>
    <mergeCell ref="D3:G3"/>
    <mergeCell ref="A4:E4"/>
    <mergeCell ref="A5:F5"/>
  </mergeCells>
  <hyperlinks>
    <hyperlink ref="B102" location="_ftn1" display="_ftn1"/>
    <hyperlink ref="B101" location="_ftn1" display="_ftn1"/>
    <hyperlink ref="B88" location="_ftn1" display="_ftn1"/>
    <hyperlink ref="B20" location="_ftn1" display="_ftn1"/>
    <hyperlink ref="B19" location="_ftn1" display="_ftn1"/>
    <hyperlink ref="B64" location="_ftn1" display="_ftn1"/>
    <hyperlink ref="B106" location="_ftn1" display="_ftn1"/>
    <hyperlink ref="B107" location="_ftn1" display="_ftn1"/>
    <hyperlink ref="B72" location="_ftn1" display="_ftn1"/>
  </hyperlinks>
  <printOptions horizontalCentered="1"/>
  <pageMargins left="0.35433070866141736" right="0.15748031496062992" top="0.59055118110236227" bottom="0.51181102362204722" header="0.51181102362204722" footer="0.51181102362204722"/>
  <pageSetup paperSize="9" scale="86" fitToHeight="0" orientation="portrait" verticalDpi="4294967295" r:id="rId1"/>
  <headerFooter alignWithMargins="0"/>
  <rowBreaks count="1" manualBreakCount="1">
    <brk id="107"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T457"/>
  <sheetViews>
    <sheetView view="pageBreakPreview" zoomScale="24" zoomScaleNormal="25" zoomScaleSheetLayoutView="24" zoomScalePageLayoutView="10" workbookViewId="0">
      <pane ySplit="14" topLeftCell="A156" activePane="bottomLeft" state="frozen"/>
      <selection activeCell="D167" sqref="D167"/>
      <selection pane="bottomLeft" activeCell="D167" sqref="D167"/>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0.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53" t="s">
        <v>493</v>
      </c>
      <c r="O1" s="754"/>
      <c r="P1" s="754"/>
      <c r="Q1" s="754"/>
    </row>
    <row r="2" spans="1:18" ht="45.75" x14ac:dyDescent="0.2">
      <c r="A2" s="76"/>
      <c r="B2" s="76"/>
      <c r="C2" s="76"/>
      <c r="D2" s="76"/>
      <c r="E2" s="77"/>
      <c r="F2" s="78"/>
      <c r="G2" s="77"/>
      <c r="H2" s="77"/>
      <c r="I2" s="77"/>
      <c r="J2" s="77"/>
      <c r="K2" s="77"/>
      <c r="L2" s="77"/>
      <c r="M2" s="77"/>
      <c r="N2" s="753" t="s">
        <v>1577</v>
      </c>
      <c r="O2" s="755"/>
      <c r="P2" s="755"/>
      <c r="Q2" s="755"/>
    </row>
    <row r="3" spans="1:18" ht="40.700000000000003" customHeight="1" x14ac:dyDescent="0.2">
      <c r="A3" s="76"/>
      <c r="B3" s="76"/>
      <c r="C3" s="76"/>
      <c r="D3" s="76"/>
      <c r="E3" s="77"/>
      <c r="F3" s="78"/>
      <c r="G3" s="77"/>
      <c r="H3" s="77"/>
      <c r="I3" s="77"/>
      <c r="J3" s="77"/>
      <c r="K3" s="77"/>
      <c r="L3" s="77"/>
      <c r="M3" s="77"/>
      <c r="N3" s="77"/>
      <c r="O3" s="753"/>
      <c r="P3" s="756"/>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57" t="s">
        <v>565</v>
      </c>
      <c r="B5" s="757"/>
      <c r="C5" s="757"/>
      <c r="D5" s="757"/>
      <c r="E5" s="757"/>
      <c r="F5" s="757"/>
      <c r="G5" s="757"/>
      <c r="H5" s="757"/>
      <c r="I5" s="757"/>
      <c r="J5" s="757"/>
      <c r="K5" s="757"/>
      <c r="L5" s="757"/>
      <c r="M5" s="757"/>
      <c r="N5" s="757"/>
      <c r="O5" s="757"/>
      <c r="P5" s="757"/>
      <c r="Q5" s="80"/>
    </row>
    <row r="6" spans="1:18" ht="45" x14ac:dyDescent="0.2">
      <c r="A6" s="757" t="s">
        <v>1493</v>
      </c>
      <c r="B6" s="757"/>
      <c r="C6" s="757"/>
      <c r="D6" s="757"/>
      <c r="E6" s="757"/>
      <c r="F6" s="757"/>
      <c r="G6" s="757"/>
      <c r="H6" s="757"/>
      <c r="I6" s="757"/>
      <c r="J6" s="757"/>
      <c r="K6" s="757"/>
      <c r="L6" s="757"/>
      <c r="M6" s="757"/>
      <c r="N6" s="757"/>
      <c r="O6" s="757"/>
      <c r="P6" s="757"/>
      <c r="Q6" s="80"/>
    </row>
    <row r="7" spans="1:18" ht="45" x14ac:dyDescent="0.2">
      <c r="A7" s="77"/>
      <c r="B7" s="77"/>
      <c r="C7" s="77"/>
      <c r="D7" s="77"/>
      <c r="E7" s="77"/>
      <c r="F7" s="77"/>
      <c r="G7" s="77"/>
      <c r="H7" s="77"/>
      <c r="I7" s="77"/>
      <c r="J7" s="77"/>
      <c r="K7" s="77"/>
      <c r="L7" s="77"/>
      <c r="M7" s="77"/>
      <c r="N7" s="77"/>
      <c r="O7" s="77"/>
      <c r="P7" s="77"/>
      <c r="Q7" s="80"/>
    </row>
    <row r="8" spans="1:18" ht="45.75" x14ac:dyDescent="0.65">
      <c r="A8" s="758">
        <v>2256400000</v>
      </c>
      <c r="B8" s="759"/>
      <c r="C8" s="77"/>
      <c r="D8" s="394"/>
      <c r="E8" s="394"/>
      <c r="F8" s="394"/>
      <c r="G8" s="394"/>
      <c r="H8" s="394"/>
      <c r="I8" s="394"/>
      <c r="J8" s="394"/>
      <c r="K8" s="394"/>
      <c r="L8" s="394"/>
      <c r="M8" s="394"/>
      <c r="N8" s="394"/>
      <c r="O8" s="394"/>
      <c r="P8" s="394"/>
      <c r="Q8" s="13"/>
    </row>
    <row r="9" spans="1:18" ht="45.75" x14ac:dyDescent="0.2">
      <c r="A9" s="763" t="s">
        <v>490</v>
      </c>
      <c r="B9" s="764"/>
      <c r="C9" s="77"/>
      <c r="D9" s="394"/>
      <c r="E9" s="394"/>
      <c r="F9" s="394"/>
      <c r="G9" s="394"/>
      <c r="H9" s="394"/>
      <c r="I9" s="394"/>
      <c r="J9" s="394"/>
      <c r="K9" s="394"/>
      <c r="L9" s="394"/>
      <c r="M9" s="394"/>
      <c r="N9" s="394"/>
      <c r="O9" s="394"/>
      <c r="P9" s="394"/>
      <c r="Q9" s="13"/>
    </row>
    <row r="10" spans="1:18" ht="53.45" customHeight="1" thickBot="1" x14ac:dyDescent="0.25">
      <c r="A10" s="77"/>
      <c r="B10" s="77"/>
      <c r="C10" s="77"/>
      <c r="D10" s="394"/>
      <c r="E10" s="394"/>
      <c r="F10" s="395"/>
      <c r="G10" s="394"/>
      <c r="H10" s="394"/>
      <c r="I10" s="394"/>
      <c r="J10" s="394"/>
      <c r="K10" s="394"/>
      <c r="L10" s="394"/>
      <c r="M10" s="394"/>
      <c r="N10" s="394"/>
      <c r="O10" s="394"/>
      <c r="P10" s="313" t="s">
        <v>404</v>
      </c>
      <c r="Q10" s="13"/>
    </row>
    <row r="11" spans="1:18" ht="62.45" customHeight="1" thickTop="1" thickBot="1" x14ac:dyDescent="0.25">
      <c r="A11" s="762" t="s">
        <v>491</v>
      </c>
      <c r="B11" s="762" t="s">
        <v>492</v>
      </c>
      <c r="C11" s="762" t="s">
        <v>390</v>
      </c>
      <c r="D11" s="762" t="s">
        <v>573</v>
      </c>
      <c r="E11" s="760" t="s">
        <v>12</v>
      </c>
      <c r="F11" s="760"/>
      <c r="G11" s="760"/>
      <c r="H11" s="760"/>
      <c r="I11" s="760"/>
      <c r="J11" s="760" t="s">
        <v>52</v>
      </c>
      <c r="K11" s="760"/>
      <c r="L11" s="760"/>
      <c r="M11" s="760"/>
      <c r="N11" s="760"/>
      <c r="O11" s="761"/>
      <c r="P11" s="760" t="s">
        <v>11</v>
      </c>
      <c r="Q11" s="20"/>
    </row>
    <row r="12" spans="1:18" ht="96" customHeight="1" thickTop="1" thickBot="1" x14ac:dyDescent="0.25">
      <c r="A12" s="760"/>
      <c r="B12" s="765"/>
      <c r="C12" s="765"/>
      <c r="D12" s="760"/>
      <c r="E12" s="762" t="s">
        <v>384</v>
      </c>
      <c r="F12" s="762" t="s">
        <v>53</v>
      </c>
      <c r="G12" s="762" t="s">
        <v>13</v>
      </c>
      <c r="H12" s="762"/>
      <c r="I12" s="762" t="s">
        <v>55</v>
      </c>
      <c r="J12" s="762" t="s">
        <v>384</v>
      </c>
      <c r="K12" s="762" t="s">
        <v>385</v>
      </c>
      <c r="L12" s="762" t="s">
        <v>53</v>
      </c>
      <c r="M12" s="762" t="s">
        <v>13</v>
      </c>
      <c r="N12" s="762"/>
      <c r="O12" s="762" t="s">
        <v>55</v>
      </c>
      <c r="P12" s="760"/>
      <c r="Q12" s="20"/>
    </row>
    <row r="13" spans="1:18" ht="328.7" customHeight="1" thickTop="1" thickBot="1" x14ac:dyDescent="0.25">
      <c r="A13" s="765"/>
      <c r="B13" s="765"/>
      <c r="C13" s="765"/>
      <c r="D13" s="765"/>
      <c r="E13" s="762"/>
      <c r="F13" s="762"/>
      <c r="G13" s="314" t="s">
        <v>54</v>
      </c>
      <c r="H13" s="314" t="s">
        <v>15</v>
      </c>
      <c r="I13" s="762"/>
      <c r="J13" s="762"/>
      <c r="K13" s="762"/>
      <c r="L13" s="762"/>
      <c r="M13" s="314" t="s">
        <v>54</v>
      </c>
      <c r="N13" s="314" t="s">
        <v>15</v>
      </c>
      <c r="O13" s="762"/>
      <c r="P13" s="760"/>
      <c r="Q13" s="20"/>
    </row>
    <row r="14" spans="1:18" s="24" customFormat="1" ht="47.25" thickTop="1" thickBot="1" x14ac:dyDescent="0.25">
      <c r="A14" s="308" t="s">
        <v>2</v>
      </c>
      <c r="B14" s="308" t="s">
        <v>3</v>
      </c>
      <c r="C14" s="308" t="s">
        <v>14</v>
      </c>
      <c r="D14" s="308" t="s">
        <v>5</v>
      </c>
      <c r="E14" s="308" t="s">
        <v>392</v>
      </c>
      <c r="F14" s="308" t="s">
        <v>393</v>
      </c>
      <c r="G14" s="308" t="s">
        <v>394</v>
      </c>
      <c r="H14" s="308" t="s">
        <v>395</v>
      </c>
      <c r="I14" s="308" t="s">
        <v>396</v>
      </c>
      <c r="J14" s="308" t="s">
        <v>397</v>
      </c>
      <c r="K14" s="308" t="s">
        <v>398</v>
      </c>
      <c r="L14" s="308" t="s">
        <v>399</v>
      </c>
      <c r="M14" s="308" t="s">
        <v>400</v>
      </c>
      <c r="N14" s="308" t="s">
        <v>401</v>
      </c>
      <c r="O14" s="308" t="s">
        <v>402</v>
      </c>
      <c r="P14" s="308" t="s">
        <v>403</v>
      </c>
      <c r="Q14" s="124"/>
      <c r="R14" s="23"/>
    </row>
    <row r="15" spans="1:18" s="24" customFormat="1" ht="120" customHeight="1" thickTop="1" thickBot="1" x14ac:dyDescent="0.25">
      <c r="A15" s="645" t="s">
        <v>148</v>
      </c>
      <c r="B15" s="645"/>
      <c r="C15" s="645"/>
      <c r="D15" s="646" t="s">
        <v>150</v>
      </c>
      <c r="E15" s="647">
        <f>E16</f>
        <v>340994116.13999999</v>
      </c>
      <c r="F15" s="648">
        <f t="shared" ref="F15:N15" si="0">F16</f>
        <v>340994116.13999999</v>
      </c>
      <c r="G15" s="648">
        <f t="shared" si="0"/>
        <v>95820900</v>
      </c>
      <c r="H15" s="648">
        <f t="shared" si="0"/>
        <v>6241293</v>
      </c>
      <c r="I15" s="648">
        <f t="shared" si="0"/>
        <v>0</v>
      </c>
      <c r="J15" s="647">
        <f t="shared" si="0"/>
        <v>297700038.20000005</v>
      </c>
      <c r="K15" s="648">
        <f t="shared" si="0"/>
        <v>292484238.20000005</v>
      </c>
      <c r="L15" s="648">
        <f t="shared" si="0"/>
        <v>4350400</v>
      </c>
      <c r="M15" s="648">
        <f t="shared" si="0"/>
        <v>0</v>
      </c>
      <c r="N15" s="648">
        <f t="shared" si="0"/>
        <v>0</v>
      </c>
      <c r="O15" s="647">
        <f>O16</f>
        <v>293349638.20000005</v>
      </c>
      <c r="P15" s="648">
        <f t="shared" ref="P15" si="1">P16</f>
        <v>638694154.34000003</v>
      </c>
      <c r="Q15" s="25"/>
      <c r="R15" s="25"/>
    </row>
    <row r="16" spans="1:18" s="24" customFormat="1" ht="120" customHeight="1" thickTop="1" thickBot="1" x14ac:dyDescent="0.25">
      <c r="A16" s="642" t="s">
        <v>149</v>
      </c>
      <c r="B16" s="642"/>
      <c r="C16" s="642"/>
      <c r="D16" s="643" t="s">
        <v>151</v>
      </c>
      <c r="E16" s="644">
        <f>E17+E25+E36+E42+E22</f>
        <v>340994116.13999999</v>
      </c>
      <c r="F16" s="644">
        <f>F17+F25+F36+F42+F22</f>
        <v>340994116.13999999</v>
      </c>
      <c r="G16" s="644">
        <f>G17+G25+G36+G42+G22</f>
        <v>95820900</v>
      </c>
      <c r="H16" s="644">
        <f>H17+H25+H36+H42+H22</f>
        <v>6241293</v>
      </c>
      <c r="I16" s="644">
        <f>I17+I25+I36+I42+I22</f>
        <v>0</v>
      </c>
      <c r="J16" s="644">
        <f>L16+O16</f>
        <v>297700038.20000005</v>
      </c>
      <c r="K16" s="644">
        <f>K17+K25+K36+K42+K22</f>
        <v>292484238.20000005</v>
      </c>
      <c r="L16" s="644">
        <f>L17+L25+L36+L42+L22</f>
        <v>4350400</v>
      </c>
      <c r="M16" s="644">
        <f>M17+M25+M36+M42+M22</f>
        <v>0</v>
      </c>
      <c r="N16" s="644">
        <f>N17+N25+N36+N42+N22</f>
        <v>0</v>
      </c>
      <c r="O16" s="644">
        <f>O17+O25+O36+O42+O22</f>
        <v>293349638.20000005</v>
      </c>
      <c r="P16" s="644">
        <f>E16+J16</f>
        <v>638694154.34000003</v>
      </c>
      <c r="Q16" s="554" t="b">
        <f>P16=P18+P21+P27+P31+P33+P35+P38+P39+P41+P44+P45+P46+P24</f>
        <v>1</v>
      </c>
      <c r="R16" s="26"/>
    </row>
    <row r="17" spans="1:18" s="28" customFormat="1" ht="47.25" thickTop="1" thickBot="1" x14ac:dyDescent="0.25">
      <c r="A17" s="308" t="s">
        <v>683</v>
      </c>
      <c r="B17" s="308" t="s">
        <v>684</v>
      </c>
      <c r="C17" s="308"/>
      <c r="D17" s="308" t="s">
        <v>685</v>
      </c>
      <c r="E17" s="325">
        <f>SUM(E18:E21)</f>
        <v>172193046</v>
      </c>
      <c r="F17" s="325">
        <f>SUM(F18:F21)</f>
        <v>172193046</v>
      </c>
      <c r="G17" s="325">
        <f t="shared" ref="G17:P17" si="2">SUM(G18:G21)</f>
        <v>95820900</v>
      </c>
      <c r="H17" s="325">
        <f t="shared" si="2"/>
        <v>6241293</v>
      </c>
      <c r="I17" s="325">
        <f t="shared" si="2"/>
        <v>0</v>
      </c>
      <c r="J17" s="325">
        <f t="shared" si="2"/>
        <v>465000</v>
      </c>
      <c r="K17" s="325">
        <f t="shared" si="2"/>
        <v>465000</v>
      </c>
      <c r="L17" s="325">
        <f t="shared" si="2"/>
        <v>0</v>
      </c>
      <c r="M17" s="325">
        <f t="shared" si="2"/>
        <v>0</v>
      </c>
      <c r="N17" s="325">
        <f t="shared" si="2"/>
        <v>0</v>
      </c>
      <c r="O17" s="325">
        <f t="shared" si="2"/>
        <v>465000</v>
      </c>
      <c r="P17" s="325">
        <f t="shared" si="2"/>
        <v>172658046</v>
      </c>
      <c r="Q17" s="31"/>
      <c r="R17" s="27"/>
    </row>
    <row r="18" spans="1:18" ht="173.25" customHeight="1" thickTop="1" thickBot="1" x14ac:dyDescent="0.25">
      <c r="A18" s="101" t="s">
        <v>232</v>
      </c>
      <c r="B18" s="101" t="s">
        <v>233</v>
      </c>
      <c r="C18" s="101" t="s">
        <v>234</v>
      </c>
      <c r="D18" s="101" t="s">
        <v>231</v>
      </c>
      <c r="E18" s="325">
        <f t="shared" ref="E18:E46" si="3">F18</f>
        <v>130683646</v>
      </c>
      <c r="F18" s="323">
        <v>130683646</v>
      </c>
      <c r="G18" s="323">
        <v>95820900</v>
      </c>
      <c r="H18" s="323">
        <f>3417000+111000+2275293+350000+88000</f>
        <v>6241293</v>
      </c>
      <c r="I18" s="323"/>
      <c r="J18" s="325">
        <f t="shared" ref="J18:J31" si="4">L18+O18</f>
        <v>465000</v>
      </c>
      <c r="K18" s="323">
        <f>((0)+435000)+30000</f>
        <v>465000</v>
      </c>
      <c r="L18" s="454"/>
      <c r="M18" s="553"/>
      <c r="N18" s="553"/>
      <c r="O18" s="455">
        <f t="shared" ref="O18:O31" si="5">K18</f>
        <v>465000</v>
      </c>
      <c r="P18" s="325">
        <f>+J18+E18</f>
        <v>131148646</v>
      </c>
      <c r="Q18" s="131"/>
      <c r="R18" s="29"/>
    </row>
    <row r="19" spans="1:18" ht="93" hidden="1" thickTop="1" thickBot="1" x14ac:dyDescent="0.25">
      <c r="A19" s="126" t="s">
        <v>584</v>
      </c>
      <c r="B19" s="126" t="s">
        <v>236</v>
      </c>
      <c r="C19" s="126" t="s">
        <v>234</v>
      </c>
      <c r="D19" s="126" t="s">
        <v>235</v>
      </c>
      <c r="E19" s="125">
        <f t="shared" si="3"/>
        <v>0</v>
      </c>
      <c r="F19" s="127"/>
      <c r="G19" s="127"/>
      <c r="H19" s="127"/>
      <c r="I19" s="127"/>
      <c r="J19" s="125">
        <f t="shared" si="4"/>
        <v>0</v>
      </c>
      <c r="K19" s="127"/>
      <c r="L19" s="128"/>
      <c r="M19" s="129"/>
      <c r="N19" s="129"/>
      <c r="O19" s="130">
        <f t="shared" si="5"/>
        <v>0</v>
      </c>
      <c r="P19" s="125">
        <f>+J19+E19</f>
        <v>0</v>
      </c>
      <c r="Q19" s="131"/>
      <c r="R19" s="29"/>
    </row>
    <row r="20" spans="1:18" ht="93" hidden="1" thickTop="1" thickBot="1" x14ac:dyDescent="0.25">
      <c r="A20" s="126" t="s">
        <v>624</v>
      </c>
      <c r="B20" s="126" t="s">
        <v>362</v>
      </c>
      <c r="C20" s="126" t="s">
        <v>625</v>
      </c>
      <c r="D20" s="126" t="s">
        <v>626</v>
      </c>
      <c r="E20" s="125">
        <f t="shared" si="3"/>
        <v>0</v>
      </c>
      <c r="F20" s="127">
        <v>0</v>
      </c>
      <c r="G20" s="127"/>
      <c r="H20" s="127"/>
      <c r="I20" s="127"/>
      <c r="J20" s="125">
        <f t="shared" si="4"/>
        <v>0</v>
      </c>
      <c r="K20" s="127"/>
      <c r="L20" s="128"/>
      <c r="M20" s="129"/>
      <c r="N20" s="129"/>
      <c r="O20" s="130">
        <f t="shared" si="5"/>
        <v>0</v>
      </c>
      <c r="P20" s="125">
        <f>+J20+E20</f>
        <v>0</v>
      </c>
      <c r="Q20" s="131"/>
      <c r="R20" s="30"/>
    </row>
    <row r="21" spans="1:18" ht="48" thickTop="1" thickBot="1" x14ac:dyDescent="0.25">
      <c r="A21" s="101" t="s">
        <v>247</v>
      </c>
      <c r="B21" s="101" t="s">
        <v>43</v>
      </c>
      <c r="C21" s="101" t="s">
        <v>42</v>
      </c>
      <c r="D21" s="101" t="s">
        <v>248</v>
      </c>
      <c r="E21" s="325">
        <f t="shared" si="3"/>
        <v>41509400</v>
      </c>
      <c r="F21" s="458">
        <f>(((105141400+20000000-10000000+32000000-67690000+1000000-2000000+30000000)-23310000)-36450000)-7182000</f>
        <v>41509400</v>
      </c>
      <c r="G21" s="458"/>
      <c r="H21" s="458"/>
      <c r="I21" s="458"/>
      <c r="J21" s="325">
        <f t="shared" si="4"/>
        <v>0</v>
      </c>
      <c r="K21" s="458"/>
      <c r="L21" s="458"/>
      <c r="M21" s="458"/>
      <c r="N21" s="458"/>
      <c r="O21" s="455">
        <f t="shared" si="5"/>
        <v>0</v>
      </c>
      <c r="P21" s="325">
        <f>E21+J21</f>
        <v>41509400</v>
      </c>
      <c r="Q21" s="131"/>
      <c r="R21" s="30"/>
    </row>
    <row r="22" spans="1:18" ht="47.25" thickTop="1" thickBot="1" x14ac:dyDescent="0.25">
      <c r="A22" s="308" t="s">
        <v>1623</v>
      </c>
      <c r="B22" s="308" t="s">
        <v>711</v>
      </c>
      <c r="C22" s="308"/>
      <c r="D22" s="308" t="s">
        <v>712</v>
      </c>
      <c r="E22" s="325">
        <f>E23</f>
        <v>1000000</v>
      </c>
      <c r="F22" s="325">
        <f t="shared" ref="F22:P23" si="6">F23</f>
        <v>1000000</v>
      </c>
      <c r="G22" s="325">
        <f t="shared" si="6"/>
        <v>0</v>
      </c>
      <c r="H22" s="325">
        <f t="shared" si="6"/>
        <v>0</v>
      </c>
      <c r="I22" s="325">
        <f t="shared" si="6"/>
        <v>0</v>
      </c>
      <c r="J22" s="325">
        <f t="shared" si="6"/>
        <v>0</v>
      </c>
      <c r="K22" s="325">
        <f t="shared" si="6"/>
        <v>0</v>
      </c>
      <c r="L22" s="325">
        <f t="shared" si="6"/>
        <v>0</v>
      </c>
      <c r="M22" s="325">
        <f t="shared" si="6"/>
        <v>0</v>
      </c>
      <c r="N22" s="325">
        <f t="shared" si="6"/>
        <v>0</v>
      </c>
      <c r="O22" s="325">
        <f t="shared" si="6"/>
        <v>0</v>
      </c>
      <c r="P22" s="325">
        <f t="shared" si="6"/>
        <v>1000000</v>
      </c>
      <c r="Q22" s="131"/>
      <c r="R22" s="30"/>
    </row>
    <row r="23" spans="1:18" ht="48" thickTop="1" thickBot="1" x14ac:dyDescent="0.25">
      <c r="A23" s="326" t="s">
        <v>1624</v>
      </c>
      <c r="B23" s="326" t="s">
        <v>739</v>
      </c>
      <c r="C23" s="326"/>
      <c r="D23" s="326" t="s">
        <v>740</v>
      </c>
      <c r="E23" s="322">
        <f>E24</f>
        <v>1000000</v>
      </c>
      <c r="F23" s="322">
        <f t="shared" si="6"/>
        <v>1000000</v>
      </c>
      <c r="G23" s="322">
        <f t="shared" si="6"/>
        <v>0</v>
      </c>
      <c r="H23" s="322">
        <f t="shared" si="6"/>
        <v>0</v>
      </c>
      <c r="I23" s="322">
        <f t="shared" si="6"/>
        <v>0</v>
      </c>
      <c r="J23" s="322">
        <f t="shared" si="6"/>
        <v>0</v>
      </c>
      <c r="K23" s="322">
        <f t="shared" si="6"/>
        <v>0</v>
      </c>
      <c r="L23" s="322">
        <f t="shared" si="6"/>
        <v>0</v>
      </c>
      <c r="M23" s="322">
        <f t="shared" si="6"/>
        <v>0</v>
      </c>
      <c r="N23" s="322">
        <f t="shared" si="6"/>
        <v>0</v>
      </c>
      <c r="O23" s="322">
        <f t="shared" si="6"/>
        <v>0</v>
      </c>
      <c r="P23" s="322">
        <f t="shared" si="6"/>
        <v>1000000</v>
      </c>
      <c r="Q23" s="131"/>
      <c r="R23" s="30"/>
    </row>
    <row r="24" spans="1:18" ht="93" thickTop="1" thickBot="1" x14ac:dyDescent="0.25">
      <c r="A24" s="101" t="s">
        <v>1625</v>
      </c>
      <c r="B24" s="101" t="s">
        <v>329</v>
      </c>
      <c r="C24" s="101" t="s">
        <v>191</v>
      </c>
      <c r="D24" s="466" t="s">
        <v>331</v>
      </c>
      <c r="E24" s="325">
        <f t="shared" ref="E24" si="7">F24</f>
        <v>1000000</v>
      </c>
      <c r="F24" s="458">
        <v>1000000</v>
      </c>
      <c r="G24" s="323"/>
      <c r="H24" s="323"/>
      <c r="I24" s="458"/>
      <c r="J24" s="325">
        <f t="shared" ref="J24" si="8">L24+O24</f>
        <v>0</v>
      </c>
      <c r="K24" s="458"/>
      <c r="L24" s="458"/>
      <c r="M24" s="458"/>
      <c r="N24" s="458"/>
      <c r="O24" s="455">
        <f>(K24)</f>
        <v>0</v>
      </c>
      <c r="P24" s="325">
        <f t="shared" ref="P24" si="9">E24+J24</f>
        <v>1000000</v>
      </c>
      <c r="Q24" s="131"/>
      <c r="R24" s="30"/>
    </row>
    <row r="25" spans="1:18" s="28" customFormat="1" ht="47.25" thickTop="1" thickBot="1" x14ac:dyDescent="0.3">
      <c r="A25" s="308" t="s">
        <v>747</v>
      </c>
      <c r="B25" s="308" t="s">
        <v>748</v>
      </c>
      <c r="C25" s="308"/>
      <c r="D25" s="308" t="s">
        <v>749</v>
      </c>
      <c r="E25" s="325">
        <f t="shared" ref="E25:P25" si="10">SUM(E26:E35)-E26-E29-E32</f>
        <v>8074335</v>
      </c>
      <c r="F25" s="325">
        <f t="shared" si="10"/>
        <v>8074335</v>
      </c>
      <c r="G25" s="325">
        <f t="shared" si="10"/>
        <v>0</v>
      </c>
      <c r="H25" s="325">
        <f t="shared" si="10"/>
        <v>0</v>
      </c>
      <c r="I25" s="325">
        <f t="shared" si="10"/>
        <v>0</v>
      </c>
      <c r="J25" s="325">
        <f t="shared" si="10"/>
        <v>5215800</v>
      </c>
      <c r="K25" s="325">
        <f t="shared" si="10"/>
        <v>0</v>
      </c>
      <c r="L25" s="325">
        <f t="shared" si="10"/>
        <v>4350400</v>
      </c>
      <c r="M25" s="325">
        <f t="shared" si="10"/>
        <v>0</v>
      </c>
      <c r="N25" s="325">
        <f t="shared" si="10"/>
        <v>0</v>
      </c>
      <c r="O25" s="325">
        <f t="shared" si="10"/>
        <v>865400</v>
      </c>
      <c r="P25" s="325">
        <f t="shared" si="10"/>
        <v>13290135</v>
      </c>
      <c r="Q25" s="133"/>
      <c r="R25" s="31"/>
    </row>
    <row r="26" spans="1:18" s="33" customFormat="1" ht="47.25" thickTop="1" thickBot="1" x14ac:dyDescent="0.25">
      <c r="A26" s="310" t="s">
        <v>686</v>
      </c>
      <c r="B26" s="310" t="s">
        <v>687</v>
      </c>
      <c r="C26" s="310"/>
      <c r="D26" s="310" t="s">
        <v>688</v>
      </c>
      <c r="E26" s="312">
        <f t="shared" ref="E26:P26" si="11">SUM(E27:E28)</f>
        <v>5383000</v>
      </c>
      <c r="F26" s="312">
        <f t="shared" si="11"/>
        <v>5383000</v>
      </c>
      <c r="G26" s="312">
        <f t="shared" si="11"/>
        <v>0</v>
      </c>
      <c r="H26" s="312">
        <f t="shared" si="11"/>
        <v>0</v>
      </c>
      <c r="I26" s="312">
        <f t="shared" si="11"/>
        <v>0</v>
      </c>
      <c r="J26" s="312">
        <f t="shared" si="11"/>
        <v>0</v>
      </c>
      <c r="K26" s="312">
        <f t="shared" si="11"/>
        <v>0</v>
      </c>
      <c r="L26" s="312">
        <f t="shared" si="11"/>
        <v>0</v>
      </c>
      <c r="M26" s="312">
        <f t="shared" si="11"/>
        <v>0</v>
      </c>
      <c r="N26" s="312">
        <f t="shared" si="11"/>
        <v>0</v>
      </c>
      <c r="O26" s="312">
        <f t="shared" si="11"/>
        <v>0</v>
      </c>
      <c r="P26" s="312">
        <f t="shared" si="11"/>
        <v>5383000</v>
      </c>
      <c r="Q26" s="136"/>
      <c r="R26" s="32"/>
    </row>
    <row r="27" spans="1:18" ht="48" thickTop="1" thickBot="1" x14ac:dyDescent="0.25">
      <c r="A27" s="101" t="s">
        <v>238</v>
      </c>
      <c r="B27" s="101" t="s">
        <v>239</v>
      </c>
      <c r="C27" s="101" t="s">
        <v>240</v>
      </c>
      <c r="D27" s="101" t="s">
        <v>237</v>
      </c>
      <c r="E27" s="325">
        <f t="shared" si="3"/>
        <v>5383000</v>
      </c>
      <c r="F27" s="458">
        <f>(4883000)+500000</f>
        <v>5383000</v>
      </c>
      <c r="G27" s="458"/>
      <c r="H27" s="458"/>
      <c r="I27" s="458"/>
      <c r="J27" s="325">
        <f t="shared" si="4"/>
        <v>0</v>
      </c>
      <c r="K27" s="458"/>
      <c r="L27" s="458"/>
      <c r="M27" s="458"/>
      <c r="N27" s="458"/>
      <c r="O27" s="455">
        <f t="shared" si="5"/>
        <v>0</v>
      </c>
      <c r="P27" s="325">
        <f>+J27+E27</f>
        <v>5383000</v>
      </c>
      <c r="Q27" s="131"/>
      <c r="R27" s="29"/>
    </row>
    <row r="28" spans="1:18" ht="93" hidden="1" thickTop="1" thickBot="1" x14ac:dyDescent="0.25">
      <c r="A28" s="41" t="s">
        <v>977</v>
      </c>
      <c r="B28" s="41" t="s">
        <v>978</v>
      </c>
      <c r="C28" s="41" t="s">
        <v>240</v>
      </c>
      <c r="D28" s="41" t="s">
        <v>979</v>
      </c>
      <c r="E28" s="125">
        <f t="shared" si="3"/>
        <v>0</v>
      </c>
      <c r="F28" s="132">
        <v>0</v>
      </c>
      <c r="G28" s="132"/>
      <c r="H28" s="132"/>
      <c r="I28" s="132"/>
      <c r="J28" s="125">
        <f t="shared" si="4"/>
        <v>0</v>
      </c>
      <c r="K28" s="43"/>
      <c r="L28" s="43"/>
      <c r="M28" s="43"/>
      <c r="N28" s="43"/>
      <c r="O28" s="44"/>
      <c r="P28" s="42">
        <f>+J28+E28</f>
        <v>0</v>
      </c>
      <c r="Q28" s="131"/>
      <c r="R28" s="29"/>
    </row>
    <row r="29" spans="1:18" ht="47.25" thickTop="1" thickBot="1" x14ac:dyDescent="0.25">
      <c r="A29" s="310" t="s">
        <v>690</v>
      </c>
      <c r="B29" s="310" t="s">
        <v>691</v>
      </c>
      <c r="C29" s="310"/>
      <c r="D29" s="310" t="s">
        <v>689</v>
      </c>
      <c r="E29" s="312">
        <f>SUM(E31)+E32+E30</f>
        <v>2691335</v>
      </c>
      <c r="F29" s="312">
        <f t="shared" ref="F29:P29" si="12">SUM(F31)+F32+F30</f>
        <v>2691335</v>
      </c>
      <c r="G29" s="312">
        <f t="shared" si="12"/>
        <v>0</v>
      </c>
      <c r="H29" s="312">
        <f t="shared" si="12"/>
        <v>0</v>
      </c>
      <c r="I29" s="312">
        <f t="shared" si="12"/>
        <v>0</v>
      </c>
      <c r="J29" s="312">
        <f t="shared" si="12"/>
        <v>5215800</v>
      </c>
      <c r="K29" s="312">
        <f t="shared" si="12"/>
        <v>0</v>
      </c>
      <c r="L29" s="312">
        <f t="shared" si="12"/>
        <v>4350400</v>
      </c>
      <c r="M29" s="312">
        <f t="shared" si="12"/>
        <v>0</v>
      </c>
      <c r="N29" s="312">
        <f t="shared" si="12"/>
        <v>0</v>
      </c>
      <c r="O29" s="312">
        <f t="shared" si="12"/>
        <v>865400</v>
      </c>
      <c r="P29" s="312">
        <f t="shared" si="12"/>
        <v>7907135</v>
      </c>
      <c r="Q29" s="137"/>
      <c r="R29" s="34"/>
    </row>
    <row r="30" spans="1:18" ht="48" hidden="1" thickTop="1" thickBot="1" x14ac:dyDescent="0.25">
      <c r="A30" s="101" t="s">
        <v>1403</v>
      </c>
      <c r="B30" s="101" t="s">
        <v>212</v>
      </c>
      <c r="C30" s="101" t="s">
        <v>213</v>
      </c>
      <c r="D30" s="101" t="s">
        <v>41</v>
      </c>
      <c r="E30" s="325">
        <f t="shared" si="3"/>
        <v>0</v>
      </c>
      <c r="F30" s="458"/>
      <c r="G30" s="458"/>
      <c r="H30" s="458"/>
      <c r="I30" s="458"/>
      <c r="J30" s="325">
        <f t="shared" si="4"/>
        <v>0</v>
      </c>
      <c r="K30" s="458"/>
      <c r="L30" s="458"/>
      <c r="M30" s="458"/>
      <c r="N30" s="458"/>
      <c r="O30" s="455">
        <f t="shared" si="5"/>
        <v>0</v>
      </c>
      <c r="P30" s="325">
        <f>+J30+E30</f>
        <v>0</v>
      </c>
      <c r="Q30" s="137"/>
      <c r="R30" s="34"/>
    </row>
    <row r="31" spans="1:18" ht="48" thickTop="1" thickBot="1" x14ac:dyDescent="0.25">
      <c r="A31" s="101" t="s">
        <v>299</v>
      </c>
      <c r="B31" s="101" t="s">
        <v>300</v>
      </c>
      <c r="C31" s="101" t="s">
        <v>170</v>
      </c>
      <c r="D31" s="101" t="s">
        <v>442</v>
      </c>
      <c r="E31" s="325">
        <f t="shared" si="3"/>
        <v>329335</v>
      </c>
      <c r="F31" s="458">
        <v>329335</v>
      </c>
      <c r="G31" s="458"/>
      <c r="H31" s="458"/>
      <c r="I31" s="458"/>
      <c r="J31" s="325">
        <f t="shared" si="4"/>
        <v>0</v>
      </c>
      <c r="K31" s="458"/>
      <c r="L31" s="458"/>
      <c r="M31" s="458"/>
      <c r="N31" s="458"/>
      <c r="O31" s="455">
        <f t="shared" si="5"/>
        <v>0</v>
      </c>
      <c r="P31" s="325">
        <f>+J31+E31</f>
        <v>329335</v>
      </c>
      <c r="Q31" s="131"/>
      <c r="R31" s="30"/>
    </row>
    <row r="32" spans="1:18" ht="48" thickTop="1" thickBot="1" x14ac:dyDescent="0.25">
      <c r="A32" s="326" t="s">
        <v>693</v>
      </c>
      <c r="B32" s="326" t="s">
        <v>694</v>
      </c>
      <c r="C32" s="326"/>
      <c r="D32" s="555" t="s">
        <v>692</v>
      </c>
      <c r="E32" s="322">
        <f>SUM(E33:E35)</f>
        <v>2362000</v>
      </c>
      <c r="F32" s="322">
        <f t="shared" ref="F32:O32" si="13">SUM(F33:F35)</f>
        <v>2362000</v>
      </c>
      <c r="G32" s="322">
        <f t="shared" si="13"/>
        <v>0</v>
      </c>
      <c r="H32" s="322">
        <f t="shared" si="13"/>
        <v>0</v>
      </c>
      <c r="I32" s="322">
        <f t="shared" si="13"/>
        <v>0</v>
      </c>
      <c r="J32" s="322">
        <f t="shared" si="13"/>
        <v>5215800</v>
      </c>
      <c r="K32" s="322">
        <f t="shared" si="13"/>
        <v>0</v>
      </c>
      <c r="L32" s="322">
        <f t="shared" si="13"/>
        <v>4350400</v>
      </c>
      <c r="M32" s="322">
        <f t="shared" si="13"/>
        <v>0</v>
      </c>
      <c r="N32" s="322">
        <f t="shared" si="13"/>
        <v>0</v>
      </c>
      <c r="O32" s="322">
        <f t="shared" si="13"/>
        <v>865400</v>
      </c>
      <c r="P32" s="322">
        <f>E32+J32</f>
        <v>7577800</v>
      </c>
      <c r="Q32" s="137"/>
      <c r="R32" s="35"/>
    </row>
    <row r="33" spans="1:18" s="33" customFormat="1" ht="156.75" customHeight="1" thickTop="1" thickBot="1" x14ac:dyDescent="0.7">
      <c r="A33" s="748" t="s">
        <v>339</v>
      </c>
      <c r="B33" s="748" t="s">
        <v>338</v>
      </c>
      <c r="C33" s="748" t="s">
        <v>170</v>
      </c>
      <c r="D33" s="556" t="s">
        <v>440</v>
      </c>
      <c r="E33" s="750">
        <f t="shared" si="3"/>
        <v>0</v>
      </c>
      <c r="F33" s="740"/>
      <c r="G33" s="740"/>
      <c r="H33" s="740"/>
      <c r="I33" s="740"/>
      <c r="J33" s="751">
        <f>L33+O33</f>
        <v>5215800</v>
      </c>
      <c r="K33" s="740"/>
      <c r="L33" s="740">
        <f>2604400+176000+570000+1000000</f>
        <v>4350400</v>
      </c>
      <c r="M33" s="740"/>
      <c r="N33" s="740"/>
      <c r="O33" s="742">
        <v>865400</v>
      </c>
      <c r="P33" s="744">
        <f>E33+J33</f>
        <v>5215800</v>
      </c>
      <c r="Q33" s="140"/>
      <c r="R33" s="36"/>
    </row>
    <row r="34" spans="1:18" s="33" customFormat="1" ht="120.75" customHeight="1" thickTop="1" thickBot="1" x14ac:dyDescent="0.25">
      <c r="A34" s="749"/>
      <c r="B34" s="777"/>
      <c r="C34" s="749"/>
      <c r="D34" s="557" t="s">
        <v>441</v>
      </c>
      <c r="E34" s="749"/>
      <c r="F34" s="741"/>
      <c r="G34" s="741"/>
      <c r="H34" s="741"/>
      <c r="I34" s="741"/>
      <c r="J34" s="752"/>
      <c r="K34" s="741"/>
      <c r="L34" s="741"/>
      <c r="M34" s="741"/>
      <c r="N34" s="741"/>
      <c r="O34" s="743"/>
      <c r="P34" s="745"/>
      <c r="Q34" s="36"/>
      <c r="R34" s="36"/>
    </row>
    <row r="35" spans="1:18" s="33" customFormat="1" ht="48" thickTop="1" thickBot="1" x14ac:dyDescent="0.25">
      <c r="A35" s="101" t="s">
        <v>914</v>
      </c>
      <c r="B35" s="101" t="s">
        <v>257</v>
      </c>
      <c r="C35" s="101" t="s">
        <v>170</v>
      </c>
      <c r="D35" s="101" t="s">
        <v>255</v>
      </c>
      <c r="E35" s="325">
        <f>F35</f>
        <v>2362000</v>
      </c>
      <c r="F35" s="458">
        <v>2362000</v>
      </c>
      <c r="G35" s="458"/>
      <c r="H35" s="458"/>
      <c r="I35" s="458"/>
      <c r="J35" s="325">
        <f>L35+O35</f>
        <v>0</v>
      </c>
      <c r="K35" s="458"/>
      <c r="L35" s="458"/>
      <c r="M35" s="458"/>
      <c r="N35" s="458"/>
      <c r="O35" s="455"/>
      <c r="P35" s="325">
        <f>E35+J35</f>
        <v>2362000</v>
      </c>
      <c r="Q35" s="36"/>
      <c r="R35" s="36"/>
    </row>
    <row r="36" spans="1:18" s="33" customFormat="1" ht="46.5" customHeight="1" thickTop="1" thickBot="1" x14ac:dyDescent="0.25">
      <c r="A36" s="308" t="s">
        <v>695</v>
      </c>
      <c r="B36" s="308" t="s">
        <v>696</v>
      </c>
      <c r="C36" s="308"/>
      <c r="D36" s="308" t="s">
        <v>697</v>
      </c>
      <c r="E36" s="325">
        <f t="shared" ref="E36:P36" si="14">E40+E37</f>
        <v>52917999</v>
      </c>
      <c r="F36" s="325">
        <f t="shared" si="14"/>
        <v>52917999</v>
      </c>
      <c r="G36" s="325">
        <f t="shared" si="14"/>
        <v>0</v>
      </c>
      <c r="H36" s="325">
        <f t="shared" si="14"/>
        <v>0</v>
      </c>
      <c r="I36" s="325">
        <f t="shared" si="14"/>
        <v>0</v>
      </c>
      <c r="J36" s="325">
        <f t="shared" si="14"/>
        <v>129389406.34</v>
      </c>
      <c r="K36" s="325">
        <f t="shared" si="14"/>
        <v>129389406.34</v>
      </c>
      <c r="L36" s="325">
        <f t="shared" si="14"/>
        <v>0</v>
      </c>
      <c r="M36" s="325">
        <f t="shared" si="14"/>
        <v>0</v>
      </c>
      <c r="N36" s="325">
        <f t="shared" si="14"/>
        <v>0</v>
      </c>
      <c r="O36" s="325">
        <f t="shared" si="14"/>
        <v>129389406.34</v>
      </c>
      <c r="P36" s="325">
        <f t="shared" si="14"/>
        <v>182307405.34</v>
      </c>
      <c r="Q36" s="36"/>
      <c r="R36" s="36"/>
    </row>
    <row r="37" spans="1:18" s="33" customFormat="1" ht="47.25" thickTop="1" thickBot="1" x14ac:dyDescent="0.25">
      <c r="A37" s="310" t="s">
        <v>1185</v>
      </c>
      <c r="B37" s="310" t="s">
        <v>1186</v>
      </c>
      <c r="C37" s="310"/>
      <c r="D37" s="310" t="s">
        <v>1184</v>
      </c>
      <c r="E37" s="312">
        <f t="shared" ref="E37:P37" si="15">SUM(E38:E39)</f>
        <v>42717999</v>
      </c>
      <c r="F37" s="312">
        <f t="shared" si="15"/>
        <v>42717999</v>
      </c>
      <c r="G37" s="312">
        <f t="shared" si="15"/>
        <v>0</v>
      </c>
      <c r="H37" s="312">
        <f t="shared" si="15"/>
        <v>0</v>
      </c>
      <c r="I37" s="312">
        <f t="shared" si="15"/>
        <v>0</v>
      </c>
      <c r="J37" s="312">
        <f t="shared" si="15"/>
        <v>129389406.34</v>
      </c>
      <c r="K37" s="312">
        <f t="shared" si="15"/>
        <v>129389406.34</v>
      </c>
      <c r="L37" s="312">
        <f t="shared" si="15"/>
        <v>0</v>
      </c>
      <c r="M37" s="312">
        <f t="shared" si="15"/>
        <v>0</v>
      </c>
      <c r="N37" s="312">
        <f t="shared" si="15"/>
        <v>0</v>
      </c>
      <c r="O37" s="312">
        <f t="shared" si="15"/>
        <v>129389406.34</v>
      </c>
      <c r="P37" s="312">
        <f t="shared" si="15"/>
        <v>172107405.34</v>
      </c>
      <c r="Q37" s="36"/>
      <c r="R37" s="36"/>
    </row>
    <row r="38" spans="1:18" s="33" customFormat="1" ht="48" thickTop="1" thickBot="1" x14ac:dyDescent="0.25">
      <c r="A38" s="101" t="s">
        <v>1212</v>
      </c>
      <c r="B38" s="101" t="s">
        <v>1213</v>
      </c>
      <c r="C38" s="101" t="s">
        <v>1188</v>
      </c>
      <c r="D38" s="101" t="s">
        <v>1214</v>
      </c>
      <c r="E38" s="325">
        <f>F38</f>
        <v>32000000</v>
      </c>
      <c r="F38" s="458">
        <f>(5000000+3000000+8000000+10000000)+6000000</f>
        <v>32000000</v>
      </c>
      <c r="G38" s="458"/>
      <c r="H38" s="458"/>
      <c r="I38" s="458"/>
      <c r="J38" s="325">
        <f>L38+O38</f>
        <v>125500000</v>
      </c>
      <c r="K38" s="458">
        <f>((25000000+15000000)+60500000)+25000000</f>
        <v>125500000</v>
      </c>
      <c r="L38" s="458"/>
      <c r="M38" s="458"/>
      <c r="N38" s="458"/>
      <c r="O38" s="455">
        <f>K38</f>
        <v>125500000</v>
      </c>
      <c r="P38" s="325">
        <f>E38+J38</f>
        <v>157500000</v>
      </c>
      <c r="Q38" s="36"/>
      <c r="R38" s="36"/>
    </row>
    <row r="39" spans="1:18" s="33" customFormat="1" ht="48" thickTop="1" thickBot="1" x14ac:dyDescent="0.25">
      <c r="A39" s="101" t="s">
        <v>1189</v>
      </c>
      <c r="B39" s="101" t="s">
        <v>1190</v>
      </c>
      <c r="C39" s="101" t="s">
        <v>1188</v>
      </c>
      <c r="D39" s="101" t="s">
        <v>1187</v>
      </c>
      <c r="E39" s="325">
        <f>F39</f>
        <v>10717999</v>
      </c>
      <c r="F39" s="458">
        <f>(8862000)+760769+200000+370480+40000+435000+49750</f>
        <v>10717999</v>
      </c>
      <c r="G39" s="458"/>
      <c r="H39" s="458"/>
      <c r="I39" s="458"/>
      <c r="J39" s="325">
        <f>L39+O39</f>
        <v>3889406.34</v>
      </c>
      <c r="K39" s="458">
        <f>(0)+739231+1266175.34+1250000+124000+25000+485000</f>
        <v>3889406.34</v>
      </c>
      <c r="L39" s="458"/>
      <c r="M39" s="458"/>
      <c r="N39" s="458"/>
      <c r="O39" s="455">
        <f>K39</f>
        <v>3889406.34</v>
      </c>
      <c r="P39" s="325">
        <f>E39+J39</f>
        <v>14607405.34</v>
      </c>
      <c r="Q39" s="36"/>
      <c r="R39" s="36"/>
    </row>
    <row r="40" spans="1:18" s="33" customFormat="1" ht="47.25" thickTop="1" thickBot="1" x14ac:dyDescent="0.25">
      <c r="A40" s="310" t="s">
        <v>698</v>
      </c>
      <c r="B40" s="310" t="s">
        <v>699</v>
      </c>
      <c r="C40" s="310"/>
      <c r="D40" s="310" t="s">
        <v>700</v>
      </c>
      <c r="E40" s="312">
        <f>SUM(E41)</f>
        <v>10200000</v>
      </c>
      <c r="F40" s="312">
        <f t="shared" ref="F40:P40" si="16">SUM(F41)</f>
        <v>10200000</v>
      </c>
      <c r="G40" s="312">
        <f t="shared" si="16"/>
        <v>0</v>
      </c>
      <c r="H40" s="312">
        <f t="shared" si="16"/>
        <v>0</v>
      </c>
      <c r="I40" s="312">
        <f t="shared" si="16"/>
        <v>0</v>
      </c>
      <c r="J40" s="312">
        <f t="shared" si="16"/>
        <v>0</v>
      </c>
      <c r="K40" s="312">
        <f t="shared" si="16"/>
        <v>0</v>
      </c>
      <c r="L40" s="312">
        <f t="shared" si="16"/>
        <v>0</v>
      </c>
      <c r="M40" s="312">
        <f t="shared" si="16"/>
        <v>0</v>
      </c>
      <c r="N40" s="312">
        <f t="shared" si="16"/>
        <v>0</v>
      </c>
      <c r="O40" s="312">
        <f t="shared" si="16"/>
        <v>0</v>
      </c>
      <c r="P40" s="312">
        <f t="shared" si="16"/>
        <v>10200000</v>
      </c>
      <c r="Q40" s="36"/>
    </row>
    <row r="41" spans="1:18" ht="48" thickTop="1" thickBot="1" x14ac:dyDescent="0.25">
      <c r="A41" s="101" t="s">
        <v>241</v>
      </c>
      <c r="B41" s="101" t="s">
        <v>242</v>
      </c>
      <c r="C41" s="101" t="s">
        <v>243</v>
      </c>
      <c r="D41" s="101" t="s">
        <v>244</v>
      </c>
      <c r="E41" s="325">
        <f>F41</f>
        <v>10200000</v>
      </c>
      <c r="F41" s="458">
        <v>10200000</v>
      </c>
      <c r="G41" s="458"/>
      <c r="H41" s="458"/>
      <c r="I41" s="458"/>
      <c r="J41" s="325">
        <f>L41+O41</f>
        <v>0</v>
      </c>
      <c r="K41" s="458">
        <v>0</v>
      </c>
      <c r="L41" s="458"/>
      <c r="M41" s="458"/>
      <c r="N41" s="458"/>
      <c r="O41" s="455">
        <f>K41</f>
        <v>0</v>
      </c>
      <c r="P41" s="325">
        <f>E41+J41</f>
        <v>10200000</v>
      </c>
      <c r="Q41" s="20"/>
    </row>
    <row r="42" spans="1:18" ht="47.25" thickTop="1" thickBot="1" x14ac:dyDescent="0.25">
      <c r="A42" s="308" t="s">
        <v>701</v>
      </c>
      <c r="B42" s="308" t="s">
        <v>702</v>
      </c>
      <c r="C42" s="308"/>
      <c r="D42" s="308" t="s">
        <v>703</v>
      </c>
      <c r="E42" s="325">
        <f>E43+E46</f>
        <v>106808736.14</v>
      </c>
      <c r="F42" s="325">
        <f t="shared" ref="F42:P42" si="17">F43+F46</f>
        <v>106808736.14</v>
      </c>
      <c r="G42" s="325">
        <f t="shared" si="17"/>
        <v>0</v>
      </c>
      <c r="H42" s="325">
        <f t="shared" si="17"/>
        <v>0</v>
      </c>
      <c r="I42" s="325">
        <f t="shared" si="17"/>
        <v>0</v>
      </c>
      <c r="J42" s="325">
        <f t="shared" si="17"/>
        <v>162629831.86000001</v>
      </c>
      <c r="K42" s="325">
        <f t="shared" si="17"/>
        <v>162629831.86000001</v>
      </c>
      <c r="L42" s="325">
        <f t="shared" si="17"/>
        <v>0</v>
      </c>
      <c r="M42" s="325">
        <f t="shared" si="17"/>
        <v>0</v>
      </c>
      <c r="N42" s="325">
        <f t="shared" si="17"/>
        <v>0</v>
      </c>
      <c r="O42" s="325">
        <f t="shared" si="17"/>
        <v>162629831.86000001</v>
      </c>
      <c r="P42" s="325">
        <f t="shared" si="17"/>
        <v>269438568</v>
      </c>
      <c r="Q42" s="20"/>
    </row>
    <row r="43" spans="1:18" s="33" customFormat="1" ht="91.5" thickTop="1" thickBot="1" x14ac:dyDescent="0.25">
      <c r="A43" s="310" t="s">
        <v>704</v>
      </c>
      <c r="B43" s="310" t="s">
        <v>705</v>
      </c>
      <c r="C43" s="310"/>
      <c r="D43" s="310" t="s">
        <v>706</v>
      </c>
      <c r="E43" s="312">
        <f>SUM(E44:E45)</f>
        <v>1333600</v>
      </c>
      <c r="F43" s="312">
        <f t="shared" ref="F43:P43" si="18">SUM(F44:F45)</f>
        <v>1333600</v>
      </c>
      <c r="G43" s="312">
        <f t="shared" si="18"/>
        <v>0</v>
      </c>
      <c r="H43" s="312">
        <f t="shared" si="18"/>
        <v>0</v>
      </c>
      <c r="I43" s="312">
        <f t="shared" si="18"/>
        <v>0</v>
      </c>
      <c r="J43" s="312">
        <f t="shared" si="18"/>
        <v>0</v>
      </c>
      <c r="K43" s="312">
        <f t="shared" si="18"/>
        <v>0</v>
      </c>
      <c r="L43" s="312">
        <f t="shared" si="18"/>
        <v>0</v>
      </c>
      <c r="M43" s="312">
        <f t="shared" si="18"/>
        <v>0</v>
      </c>
      <c r="N43" s="312">
        <f t="shared" si="18"/>
        <v>0</v>
      </c>
      <c r="O43" s="312">
        <f t="shared" si="18"/>
        <v>0</v>
      </c>
      <c r="P43" s="312">
        <f t="shared" si="18"/>
        <v>1333600</v>
      </c>
      <c r="Q43" s="36"/>
      <c r="R43" s="36"/>
    </row>
    <row r="44" spans="1:18" ht="138.75" thickTop="1" thickBot="1" x14ac:dyDescent="0.25">
      <c r="A44" s="101" t="s">
        <v>245</v>
      </c>
      <c r="B44" s="101" t="s">
        <v>246</v>
      </c>
      <c r="C44" s="101" t="s">
        <v>43</v>
      </c>
      <c r="D44" s="101" t="s">
        <v>443</v>
      </c>
      <c r="E44" s="325">
        <f t="shared" si="3"/>
        <v>1178000</v>
      </c>
      <c r="F44" s="458">
        <v>1178000</v>
      </c>
      <c r="G44" s="458"/>
      <c r="H44" s="458"/>
      <c r="I44" s="458"/>
      <c r="J44" s="325">
        <f>L44+O44</f>
        <v>0</v>
      </c>
      <c r="K44" s="458"/>
      <c r="L44" s="458"/>
      <c r="M44" s="458"/>
      <c r="N44" s="458"/>
      <c r="O44" s="455">
        <f>K44</f>
        <v>0</v>
      </c>
      <c r="P44" s="325">
        <f>E44+J44</f>
        <v>1178000</v>
      </c>
      <c r="Q44" s="20"/>
    </row>
    <row r="45" spans="1:18" ht="48" thickTop="1" thickBot="1" x14ac:dyDescent="0.25">
      <c r="A45" s="101" t="s">
        <v>575</v>
      </c>
      <c r="B45" s="101" t="s">
        <v>363</v>
      </c>
      <c r="C45" s="101" t="s">
        <v>43</v>
      </c>
      <c r="D45" s="101" t="s">
        <v>364</v>
      </c>
      <c r="E45" s="325">
        <f t="shared" si="3"/>
        <v>155600</v>
      </c>
      <c r="F45" s="458">
        <v>155600</v>
      </c>
      <c r="G45" s="458"/>
      <c r="H45" s="458"/>
      <c r="I45" s="458"/>
      <c r="J45" s="325">
        <f>L45+O45</f>
        <v>0</v>
      </c>
      <c r="K45" s="458">
        <f>(1000000)-1000000</f>
        <v>0</v>
      </c>
      <c r="L45" s="458"/>
      <c r="M45" s="458"/>
      <c r="N45" s="458"/>
      <c r="O45" s="455">
        <f>K45</f>
        <v>0</v>
      </c>
      <c r="P45" s="325">
        <f>E45+J45</f>
        <v>155600</v>
      </c>
      <c r="Q45" s="20"/>
    </row>
    <row r="46" spans="1:18" ht="91.5" thickTop="1" thickBot="1" x14ac:dyDescent="0.25">
      <c r="A46" s="310" t="s">
        <v>513</v>
      </c>
      <c r="B46" s="310" t="s">
        <v>514</v>
      </c>
      <c r="C46" s="310" t="s">
        <v>43</v>
      </c>
      <c r="D46" s="310" t="s">
        <v>515</v>
      </c>
      <c r="E46" s="312">
        <f t="shared" si="3"/>
        <v>105475136.14</v>
      </c>
      <c r="F46" s="312">
        <f>(((40873318.14-300000+2000000)+58713600)+5262218-400000+225000-600000)-4000000+3000000-1000000+1000000+421000+280000</f>
        <v>105475136.14</v>
      </c>
      <c r="G46" s="135"/>
      <c r="H46" s="135"/>
      <c r="I46" s="135"/>
      <c r="J46" s="312">
        <f>L46+O46</f>
        <v>162629831.86000001</v>
      </c>
      <c r="K46" s="458">
        <f>(((26816681.86-700000)+100285900)+28871250-800000-10025000+9800000+600000+300000)+4000000-3000000+6155000+326000+280000-280000</f>
        <v>162629831.86000001</v>
      </c>
      <c r="L46" s="312"/>
      <c r="M46" s="312"/>
      <c r="N46" s="312"/>
      <c r="O46" s="312">
        <f>K46</f>
        <v>162629831.86000001</v>
      </c>
      <c r="P46" s="312">
        <f>E46+J46</f>
        <v>268104968</v>
      </c>
      <c r="Q46" s="20"/>
      <c r="R46" s="26"/>
    </row>
    <row r="47" spans="1:18" ht="120" customHeight="1" thickTop="1" thickBot="1" x14ac:dyDescent="0.25">
      <c r="A47" s="645" t="s">
        <v>152</v>
      </c>
      <c r="B47" s="645"/>
      <c r="C47" s="645"/>
      <c r="D47" s="646" t="s">
        <v>0</v>
      </c>
      <c r="E47" s="647">
        <f>E48</f>
        <v>2211534097.8899999</v>
      </c>
      <c r="F47" s="648">
        <f t="shared" ref="F47" si="19">F48</f>
        <v>2211534097.8899999</v>
      </c>
      <c r="G47" s="648">
        <f>G48</f>
        <v>1496710581.3899999</v>
      </c>
      <c r="H47" s="648">
        <f>H48</f>
        <v>170779075.50999999</v>
      </c>
      <c r="I47" s="648">
        <f t="shared" ref="I47" si="20">I48</f>
        <v>0</v>
      </c>
      <c r="J47" s="647">
        <f>J48</f>
        <v>349743544.94</v>
      </c>
      <c r="K47" s="648">
        <f>K48</f>
        <v>131568144.78999999</v>
      </c>
      <c r="L47" s="648">
        <f>L48</f>
        <v>206199448.15000001</v>
      </c>
      <c r="M47" s="648">
        <f t="shared" ref="M47" si="21">M48</f>
        <v>53811110</v>
      </c>
      <c r="N47" s="648">
        <f>N48</f>
        <v>17336870</v>
      </c>
      <c r="O47" s="647">
        <f>O48</f>
        <v>143544096.78999999</v>
      </c>
      <c r="P47" s="648">
        <f t="shared" ref="P47" si="22">P48</f>
        <v>2561277642.8299999</v>
      </c>
      <c r="Q47" s="20"/>
    </row>
    <row r="48" spans="1:18" ht="120" customHeight="1" thickTop="1" thickBot="1" x14ac:dyDescent="0.25">
      <c r="A48" s="642" t="s">
        <v>153</v>
      </c>
      <c r="B48" s="642"/>
      <c r="C48" s="642"/>
      <c r="D48" s="643" t="s">
        <v>1</v>
      </c>
      <c r="E48" s="644">
        <f>E49+E92+E104+E95+E101</f>
        <v>2211534097.8899999</v>
      </c>
      <c r="F48" s="644">
        <f>F49+F92+F104+F95+F101</f>
        <v>2211534097.8899999</v>
      </c>
      <c r="G48" s="644">
        <f>G49+G92+G104+G95+G101</f>
        <v>1496710581.3899999</v>
      </c>
      <c r="H48" s="644">
        <f>H49+H92+H104+H95+H101</f>
        <v>170779075.50999999</v>
      </c>
      <c r="I48" s="644">
        <f>I49+I92+I104+I95+I101</f>
        <v>0</v>
      </c>
      <c r="J48" s="644">
        <f>L48+O48</f>
        <v>349743544.94</v>
      </c>
      <c r="K48" s="644">
        <f>K49+K92+K104+K95+K101</f>
        <v>131568144.78999999</v>
      </c>
      <c r="L48" s="644">
        <f>L49+L92+L104+L95+L101</f>
        <v>206199448.15000001</v>
      </c>
      <c r="M48" s="644">
        <f>M49+M92+M104+M95+M101</f>
        <v>53811110</v>
      </c>
      <c r="N48" s="644">
        <f>N49+N92+N104+N95+N101</f>
        <v>17336870</v>
      </c>
      <c r="O48" s="644">
        <f>O49+O92+O104+O95+O101</f>
        <v>143544096.78999999</v>
      </c>
      <c r="P48" s="644">
        <f>E48+J48</f>
        <v>2561277642.8299999</v>
      </c>
      <c r="Q48" s="554" t="b">
        <f>P48=P50+P52+P53+P54+P56+P57+P60+P62+P63+P65+P66+P68+P69+P70+P84+P93+P94+P98+P100+P59+P90+P91+P78+P79+P81+P82</f>
        <v>1</v>
      </c>
      <c r="R48" s="26"/>
    </row>
    <row r="49" spans="1:20" ht="47.25" thickTop="1" thickBot="1" x14ac:dyDescent="0.25">
      <c r="A49" s="308" t="s">
        <v>707</v>
      </c>
      <c r="B49" s="308" t="s">
        <v>708</v>
      </c>
      <c r="C49" s="308"/>
      <c r="D49" s="308" t="s">
        <v>709</v>
      </c>
      <c r="E49" s="325">
        <f>E50+E51+E55+E60+E61+E64+E67+E70+E71+E78+E58+E79+E74+E80+E83+E86+E89</f>
        <v>2209059497.8899999</v>
      </c>
      <c r="F49" s="325">
        <f t="shared" ref="F49:P49" si="23">F50+F51+F55+F60+F61+F64+F67+F70+F71+F78+F58+F79+F74+F80+F83+F86+F89</f>
        <v>2209059497.8899999</v>
      </c>
      <c r="G49" s="325">
        <f t="shared" si="23"/>
        <v>1496710581.3899999</v>
      </c>
      <c r="H49" s="325">
        <f t="shared" si="23"/>
        <v>170188475.50999999</v>
      </c>
      <c r="I49" s="325">
        <f t="shared" si="23"/>
        <v>0</v>
      </c>
      <c r="J49" s="325">
        <f t="shared" si="23"/>
        <v>290228061.77999997</v>
      </c>
      <c r="K49" s="325">
        <f t="shared" si="23"/>
        <v>72052661.629999995</v>
      </c>
      <c r="L49" s="325">
        <f t="shared" si="23"/>
        <v>206199448.15000001</v>
      </c>
      <c r="M49" s="325">
        <f t="shared" si="23"/>
        <v>53811110</v>
      </c>
      <c r="N49" s="325">
        <f t="shared" si="23"/>
        <v>17336870</v>
      </c>
      <c r="O49" s="325">
        <f t="shared" si="23"/>
        <v>84028613.629999995</v>
      </c>
      <c r="P49" s="325">
        <f t="shared" si="23"/>
        <v>2499287559.6699996</v>
      </c>
      <c r="Q49" s="30"/>
      <c r="R49" s="26"/>
    </row>
    <row r="50" spans="1:20" ht="48" thickTop="1" thickBot="1" x14ac:dyDescent="0.6">
      <c r="A50" s="101" t="s">
        <v>198</v>
      </c>
      <c r="B50" s="101" t="s">
        <v>199</v>
      </c>
      <c r="C50" s="101" t="s">
        <v>201</v>
      </c>
      <c r="D50" s="101" t="s">
        <v>202</v>
      </c>
      <c r="E50" s="325">
        <f>F50</f>
        <v>597454653</v>
      </c>
      <c r="F50" s="458">
        <f>(518100000+6834000+121810+46482400+5516000+34247960+1883491+20029153+1410722+1453964+1539752+121850+3930+500000+95000+100000+300000-5000000-45500000-36876000)+44459370+694434-60000+199000+190036+107781+500000</f>
        <v>597454653</v>
      </c>
      <c r="G50" s="458">
        <f>(424700000-45500000)+20333842</f>
        <v>399533842</v>
      </c>
      <c r="H50" s="458">
        <f>34247960+1883491+20029153+1410722+1453964+1539752</f>
        <v>60565042</v>
      </c>
      <c r="I50" s="458"/>
      <c r="J50" s="325">
        <f t="shared" ref="J50:J73" si="24">L50+O50</f>
        <v>96246670</v>
      </c>
      <c r="K50" s="458">
        <f>(500000)+60000</f>
        <v>560000</v>
      </c>
      <c r="L50" s="458">
        <f>(94139890)+89700+22385+83361-7100-626500+413055-1000-4500-500</f>
        <v>94108791</v>
      </c>
      <c r="M50" s="458">
        <f>(17927390)+89700</f>
        <v>18017090</v>
      </c>
      <c r="N50" s="458">
        <v>4628330</v>
      </c>
      <c r="O50" s="455">
        <f>(K50+1546780)+31099</f>
        <v>2137879</v>
      </c>
      <c r="P50" s="325">
        <f t="shared" ref="P50:P63" si="25">E50+J50</f>
        <v>693701323</v>
      </c>
      <c r="Q50" s="141"/>
      <c r="R50" s="26"/>
    </row>
    <row r="51" spans="1:20" ht="48" thickTop="1" thickBot="1" x14ac:dyDescent="0.6">
      <c r="A51" s="326" t="s">
        <v>203</v>
      </c>
      <c r="B51" s="326" t="s">
        <v>200</v>
      </c>
      <c r="C51" s="326"/>
      <c r="D51" s="326" t="s">
        <v>643</v>
      </c>
      <c r="E51" s="322">
        <f>E52+E53+E54</f>
        <v>604414723.75999999</v>
      </c>
      <c r="F51" s="322">
        <f>F52+F53+F54</f>
        <v>604414723.75999999</v>
      </c>
      <c r="G51" s="322">
        <f t="shared" ref="G51:O51" si="26">G52+G53+G54</f>
        <v>338080042.62</v>
      </c>
      <c r="H51" s="322">
        <f t="shared" si="26"/>
        <v>81514646</v>
      </c>
      <c r="I51" s="322">
        <f t="shared" si="26"/>
        <v>0</v>
      </c>
      <c r="J51" s="322">
        <f t="shared" si="26"/>
        <v>102691777.63</v>
      </c>
      <c r="K51" s="322">
        <f t="shared" si="26"/>
        <v>24897407.629999999</v>
      </c>
      <c r="L51" s="322">
        <f t="shared" si="26"/>
        <v>76440360</v>
      </c>
      <c r="M51" s="322">
        <f t="shared" si="26"/>
        <v>24429440</v>
      </c>
      <c r="N51" s="322">
        <f t="shared" si="26"/>
        <v>1851620</v>
      </c>
      <c r="O51" s="322">
        <f t="shared" si="26"/>
        <v>26251417.629999999</v>
      </c>
      <c r="P51" s="322">
        <f>E51+J51</f>
        <v>707106501.38999999</v>
      </c>
      <c r="Q51" s="141"/>
      <c r="R51" s="37"/>
    </row>
    <row r="52" spans="1:20" ht="93" thickTop="1" thickBot="1" x14ac:dyDescent="0.6">
      <c r="A52" s="101" t="s">
        <v>641</v>
      </c>
      <c r="B52" s="101" t="s">
        <v>642</v>
      </c>
      <c r="C52" s="101" t="s">
        <v>204</v>
      </c>
      <c r="D52" s="101" t="s">
        <v>1275</v>
      </c>
      <c r="E52" s="325">
        <f t="shared" ref="E52:E63" si="27">F52</f>
        <v>551630951.75999999</v>
      </c>
      <c r="F52" s="458">
        <f>((291024550+15000600+229878+80712500+7004000+45443420+1405040+21980904+4836961+2727144+242950+6050+666880+10740+500000+90000+200000+500000-5000000+100000000-36500000-29674000)+45137822.62+6050+1224752-95530-50000+5596)+835955.14+133640+257600+353974+405200+600000+150000+120000+150000-11725+1000000</f>
        <v>551630951.75999999</v>
      </c>
      <c r="G52" s="458">
        <f>(238511902+82000000-36500000)+23163291.62</f>
        <v>307175193.62</v>
      </c>
      <c r="H52" s="458">
        <f>45443420+1405040+21980904+4836961+2727144</f>
        <v>76393469</v>
      </c>
      <c r="I52" s="458"/>
      <c r="J52" s="325">
        <f t="shared" si="24"/>
        <v>101669627.63</v>
      </c>
      <c r="K52" s="458">
        <f>((500000+500000+500000+483297.98+449851.94+260000+1158336+669262+663111+879754+412299+5700000+1750000+3800000)+873801.16-100000-500000-483297.98+1249446.24+95530+50000)+236960-353974+1000000+1371885.29+900000+11725+400000+69420+1500000</f>
        <v>24047407.629999999</v>
      </c>
      <c r="L52" s="458">
        <f>(76269610)+42800+11040-238120-4000-200000+354442+5000+2198+25240</f>
        <v>76268210</v>
      </c>
      <c r="M52" s="458">
        <f>(24386640)+42800</f>
        <v>24429440</v>
      </c>
      <c r="N52" s="458">
        <v>1771070</v>
      </c>
      <c r="O52" s="455">
        <f>(K52+1352610)+7400-6000</f>
        <v>25401417.629999999</v>
      </c>
      <c r="P52" s="325">
        <f t="shared" si="25"/>
        <v>653300579.38999999</v>
      </c>
      <c r="Q52" s="141"/>
      <c r="R52" s="26"/>
      <c r="T52" s="38"/>
    </row>
    <row r="53" spans="1:20" ht="138.75" thickTop="1" thickBot="1" x14ac:dyDescent="0.25">
      <c r="A53" s="101" t="s">
        <v>650</v>
      </c>
      <c r="B53" s="101" t="s">
        <v>651</v>
      </c>
      <c r="C53" s="101" t="s">
        <v>207</v>
      </c>
      <c r="D53" s="101" t="s">
        <v>1276</v>
      </c>
      <c r="E53" s="325">
        <f t="shared" si="27"/>
        <v>32235281</v>
      </c>
      <c r="F53" s="458">
        <f>(28544020+292110+8100+1142200+237500+2100+1338370+19817+268500+10435+41600+5920+200000+10000+10660)+103949</f>
        <v>32235281</v>
      </c>
      <c r="G53" s="458">
        <v>23779110</v>
      </c>
      <c r="H53" s="458">
        <f>1338370+19817+268500+10435</f>
        <v>1637122</v>
      </c>
      <c r="I53" s="458"/>
      <c r="J53" s="325">
        <f t="shared" si="24"/>
        <v>272150</v>
      </c>
      <c r="K53" s="458">
        <f>(0)+100000</f>
        <v>100000</v>
      </c>
      <c r="L53" s="458">
        <v>172150</v>
      </c>
      <c r="M53" s="458"/>
      <c r="N53" s="458">
        <v>80550</v>
      </c>
      <c r="O53" s="455">
        <f>K53</f>
        <v>100000</v>
      </c>
      <c r="P53" s="325">
        <f t="shared" si="25"/>
        <v>32507431</v>
      </c>
      <c r="Q53" s="20"/>
      <c r="R53" s="27"/>
    </row>
    <row r="54" spans="1:20" ht="93" thickTop="1" thickBot="1" x14ac:dyDescent="0.25">
      <c r="A54" s="101" t="s">
        <v>997</v>
      </c>
      <c r="B54" s="101" t="s">
        <v>998</v>
      </c>
      <c r="C54" s="101" t="s">
        <v>207</v>
      </c>
      <c r="D54" s="101" t="s">
        <v>1277</v>
      </c>
      <c r="E54" s="325">
        <f t="shared" si="27"/>
        <v>20548491</v>
      </c>
      <c r="F54" s="458">
        <f>(8569752+424160+12728+6393800+359900+300000+2400640+93745+970870+18800+9450+2960+200000+5000+35000)+751686</f>
        <v>20548491</v>
      </c>
      <c r="G54" s="458">
        <v>7125739</v>
      </c>
      <c r="H54" s="458">
        <f>2400640+93745+970870+18800</f>
        <v>3484055</v>
      </c>
      <c r="I54" s="458"/>
      <c r="J54" s="325">
        <f t="shared" si="24"/>
        <v>750000</v>
      </c>
      <c r="K54" s="458">
        <f>300000+250000+200000</f>
        <v>750000</v>
      </c>
      <c r="L54" s="458"/>
      <c r="M54" s="458"/>
      <c r="N54" s="458"/>
      <c r="O54" s="455">
        <f>K54</f>
        <v>750000</v>
      </c>
      <c r="P54" s="325">
        <f t="shared" si="25"/>
        <v>21298491</v>
      </c>
      <c r="Q54" s="20"/>
      <c r="R54" s="27"/>
    </row>
    <row r="55" spans="1:20" ht="48" thickTop="1" thickBot="1" x14ac:dyDescent="0.25">
      <c r="A55" s="326" t="s">
        <v>498</v>
      </c>
      <c r="B55" s="326" t="s">
        <v>205</v>
      </c>
      <c r="C55" s="326"/>
      <c r="D55" s="326" t="s">
        <v>658</v>
      </c>
      <c r="E55" s="322">
        <f>SUM(E56:E57)</f>
        <v>734225903</v>
      </c>
      <c r="F55" s="322">
        <f>SUM(F56:F57)</f>
        <v>734225903</v>
      </c>
      <c r="G55" s="322">
        <f>SUM(G56:G57)</f>
        <v>596742650</v>
      </c>
      <c r="H55" s="322">
        <f>SUM(H56:H57)</f>
        <v>0</v>
      </c>
      <c r="I55" s="322">
        <f>SUM(I56:I57)</f>
        <v>0</v>
      </c>
      <c r="J55" s="322">
        <f t="shared" ref="J55:P55" si="28">SUM(J56:J57)</f>
        <v>0</v>
      </c>
      <c r="K55" s="322">
        <f t="shared" si="28"/>
        <v>0</v>
      </c>
      <c r="L55" s="322">
        <f t="shared" si="28"/>
        <v>0</v>
      </c>
      <c r="M55" s="322">
        <f t="shared" si="28"/>
        <v>0</v>
      </c>
      <c r="N55" s="322">
        <f t="shared" si="28"/>
        <v>0</v>
      </c>
      <c r="O55" s="322">
        <f t="shared" si="28"/>
        <v>0</v>
      </c>
      <c r="P55" s="322">
        <f t="shared" si="28"/>
        <v>734225903</v>
      </c>
      <c r="Q55" s="20"/>
      <c r="R55" s="35"/>
    </row>
    <row r="56" spans="1:20" ht="93" thickTop="1" thickBot="1" x14ac:dyDescent="0.25">
      <c r="A56" s="101" t="s">
        <v>659</v>
      </c>
      <c r="B56" s="101" t="s">
        <v>660</v>
      </c>
      <c r="C56" s="101" t="s">
        <v>204</v>
      </c>
      <c r="D56" s="101" t="s">
        <v>1278</v>
      </c>
      <c r="E56" s="325">
        <f t="shared" ref="E56:E57" si="29">F56</f>
        <v>723235253</v>
      </c>
      <c r="F56" s="458">
        <v>723235253</v>
      </c>
      <c r="G56" s="458">
        <v>587733920</v>
      </c>
      <c r="H56" s="458"/>
      <c r="I56" s="458"/>
      <c r="J56" s="325">
        <f t="shared" ref="J56:J57" si="30">L56+O56</f>
        <v>0</v>
      </c>
      <c r="K56" s="458"/>
      <c r="L56" s="458"/>
      <c r="M56" s="458"/>
      <c r="N56" s="458"/>
      <c r="O56" s="455">
        <f>K56</f>
        <v>0</v>
      </c>
      <c r="P56" s="325">
        <f t="shared" ref="P56:P59" si="31">E56+J56</f>
        <v>723235253</v>
      </c>
      <c r="Q56" s="20"/>
      <c r="R56" s="30"/>
    </row>
    <row r="57" spans="1:20" ht="93" thickTop="1" thickBot="1" x14ac:dyDescent="0.25">
      <c r="A57" s="101" t="s">
        <v>1130</v>
      </c>
      <c r="B57" s="340" t="s">
        <v>1131</v>
      </c>
      <c r="C57" s="101" t="s">
        <v>207</v>
      </c>
      <c r="D57" s="101" t="s">
        <v>1279</v>
      </c>
      <c r="E57" s="325">
        <f t="shared" si="29"/>
        <v>10990650</v>
      </c>
      <c r="F57" s="543">
        <f>10990650</f>
        <v>10990650</v>
      </c>
      <c r="G57" s="543">
        <v>9008730</v>
      </c>
      <c r="H57" s="543"/>
      <c r="I57" s="543"/>
      <c r="J57" s="325">
        <f t="shared" si="30"/>
        <v>0</v>
      </c>
      <c r="K57" s="543"/>
      <c r="L57" s="543"/>
      <c r="M57" s="543"/>
      <c r="N57" s="543"/>
      <c r="O57" s="544"/>
      <c r="P57" s="325">
        <f t="shared" si="31"/>
        <v>10990650</v>
      </c>
      <c r="Q57" s="20"/>
      <c r="R57" s="30"/>
    </row>
    <row r="58" spans="1:20" ht="276" thickTop="1" thickBot="1" x14ac:dyDescent="0.25">
      <c r="A58" s="555" t="s">
        <v>930</v>
      </c>
      <c r="B58" s="555" t="s">
        <v>50</v>
      </c>
      <c r="C58" s="555"/>
      <c r="D58" s="640" t="s">
        <v>1558</v>
      </c>
      <c r="E58" s="641">
        <f t="shared" ref="E58:O58" si="32">E59</f>
        <v>128512.77</v>
      </c>
      <c r="F58" s="641">
        <f t="shared" si="32"/>
        <v>128512.77</v>
      </c>
      <c r="G58" s="641">
        <f t="shared" si="32"/>
        <v>105342.77</v>
      </c>
      <c r="H58" s="641">
        <f t="shared" si="32"/>
        <v>0</v>
      </c>
      <c r="I58" s="641">
        <f t="shared" si="32"/>
        <v>0</v>
      </c>
      <c r="J58" s="641">
        <f t="shared" si="32"/>
        <v>0</v>
      </c>
      <c r="K58" s="641">
        <f t="shared" si="32"/>
        <v>0</v>
      </c>
      <c r="L58" s="641">
        <f t="shared" si="32"/>
        <v>0</v>
      </c>
      <c r="M58" s="641">
        <f t="shared" si="32"/>
        <v>0</v>
      </c>
      <c r="N58" s="641">
        <f t="shared" si="32"/>
        <v>0</v>
      </c>
      <c r="O58" s="641">
        <f t="shared" si="32"/>
        <v>0</v>
      </c>
      <c r="P58" s="641">
        <f>E58+J58</f>
        <v>128512.77</v>
      </c>
      <c r="Q58" s="20"/>
      <c r="R58" s="30"/>
    </row>
    <row r="59" spans="1:20" ht="310.5" customHeight="1" thickTop="1" thickBot="1" x14ac:dyDescent="0.25">
      <c r="A59" s="101" t="s">
        <v>931</v>
      </c>
      <c r="B59" s="101" t="s">
        <v>932</v>
      </c>
      <c r="C59" s="101" t="s">
        <v>204</v>
      </c>
      <c r="D59" s="101" t="s">
        <v>1559</v>
      </c>
      <c r="E59" s="325">
        <f t="shared" ref="E59" si="33">F59</f>
        <v>128512.77</v>
      </c>
      <c r="F59" s="458">
        <v>128512.77</v>
      </c>
      <c r="G59" s="458">
        <v>105342.77</v>
      </c>
      <c r="H59" s="458"/>
      <c r="I59" s="458"/>
      <c r="J59" s="325">
        <f t="shared" ref="J59" si="34">L59+O59</f>
        <v>0</v>
      </c>
      <c r="K59" s="458"/>
      <c r="L59" s="458"/>
      <c r="M59" s="458"/>
      <c r="N59" s="458"/>
      <c r="O59" s="455">
        <f>K59</f>
        <v>0</v>
      </c>
      <c r="P59" s="325">
        <f t="shared" si="31"/>
        <v>128512.77</v>
      </c>
      <c r="Q59" s="20"/>
      <c r="R59" s="26"/>
    </row>
    <row r="60" spans="1:20" ht="93" thickTop="1" thickBot="1" x14ac:dyDescent="0.25">
      <c r="A60" s="101" t="s">
        <v>661</v>
      </c>
      <c r="B60" s="101" t="s">
        <v>206</v>
      </c>
      <c r="C60" s="101" t="s">
        <v>181</v>
      </c>
      <c r="D60" s="101" t="s">
        <v>499</v>
      </c>
      <c r="E60" s="325">
        <f t="shared" si="27"/>
        <v>38379360</v>
      </c>
      <c r="F60" s="458">
        <f>33713454+543690+17600+529000+174450+2166040+44713+824782+82818+13383+5450+213660+320+50000</f>
        <v>38379360</v>
      </c>
      <c r="G60" s="458">
        <v>27858536</v>
      </c>
      <c r="H60" s="458">
        <f>2166040+44713+824782+82818+13383</f>
        <v>3131736</v>
      </c>
      <c r="I60" s="458"/>
      <c r="J60" s="325">
        <f t="shared" si="24"/>
        <v>2103660</v>
      </c>
      <c r="K60" s="458">
        <f>(0)+1000000</f>
        <v>1000000</v>
      </c>
      <c r="L60" s="458">
        <v>745660</v>
      </c>
      <c r="M60" s="458">
        <v>38710</v>
      </c>
      <c r="N60" s="458">
        <v>117220</v>
      </c>
      <c r="O60" s="455">
        <f>(K60+358000)</f>
        <v>1358000</v>
      </c>
      <c r="P60" s="325">
        <f t="shared" si="25"/>
        <v>40483020</v>
      </c>
      <c r="Q60" s="20"/>
      <c r="R60" s="26"/>
    </row>
    <row r="61" spans="1:20" ht="93" thickTop="1" thickBot="1" x14ac:dyDescent="0.25">
      <c r="A61" s="326" t="s">
        <v>208</v>
      </c>
      <c r="B61" s="326" t="s">
        <v>191</v>
      </c>
      <c r="C61" s="326"/>
      <c r="D61" s="326" t="s">
        <v>500</v>
      </c>
      <c r="E61" s="322">
        <f>E62+E63</f>
        <v>192049825.50999999</v>
      </c>
      <c r="F61" s="322">
        <f t="shared" ref="F61:O61" si="35">F62+F63</f>
        <v>192049825.50999999</v>
      </c>
      <c r="G61" s="322">
        <f t="shared" si="35"/>
        <v>104778899</v>
      </c>
      <c r="H61" s="322">
        <f t="shared" si="35"/>
        <v>22961117.510000002</v>
      </c>
      <c r="I61" s="322">
        <f t="shared" si="35"/>
        <v>0</v>
      </c>
      <c r="J61" s="322">
        <f t="shared" si="35"/>
        <v>35338060</v>
      </c>
      <c r="K61" s="322">
        <f t="shared" si="35"/>
        <v>300000</v>
      </c>
      <c r="L61" s="322">
        <f t="shared" si="35"/>
        <v>34688060</v>
      </c>
      <c r="M61" s="322">
        <f t="shared" si="35"/>
        <v>11325870</v>
      </c>
      <c r="N61" s="322">
        <f t="shared" si="35"/>
        <v>10739700</v>
      </c>
      <c r="O61" s="322">
        <f t="shared" si="35"/>
        <v>650000</v>
      </c>
      <c r="P61" s="322">
        <f t="shared" si="25"/>
        <v>227387885.50999999</v>
      </c>
      <c r="Q61" s="20"/>
      <c r="R61" s="35"/>
    </row>
    <row r="62" spans="1:20" ht="93" thickTop="1" thickBot="1" x14ac:dyDescent="0.25">
      <c r="A62" s="101" t="s">
        <v>662</v>
      </c>
      <c r="B62" s="101" t="s">
        <v>663</v>
      </c>
      <c r="C62" s="101" t="s">
        <v>209</v>
      </c>
      <c r="D62" s="101" t="s">
        <v>664</v>
      </c>
      <c r="E62" s="325">
        <f t="shared" si="27"/>
        <v>166319425.50999999</v>
      </c>
      <c r="F62" s="458">
        <v>166319425.50999999</v>
      </c>
      <c r="G62" s="458">
        <v>83514099</v>
      </c>
      <c r="H62" s="458">
        <v>22961117.510000002</v>
      </c>
      <c r="I62" s="458"/>
      <c r="J62" s="325">
        <f>L62+O62</f>
        <v>35338060</v>
      </c>
      <c r="K62" s="458">
        <f>300000</f>
        <v>300000</v>
      </c>
      <c r="L62" s="458">
        <f>(34808060)-266000-58520+200000+22600-5000-13080-5000-2000+15000-8000</f>
        <v>34688060</v>
      </c>
      <c r="M62" s="458">
        <f>(11591870)-266000</f>
        <v>11325870</v>
      </c>
      <c r="N62" s="458">
        <v>10739700</v>
      </c>
      <c r="O62" s="455">
        <f>(K62+230000)+120000</f>
        <v>650000</v>
      </c>
      <c r="P62" s="325">
        <f t="shared" si="25"/>
        <v>201657485.50999999</v>
      </c>
      <c r="Q62" s="20"/>
      <c r="R62" s="26"/>
    </row>
    <row r="63" spans="1:20" ht="93" thickTop="1" thickBot="1" x14ac:dyDescent="0.25">
      <c r="A63" s="101" t="s">
        <v>666</v>
      </c>
      <c r="B63" s="101" t="s">
        <v>665</v>
      </c>
      <c r="C63" s="101" t="s">
        <v>209</v>
      </c>
      <c r="D63" s="101" t="s">
        <v>667</v>
      </c>
      <c r="E63" s="325">
        <f t="shared" si="27"/>
        <v>25730400</v>
      </c>
      <c r="F63" s="458">
        <f>25730400</f>
        <v>25730400</v>
      </c>
      <c r="G63" s="458">
        <v>21264800</v>
      </c>
      <c r="H63" s="458"/>
      <c r="I63" s="458"/>
      <c r="J63" s="325">
        <f>L63+O63</f>
        <v>0</v>
      </c>
      <c r="K63" s="458"/>
      <c r="L63" s="458"/>
      <c r="M63" s="458"/>
      <c r="N63" s="458"/>
      <c r="O63" s="455"/>
      <c r="P63" s="325">
        <f t="shared" si="25"/>
        <v>25730400</v>
      </c>
      <c r="Q63" s="20"/>
      <c r="R63" s="30"/>
    </row>
    <row r="64" spans="1:20" ht="48" thickTop="1" thickBot="1" x14ac:dyDescent="0.25">
      <c r="A64" s="326" t="s">
        <v>669</v>
      </c>
      <c r="B64" s="326" t="s">
        <v>668</v>
      </c>
      <c r="C64" s="326"/>
      <c r="D64" s="326" t="s">
        <v>670</v>
      </c>
      <c r="E64" s="322">
        <f>E65+E66</f>
        <v>28140254</v>
      </c>
      <c r="F64" s="322">
        <f t="shared" ref="F64:O64" si="36">F65+F66</f>
        <v>28140254</v>
      </c>
      <c r="G64" s="322">
        <f t="shared" si="36"/>
        <v>18564976</v>
      </c>
      <c r="H64" s="322">
        <f t="shared" si="36"/>
        <v>1790626</v>
      </c>
      <c r="I64" s="322">
        <f t="shared" si="36"/>
        <v>0</v>
      </c>
      <c r="J64" s="322">
        <f t="shared" si="36"/>
        <v>651840.00000000012</v>
      </c>
      <c r="K64" s="322">
        <f t="shared" si="36"/>
        <v>440000.00000000012</v>
      </c>
      <c r="L64" s="322">
        <f t="shared" si="36"/>
        <v>211840</v>
      </c>
      <c r="M64" s="322">
        <f t="shared" si="36"/>
        <v>0</v>
      </c>
      <c r="N64" s="322">
        <f t="shared" si="36"/>
        <v>0</v>
      </c>
      <c r="O64" s="322">
        <f t="shared" si="36"/>
        <v>440000.00000000012</v>
      </c>
      <c r="P64" s="322">
        <f>E64+J64</f>
        <v>28792094</v>
      </c>
      <c r="Q64" s="20"/>
      <c r="R64" s="35"/>
    </row>
    <row r="65" spans="1:18" ht="48" thickTop="1" thickBot="1" x14ac:dyDescent="0.25">
      <c r="A65" s="101" t="s">
        <v>671</v>
      </c>
      <c r="B65" s="101" t="s">
        <v>672</v>
      </c>
      <c r="C65" s="101" t="s">
        <v>210</v>
      </c>
      <c r="D65" s="101" t="s">
        <v>501</v>
      </c>
      <c r="E65" s="325">
        <f>F65</f>
        <v>27605954</v>
      </c>
      <c r="F65" s="458">
        <f>((19846132+754290+2035+1354150+1028432+15761+726715+19718+1550+100000)+2560000+98632+1042739)+55800</f>
        <v>27605954</v>
      </c>
      <c r="G65" s="458">
        <f>(16464976)+2100000</f>
        <v>18564976</v>
      </c>
      <c r="H65" s="458">
        <f>1028432+15761+726715+19718</f>
        <v>1790626</v>
      </c>
      <c r="I65" s="458"/>
      <c r="J65" s="325">
        <f>L65+O65</f>
        <v>651840.00000000012</v>
      </c>
      <c r="K65" s="458">
        <f>(300000)+1133704.59-993704.59</f>
        <v>440000.00000000012</v>
      </c>
      <c r="L65" s="458">
        <v>211840</v>
      </c>
      <c r="M65" s="458"/>
      <c r="N65" s="458"/>
      <c r="O65" s="455">
        <f>K65</f>
        <v>440000.00000000012</v>
      </c>
      <c r="P65" s="325">
        <f>E65+J65</f>
        <v>28257794</v>
      </c>
      <c r="Q65" s="20"/>
      <c r="R65" s="30"/>
    </row>
    <row r="66" spans="1:18" ht="48" thickTop="1" thickBot="1" x14ac:dyDescent="0.25">
      <c r="A66" s="101" t="s">
        <v>673</v>
      </c>
      <c r="B66" s="101" t="s">
        <v>674</v>
      </c>
      <c r="C66" s="101" t="s">
        <v>210</v>
      </c>
      <c r="D66" s="101" t="s">
        <v>337</v>
      </c>
      <c r="E66" s="325">
        <f>F66</f>
        <v>534300</v>
      </c>
      <c r="F66" s="458">
        <v>534300</v>
      </c>
      <c r="G66" s="458"/>
      <c r="H66" s="458"/>
      <c r="I66" s="458"/>
      <c r="J66" s="325">
        <f>L66+O66</f>
        <v>0</v>
      </c>
      <c r="K66" s="458"/>
      <c r="L66" s="458"/>
      <c r="M66" s="458"/>
      <c r="N66" s="458"/>
      <c r="O66" s="455">
        <f>K66</f>
        <v>0</v>
      </c>
      <c r="P66" s="325">
        <f>E66+J66</f>
        <v>534300</v>
      </c>
      <c r="Q66" s="20"/>
      <c r="R66" s="30"/>
    </row>
    <row r="67" spans="1:18" ht="48" thickTop="1" thickBot="1" x14ac:dyDescent="0.25">
      <c r="A67" s="326" t="s">
        <v>675</v>
      </c>
      <c r="B67" s="326" t="s">
        <v>676</v>
      </c>
      <c r="C67" s="326"/>
      <c r="D67" s="326" t="s">
        <v>429</v>
      </c>
      <c r="E67" s="322">
        <f>E68+E69</f>
        <v>6041423</v>
      </c>
      <c r="F67" s="322">
        <f>F68+F69</f>
        <v>6041423</v>
      </c>
      <c r="G67" s="322">
        <f t="shared" ref="G67:O67" si="37">G68+G69</f>
        <v>4611970</v>
      </c>
      <c r="H67" s="322">
        <f t="shared" si="37"/>
        <v>156942</v>
      </c>
      <c r="I67" s="322">
        <f t="shared" si="37"/>
        <v>0</v>
      </c>
      <c r="J67" s="322">
        <f t="shared" si="37"/>
        <v>0</v>
      </c>
      <c r="K67" s="322">
        <f t="shared" si="37"/>
        <v>0</v>
      </c>
      <c r="L67" s="322">
        <f t="shared" si="37"/>
        <v>0</v>
      </c>
      <c r="M67" s="322">
        <f t="shared" si="37"/>
        <v>0</v>
      </c>
      <c r="N67" s="322">
        <f t="shared" si="37"/>
        <v>0</v>
      </c>
      <c r="O67" s="322">
        <f t="shared" si="37"/>
        <v>0</v>
      </c>
      <c r="P67" s="322">
        <f>E67+J67</f>
        <v>6041423</v>
      </c>
      <c r="Q67" s="20"/>
      <c r="R67" s="35"/>
    </row>
    <row r="68" spans="1:18" ht="93" thickTop="1" thickBot="1" x14ac:dyDescent="0.25">
      <c r="A68" s="101" t="s">
        <v>677</v>
      </c>
      <c r="B68" s="101" t="s">
        <v>678</v>
      </c>
      <c r="C68" s="101" t="s">
        <v>210</v>
      </c>
      <c r="D68" s="101" t="s">
        <v>679</v>
      </c>
      <c r="E68" s="325">
        <f>F68</f>
        <v>1114123</v>
      </c>
      <c r="F68" s="458">
        <f>694997+184000+3254+67900+5480+126800+3835+24307+2000+1550</f>
        <v>1114123</v>
      </c>
      <c r="G68" s="458">
        <v>573200</v>
      </c>
      <c r="H68" s="458">
        <f>126800+3835+24307+2000</f>
        <v>156942</v>
      </c>
      <c r="I68" s="458"/>
      <c r="J68" s="325">
        <f>L68+O68</f>
        <v>0</v>
      </c>
      <c r="K68" s="458"/>
      <c r="L68" s="458"/>
      <c r="M68" s="458"/>
      <c r="N68" s="458"/>
      <c r="O68" s="455">
        <f>K68</f>
        <v>0</v>
      </c>
      <c r="P68" s="325">
        <f>E68+J68</f>
        <v>1114123</v>
      </c>
      <c r="Q68" s="20"/>
      <c r="R68" s="26"/>
    </row>
    <row r="69" spans="1:18" ht="93" thickTop="1" thickBot="1" x14ac:dyDescent="0.25">
      <c r="A69" s="101" t="s">
        <v>680</v>
      </c>
      <c r="B69" s="101" t="s">
        <v>681</v>
      </c>
      <c r="C69" s="101" t="s">
        <v>210</v>
      </c>
      <c r="D69" s="101" t="s">
        <v>682</v>
      </c>
      <c r="E69" s="325">
        <f>F69</f>
        <v>4927300</v>
      </c>
      <c r="F69" s="458">
        <f>4927300</f>
        <v>4927300</v>
      </c>
      <c r="G69" s="458">
        <v>4038770</v>
      </c>
      <c r="H69" s="458"/>
      <c r="I69" s="458"/>
      <c r="J69" s="325">
        <f t="shared" ref="J69:J70" si="38">L69+O69</f>
        <v>0</v>
      </c>
      <c r="K69" s="458"/>
      <c r="L69" s="458"/>
      <c r="M69" s="458"/>
      <c r="N69" s="458"/>
      <c r="O69" s="455">
        <f t="shared" ref="O69:O70" si="39">K69</f>
        <v>0</v>
      </c>
      <c r="P69" s="325">
        <f t="shared" ref="P69:P76" si="40">E69+J69</f>
        <v>4927300</v>
      </c>
      <c r="Q69" s="20"/>
      <c r="R69" s="30"/>
    </row>
    <row r="70" spans="1:18" ht="93" thickTop="1" thickBot="1" x14ac:dyDescent="0.25">
      <c r="A70" s="101" t="s">
        <v>647</v>
      </c>
      <c r="B70" s="101" t="s">
        <v>648</v>
      </c>
      <c r="C70" s="101" t="s">
        <v>210</v>
      </c>
      <c r="D70" s="101" t="s">
        <v>649</v>
      </c>
      <c r="E70" s="325">
        <f t="shared" ref="E70:E94" si="41">F70</f>
        <v>4021213</v>
      </c>
      <c r="F70" s="458">
        <f>3648277+246000+47200+10970+37890+5200+24476+800+400</f>
        <v>4021213</v>
      </c>
      <c r="G70" s="458">
        <v>2990391</v>
      </c>
      <c r="H70" s="458">
        <f>37890+5200+24476+800</f>
        <v>68366</v>
      </c>
      <c r="I70" s="458"/>
      <c r="J70" s="325">
        <f t="shared" si="38"/>
        <v>0</v>
      </c>
      <c r="K70" s="458"/>
      <c r="L70" s="458"/>
      <c r="M70" s="458"/>
      <c r="N70" s="458"/>
      <c r="O70" s="455">
        <f t="shared" si="39"/>
        <v>0</v>
      </c>
      <c r="P70" s="325">
        <f t="shared" si="40"/>
        <v>4021213</v>
      </c>
      <c r="Q70" s="20"/>
      <c r="R70" s="26"/>
    </row>
    <row r="71" spans="1:18" s="33" customFormat="1" ht="93" hidden="1" thickTop="1" thickBot="1" x14ac:dyDescent="0.25">
      <c r="A71" s="142" t="s">
        <v>652</v>
      </c>
      <c r="B71" s="142" t="s">
        <v>653</v>
      </c>
      <c r="C71" s="142"/>
      <c r="D71" s="142" t="s">
        <v>654</v>
      </c>
      <c r="E71" s="143">
        <f t="shared" si="41"/>
        <v>0</v>
      </c>
      <c r="F71" s="143">
        <f>SUM(F72:F73)</f>
        <v>0</v>
      </c>
      <c r="G71" s="143">
        <f t="shared" ref="G71:I71" si="42">SUM(G72:G73)</f>
        <v>0</v>
      </c>
      <c r="H71" s="143">
        <f t="shared" si="42"/>
        <v>0</v>
      </c>
      <c r="I71" s="143">
        <f t="shared" si="42"/>
        <v>0</v>
      </c>
      <c r="J71" s="143">
        <f t="shared" si="24"/>
        <v>0</v>
      </c>
      <c r="K71" s="139">
        <f>SUM(K72:K73)</f>
        <v>0</v>
      </c>
      <c r="L71" s="143">
        <f t="shared" ref="L71:N71" si="43">SUM(L72:L73)</f>
        <v>0</v>
      </c>
      <c r="M71" s="143">
        <f t="shared" si="43"/>
        <v>0</v>
      </c>
      <c r="N71" s="143">
        <f t="shared" si="43"/>
        <v>0</v>
      </c>
      <c r="O71" s="143">
        <f>SUM(O72:O73)</f>
        <v>0</v>
      </c>
      <c r="P71" s="143">
        <f t="shared" si="40"/>
        <v>0</v>
      </c>
      <c r="Q71" s="36"/>
      <c r="R71" s="37"/>
    </row>
    <row r="72" spans="1:18" s="33" customFormat="1" ht="138.75" hidden="1" thickTop="1" thickBot="1" x14ac:dyDescent="0.25">
      <c r="A72" s="41" t="s">
        <v>655</v>
      </c>
      <c r="B72" s="41" t="s">
        <v>656</v>
      </c>
      <c r="C72" s="41" t="s">
        <v>210</v>
      </c>
      <c r="D72" s="41" t="s">
        <v>657</v>
      </c>
      <c r="E72" s="42">
        <f t="shared" si="41"/>
        <v>0</v>
      </c>
      <c r="F72" s="43"/>
      <c r="G72" s="43"/>
      <c r="H72" s="43"/>
      <c r="I72" s="43"/>
      <c r="J72" s="42">
        <f t="shared" si="24"/>
        <v>0</v>
      </c>
      <c r="K72" s="132"/>
      <c r="L72" s="43"/>
      <c r="M72" s="43"/>
      <c r="N72" s="43"/>
      <c r="O72" s="44">
        <f t="shared" ref="O72:O73" si="44">K72</f>
        <v>0</v>
      </c>
      <c r="P72" s="42">
        <f t="shared" si="40"/>
        <v>0</v>
      </c>
      <c r="Q72" s="36"/>
      <c r="R72" s="26"/>
    </row>
    <row r="73" spans="1:18" s="33" customFormat="1" ht="138.75" hidden="1" thickTop="1" thickBot="1" x14ac:dyDescent="0.25">
      <c r="A73" s="41" t="s">
        <v>980</v>
      </c>
      <c r="B73" s="41" t="s">
        <v>981</v>
      </c>
      <c r="C73" s="41" t="s">
        <v>210</v>
      </c>
      <c r="D73" s="41" t="s">
        <v>982</v>
      </c>
      <c r="E73" s="42">
        <f t="shared" si="41"/>
        <v>0</v>
      </c>
      <c r="F73" s="43"/>
      <c r="G73" s="43"/>
      <c r="H73" s="43"/>
      <c r="I73" s="43"/>
      <c r="J73" s="42">
        <f t="shared" si="24"/>
        <v>0</v>
      </c>
      <c r="K73" s="132"/>
      <c r="L73" s="43"/>
      <c r="M73" s="43"/>
      <c r="N73" s="43"/>
      <c r="O73" s="44">
        <f t="shared" si="44"/>
        <v>0</v>
      </c>
      <c r="P73" s="42">
        <f t="shared" si="40"/>
        <v>0</v>
      </c>
      <c r="Q73" s="36"/>
      <c r="R73" s="26"/>
    </row>
    <row r="74" spans="1:18" s="33" customFormat="1" ht="184.5" hidden="1" thickTop="1" thickBot="1" x14ac:dyDescent="0.25">
      <c r="A74" s="142" t="s">
        <v>999</v>
      </c>
      <c r="B74" s="142" t="s">
        <v>1001</v>
      </c>
      <c r="C74" s="142"/>
      <c r="D74" s="142" t="s">
        <v>1003</v>
      </c>
      <c r="E74" s="143">
        <f>E75+E76</f>
        <v>0</v>
      </c>
      <c r="F74" s="143">
        <f>F75+F76</f>
        <v>0</v>
      </c>
      <c r="G74" s="143">
        <f t="shared" ref="G74:I74" si="45">G75+G76</f>
        <v>0</v>
      </c>
      <c r="H74" s="143">
        <f t="shared" si="45"/>
        <v>0</v>
      </c>
      <c r="I74" s="143">
        <f t="shared" si="45"/>
        <v>0</v>
      </c>
      <c r="J74" s="143">
        <f>L74+O74</f>
        <v>0</v>
      </c>
      <c r="K74" s="139">
        <f t="shared" ref="K74:O74" si="46">K75+K76</f>
        <v>0</v>
      </c>
      <c r="L74" s="143">
        <f t="shared" si="46"/>
        <v>0</v>
      </c>
      <c r="M74" s="143">
        <f t="shared" si="46"/>
        <v>0</v>
      </c>
      <c r="N74" s="143">
        <f t="shared" si="46"/>
        <v>0</v>
      </c>
      <c r="O74" s="143">
        <f t="shared" si="46"/>
        <v>0</v>
      </c>
      <c r="P74" s="143">
        <f t="shared" si="40"/>
        <v>0</v>
      </c>
      <c r="Q74" s="36"/>
      <c r="R74" s="26"/>
    </row>
    <row r="75" spans="1:18" s="33" customFormat="1" ht="230.25" hidden="1" thickTop="1" thickBot="1" x14ac:dyDescent="0.25">
      <c r="A75" s="41" t="s">
        <v>1000</v>
      </c>
      <c r="B75" s="41" t="s">
        <v>1002</v>
      </c>
      <c r="C75" s="41" t="s">
        <v>210</v>
      </c>
      <c r="D75" s="41" t="s">
        <v>1004</v>
      </c>
      <c r="E75" s="42">
        <f t="shared" ref="E75:E76" si="47">F75</f>
        <v>0</v>
      </c>
      <c r="F75" s="43"/>
      <c r="G75" s="43"/>
      <c r="H75" s="43"/>
      <c r="I75" s="43"/>
      <c r="J75" s="42">
        <f t="shared" ref="J75:J76" si="48">L75+O75</f>
        <v>0</v>
      </c>
      <c r="K75" s="132">
        <f>4547046.18-4547046.18</f>
        <v>0</v>
      </c>
      <c r="L75" s="43"/>
      <c r="M75" s="43"/>
      <c r="N75" s="43"/>
      <c r="O75" s="44">
        <f t="shared" ref="O75:O76" si="49">K75</f>
        <v>0</v>
      </c>
      <c r="P75" s="42">
        <f t="shared" si="40"/>
        <v>0</v>
      </c>
      <c r="Q75" s="36"/>
      <c r="R75" s="26"/>
    </row>
    <row r="76" spans="1:18" s="33" customFormat="1" ht="46.5" hidden="1" thickTop="1" thickBot="1" x14ac:dyDescent="0.25">
      <c r="A76" s="770" t="s">
        <v>1018</v>
      </c>
      <c r="B76" s="770" t="s">
        <v>1019</v>
      </c>
      <c r="C76" s="770" t="s">
        <v>210</v>
      </c>
      <c r="D76" s="770" t="s">
        <v>1020</v>
      </c>
      <c r="E76" s="772">
        <f t="shared" si="47"/>
        <v>0</v>
      </c>
      <c r="F76" s="772"/>
      <c r="G76" s="772"/>
      <c r="H76" s="772"/>
      <c r="I76" s="772"/>
      <c r="J76" s="772">
        <f t="shared" si="48"/>
        <v>0</v>
      </c>
      <c r="K76" s="786">
        <f>10623233.82-10623233.82</f>
        <v>0</v>
      </c>
      <c r="L76" s="772"/>
      <c r="M76" s="772"/>
      <c r="N76" s="772"/>
      <c r="O76" s="790">
        <f t="shared" si="49"/>
        <v>0</v>
      </c>
      <c r="P76" s="772">
        <f t="shared" si="40"/>
        <v>0</v>
      </c>
      <c r="Q76" s="36"/>
      <c r="R76" s="26"/>
    </row>
    <row r="77" spans="1:18" s="33" customFormat="1" ht="46.5" hidden="1" thickTop="1" thickBot="1" x14ac:dyDescent="0.25">
      <c r="A77" s="771"/>
      <c r="B77" s="771"/>
      <c r="C77" s="771"/>
      <c r="D77" s="771"/>
      <c r="E77" s="771"/>
      <c r="F77" s="771"/>
      <c r="G77" s="771"/>
      <c r="H77" s="771"/>
      <c r="I77" s="771"/>
      <c r="J77" s="771"/>
      <c r="K77" s="787"/>
      <c r="L77" s="771"/>
      <c r="M77" s="771"/>
      <c r="N77" s="771"/>
      <c r="O77" s="771"/>
      <c r="P77" s="771"/>
      <c r="Q77" s="36"/>
      <c r="R77" s="26"/>
    </row>
    <row r="78" spans="1:18" s="33" customFormat="1" ht="138.75" thickTop="1" thickBot="1" x14ac:dyDescent="0.25">
      <c r="A78" s="101" t="s">
        <v>644</v>
      </c>
      <c r="B78" s="101" t="s">
        <v>645</v>
      </c>
      <c r="C78" s="101" t="s">
        <v>210</v>
      </c>
      <c r="D78" s="101" t="s">
        <v>646</v>
      </c>
      <c r="E78" s="325">
        <f t="shared" si="41"/>
        <v>3668858</v>
      </c>
      <c r="F78" s="458">
        <v>3668858</v>
      </c>
      <c r="G78" s="458">
        <v>3007261</v>
      </c>
      <c r="H78" s="458"/>
      <c r="I78" s="458"/>
      <c r="J78" s="325">
        <f t="shared" ref="J78:J79" si="50">L78+O78</f>
        <v>0</v>
      </c>
      <c r="K78" s="458"/>
      <c r="L78" s="458"/>
      <c r="M78" s="458"/>
      <c r="N78" s="458"/>
      <c r="O78" s="455">
        <f t="shared" ref="O78:O79" si="51">K78</f>
        <v>0</v>
      </c>
      <c r="P78" s="325">
        <f t="shared" ref="P78:P79" si="52">E78+J78</f>
        <v>3668858</v>
      </c>
      <c r="Q78" s="36"/>
      <c r="R78" s="26"/>
    </row>
    <row r="79" spans="1:18" s="33" customFormat="1" ht="160.5" customHeight="1" thickTop="1" thickBot="1" x14ac:dyDescent="0.25">
      <c r="A79" s="101" t="s">
        <v>941</v>
      </c>
      <c r="B79" s="101" t="s">
        <v>942</v>
      </c>
      <c r="C79" s="101" t="s">
        <v>210</v>
      </c>
      <c r="D79" s="101" t="s">
        <v>1447</v>
      </c>
      <c r="E79" s="325">
        <f t="shared" si="41"/>
        <v>532739</v>
      </c>
      <c r="F79" s="458">
        <v>532739</v>
      </c>
      <c r="G79" s="458">
        <v>436671</v>
      </c>
      <c r="H79" s="458"/>
      <c r="I79" s="458"/>
      <c r="J79" s="325">
        <f t="shared" si="50"/>
        <v>0</v>
      </c>
      <c r="K79" s="458">
        <v>0</v>
      </c>
      <c r="L79" s="458"/>
      <c r="M79" s="458"/>
      <c r="N79" s="458"/>
      <c r="O79" s="455">
        <f t="shared" si="51"/>
        <v>0</v>
      </c>
      <c r="P79" s="325">
        <f t="shared" si="52"/>
        <v>532739</v>
      </c>
      <c r="Q79" s="36"/>
      <c r="R79" s="26"/>
    </row>
    <row r="80" spans="1:18" s="33" customFormat="1" ht="93" thickTop="1" thickBot="1" x14ac:dyDescent="0.25">
      <c r="A80" s="326" t="s">
        <v>1005</v>
      </c>
      <c r="B80" s="326" t="s">
        <v>1007</v>
      </c>
      <c r="C80" s="326"/>
      <c r="D80" s="326" t="s">
        <v>1439</v>
      </c>
      <c r="E80" s="322">
        <f>F80</f>
        <v>0</v>
      </c>
      <c r="F80" s="322">
        <f>SUM(F81:F82)</f>
        <v>0</v>
      </c>
      <c r="G80" s="322">
        <f>SUM(G81:G82)</f>
        <v>0</v>
      </c>
      <c r="H80" s="322">
        <f>SUM(H81:H82)</f>
        <v>0</v>
      </c>
      <c r="I80" s="322">
        <f>SUM(I81:I82)</f>
        <v>0</v>
      </c>
      <c r="J80" s="322">
        <f>L80+O80</f>
        <v>14416500</v>
      </c>
      <c r="K80" s="322">
        <f>SUM(K81:K82)</f>
        <v>14416500</v>
      </c>
      <c r="L80" s="322">
        <f>SUM(L81:L82)</f>
        <v>0</v>
      </c>
      <c r="M80" s="322">
        <f>SUM(M81:M82)</f>
        <v>0</v>
      </c>
      <c r="N80" s="322">
        <f>SUM(N81:N82)</f>
        <v>0</v>
      </c>
      <c r="O80" s="322">
        <f>SUM(O81:O82)</f>
        <v>14416500</v>
      </c>
      <c r="P80" s="322">
        <f>E80+J80</f>
        <v>14416500</v>
      </c>
      <c r="Q80" s="36"/>
      <c r="R80" s="26"/>
    </row>
    <row r="81" spans="1:18" s="33" customFormat="1" ht="189" customHeight="1" thickTop="1" thickBot="1" x14ac:dyDescent="0.25">
      <c r="A81" s="101" t="s">
        <v>1006</v>
      </c>
      <c r="B81" s="101" t="s">
        <v>1008</v>
      </c>
      <c r="C81" s="101" t="s">
        <v>210</v>
      </c>
      <c r="D81" s="101" t="s">
        <v>1251</v>
      </c>
      <c r="E81" s="325">
        <f>F81</f>
        <v>0</v>
      </c>
      <c r="F81" s="458"/>
      <c r="G81" s="458"/>
      <c r="H81" s="458"/>
      <c r="I81" s="458"/>
      <c r="J81" s="325">
        <f t="shared" ref="J81:J82" si="53">L81+O81</f>
        <v>5766600</v>
      </c>
      <c r="K81" s="458">
        <v>5766600</v>
      </c>
      <c r="L81" s="458"/>
      <c r="M81" s="458"/>
      <c r="N81" s="458"/>
      <c r="O81" s="455">
        <f t="shared" ref="O81:O82" si="54">K81</f>
        <v>5766600</v>
      </c>
      <c r="P81" s="325">
        <f>E81+J81</f>
        <v>5766600</v>
      </c>
      <c r="Q81" s="36"/>
      <c r="R81" s="26"/>
    </row>
    <row r="82" spans="1:18" s="33" customFormat="1" ht="176.25" customHeight="1" thickTop="1" thickBot="1" x14ac:dyDescent="0.25">
      <c r="A82" s="101" t="s">
        <v>1049</v>
      </c>
      <c r="B82" s="101" t="s">
        <v>1050</v>
      </c>
      <c r="C82" s="101" t="s">
        <v>210</v>
      </c>
      <c r="D82" s="101" t="s">
        <v>1595</v>
      </c>
      <c r="E82" s="325">
        <f>F82</f>
        <v>0</v>
      </c>
      <c r="F82" s="458">
        <f>(553900)-553900</f>
        <v>0</v>
      </c>
      <c r="G82" s="458"/>
      <c r="H82" s="458"/>
      <c r="I82" s="458"/>
      <c r="J82" s="325">
        <f t="shared" si="53"/>
        <v>8649900</v>
      </c>
      <c r="K82" s="458">
        <v>8649900</v>
      </c>
      <c r="L82" s="458"/>
      <c r="M82" s="458"/>
      <c r="N82" s="458"/>
      <c r="O82" s="455">
        <f t="shared" si="54"/>
        <v>8649900</v>
      </c>
      <c r="P82" s="325">
        <f>E82+J82</f>
        <v>8649900</v>
      </c>
      <c r="Q82" s="36"/>
      <c r="R82" s="26"/>
    </row>
    <row r="83" spans="1:18" s="33" customFormat="1" ht="114.75" customHeight="1" thickTop="1" thickBot="1" x14ac:dyDescent="0.25">
      <c r="A83" s="326" t="s">
        <v>1390</v>
      </c>
      <c r="B83" s="326" t="s">
        <v>1391</v>
      </c>
      <c r="C83" s="326"/>
      <c r="D83" s="326" t="s">
        <v>1547</v>
      </c>
      <c r="E83" s="322">
        <f>SUM(E84:E85)</f>
        <v>0</v>
      </c>
      <c r="F83" s="322">
        <f t="shared" ref="F83:P83" si="55">SUM(F84:F85)</f>
        <v>0</v>
      </c>
      <c r="G83" s="322">
        <f t="shared" si="55"/>
        <v>0</v>
      </c>
      <c r="H83" s="322">
        <f t="shared" si="55"/>
        <v>0</v>
      </c>
      <c r="I83" s="322">
        <f t="shared" si="55"/>
        <v>0</v>
      </c>
      <c r="J83" s="322">
        <f t="shared" si="55"/>
        <v>27000000</v>
      </c>
      <c r="K83" s="322">
        <f t="shared" si="55"/>
        <v>27000000</v>
      </c>
      <c r="L83" s="322">
        <f t="shared" si="55"/>
        <v>0</v>
      </c>
      <c r="M83" s="322">
        <f t="shared" si="55"/>
        <v>0</v>
      </c>
      <c r="N83" s="322">
        <f t="shared" si="55"/>
        <v>0</v>
      </c>
      <c r="O83" s="322">
        <f t="shared" si="55"/>
        <v>27000000</v>
      </c>
      <c r="P83" s="322">
        <f t="shared" si="55"/>
        <v>27000000</v>
      </c>
      <c r="Q83" s="36"/>
      <c r="R83" s="26"/>
    </row>
    <row r="84" spans="1:18" s="33" customFormat="1" ht="163.5" customHeight="1" thickTop="1" thickBot="1" x14ac:dyDescent="0.25">
      <c r="A84" s="101" t="s">
        <v>1392</v>
      </c>
      <c r="B84" s="101" t="s">
        <v>1393</v>
      </c>
      <c r="C84" s="101" t="s">
        <v>210</v>
      </c>
      <c r="D84" s="101" t="s">
        <v>1548</v>
      </c>
      <c r="E84" s="325">
        <f>F84</f>
        <v>0</v>
      </c>
      <c r="F84" s="458"/>
      <c r="G84" s="458"/>
      <c r="H84" s="458"/>
      <c r="I84" s="458"/>
      <c r="J84" s="325">
        <f t="shared" ref="J84:J85" si="56">L84+O84</f>
        <v>27000000</v>
      </c>
      <c r="K84" s="458">
        <f>((5000000)+10000000)+12000000</f>
        <v>27000000</v>
      </c>
      <c r="L84" s="458"/>
      <c r="M84" s="458"/>
      <c r="N84" s="458"/>
      <c r="O84" s="455">
        <f t="shared" ref="O84:O85" si="57">K84</f>
        <v>27000000</v>
      </c>
      <c r="P84" s="325">
        <f>E84+J84</f>
        <v>27000000</v>
      </c>
      <c r="Q84" s="36"/>
      <c r="R84" s="26"/>
    </row>
    <row r="85" spans="1:18" s="33" customFormat="1" ht="138.75" hidden="1" thickTop="1" thickBot="1" x14ac:dyDescent="0.25">
      <c r="A85" s="126" t="s">
        <v>1394</v>
      </c>
      <c r="B85" s="126" t="s">
        <v>1395</v>
      </c>
      <c r="C85" s="126" t="s">
        <v>210</v>
      </c>
      <c r="D85" s="126" t="s">
        <v>1396</v>
      </c>
      <c r="E85" s="125">
        <f>F85</f>
        <v>0</v>
      </c>
      <c r="F85" s="132"/>
      <c r="G85" s="132"/>
      <c r="H85" s="132"/>
      <c r="I85" s="132"/>
      <c r="J85" s="125">
        <f t="shared" si="56"/>
        <v>0</v>
      </c>
      <c r="K85" s="132"/>
      <c r="L85" s="132"/>
      <c r="M85" s="132"/>
      <c r="N85" s="132"/>
      <c r="O85" s="130">
        <f t="shared" si="57"/>
        <v>0</v>
      </c>
      <c r="P85" s="125">
        <f>E85+J85</f>
        <v>0</v>
      </c>
      <c r="Q85" s="36"/>
      <c r="R85" s="26"/>
    </row>
    <row r="86" spans="1:18" s="33" customFormat="1" ht="138.75" hidden="1" thickTop="1" thickBot="1" x14ac:dyDescent="0.25">
      <c r="A86" s="138" t="s">
        <v>1460</v>
      </c>
      <c r="B86" s="138" t="s">
        <v>1459</v>
      </c>
      <c r="C86" s="138"/>
      <c r="D86" s="138" t="s">
        <v>1461</v>
      </c>
      <c r="E86" s="139">
        <f>SUM(E87:E88)</f>
        <v>0</v>
      </c>
      <c r="F86" s="139">
        <f t="shared" ref="F86:O86" si="58">SUM(F87:F88)</f>
        <v>0</v>
      </c>
      <c r="G86" s="139">
        <f t="shared" si="58"/>
        <v>0</v>
      </c>
      <c r="H86" s="139">
        <f t="shared" si="58"/>
        <v>0</v>
      </c>
      <c r="I86" s="139">
        <f t="shared" si="58"/>
        <v>0</v>
      </c>
      <c r="J86" s="139">
        <f t="shared" si="58"/>
        <v>0</v>
      </c>
      <c r="K86" s="139">
        <f t="shared" si="58"/>
        <v>0</v>
      </c>
      <c r="L86" s="139">
        <f t="shared" si="58"/>
        <v>0</v>
      </c>
      <c r="M86" s="139">
        <f t="shared" si="58"/>
        <v>0</v>
      </c>
      <c r="N86" s="139">
        <f t="shared" si="58"/>
        <v>0</v>
      </c>
      <c r="O86" s="139">
        <f t="shared" si="58"/>
        <v>0</v>
      </c>
      <c r="P86" s="139">
        <f>SUM(P87:P88)</f>
        <v>0</v>
      </c>
      <c r="Q86" s="36"/>
      <c r="R86" s="26"/>
    </row>
    <row r="87" spans="1:18" s="33" customFormat="1" ht="93" hidden="1" thickTop="1" thickBot="1" x14ac:dyDescent="0.25">
      <c r="A87" s="126" t="s">
        <v>1462</v>
      </c>
      <c r="B87" s="126" t="s">
        <v>1463</v>
      </c>
      <c r="C87" s="126" t="s">
        <v>210</v>
      </c>
      <c r="D87" s="126" t="s">
        <v>1467</v>
      </c>
      <c r="E87" s="125">
        <f t="shared" ref="E87:E88" si="59">F87</f>
        <v>0</v>
      </c>
      <c r="F87" s="132">
        <v>0</v>
      </c>
      <c r="G87" s="132"/>
      <c r="H87" s="132"/>
      <c r="I87" s="132"/>
      <c r="J87" s="125">
        <f t="shared" ref="J87:J88" si="60">L87+O87</f>
        <v>0</v>
      </c>
      <c r="K87" s="132"/>
      <c r="L87" s="132"/>
      <c r="M87" s="132"/>
      <c r="N87" s="132"/>
      <c r="O87" s="130">
        <f t="shared" ref="O87" si="61">K87</f>
        <v>0</v>
      </c>
      <c r="P87" s="125">
        <f t="shared" ref="P87:P88" si="62">E87+J87</f>
        <v>0</v>
      </c>
      <c r="Q87" s="36"/>
      <c r="R87" s="26"/>
    </row>
    <row r="88" spans="1:18" s="33" customFormat="1" ht="138.75" hidden="1" thickTop="1" thickBot="1" x14ac:dyDescent="0.25">
      <c r="A88" s="126" t="s">
        <v>1464</v>
      </c>
      <c r="B88" s="126" t="s">
        <v>1465</v>
      </c>
      <c r="C88" s="126" t="s">
        <v>210</v>
      </c>
      <c r="D88" s="126" t="s">
        <v>1466</v>
      </c>
      <c r="E88" s="125">
        <f t="shared" si="59"/>
        <v>0</v>
      </c>
      <c r="F88" s="132"/>
      <c r="G88" s="132"/>
      <c r="H88" s="132"/>
      <c r="I88" s="132"/>
      <c r="J88" s="125">
        <f t="shared" si="60"/>
        <v>0</v>
      </c>
      <c r="K88" s="132"/>
      <c r="L88" s="132"/>
      <c r="M88" s="132"/>
      <c r="N88" s="132"/>
      <c r="O88" s="130">
        <f>K88</f>
        <v>0</v>
      </c>
      <c r="P88" s="125">
        <f t="shared" si="62"/>
        <v>0</v>
      </c>
      <c r="Q88" s="36"/>
      <c r="R88" s="26"/>
    </row>
    <row r="89" spans="1:18" s="33" customFormat="1" ht="213" customHeight="1" thickTop="1" thickBot="1" x14ac:dyDescent="0.25">
      <c r="A89" s="326" t="s">
        <v>1561</v>
      </c>
      <c r="B89" s="326" t="s">
        <v>1563</v>
      </c>
      <c r="C89" s="126"/>
      <c r="D89" s="326" t="s">
        <v>1560</v>
      </c>
      <c r="E89" s="322">
        <f>SUM(E90:E91)</f>
        <v>2032.85</v>
      </c>
      <c r="F89" s="322">
        <f t="shared" ref="F89:P89" si="63">SUM(F90:F91)</f>
        <v>2032.85</v>
      </c>
      <c r="G89" s="322">
        <f t="shared" si="63"/>
        <v>0</v>
      </c>
      <c r="H89" s="322">
        <f t="shared" si="63"/>
        <v>0</v>
      </c>
      <c r="I89" s="322">
        <f t="shared" si="63"/>
        <v>0</v>
      </c>
      <c r="J89" s="322">
        <f t="shared" si="63"/>
        <v>11779554.15</v>
      </c>
      <c r="K89" s="322">
        <f t="shared" si="63"/>
        <v>3438754</v>
      </c>
      <c r="L89" s="322">
        <f t="shared" si="63"/>
        <v>4737.1499999999996</v>
      </c>
      <c r="M89" s="322">
        <f t="shared" si="63"/>
        <v>0</v>
      </c>
      <c r="N89" s="322">
        <f t="shared" si="63"/>
        <v>0</v>
      </c>
      <c r="O89" s="322">
        <f t="shared" si="63"/>
        <v>11774817</v>
      </c>
      <c r="P89" s="322">
        <f t="shared" si="63"/>
        <v>11781587</v>
      </c>
      <c r="Q89" s="36"/>
      <c r="R89" s="26"/>
    </row>
    <row r="90" spans="1:18" s="33" customFormat="1" ht="230.25" thickTop="1" thickBot="1" x14ac:dyDescent="0.25">
      <c r="A90" s="101" t="s">
        <v>1564</v>
      </c>
      <c r="B90" s="101" t="s">
        <v>1562</v>
      </c>
      <c r="C90" s="101" t="s">
        <v>210</v>
      </c>
      <c r="D90" s="101" t="s">
        <v>1565</v>
      </c>
      <c r="E90" s="325">
        <f>F90</f>
        <v>2032.85</v>
      </c>
      <c r="F90" s="458">
        <v>2032.85</v>
      </c>
      <c r="G90" s="458"/>
      <c r="H90" s="458"/>
      <c r="I90" s="458"/>
      <c r="J90" s="325">
        <f t="shared" ref="J90:J91" si="64">L90+O90</f>
        <v>3438754</v>
      </c>
      <c r="K90" s="458">
        <f>(150704)+3288050</f>
        <v>3438754</v>
      </c>
      <c r="L90" s="458"/>
      <c r="M90" s="458"/>
      <c r="N90" s="458"/>
      <c r="O90" s="455">
        <f t="shared" ref="O90" si="65">K90</f>
        <v>3438754</v>
      </c>
      <c r="P90" s="325">
        <f>E90+J90</f>
        <v>3440786.85</v>
      </c>
      <c r="Q90" s="36"/>
      <c r="R90" s="26"/>
    </row>
    <row r="91" spans="1:18" s="33" customFormat="1" ht="219" customHeight="1" thickTop="1" thickBot="1" x14ac:dyDescent="0.25">
      <c r="A91" s="101" t="s">
        <v>1566</v>
      </c>
      <c r="B91" s="101" t="s">
        <v>1567</v>
      </c>
      <c r="C91" s="101" t="s">
        <v>210</v>
      </c>
      <c r="D91" s="101" t="s">
        <v>1568</v>
      </c>
      <c r="E91" s="325">
        <f>F91</f>
        <v>0</v>
      </c>
      <c r="F91" s="458"/>
      <c r="G91" s="458"/>
      <c r="H91" s="458"/>
      <c r="I91" s="458"/>
      <c r="J91" s="325">
        <f t="shared" si="64"/>
        <v>8340800.1500000004</v>
      </c>
      <c r="K91" s="458"/>
      <c r="L91" s="458">
        <v>4737.1499999999996</v>
      </c>
      <c r="M91" s="458"/>
      <c r="N91" s="458"/>
      <c r="O91" s="455">
        <f>K91+8336063</f>
        <v>8336063</v>
      </c>
      <c r="P91" s="325">
        <f>E91+J91</f>
        <v>8340800.1500000004</v>
      </c>
      <c r="Q91" s="36"/>
      <c r="R91" s="26"/>
    </row>
    <row r="92" spans="1:18" s="33" customFormat="1" ht="47.25" thickTop="1" thickBot="1" x14ac:dyDescent="0.25">
      <c r="A92" s="308" t="s">
        <v>710</v>
      </c>
      <c r="B92" s="308" t="s">
        <v>711</v>
      </c>
      <c r="C92" s="308"/>
      <c r="D92" s="308" t="s">
        <v>712</v>
      </c>
      <c r="E92" s="325">
        <f>SUM(E93:E94)</f>
        <v>2474600</v>
      </c>
      <c r="F92" s="325">
        <f t="shared" ref="F92:P92" si="66">SUM(F93:F94)</f>
        <v>2474600</v>
      </c>
      <c r="G92" s="325">
        <f t="shared" si="66"/>
        <v>0</v>
      </c>
      <c r="H92" s="325">
        <f t="shared" si="66"/>
        <v>590600</v>
      </c>
      <c r="I92" s="325">
        <f t="shared" si="66"/>
        <v>0</v>
      </c>
      <c r="J92" s="325">
        <f t="shared" si="66"/>
        <v>0</v>
      </c>
      <c r="K92" s="325">
        <f t="shared" si="66"/>
        <v>0</v>
      </c>
      <c r="L92" s="325">
        <f t="shared" si="66"/>
        <v>0</v>
      </c>
      <c r="M92" s="325">
        <f t="shared" si="66"/>
        <v>0</v>
      </c>
      <c r="N92" s="325">
        <f t="shared" si="66"/>
        <v>0</v>
      </c>
      <c r="O92" s="325">
        <f t="shared" si="66"/>
        <v>0</v>
      </c>
      <c r="P92" s="325">
        <f t="shared" si="66"/>
        <v>2474600</v>
      </c>
      <c r="Q92" s="36"/>
      <c r="R92" s="26"/>
    </row>
    <row r="93" spans="1:18" s="33" customFormat="1" ht="167.25" customHeight="1" thickTop="1" thickBot="1" x14ac:dyDescent="0.25">
      <c r="A93" s="101" t="s">
        <v>431</v>
      </c>
      <c r="B93" s="101" t="s">
        <v>432</v>
      </c>
      <c r="C93" s="101" t="s">
        <v>185</v>
      </c>
      <c r="D93" s="101" t="s">
        <v>430</v>
      </c>
      <c r="E93" s="325">
        <f t="shared" si="41"/>
        <v>715000</v>
      </c>
      <c r="F93" s="458">
        <v>715000</v>
      </c>
      <c r="G93" s="458"/>
      <c r="H93" s="458"/>
      <c r="I93" s="458"/>
      <c r="J93" s="325">
        <f>L93+O93</f>
        <v>0</v>
      </c>
      <c r="K93" s="458"/>
      <c r="L93" s="458"/>
      <c r="M93" s="458"/>
      <c r="N93" s="458"/>
      <c r="O93" s="455">
        <f>K93</f>
        <v>0</v>
      </c>
      <c r="P93" s="325">
        <f>E93+J93</f>
        <v>715000</v>
      </c>
      <c r="Q93" s="36"/>
      <c r="R93" s="39"/>
    </row>
    <row r="94" spans="1:18" s="33" customFormat="1" ht="114.75" customHeight="1" thickTop="1" thickBot="1" x14ac:dyDescent="0.25">
      <c r="A94" s="101" t="s">
        <v>1233</v>
      </c>
      <c r="B94" s="101" t="s">
        <v>1200</v>
      </c>
      <c r="C94" s="101" t="s">
        <v>206</v>
      </c>
      <c r="D94" s="466" t="s">
        <v>1201</v>
      </c>
      <c r="E94" s="325">
        <f t="shared" si="41"/>
        <v>1759600</v>
      </c>
      <c r="F94" s="458">
        <v>1759600</v>
      </c>
      <c r="G94" s="458"/>
      <c r="H94" s="458">
        <v>590600</v>
      </c>
      <c r="I94" s="458"/>
      <c r="J94" s="325">
        <f>L94+O94</f>
        <v>0</v>
      </c>
      <c r="K94" s="458"/>
      <c r="L94" s="458"/>
      <c r="M94" s="458"/>
      <c r="N94" s="458"/>
      <c r="O94" s="455">
        <f>K94</f>
        <v>0</v>
      </c>
      <c r="P94" s="325">
        <f>E94+J94</f>
        <v>1759600</v>
      </c>
      <c r="Q94" s="36"/>
      <c r="R94" s="39"/>
    </row>
    <row r="95" spans="1:18" s="33" customFormat="1" ht="57" customHeight="1" thickTop="1" thickBot="1" x14ac:dyDescent="0.25">
      <c r="A95" s="308" t="s">
        <v>1089</v>
      </c>
      <c r="B95" s="308" t="s">
        <v>748</v>
      </c>
      <c r="C95" s="308"/>
      <c r="D95" s="308" t="s">
        <v>1088</v>
      </c>
      <c r="E95" s="325">
        <f>E96+E99</f>
        <v>0</v>
      </c>
      <c r="F95" s="325">
        <f t="shared" ref="F95:P95" si="67">F96+F99</f>
        <v>0</v>
      </c>
      <c r="G95" s="325">
        <f t="shared" si="67"/>
        <v>0</v>
      </c>
      <c r="H95" s="325">
        <f t="shared" si="67"/>
        <v>0</v>
      </c>
      <c r="I95" s="325">
        <f t="shared" si="67"/>
        <v>0</v>
      </c>
      <c r="J95" s="325">
        <f t="shared" si="67"/>
        <v>59515483.160000004</v>
      </c>
      <c r="K95" s="325">
        <f t="shared" si="67"/>
        <v>59515483.160000004</v>
      </c>
      <c r="L95" s="325">
        <f t="shared" si="67"/>
        <v>0</v>
      </c>
      <c r="M95" s="325">
        <f t="shared" si="67"/>
        <v>0</v>
      </c>
      <c r="N95" s="325">
        <f t="shared" si="67"/>
        <v>0</v>
      </c>
      <c r="O95" s="325">
        <f t="shared" si="67"/>
        <v>59515483.160000004</v>
      </c>
      <c r="P95" s="325">
        <f t="shared" si="67"/>
        <v>59515483.160000004</v>
      </c>
      <c r="Q95" s="36"/>
      <c r="R95" s="26"/>
    </row>
    <row r="96" spans="1:18" s="33" customFormat="1" ht="57" customHeight="1" thickTop="1" thickBot="1" x14ac:dyDescent="0.25">
      <c r="A96" s="310" t="s">
        <v>1087</v>
      </c>
      <c r="B96" s="310" t="s">
        <v>803</v>
      </c>
      <c r="C96" s="310"/>
      <c r="D96" s="310" t="s">
        <v>804</v>
      </c>
      <c r="E96" s="312">
        <f>E97</f>
        <v>0</v>
      </c>
      <c r="F96" s="312">
        <f t="shared" ref="F96:P97" si="68">F97</f>
        <v>0</v>
      </c>
      <c r="G96" s="312">
        <f t="shared" si="68"/>
        <v>0</v>
      </c>
      <c r="H96" s="312">
        <f t="shared" si="68"/>
        <v>0</v>
      </c>
      <c r="I96" s="312">
        <f t="shared" si="68"/>
        <v>0</v>
      </c>
      <c r="J96" s="312">
        <f t="shared" si="68"/>
        <v>30860227.260000002</v>
      </c>
      <c r="K96" s="312">
        <f t="shared" si="68"/>
        <v>30860227.260000002</v>
      </c>
      <c r="L96" s="312">
        <f t="shared" si="68"/>
        <v>0</v>
      </c>
      <c r="M96" s="312">
        <f t="shared" si="68"/>
        <v>0</v>
      </c>
      <c r="N96" s="312">
        <f t="shared" si="68"/>
        <v>0</v>
      </c>
      <c r="O96" s="312">
        <f t="shared" si="68"/>
        <v>30860227.260000002</v>
      </c>
      <c r="P96" s="312">
        <f t="shared" si="68"/>
        <v>30860227.260000002</v>
      </c>
      <c r="Q96" s="36"/>
      <c r="R96" s="26"/>
    </row>
    <row r="97" spans="1:18" s="33" customFormat="1" ht="54" thickTop="1" thickBot="1" x14ac:dyDescent="0.25">
      <c r="A97" s="326" t="s">
        <v>1090</v>
      </c>
      <c r="B97" s="326" t="s">
        <v>821</v>
      </c>
      <c r="C97" s="326"/>
      <c r="D97" s="326" t="s">
        <v>1519</v>
      </c>
      <c r="E97" s="322">
        <f>E98</f>
        <v>0</v>
      </c>
      <c r="F97" s="322">
        <f t="shared" si="68"/>
        <v>0</v>
      </c>
      <c r="G97" s="322">
        <f t="shared" si="68"/>
        <v>0</v>
      </c>
      <c r="H97" s="322">
        <f t="shared" si="68"/>
        <v>0</v>
      </c>
      <c r="I97" s="322">
        <f t="shared" si="68"/>
        <v>0</v>
      </c>
      <c r="J97" s="322">
        <f t="shared" si="68"/>
        <v>30860227.260000002</v>
      </c>
      <c r="K97" s="322">
        <f t="shared" si="68"/>
        <v>30860227.260000002</v>
      </c>
      <c r="L97" s="322">
        <f t="shared" si="68"/>
        <v>0</v>
      </c>
      <c r="M97" s="322">
        <f t="shared" si="68"/>
        <v>0</v>
      </c>
      <c r="N97" s="322">
        <f t="shared" si="68"/>
        <v>0</v>
      </c>
      <c r="O97" s="322">
        <f t="shared" si="68"/>
        <v>30860227.260000002</v>
      </c>
      <c r="P97" s="322">
        <f t="shared" si="68"/>
        <v>30860227.260000002</v>
      </c>
      <c r="Q97" s="36"/>
      <c r="R97" s="26"/>
    </row>
    <row r="98" spans="1:18" s="33" customFormat="1" ht="57" customHeight="1" thickTop="1" thickBot="1" x14ac:dyDescent="0.25">
      <c r="A98" s="101" t="s">
        <v>1102</v>
      </c>
      <c r="B98" s="101" t="s">
        <v>311</v>
      </c>
      <c r="C98" s="101" t="s">
        <v>304</v>
      </c>
      <c r="D98" s="101" t="s">
        <v>1499</v>
      </c>
      <c r="E98" s="325">
        <f t="shared" ref="E98" si="69">F98</f>
        <v>0</v>
      </c>
      <c r="F98" s="458"/>
      <c r="G98" s="458"/>
      <c r="H98" s="458"/>
      <c r="I98" s="458"/>
      <c r="J98" s="325">
        <f t="shared" ref="J98" si="70">L98+O98</f>
        <v>30860227.260000002</v>
      </c>
      <c r="K98" s="458">
        <f>((2000000+5000000+2000000+2000000)+20260227.26)-400000</f>
        <v>30860227.260000002</v>
      </c>
      <c r="L98" s="458"/>
      <c r="M98" s="458"/>
      <c r="N98" s="458"/>
      <c r="O98" s="455">
        <f t="shared" ref="O98" si="71">K98</f>
        <v>30860227.260000002</v>
      </c>
      <c r="P98" s="325">
        <f>E98+J98</f>
        <v>30860227.260000002</v>
      </c>
      <c r="Q98" s="30"/>
      <c r="R98" s="26"/>
    </row>
    <row r="99" spans="1:18" s="33" customFormat="1" ht="57" customHeight="1" thickTop="1" thickBot="1" x14ac:dyDescent="0.25">
      <c r="A99" s="310" t="s">
        <v>1091</v>
      </c>
      <c r="B99" s="310" t="s">
        <v>691</v>
      </c>
      <c r="C99" s="310"/>
      <c r="D99" s="310" t="s">
        <v>689</v>
      </c>
      <c r="E99" s="312">
        <f>E100</f>
        <v>0</v>
      </c>
      <c r="F99" s="312">
        <f t="shared" ref="F99:P99" si="72">F100</f>
        <v>0</v>
      </c>
      <c r="G99" s="312">
        <f t="shared" si="72"/>
        <v>0</v>
      </c>
      <c r="H99" s="312">
        <f t="shared" si="72"/>
        <v>0</v>
      </c>
      <c r="I99" s="312">
        <f t="shared" si="72"/>
        <v>0</v>
      </c>
      <c r="J99" s="312">
        <f t="shared" si="72"/>
        <v>28655255.900000002</v>
      </c>
      <c r="K99" s="312">
        <f t="shared" si="72"/>
        <v>28655255.900000002</v>
      </c>
      <c r="L99" s="312">
        <f t="shared" si="72"/>
        <v>0</v>
      </c>
      <c r="M99" s="312">
        <f t="shared" si="72"/>
        <v>0</v>
      </c>
      <c r="N99" s="312">
        <f t="shared" si="72"/>
        <v>0</v>
      </c>
      <c r="O99" s="312">
        <f t="shared" si="72"/>
        <v>28655255.900000002</v>
      </c>
      <c r="P99" s="312">
        <f t="shared" si="72"/>
        <v>28655255.900000002</v>
      </c>
      <c r="Q99" s="30"/>
      <c r="R99" s="26"/>
    </row>
    <row r="100" spans="1:18" s="33" customFormat="1" ht="57" customHeight="1" thickTop="1" thickBot="1" x14ac:dyDescent="0.25">
      <c r="A100" s="101" t="s">
        <v>1092</v>
      </c>
      <c r="B100" s="101" t="s">
        <v>212</v>
      </c>
      <c r="C100" s="101" t="s">
        <v>213</v>
      </c>
      <c r="D100" s="101" t="s">
        <v>41</v>
      </c>
      <c r="E100" s="325">
        <f t="shared" ref="E100" si="73">F100</f>
        <v>0</v>
      </c>
      <c r="F100" s="458"/>
      <c r="G100" s="458"/>
      <c r="H100" s="458"/>
      <c r="I100" s="458"/>
      <c r="J100" s="325">
        <f t="shared" ref="J100" si="74">L100+O100</f>
        <v>28655255.900000002</v>
      </c>
      <c r="K100" s="458">
        <f>((7500000+7500000)+3455977.12)+4000000+5000000+1199278.78</f>
        <v>28655255.900000002</v>
      </c>
      <c r="L100" s="458"/>
      <c r="M100" s="458"/>
      <c r="N100" s="458"/>
      <c r="O100" s="455">
        <f t="shared" ref="O100" si="75">K100</f>
        <v>28655255.900000002</v>
      </c>
      <c r="P100" s="325">
        <f>E100+J100</f>
        <v>28655255.900000002</v>
      </c>
      <c r="Q100" s="30"/>
      <c r="R100" s="26"/>
    </row>
    <row r="101" spans="1:18" s="33" customFormat="1" ht="47.25" hidden="1" thickTop="1" thickBot="1" x14ac:dyDescent="0.25">
      <c r="A101" s="123" t="s">
        <v>1224</v>
      </c>
      <c r="B101" s="123" t="s">
        <v>696</v>
      </c>
      <c r="C101" s="123"/>
      <c r="D101" s="123" t="s">
        <v>697</v>
      </c>
      <c r="E101" s="125">
        <f t="shared" ref="E101:P102" si="76">E102</f>
        <v>0</v>
      </c>
      <c r="F101" s="125">
        <f t="shared" si="76"/>
        <v>0</v>
      </c>
      <c r="G101" s="125">
        <f t="shared" si="76"/>
        <v>0</v>
      </c>
      <c r="H101" s="125">
        <f t="shared" si="76"/>
        <v>0</v>
      </c>
      <c r="I101" s="125">
        <f t="shared" si="76"/>
        <v>0</v>
      </c>
      <c r="J101" s="125">
        <f t="shared" si="76"/>
        <v>0</v>
      </c>
      <c r="K101" s="125">
        <f t="shared" si="76"/>
        <v>0</v>
      </c>
      <c r="L101" s="125">
        <f t="shared" si="76"/>
        <v>0</v>
      </c>
      <c r="M101" s="125">
        <f t="shared" si="76"/>
        <v>0</v>
      </c>
      <c r="N101" s="125">
        <f t="shared" si="76"/>
        <v>0</v>
      </c>
      <c r="O101" s="125">
        <f t="shared" si="76"/>
        <v>0</v>
      </c>
      <c r="P101" s="125">
        <f t="shared" si="76"/>
        <v>0</v>
      </c>
      <c r="Q101" s="30"/>
      <c r="R101" s="26"/>
    </row>
    <row r="102" spans="1:18" s="33" customFormat="1" ht="47.25" hidden="1" thickTop="1" thickBot="1" x14ac:dyDescent="0.25">
      <c r="A102" s="134" t="s">
        <v>1225</v>
      </c>
      <c r="B102" s="134" t="s">
        <v>1186</v>
      </c>
      <c r="C102" s="134"/>
      <c r="D102" s="134" t="s">
        <v>1184</v>
      </c>
      <c r="E102" s="135">
        <f t="shared" si="76"/>
        <v>0</v>
      </c>
      <c r="F102" s="135">
        <f t="shared" si="76"/>
        <v>0</v>
      </c>
      <c r="G102" s="135">
        <f t="shared" si="76"/>
        <v>0</v>
      </c>
      <c r="H102" s="135">
        <f t="shared" si="76"/>
        <v>0</v>
      </c>
      <c r="I102" s="135">
        <f t="shared" si="76"/>
        <v>0</v>
      </c>
      <c r="J102" s="135">
        <f t="shared" si="76"/>
        <v>0</v>
      </c>
      <c r="K102" s="135">
        <f t="shared" si="76"/>
        <v>0</v>
      </c>
      <c r="L102" s="135">
        <f t="shared" si="76"/>
        <v>0</v>
      </c>
      <c r="M102" s="135">
        <f t="shared" si="76"/>
        <v>0</v>
      </c>
      <c r="N102" s="135">
        <f t="shared" si="76"/>
        <v>0</v>
      </c>
      <c r="O102" s="135">
        <f t="shared" si="76"/>
        <v>0</v>
      </c>
      <c r="P102" s="135">
        <f t="shared" si="76"/>
        <v>0</v>
      </c>
      <c r="Q102" s="30"/>
      <c r="R102" s="26"/>
    </row>
    <row r="103" spans="1:18" s="33" customFormat="1" ht="48" hidden="1" thickTop="1" thickBot="1" x14ac:dyDescent="0.25">
      <c r="A103" s="126" t="s">
        <v>1226</v>
      </c>
      <c r="B103" s="126" t="s">
        <v>1190</v>
      </c>
      <c r="C103" s="126" t="s">
        <v>1188</v>
      </c>
      <c r="D103" s="126" t="s">
        <v>1187</v>
      </c>
      <c r="E103" s="125">
        <f>F103</f>
        <v>0</v>
      </c>
      <c r="F103" s="132"/>
      <c r="G103" s="132"/>
      <c r="H103" s="132"/>
      <c r="I103" s="132"/>
      <c r="J103" s="125">
        <f>L103+O103</f>
        <v>0</v>
      </c>
      <c r="K103" s="132">
        <v>0</v>
      </c>
      <c r="L103" s="132"/>
      <c r="M103" s="132"/>
      <c r="N103" s="132"/>
      <c r="O103" s="130">
        <f>K103</f>
        <v>0</v>
      </c>
      <c r="P103" s="125">
        <f>E103+J103</f>
        <v>0</v>
      </c>
      <c r="Q103" s="30"/>
      <c r="R103" s="26"/>
    </row>
    <row r="104" spans="1:18" s="33" customFormat="1" ht="47.25" hidden="1" customHeight="1" thickTop="1" thickBot="1" x14ac:dyDescent="0.25">
      <c r="A104" s="144" t="s">
        <v>1029</v>
      </c>
      <c r="B104" s="144" t="s">
        <v>702</v>
      </c>
      <c r="C104" s="144"/>
      <c r="D104" s="144" t="s">
        <v>703</v>
      </c>
      <c r="E104" s="42">
        <f>E105</f>
        <v>0</v>
      </c>
      <c r="F104" s="42">
        <f t="shared" ref="F104:P105" si="77">F105</f>
        <v>0</v>
      </c>
      <c r="G104" s="42">
        <f t="shared" si="77"/>
        <v>0</v>
      </c>
      <c r="H104" s="42">
        <f t="shared" si="77"/>
        <v>0</v>
      </c>
      <c r="I104" s="42">
        <f t="shared" si="77"/>
        <v>0</v>
      </c>
      <c r="J104" s="42">
        <f t="shared" si="77"/>
        <v>0</v>
      </c>
      <c r="K104" s="42">
        <f t="shared" si="77"/>
        <v>0</v>
      </c>
      <c r="L104" s="42">
        <f t="shared" si="77"/>
        <v>0</v>
      </c>
      <c r="M104" s="42">
        <f t="shared" si="77"/>
        <v>0</v>
      </c>
      <c r="N104" s="42">
        <f t="shared" si="77"/>
        <v>0</v>
      </c>
      <c r="O104" s="42">
        <f t="shared" si="77"/>
        <v>0</v>
      </c>
      <c r="P104" s="42">
        <f t="shared" si="77"/>
        <v>0</v>
      </c>
      <c r="Q104" s="36"/>
      <c r="R104" s="26"/>
    </row>
    <row r="105" spans="1:18" s="33" customFormat="1" ht="91.5" hidden="1" thickTop="1" thickBot="1" x14ac:dyDescent="0.25">
      <c r="A105" s="145" t="s">
        <v>1030</v>
      </c>
      <c r="B105" s="145" t="s">
        <v>705</v>
      </c>
      <c r="C105" s="145"/>
      <c r="D105" s="145" t="s">
        <v>706</v>
      </c>
      <c r="E105" s="146">
        <f>E106</f>
        <v>0</v>
      </c>
      <c r="F105" s="146">
        <f t="shared" si="77"/>
        <v>0</v>
      </c>
      <c r="G105" s="146">
        <f t="shared" si="77"/>
        <v>0</v>
      </c>
      <c r="H105" s="146">
        <f t="shared" si="77"/>
        <v>0</v>
      </c>
      <c r="I105" s="146">
        <f t="shared" si="77"/>
        <v>0</v>
      </c>
      <c r="J105" s="146">
        <f t="shared" si="77"/>
        <v>0</v>
      </c>
      <c r="K105" s="146">
        <f t="shared" si="77"/>
        <v>0</v>
      </c>
      <c r="L105" s="146">
        <f t="shared" si="77"/>
        <v>0</v>
      </c>
      <c r="M105" s="146">
        <f t="shared" si="77"/>
        <v>0</v>
      </c>
      <c r="N105" s="146">
        <f t="shared" si="77"/>
        <v>0</v>
      </c>
      <c r="O105" s="146">
        <f t="shared" si="77"/>
        <v>0</v>
      </c>
      <c r="P105" s="146">
        <f t="shared" si="77"/>
        <v>0</v>
      </c>
      <c r="Q105" s="36"/>
      <c r="R105" s="26"/>
    </row>
    <row r="106" spans="1:18" s="33" customFormat="1" ht="48" hidden="1" thickTop="1" thickBot="1" x14ac:dyDescent="0.25">
      <c r="A106" s="41" t="s">
        <v>1031</v>
      </c>
      <c r="B106" s="41" t="s">
        <v>363</v>
      </c>
      <c r="C106" s="41" t="s">
        <v>43</v>
      </c>
      <c r="D106" s="41" t="s">
        <v>364</v>
      </c>
      <c r="E106" s="42">
        <f t="shared" ref="E106" si="78">F106</f>
        <v>0</v>
      </c>
      <c r="F106" s="43"/>
      <c r="G106" s="43"/>
      <c r="H106" s="43"/>
      <c r="I106" s="43"/>
      <c r="J106" s="42">
        <f>L106+O106</f>
        <v>0</v>
      </c>
      <c r="K106" s="43"/>
      <c r="L106" s="43"/>
      <c r="M106" s="43"/>
      <c r="N106" s="43"/>
      <c r="O106" s="44">
        <f>K106</f>
        <v>0</v>
      </c>
      <c r="P106" s="42">
        <f>E106+J106</f>
        <v>0</v>
      </c>
      <c r="Q106" s="36"/>
      <c r="R106" s="26"/>
    </row>
    <row r="107" spans="1:18" ht="120" customHeight="1" thickTop="1" thickBot="1" x14ac:dyDescent="0.25">
      <c r="A107" s="645" t="s">
        <v>154</v>
      </c>
      <c r="B107" s="645"/>
      <c r="C107" s="645"/>
      <c r="D107" s="646" t="s">
        <v>18</v>
      </c>
      <c r="E107" s="647">
        <f>E108</f>
        <v>95562866</v>
      </c>
      <c r="F107" s="648">
        <f t="shared" ref="F107:G107" si="79">F108</f>
        <v>95562866</v>
      </c>
      <c r="G107" s="648">
        <f t="shared" si="79"/>
        <v>5749881</v>
      </c>
      <c r="H107" s="648">
        <f>H108</f>
        <v>399960</v>
      </c>
      <c r="I107" s="648">
        <f t="shared" ref="I107" si="80">I108</f>
        <v>0</v>
      </c>
      <c r="J107" s="647">
        <f>J108</f>
        <v>34298705.990000002</v>
      </c>
      <c r="K107" s="648">
        <f>K108</f>
        <v>34298705.990000002</v>
      </c>
      <c r="L107" s="648">
        <f>L108</f>
        <v>0</v>
      </c>
      <c r="M107" s="648">
        <f t="shared" ref="M107" si="81">M108</f>
        <v>0</v>
      </c>
      <c r="N107" s="648">
        <f>N108</f>
        <v>0</v>
      </c>
      <c r="O107" s="647">
        <f>O108</f>
        <v>34298705.990000002</v>
      </c>
      <c r="P107" s="648">
        <f>P108</f>
        <v>129861571.98999999</v>
      </c>
      <c r="Q107" s="20"/>
    </row>
    <row r="108" spans="1:18" ht="120" customHeight="1" thickTop="1" thickBot="1" x14ac:dyDescent="0.25">
      <c r="A108" s="642" t="s">
        <v>155</v>
      </c>
      <c r="B108" s="642"/>
      <c r="C108" s="642"/>
      <c r="D108" s="643" t="s">
        <v>36</v>
      </c>
      <c r="E108" s="644">
        <f>E109+E112+E129+E127</f>
        <v>95562866</v>
      </c>
      <c r="F108" s="644">
        <f t="shared" ref="F108:P108" si="82">F109+F112+F129+F127</f>
        <v>95562866</v>
      </c>
      <c r="G108" s="644">
        <f t="shared" si="82"/>
        <v>5749881</v>
      </c>
      <c r="H108" s="644">
        <f t="shared" si="82"/>
        <v>399960</v>
      </c>
      <c r="I108" s="644">
        <f t="shared" si="82"/>
        <v>0</v>
      </c>
      <c r="J108" s="644">
        <f t="shared" si="82"/>
        <v>34298705.990000002</v>
      </c>
      <c r="K108" s="644">
        <f t="shared" si="82"/>
        <v>34298705.990000002</v>
      </c>
      <c r="L108" s="644">
        <f t="shared" si="82"/>
        <v>0</v>
      </c>
      <c r="M108" s="644">
        <f t="shared" si="82"/>
        <v>0</v>
      </c>
      <c r="N108" s="644">
        <f t="shared" si="82"/>
        <v>0</v>
      </c>
      <c r="O108" s="644">
        <f t="shared" si="82"/>
        <v>34298705.990000002</v>
      </c>
      <c r="P108" s="644">
        <f t="shared" si="82"/>
        <v>129861571.98999999</v>
      </c>
      <c r="Q108" s="554" t="b">
        <f>P108=P110+P113+P114+P115+P116+P119+P123+P124+P128+P132+P126+P136</f>
        <v>1</v>
      </c>
      <c r="R108" s="26"/>
    </row>
    <row r="109" spans="1:18" ht="47.25" thickTop="1" thickBot="1" x14ac:dyDescent="0.25">
      <c r="A109" s="308" t="s">
        <v>713</v>
      </c>
      <c r="B109" s="308" t="s">
        <v>684</v>
      </c>
      <c r="C109" s="308"/>
      <c r="D109" s="308" t="s">
        <v>685</v>
      </c>
      <c r="E109" s="325">
        <f>SUM(E110:E111)</f>
        <v>3390311</v>
      </c>
      <c r="F109" s="325">
        <f t="shared" ref="F109:P109" si="83">SUM(F110:F111)</f>
        <v>3390311</v>
      </c>
      <c r="G109" s="325">
        <f t="shared" si="83"/>
        <v>2480000</v>
      </c>
      <c r="H109" s="325">
        <f t="shared" si="83"/>
        <v>191160</v>
      </c>
      <c r="I109" s="325">
        <f t="shared" si="83"/>
        <v>0</v>
      </c>
      <c r="J109" s="325">
        <f t="shared" si="83"/>
        <v>0</v>
      </c>
      <c r="K109" s="325">
        <f t="shared" si="83"/>
        <v>0</v>
      </c>
      <c r="L109" s="325">
        <f t="shared" si="83"/>
        <v>0</v>
      </c>
      <c r="M109" s="325">
        <f t="shared" si="83"/>
        <v>0</v>
      </c>
      <c r="N109" s="325">
        <f t="shared" si="83"/>
        <v>0</v>
      </c>
      <c r="O109" s="325">
        <f t="shared" si="83"/>
        <v>0</v>
      </c>
      <c r="P109" s="325">
        <f t="shared" si="83"/>
        <v>3390311</v>
      </c>
      <c r="Q109" s="30"/>
      <c r="R109" s="26"/>
    </row>
    <row r="110" spans="1:18" ht="93" thickTop="1" thickBot="1" x14ac:dyDescent="0.25">
      <c r="A110" s="101" t="s">
        <v>416</v>
      </c>
      <c r="B110" s="101" t="s">
        <v>236</v>
      </c>
      <c r="C110" s="101" t="s">
        <v>234</v>
      </c>
      <c r="D110" s="101" t="s">
        <v>235</v>
      </c>
      <c r="E110" s="325">
        <f>F110</f>
        <v>3390311</v>
      </c>
      <c r="F110" s="458">
        <v>3390311</v>
      </c>
      <c r="G110" s="458">
        <v>2480000</v>
      </c>
      <c r="H110" s="458">
        <v>191160</v>
      </c>
      <c r="I110" s="458"/>
      <c r="J110" s="325">
        <f t="shared" ref="J110:J138" si="84">L110+O110</f>
        <v>0</v>
      </c>
      <c r="K110" s="458">
        <v>0</v>
      </c>
      <c r="L110" s="458"/>
      <c r="M110" s="458"/>
      <c r="N110" s="458"/>
      <c r="O110" s="455">
        <f>K110</f>
        <v>0</v>
      </c>
      <c r="P110" s="325">
        <f t="shared" ref="P110:P138" si="85">E110+J110</f>
        <v>3390311</v>
      </c>
      <c r="Q110" s="39"/>
      <c r="R110" s="26"/>
    </row>
    <row r="111" spans="1:18" ht="93" hidden="1" thickTop="1" thickBot="1" x14ac:dyDescent="0.25">
      <c r="A111" s="126" t="s">
        <v>1257</v>
      </c>
      <c r="B111" s="126" t="s">
        <v>362</v>
      </c>
      <c r="C111" s="126" t="s">
        <v>625</v>
      </c>
      <c r="D111" s="126" t="s">
        <v>626</v>
      </c>
      <c r="E111" s="125">
        <f>F111</f>
        <v>0</v>
      </c>
      <c r="F111" s="132">
        <v>0</v>
      </c>
      <c r="G111" s="132"/>
      <c r="H111" s="132"/>
      <c r="I111" s="132"/>
      <c r="J111" s="125">
        <f t="shared" si="84"/>
        <v>0</v>
      </c>
      <c r="K111" s="132"/>
      <c r="L111" s="132"/>
      <c r="M111" s="132"/>
      <c r="N111" s="132"/>
      <c r="O111" s="130">
        <f>K111</f>
        <v>0</v>
      </c>
      <c r="P111" s="125">
        <f t="shared" si="85"/>
        <v>0</v>
      </c>
      <c r="Q111" s="39"/>
      <c r="R111" s="26"/>
    </row>
    <row r="112" spans="1:18" ht="47.25" thickTop="1" thickBot="1" x14ac:dyDescent="0.25">
      <c r="A112" s="308" t="s">
        <v>714</v>
      </c>
      <c r="B112" s="308" t="s">
        <v>715</v>
      </c>
      <c r="C112" s="308"/>
      <c r="D112" s="308" t="s">
        <v>716</v>
      </c>
      <c r="E112" s="325">
        <f>SUM(E113:E126)-E118-E120-E122-E125</f>
        <v>92072555</v>
      </c>
      <c r="F112" s="325">
        <f t="shared" ref="F112:P112" si="86">SUM(F113:F126)-F118-F120-F122-F125</f>
        <v>92072555</v>
      </c>
      <c r="G112" s="325">
        <f t="shared" si="86"/>
        <v>3269881</v>
      </c>
      <c r="H112" s="325">
        <f t="shared" si="86"/>
        <v>208800</v>
      </c>
      <c r="I112" s="325">
        <f t="shared" si="86"/>
        <v>0</v>
      </c>
      <c r="J112" s="325">
        <f t="shared" si="86"/>
        <v>29239781</v>
      </c>
      <c r="K112" s="325">
        <f t="shared" si="86"/>
        <v>29239781</v>
      </c>
      <c r="L112" s="325">
        <f t="shared" si="86"/>
        <v>0</v>
      </c>
      <c r="M112" s="325">
        <f t="shared" si="86"/>
        <v>0</v>
      </c>
      <c r="N112" s="325">
        <f t="shared" si="86"/>
        <v>0</v>
      </c>
      <c r="O112" s="325">
        <f t="shared" si="86"/>
        <v>29239781</v>
      </c>
      <c r="P112" s="325">
        <f t="shared" si="86"/>
        <v>121312336</v>
      </c>
      <c r="Q112" s="39"/>
      <c r="R112" s="39"/>
    </row>
    <row r="113" spans="1:18" ht="48" thickTop="1" thickBot="1" x14ac:dyDescent="0.25">
      <c r="A113" s="101" t="s">
        <v>214</v>
      </c>
      <c r="B113" s="101" t="s">
        <v>211</v>
      </c>
      <c r="C113" s="101" t="s">
        <v>215</v>
      </c>
      <c r="D113" s="101" t="s">
        <v>19</v>
      </c>
      <c r="E113" s="325">
        <f>F113</f>
        <v>19464100</v>
      </c>
      <c r="F113" s="458">
        <f>(24239100-5400000)+625000</f>
        <v>19464100</v>
      </c>
      <c r="G113" s="458"/>
      <c r="H113" s="458"/>
      <c r="I113" s="458"/>
      <c r="J113" s="325">
        <f t="shared" si="84"/>
        <v>13012000</v>
      </c>
      <c r="K113" s="458">
        <f>((6800000)+5212000)+1000000</f>
        <v>13012000</v>
      </c>
      <c r="L113" s="458"/>
      <c r="M113" s="458"/>
      <c r="N113" s="458"/>
      <c r="O113" s="455">
        <f>K113</f>
        <v>13012000</v>
      </c>
      <c r="P113" s="325">
        <f t="shared" si="85"/>
        <v>32476100</v>
      </c>
      <c r="Q113" s="20"/>
      <c r="R113" s="30"/>
    </row>
    <row r="114" spans="1:18" ht="48" thickTop="1" thickBot="1" x14ac:dyDescent="0.25">
      <c r="A114" s="101" t="s">
        <v>505</v>
      </c>
      <c r="B114" s="101" t="s">
        <v>508</v>
      </c>
      <c r="C114" s="101" t="s">
        <v>507</v>
      </c>
      <c r="D114" s="101" t="s">
        <v>506</v>
      </c>
      <c r="E114" s="325">
        <f>F114</f>
        <v>10536600</v>
      </c>
      <c r="F114" s="458">
        <f>(10860600-1200000)+450000+426000</f>
        <v>10536600</v>
      </c>
      <c r="G114" s="458"/>
      <c r="H114" s="458"/>
      <c r="I114" s="458"/>
      <c r="J114" s="325">
        <f t="shared" si="84"/>
        <v>0</v>
      </c>
      <c r="K114" s="458"/>
      <c r="L114" s="458"/>
      <c r="M114" s="458"/>
      <c r="N114" s="458"/>
      <c r="O114" s="455">
        <f>K114</f>
        <v>0</v>
      </c>
      <c r="P114" s="325">
        <f t="shared" si="85"/>
        <v>10536600</v>
      </c>
      <c r="Q114" s="20"/>
      <c r="R114" s="39"/>
    </row>
    <row r="115" spans="1:18" ht="48" thickTop="1" thickBot="1" x14ac:dyDescent="0.25">
      <c r="A115" s="101" t="s">
        <v>216</v>
      </c>
      <c r="B115" s="101" t="s">
        <v>217</v>
      </c>
      <c r="C115" s="101" t="s">
        <v>218</v>
      </c>
      <c r="D115" s="101" t="s">
        <v>219</v>
      </c>
      <c r="E115" s="325">
        <f t="shared" ref="E115:E138" si="87">F115</f>
        <v>8081900</v>
      </c>
      <c r="F115" s="458">
        <f>9381900-1300000</f>
        <v>8081900</v>
      </c>
      <c r="G115" s="458"/>
      <c r="H115" s="458"/>
      <c r="I115" s="458"/>
      <c r="J115" s="325">
        <f t="shared" si="84"/>
        <v>13233781</v>
      </c>
      <c r="K115" s="458">
        <f>((2400000)+4029711)+1089138+1606348+2108584+2000000</f>
        <v>13233781</v>
      </c>
      <c r="L115" s="458"/>
      <c r="M115" s="458"/>
      <c r="N115" s="458"/>
      <c r="O115" s="455">
        <f>K115</f>
        <v>13233781</v>
      </c>
      <c r="P115" s="325">
        <f t="shared" si="85"/>
        <v>21315681</v>
      </c>
      <c r="Q115" s="20"/>
      <c r="R115" s="39"/>
    </row>
    <row r="116" spans="1:18" ht="93" thickTop="1" thickBot="1" x14ac:dyDescent="0.25">
      <c r="A116" s="101" t="s">
        <v>220</v>
      </c>
      <c r="B116" s="101" t="s">
        <v>221</v>
      </c>
      <c r="C116" s="101" t="s">
        <v>222</v>
      </c>
      <c r="D116" s="101" t="s">
        <v>345</v>
      </c>
      <c r="E116" s="325">
        <f t="shared" si="87"/>
        <v>25012900</v>
      </c>
      <c r="F116" s="458">
        <f>26512900-1500000</f>
        <v>25012900</v>
      </c>
      <c r="G116" s="132"/>
      <c r="H116" s="132"/>
      <c r="I116" s="132"/>
      <c r="J116" s="325">
        <f t="shared" si="84"/>
        <v>0</v>
      </c>
      <c r="K116" s="458"/>
      <c r="L116" s="458"/>
      <c r="M116" s="458"/>
      <c r="N116" s="458"/>
      <c r="O116" s="455">
        <f>K116</f>
        <v>0</v>
      </c>
      <c r="P116" s="325">
        <f t="shared" si="85"/>
        <v>25012900</v>
      </c>
      <c r="Q116" s="20"/>
      <c r="R116" s="39"/>
    </row>
    <row r="117" spans="1:18" ht="48" hidden="1" thickTop="1" thickBot="1" x14ac:dyDescent="0.25">
      <c r="A117" s="126" t="s">
        <v>223</v>
      </c>
      <c r="B117" s="126" t="s">
        <v>224</v>
      </c>
      <c r="C117" s="126" t="s">
        <v>225</v>
      </c>
      <c r="D117" s="126" t="s">
        <v>226</v>
      </c>
      <c r="E117" s="125">
        <f t="shared" si="87"/>
        <v>0</v>
      </c>
      <c r="F117" s="132">
        <f>(7556300)-7556300</f>
        <v>0</v>
      </c>
      <c r="G117" s="132"/>
      <c r="H117" s="132"/>
      <c r="I117" s="132"/>
      <c r="J117" s="325">
        <f t="shared" si="84"/>
        <v>0</v>
      </c>
      <c r="K117" s="458">
        <f>(200000)-200000</f>
        <v>0</v>
      </c>
      <c r="L117" s="458"/>
      <c r="M117" s="458"/>
      <c r="N117" s="458"/>
      <c r="O117" s="455">
        <f>K117</f>
        <v>0</v>
      </c>
      <c r="P117" s="325">
        <f t="shared" si="85"/>
        <v>0</v>
      </c>
      <c r="Q117" s="20"/>
      <c r="R117" s="39"/>
    </row>
    <row r="118" spans="1:18" ht="48" thickTop="1" thickBot="1" x14ac:dyDescent="0.25">
      <c r="A118" s="326" t="s">
        <v>717</v>
      </c>
      <c r="B118" s="326" t="s">
        <v>718</v>
      </c>
      <c r="C118" s="326"/>
      <c r="D118" s="326" t="s">
        <v>719</v>
      </c>
      <c r="E118" s="322">
        <f>E119</f>
        <v>19127800</v>
      </c>
      <c r="F118" s="322">
        <f t="shared" ref="F118:P118" si="88">F119</f>
        <v>19127800</v>
      </c>
      <c r="G118" s="322">
        <f t="shared" si="88"/>
        <v>0</v>
      </c>
      <c r="H118" s="322">
        <f t="shared" si="88"/>
        <v>0</v>
      </c>
      <c r="I118" s="322">
        <f t="shared" si="88"/>
        <v>0</v>
      </c>
      <c r="J118" s="322">
        <f t="shared" si="88"/>
        <v>0</v>
      </c>
      <c r="K118" s="322">
        <f t="shared" si="88"/>
        <v>0</v>
      </c>
      <c r="L118" s="322">
        <f t="shared" si="88"/>
        <v>0</v>
      </c>
      <c r="M118" s="322">
        <f t="shared" si="88"/>
        <v>0</v>
      </c>
      <c r="N118" s="322">
        <f t="shared" si="88"/>
        <v>0</v>
      </c>
      <c r="O118" s="322">
        <f t="shared" si="88"/>
        <v>0</v>
      </c>
      <c r="P118" s="322">
        <f t="shared" si="88"/>
        <v>19127800</v>
      </c>
      <c r="Q118" s="20"/>
      <c r="R118" s="39"/>
    </row>
    <row r="119" spans="1:18" ht="93" thickTop="1" thickBot="1" x14ac:dyDescent="0.25">
      <c r="A119" s="101" t="s">
        <v>227</v>
      </c>
      <c r="B119" s="101" t="s">
        <v>228</v>
      </c>
      <c r="C119" s="101" t="s">
        <v>346</v>
      </c>
      <c r="D119" s="101" t="s">
        <v>229</v>
      </c>
      <c r="E119" s="325">
        <f t="shared" si="87"/>
        <v>19127800</v>
      </c>
      <c r="F119" s="458">
        <f>19727800-600000</f>
        <v>19127800</v>
      </c>
      <c r="G119" s="458"/>
      <c r="H119" s="458"/>
      <c r="I119" s="458"/>
      <c r="J119" s="325">
        <f t="shared" si="84"/>
        <v>0</v>
      </c>
      <c r="K119" s="458"/>
      <c r="L119" s="458"/>
      <c r="M119" s="458"/>
      <c r="N119" s="458"/>
      <c r="O119" s="455">
        <f t="shared" ref="O119:O138" si="89">K119</f>
        <v>0</v>
      </c>
      <c r="P119" s="325">
        <f t="shared" si="85"/>
        <v>19127800</v>
      </c>
      <c r="Q119" s="20"/>
      <c r="R119" s="39"/>
    </row>
    <row r="120" spans="1:18" ht="48" hidden="1" thickTop="1" thickBot="1" x14ac:dyDescent="0.25">
      <c r="A120" s="138" t="s">
        <v>720</v>
      </c>
      <c r="B120" s="138" t="s">
        <v>721</v>
      </c>
      <c r="C120" s="138"/>
      <c r="D120" s="138" t="s">
        <v>722</v>
      </c>
      <c r="E120" s="139">
        <f>E121</f>
        <v>0</v>
      </c>
      <c r="F120" s="139">
        <f t="shared" ref="F120:P120" si="90">F121</f>
        <v>0</v>
      </c>
      <c r="G120" s="139">
        <f t="shared" si="90"/>
        <v>0</v>
      </c>
      <c r="H120" s="139">
        <f t="shared" si="90"/>
        <v>0</v>
      </c>
      <c r="I120" s="139">
        <f t="shared" si="90"/>
        <v>0</v>
      </c>
      <c r="J120" s="580">
        <f t="shared" si="90"/>
        <v>0</v>
      </c>
      <c r="K120" s="580">
        <f t="shared" si="90"/>
        <v>0</v>
      </c>
      <c r="L120" s="580">
        <f t="shared" si="90"/>
        <v>0</v>
      </c>
      <c r="M120" s="580">
        <f t="shared" si="90"/>
        <v>0</v>
      </c>
      <c r="N120" s="580">
        <f t="shared" si="90"/>
        <v>0</v>
      </c>
      <c r="O120" s="580">
        <f t="shared" si="90"/>
        <v>0</v>
      </c>
      <c r="P120" s="580">
        <f t="shared" si="90"/>
        <v>0</v>
      </c>
      <c r="Q120" s="20"/>
      <c r="R120" s="39"/>
    </row>
    <row r="121" spans="1:18" ht="48" hidden="1" thickTop="1" thickBot="1" x14ac:dyDescent="0.25">
      <c r="A121" s="126" t="s">
        <v>475</v>
      </c>
      <c r="B121" s="126" t="s">
        <v>476</v>
      </c>
      <c r="C121" s="126" t="s">
        <v>230</v>
      </c>
      <c r="D121" s="126" t="s">
        <v>477</v>
      </c>
      <c r="E121" s="125">
        <f t="shared" si="87"/>
        <v>0</v>
      </c>
      <c r="F121" s="132">
        <v>0</v>
      </c>
      <c r="G121" s="132"/>
      <c r="H121" s="132"/>
      <c r="I121" s="132"/>
      <c r="J121" s="581">
        <f t="shared" si="84"/>
        <v>0</v>
      </c>
      <c r="K121" s="582"/>
      <c r="L121" s="582"/>
      <c r="M121" s="582"/>
      <c r="N121" s="582"/>
      <c r="O121" s="583">
        <f t="shared" si="89"/>
        <v>0</v>
      </c>
      <c r="P121" s="581">
        <f t="shared" si="85"/>
        <v>0</v>
      </c>
      <c r="Q121" s="20"/>
      <c r="R121" s="39"/>
    </row>
    <row r="122" spans="1:18" ht="48" thickTop="1" thickBot="1" x14ac:dyDescent="0.25">
      <c r="A122" s="326" t="s">
        <v>723</v>
      </c>
      <c r="B122" s="326" t="s">
        <v>724</v>
      </c>
      <c r="C122" s="326"/>
      <c r="D122" s="326" t="s">
        <v>725</v>
      </c>
      <c r="E122" s="322">
        <f>SUM(E123:E124)</f>
        <v>9849255</v>
      </c>
      <c r="F122" s="322">
        <f t="shared" ref="F122:P122" si="91">SUM(F123:F124)</f>
        <v>9849255</v>
      </c>
      <c r="G122" s="322">
        <f t="shared" si="91"/>
        <v>3269881</v>
      </c>
      <c r="H122" s="322">
        <f t="shared" si="91"/>
        <v>208800</v>
      </c>
      <c r="I122" s="322">
        <f t="shared" si="91"/>
        <v>0</v>
      </c>
      <c r="J122" s="322">
        <f t="shared" si="91"/>
        <v>0</v>
      </c>
      <c r="K122" s="322">
        <f t="shared" si="91"/>
        <v>0</v>
      </c>
      <c r="L122" s="322">
        <f t="shared" si="91"/>
        <v>0</v>
      </c>
      <c r="M122" s="322">
        <f t="shared" si="91"/>
        <v>0</v>
      </c>
      <c r="N122" s="322">
        <f t="shared" si="91"/>
        <v>0</v>
      </c>
      <c r="O122" s="322">
        <f t="shared" si="91"/>
        <v>0</v>
      </c>
      <c r="P122" s="322">
        <f t="shared" si="91"/>
        <v>9849255</v>
      </c>
      <c r="Q122" s="20"/>
      <c r="R122" s="39"/>
    </row>
    <row r="123" spans="1:18" s="33" customFormat="1" ht="48" thickTop="1" thickBot="1" x14ac:dyDescent="0.25">
      <c r="A123" s="101" t="s">
        <v>321</v>
      </c>
      <c r="B123" s="101" t="s">
        <v>323</v>
      </c>
      <c r="C123" s="101" t="s">
        <v>230</v>
      </c>
      <c r="D123" s="466" t="s">
        <v>319</v>
      </c>
      <c r="E123" s="325">
        <f t="shared" si="87"/>
        <v>4423055</v>
      </c>
      <c r="F123" s="458">
        <v>4423055</v>
      </c>
      <c r="G123" s="458">
        <v>3269881</v>
      </c>
      <c r="H123" s="458">
        <v>208800</v>
      </c>
      <c r="I123" s="458"/>
      <c r="J123" s="325">
        <f t="shared" si="84"/>
        <v>0</v>
      </c>
      <c r="K123" s="458"/>
      <c r="L123" s="458"/>
      <c r="M123" s="458"/>
      <c r="N123" s="458"/>
      <c r="O123" s="455">
        <f t="shared" si="89"/>
        <v>0</v>
      </c>
      <c r="P123" s="325">
        <f t="shared" si="85"/>
        <v>4423055</v>
      </c>
      <c r="Q123" s="36"/>
      <c r="R123" s="26"/>
    </row>
    <row r="124" spans="1:18" s="33" customFormat="1" ht="48" thickTop="1" thickBot="1" x14ac:dyDescent="0.25">
      <c r="A124" s="101" t="s">
        <v>322</v>
      </c>
      <c r="B124" s="101" t="s">
        <v>324</v>
      </c>
      <c r="C124" s="101" t="s">
        <v>230</v>
      </c>
      <c r="D124" s="466" t="s">
        <v>320</v>
      </c>
      <c r="E124" s="325">
        <f t="shared" si="87"/>
        <v>5426200</v>
      </c>
      <c r="F124" s="458">
        <v>5426200</v>
      </c>
      <c r="G124" s="458"/>
      <c r="H124" s="458"/>
      <c r="I124" s="458"/>
      <c r="J124" s="325">
        <f t="shared" si="84"/>
        <v>0</v>
      </c>
      <c r="K124" s="458"/>
      <c r="L124" s="458"/>
      <c r="M124" s="458"/>
      <c r="N124" s="458"/>
      <c r="O124" s="455">
        <f t="shared" si="89"/>
        <v>0</v>
      </c>
      <c r="P124" s="325">
        <f t="shared" si="85"/>
        <v>5426200</v>
      </c>
      <c r="Q124" s="36"/>
      <c r="R124" s="39"/>
    </row>
    <row r="125" spans="1:18" s="33" customFormat="1" ht="127.5" customHeight="1" thickTop="1" thickBot="1" x14ac:dyDescent="0.25">
      <c r="A125" s="326" t="s">
        <v>1597</v>
      </c>
      <c r="B125" s="326" t="s">
        <v>1598</v>
      </c>
      <c r="C125" s="326"/>
      <c r="D125" s="326" t="s">
        <v>1596</v>
      </c>
      <c r="E125" s="322">
        <f>E126</f>
        <v>0</v>
      </c>
      <c r="F125" s="322">
        <f t="shared" ref="F125:P125" si="92">F126</f>
        <v>0</v>
      </c>
      <c r="G125" s="322">
        <f t="shared" si="92"/>
        <v>0</v>
      </c>
      <c r="H125" s="322">
        <f t="shared" si="92"/>
        <v>0</v>
      </c>
      <c r="I125" s="322">
        <f t="shared" si="92"/>
        <v>0</v>
      </c>
      <c r="J125" s="322">
        <f t="shared" si="92"/>
        <v>2994000</v>
      </c>
      <c r="K125" s="322">
        <f t="shared" si="92"/>
        <v>2994000</v>
      </c>
      <c r="L125" s="322">
        <f t="shared" si="92"/>
        <v>0</v>
      </c>
      <c r="M125" s="322">
        <f t="shared" si="92"/>
        <v>0</v>
      </c>
      <c r="N125" s="322">
        <f t="shared" si="92"/>
        <v>0</v>
      </c>
      <c r="O125" s="322">
        <f t="shared" si="92"/>
        <v>2994000</v>
      </c>
      <c r="P125" s="322">
        <f t="shared" si="92"/>
        <v>2994000</v>
      </c>
      <c r="Q125" s="36"/>
      <c r="R125" s="39"/>
    </row>
    <row r="126" spans="1:18" s="33" customFormat="1" ht="138.75" thickTop="1" thickBot="1" x14ac:dyDescent="0.25">
      <c r="A126" s="101" t="s">
        <v>1600</v>
      </c>
      <c r="B126" s="101" t="s">
        <v>1601</v>
      </c>
      <c r="C126" s="101" t="s">
        <v>230</v>
      </c>
      <c r="D126" s="466" t="s">
        <v>1599</v>
      </c>
      <c r="E126" s="325">
        <f t="shared" ref="E126" si="93">F126</f>
        <v>0</v>
      </c>
      <c r="F126" s="458"/>
      <c r="G126" s="458"/>
      <c r="H126" s="458"/>
      <c r="I126" s="458"/>
      <c r="J126" s="325">
        <f t="shared" ref="J126" si="94">L126+O126</f>
        <v>2994000</v>
      </c>
      <c r="K126" s="458">
        <v>2994000</v>
      </c>
      <c r="L126" s="458"/>
      <c r="M126" s="458"/>
      <c r="N126" s="458"/>
      <c r="O126" s="455">
        <f t="shared" ref="O126" si="95">K126</f>
        <v>2994000</v>
      </c>
      <c r="P126" s="325">
        <f t="shared" ref="P126" si="96">E126+J126</f>
        <v>2994000</v>
      </c>
      <c r="Q126" s="36"/>
      <c r="R126" s="39"/>
    </row>
    <row r="127" spans="1:18" s="33" customFormat="1" ht="47.25" thickTop="1" thickBot="1" x14ac:dyDescent="0.25">
      <c r="A127" s="308" t="s">
        <v>1198</v>
      </c>
      <c r="B127" s="308" t="s">
        <v>711</v>
      </c>
      <c r="C127" s="308"/>
      <c r="D127" s="308" t="s">
        <v>712</v>
      </c>
      <c r="E127" s="325">
        <f>E128</f>
        <v>100000</v>
      </c>
      <c r="F127" s="325">
        <f t="shared" ref="F127:P127" si="97">F128</f>
        <v>100000</v>
      </c>
      <c r="G127" s="325">
        <f t="shared" si="97"/>
        <v>0</v>
      </c>
      <c r="H127" s="325">
        <f t="shared" si="97"/>
        <v>0</v>
      </c>
      <c r="I127" s="325">
        <f t="shared" si="97"/>
        <v>0</v>
      </c>
      <c r="J127" s="325">
        <f t="shared" si="97"/>
        <v>0</v>
      </c>
      <c r="K127" s="325">
        <f t="shared" si="97"/>
        <v>0</v>
      </c>
      <c r="L127" s="325">
        <f t="shared" si="97"/>
        <v>0</v>
      </c>
      <c r="M127" s="325">
        <f t="shared" si="97"/>
        <v>0</v>
      </c>
      <c r="N127" s="325">
        <f t="shared" si="97"/>
        <v>0</v>
      </c>
      <c r="O127" s="325">
        <f t="shared" si="97"/>
        <v>0</v>
      </c>
      <c r="P127" s="325">
        <f t="shared" si="97"/>
        <v>100000</v>
      </c>
      <c r="Q127" s="36"/>
      <c r="R127" s="39"/>
    </row>
    <row r="128" spans="1:18" s="33" customFormat="1" ht="93" thickTop="1" thickBot="1" x14ac:dyDescent="0.25">
      <c r="A128" s="101" t="s">
        <v>1199</v>
      </c>
      <c r="B128" s="101" t="s">
        <v>1200</v>
      </c>
      <c r="C128" s="101" t="s">
        <v>206</v>
      </c>
      <c r="D128" s="466" t="s">
        <v>1201</v>
      </c>
      <c r="E128" s="325">
        <f t="shared" ref="E128" si="98">F128</f>
        <v>100000</v>
      </c>
      <c r="F128" s="458">
        <v>100000</v>
      </c>
      <c r="G128" s="458"/>
      <c r="H128" s="458"/>
      <c r="I128" s="458"/>
      <c r="J128" s="325">
        <f t="shared" ref="J128" si="99">L128+O128</f>
        <v>0</v>
      </c>
      <c r="K128" s="458"/>
      <c r="L128" s="458"/>
      <c r="M128" s="458"/>
      <c r="N128" s="458"/>
      <c r="O128" s="455">
        <f t="shared" ref="O128" si="100">K128</f>
        <v>0</v>
      </c>
      <c r="P128" s="325">
        <f t="shared" ref="P128" si="101">E128+J128</f>
        <v>100000</v>
      </c>
      <c r="Q128" s="36"/>
      <c r="R128" s="39"/>
    </row>
    <row r="129" spans="1:20" s="33" customFormat="1" ht="47.25" thickTop="1" thickBot="1" x14ac:dyDescent="0.25">
      <c r="A129" s="308" t="s">
        <v>750</v>
      </c>
      <c r="B129" s="308" t="s">
        <v>748</v>
      </c>
      <c r="C129" s="308"/>
      <c r="D129" s="308" t="s">
        <v>749</v>
      </c>
      <c r="E129" s="325">
        <f>SUM(E135)+E130</f>
        <v>0</v>
      </c>
      <c r="F129" s="325">
        <f t="shared" ref="F129:P129" si="102">SUM(F135)+F130</f>
        <v>0</v>
      </c>
      <c r="G129" s="325">
        <f t="shared" si="102"/>
        <v>0</v>
      </c>
      <c r="H129" s="325">
        <f t="shared" si="102"/>
        <v>0</v>
      </c>
      <c r="I129" s="325">
        <f t="shared" si="102"/>
        <v>0</v>
      </c>
      <c r="J129" s="325">
        <f t="shared" si="102"/>
        <v>5058924.99</v>
      </c>
      <c r="K129" s="325">
        <f t="shared" si="102"/>
        <v>5058924.99</v>
      </c>
      <c r="L129" s="325">
        <f t="shared" si="102"/>
        <v>0</v>
      </c>
      <c r="M129" s="325">
        <f t="shared" si="102"/>
        <v>0</v>
      </c>
      <c r="N129" s="325">
        <f t="shared" si="102"/>
        <v>0</v>
      </c>
      <c r="O129" s="325">
        <f t="shared" si="102"/>
        <v>5058924.99</v>
      </c>
      <c r="P129" s="325">
        <f t="shared" si="102"/>
        <v>5058924.99</v>
      </c>
      <c r="Q129" s="36"/>
      <c r="R129" s="39"/>
    </row>
    <row r="130" spans="1:20" s="33" customFormat="1" ht="47.25" thickTop="1" thickBot="1" x14ac:dyDescent="0.25">
      <c r="A130" s="310" t="s">
        <v>1053</v>
      </c>
      <c r="B130" s="310" t="s">
        <v>803</v>
      </c>
      <c r="C130" s="310"/>
      <c r="D130" s="310" t="s">
        <v>804</v>
      </c>
      <c r="E130" s="312">
        <f>E133+E131</f>
        <v>0</v>
      </c>
      <c r="F130" s="312">
        <f t="shared" ref="F130:P130" si="103">F133+F131</f>
        <v>0</v>
      </c>
      <c r="G130" s="312">
        <f t="shared" si="103"/>
        <v>0</v>
      </c>
      <c r="H130" s="312">
        <f t="shared" si="103"/>
        <v>0</v>
      </c>
      <c r="I130" s="312">
        <f t="shared" si="103"/>
        <v>0</v>
      </c>
      <c r="J130" s="312">
        <f t="shared" si="103"/>
        <v>3058924.99</v>
      </c>
      <c r="K130" s="312">
        <f t="shared" si="103"/>
        <v>3058924.99</v>
      </c>
      <c r="L130" s="312">
        <f t="shared" si="103"/>
        <v>0</v>
      </c>
      <c r="M130" s="312">
        <f t="shared" si="103"/>
        <v>0</v>
      </c>
      <c r="N130" s="312">
        <f t="shared" si="103"/>
        <v>0</v>
      </c>
      <c r="O130" s="312">
        <f t="shared" si="103"/>
        <v>3058924.99</v>
      </c>
      <c r="P130" s="312">
        <f t="shared" si="103"/>
        <v>3058924.99</v>
      </c>
      <c r="Q130" s="36"/>
      <c r="R130" s="39"/>
    </row>
    <row r="131" spans="1:20" s="33" customFormat="1" ht="54.75" thickTop="1" thickBot="1" x14ac:dyDescent="0.25">
      <c r="A131" s="326" t="s">
        <v>1180</v>
      </c>
      <c r="B131" s="326" t="s">
        <v>821</v>
      </c>
      <c r="C131" s="326"/>
      <c r="D131" s="326" t="s">
        <v>1503</v>
      </c>
      <c r="E131" s="322">
        <f>E132</f>
        <v>0</v>
      </c>
      <c r="F131" s="322">
        <f t="shared" ref="F131:P131" si="104">F132</f>
        <v>0</v>
      </c>
      <c r="G131" s="322">
        <f t="shared" si="104"/>
        <v>0</v>
      </c>
      <c r="H131" s="322">
        <f t="shared" si="104"/>
        <v>0</v>
      </c>
      <c r="I131" s="322">
        <f t="shared" si="104"/>
        <v>0</v>
      </c>
      <c r="J131" s="322">
        <f t="shared" si="104"/>
        <v>3058924.99</v>
      </c>
      <c r="K131" s="322">
        <f t="shared" si="104"/>
        <v>3058924.99</v>
      </c>
      <c r="L131" s="322">
        <f t="shared" si="104"/>
        <v>0</v>
      </c>
      <c r="M131" s="322">
        <f t="shared" si="104"/>
        <v>0</v>
      </c>
      <c r="N131" s="322">
        <f t="shared" si="104"/>
        <v>0</v>
      </c>
      <c r="O131" s="322">
        <f t="shared" si="104"/>
        <v>3058924.99</v>
      </c>
      <c r="P131" s="322">
        <f t="shared" si="104"/>
        <v>3058924.99</v>
      </c>
      <c r="Q131" s="36"/>
      <c r="R131" s="39"/>
    </row>
    <row r="132" spans="1:20" s="33" customFormat="1" ht="54" thickTop="1" thickBot="1" x14ac:dyDescent="0.25">
      <c r="A132" s="101" t="s">
        <v>1179</v>
      </c>
      <c r="B132" s="101" t="s">
        <v>1181</v>
      </c>
      <c r="C132" s="101" t="s">
        <v>304</v>
      </c>
      <c r="D132" s="101" t="s">
        <v>1525</v>
      </c>
      <c r="E132" s="325">
        <f t="shared" ref="E132" si="105">F132</f>
        <v>0</v>
      </c>
      <c r="F132" s="458"/>
      <c r="G132" s="458"/>
      <c r="H132" s="458"/>
      <c r="I132" s="458"/>
      <c r="J132" s="325">
        <f t="shared" ref="J132" si="106">L132+O132</f>
        <v>3058924.99</v>
      </c>
      <c r="K132" s="458">
        <f>(1000000)+2058924.99</f>
        <v>3058924.99</v>
      </c>
      <c r="L132" s="458"/>
      <c r="M132" s="458"/>
      <c r="N132" s="458"/>
      <c r="O132" s="455">
        <f>K132</f>
        <v>3058924.99</v>
      </c>
      <c r="P132" s="325">
        <f t="shared" ref="P132" si="107">E132+J132</f>
        <v>3058924.99</v>
      </c>
      <c r="Q132" s="36"/>
      <c r="R132" s="39"/>
    </row>
    <row r="133" spans="1:20" s="33" customFormat="1" ht="48" hidden="1" thickTop="1" thickBot="1" x14ac:dyDescent="0.25">
      <c r="A133" s="142" t="s">
        <v>1054</v>
      </c>
      <c r="B133" s="142" t="s">
        <v>1052</v>
      </c>
      <c r="C133" s="142"/>
      <c r="D133" s="142" t="s">
        <v>1051</v>
      </c>
      <c r="E133" s="143">
        <f>E134</f>
        <v>0</v>
      </c>
      <c r="F133" s="143">
        <f t="shared" ref="F133:P133" si="108">F134</f>
        <v>0</v>
      </c>
      <c r="G133" s="143">
        <f t="shared" si="108"/>
        <v>0</v>
      </c>
      <c r="H133" s="143">
        <f t="shared" si="108"/>
        <v>0</v>
      </c>
      <c r="I133" s="143">
        <f t="shared" si="108"/>
        <v>0</v>
      </c>
      <c r="J133" s="143">
        <f t="shared" si="108"/>
        <v>0</v>
      </c>
      <c r="K133" s="143">
        <f t="shared" si="108"/>
        <v>0</v>
      </c>
      <c r="L133" s="143">
        <f t="shared" si="108"/>
        <v>0</v>
      </c>
      <c r="M133" s="143">
        <f t="shared" si="108"/>
        <v>0</v>
      </c>
      <c r="N133" s="143">
        <f t="shared" si="108"/>
        <v>0</v>
      </c>
      <c r="O133" s="143">
        <f t="shared" si="108"/>
        <v>0</v>
      </c>
      <c r="P133" s="143">
        <f t="shared" si="108"/>
        <v>0</v>
      </c>
      <c r="Q133" s="36"/>
      <c r="R133" s="39"/>
    </row>
    <row r="134" spans="1:20" s="33" customFormat="1" ht="93" hidden="1" thickTop="1" thickBot="1" x14ac:dyDescent="0.25">
      <c r="A134" s="41" t="s">
        <v>1055</v>
      </c>
      <c r="B134" s="41" t="s">
        <v>1056</v>
      </c>
      <c r="C134" s="41" t="s">
        <v>170</v>
      </c>
      <c r="D134" s="41" t="s">
        <v>1057</v>
      </c>
      <c r="E134" s="42">
        <f t="shared" si="87"/>
        <v>0</v>
      </c>
      <c r="F134" s="43"/>
      <c r="G134" s="43"/>
      <c r="H134" s="43"/>
      <c r="I134" s="43"/>
      <c r="J134" s="42">
        <f t="shared" si="84"/>
        <v>0</v>
      </c>
      <c r="K134" s="43"/>
      <c r="L134" s="43"/>
      <c r="M134" s="43"/>
      <c r="N134" s="43"/>
      <c r="O134" s="44">
        <f>K134</f>
        <v>0</v>
      </c>
      <c r="P134" s="42">
        <f t="shared" si="85"/>
        <v>0</v>
      </c>
      <c r="Q134" s="36"/>
      <c r="R134" s="26"/>
    </row>
    <row r="135" spans="1:20" s="28" customFormat="1" ht="47.25" thickTop="1" thickBot="1" x14ac:dyDescent="0.25">
      <c r="A135" s="310" t="s">
        <v>726</v>
      </c>
      <c r="B135" s="310" t="s">
        <v>691</v>
      </c>
      <c r="C135" s="310"/>
      <c r="D135" s="310" t="s">
        <v>689</v>
      </c>
      <c r="E135" s="312">
        <f>E136</f>
        <v>0</v>
      </c>
      <c r="F135" s="312">
        <f t="shared" ref="F135:P135" si="109">F136</f>
        <v>0</v>
      </c>
      <c r="G135" s="312">
        <f t="shared" si="109"/>
        <v>0</v>
      </c>
      <c r="H135" s="312">
        <f t="shared" si="109"/>
        <v>0</v>
      </c>
      <c r="I135" s="312">
        <f t="shared" si="109"/>
        <v>0</v>
      </c>
      <c r="J135" s="312">
        <f t="shared" si="109"/>
        <v>2000000</v>
      </c>
      <c r="K135" s="312">
        <f t="shared" si="109"/>
        <v>2000000</v>
      </c>
      <c r="L135" s="312">
        <f t="shared" si="109"/>
        <v>0</v>
      </c>
      <c r="M135" s="312">
        <f t="shared" si="109"/>
        <v>0</v>
      </c>
      <c r="N135" s="312">
        <f t="shared" si="109"/>
        <v>0</v>
      </c>
      <c r="O135" s="312">
        <f t="shared" si="109"/>
        <v>2000000</v>
      </c>
      <c r="P135" s="312">
        <f t="shared" si="109"/>
        <v>2000000</v>
      </c>
      <c r="Q135" s="147"/>
      <c r="R135" s="40"/>
    </row>
    <row r="136" spans="1:20" s="28" customFormat="1" ht="48" thickTop="1" thickBot="1" x14ac:dyDescent="0.25">
      <c r="A136" s="101" t="s">
        <v>1255</v>
      </c>
      <c r="B136" s="101" t="s">
        <v>212</v>
      </c>
      <c r="C136" s="101" t="s">
        <v>213</v>
      </c>
      <c r="D136" s="101" t="s">
        <v>41</v>
      </c>
      <c r="E136" s="325">
        <f t="shared" si="87"/>
        <v>0</v>
      </c>
      <c r="F136" s="458"/>
      <c r="G136" s="458"/>
      <c r="H136" s="458"/>
      <c r="I136" s="458"/>
      <c r="J136" s="325">
        <f t="shared" ref="J136" si="110">L136+O136</f>
        <v>2000000</v>
      </c>
      <c r="K136" s="458">
        <f>(0)+2000000</f>
        <v>2000000</v>
      </c>
      <c r="L136" s="458"/>
      <c r="M136" s="458"/>
      <c r="N136" s="458"/>
      <c r="O136" s="455">
        <f t="shared" ref="O136" si="111">K136</f>
        <v>2000000</v>
      </c>
      <c r="P136" s="325">
        <f t="shared" si="85"/>
        <v>2000000</v>
      </c>
      <c r="Q136" s="147"/>
      <c r="R136" s="40"/>
    </row>
    <row r="137" spans="1:20" s="33" customFormat="1" ht="48" hidden="1" thickTop="1" thickBot="1" x14ac:dyDescent="0.25">
      <c r="A137" s="41" t="s">
        <v>435</v>
      </c>
      <c r="B137" s="41" t="s">
        <v>197</v>
      </c>
      <c r="C137" s="41" t="s">
        <v>170</v>
      </c>
      <c r="D137" s="41" t="s">
        <v>34</v>
      </c>
      <c r="E137" s="42">
        <f t="shared" si="87"/>
        <v>0</v>
      </c>
      <c r="F137" s="43"/>
      <c r="G137" s="43"/>
      <c r="H137" s="43"/>
      <c r="I137" s="43"/>
      <c r="J137" s="42">
        <f t="shared" si="84"/>
        <v>0</v>
      </c>
      <c r="K137" s="43"/>
      <c r="L137" s="43"/>
      <c r="M137" s="43"/>
      <c r="N137" s="43"/>
      <c r="O137" s="44">
        <f t="shared" si="89"/>
        <v>0</v>
      </c>
      <c r="P137" s="42">
        <f t="shared" si="85"/>
        <v>0</v>
      </c>
      <c r="Q137" s="36"/>
      <c r="R137" s="26"/>
    </row>
    <row r="138" spans="1:20" s="33" customFormat="1" ht="48" hidden="1" thickTop="1" thickBot="1" x14ac:dyDescent="0.25">
      <c r="A138" s="41" t="s">
        <v>509</v>
      </c>
      <c r="B138" s="41" t="s">
        <v>363</v>
      </c>
      <c r="C138" s="41" t="s">
        <v>43</v>
      </c>
      <c r="D138" s="41" t="s">
        <v>364</v>
      </c>
      <c r="E138" s="42">
        <f t="shared" si="87"/>
        <v>0</v>
      </c>
      <c r="F138" s="43"/>
      <c r="G138" s="43"/>
      <c r="H138" s="43"/>
      <c r="I138" s="43"/>
      <c r="J138" s="42">
        <f t="shared" si="84"/>
        <v>0</v>
      </c>
      <c r="K138" s="43"/>
      <c r="L138" s="43"/>
      <c r="M138" s="43"/>
      <c r="N138" s="43"/>
      <c r="O138" s="44">
        <f t="shared" si="89"/>
        <v>0</v>
      </c>
      <c r="P138" s="42">
        <f t="shared" si="85"/>
        <v>0</v>
      </c>
      <c r="Q138" s="36"/>
      <c r="R138" s="30"/>
    </row>
    <row r="139" spans="1:20" ht="120" customHeight="1" thickTop="1" thickBot="1" x14ac:dyDescent="0.25">
      <c r="A139" s="645" t="s">
        <v>156</v>
      </c>
      <c r="B139" s="645"/>
      <c r="C139" s="645"/>
      <c r="D139" s="646" t="s">
        <v>37</v>
      </c>
      <c r="E139" s="647">
        <f>E140</f>
        <v>337466423.73000002</v>
      </c>
      <c r="F139" s="648">
        <f t="shared" ref="F139:G139" si="112">F140</f>
        <v>337466423.73000002</v>
      </c>
      <c r="G139" s="648">
        <f t="shared" si="112"/>
        <v>100966833</v>
      </c>
      <c r="H139" s="648">
        <f>H140</f>
        <v>5265634.2800000012</v>
      </c>
      <c r="I139" s="648">
        <f t="shared" ref="I139" si="113">I140</f>
        <v>0</v>
      </c>
      <c r="J139" s="647">
        <f>J140</f>
        <v>108516883.53999999</v>
      </c>
      <c r="K139" s="648">
        <f>K140</f>
        <v>102253623.53999999</v>
      </c>
      <c r="L139" s="648">
        <f>L140</f>
        <v>6239260</v>
      </c>
      <c r="M139" s="648">
        <f t="shared" ref="M139" si="114">M140</f>
        <v>2604685</v>
      </c>
      <c r="N139" s="648">
        <f>N140</f>
        <v>705805</v>
      </c>
      <c r="O139" s="647">
        <f>O140</f>
        <v>102277623.53999999</v>
      </c>
      <c r="P139" s="648">
        <f>P140</f>
        <v>445983307.26999998</v>
      </c>
      <c r="Q139" s="20"/>
    </row>
    <row r="140" spans="1:20" ht="120" customHeight="1" thickTop="1" thickBot="1" x14ac:dyDescent="0.25">
      <c r="A140" s="642" t="s">
        <v>157</v>
      </c>
      <c r="B140" s="642"/>
      <c r="C140" s="642"/>
      <c r="D140" s="643" t="s">
        <v>38</v>
      </c>
      <c r="E140" s="644">
        <f>E141+E145+E186+E190</f>
        <v>337466423.73000002</v>
      </c>
      <c r="F140" s="644">
        <f>F141+F145+F186+F190</f>
        <v>337466423.73000002</v>
      </c>
      <c r="G140" s="644">
        <f>G141+G145+G186+G190</f>
        <v>100966833</v>
      </c>
      <c r="H140" s="644">
        <f>H141+H145+H186+H190</f>
        <v>5265634.2800000012</v>
      </c>
      <c r="I140" s="644">
        <f>I141+I145+I186+I190</f>
        <v>0</v>
      </c>
      <c r="J140" s="644">
        <f t="shared" ref="J140:J166" si="115">L140+O140</f>
        <v>108516883.53999999</v>
      </c>
      <c r="K140" s="644">
        <f>K141+K145+K186+K190</f>
        <v>102253623.53999999</v>
      </c>
      <c r="L140" s="644">
        <f>L141+L145+L186+L190</f>
        <v>6239260</v>
      </c>
      <c r="M140" s="644">
        <f>M141+M145+M186+M190</f>
        <v>2604685</v>
      </c>
      <c r="N140" s="644">
        <f>N141+N145+N186+N190</f>
        <v>705805</v>
      </c>
      <c r="O140" s="644">
        <f>O141+O145+O186+O190</f>
        <v>102277623.53999999</v>
      </c>
      <c r="P140" s="644">
        <f>E140+J140</f>
        <v>445983307.26999998</v>
      </c>
      <c r="Q140" s="492" t="b">
        <f>P140=P142+P144+P147+P148+P149+P150+P151+P152+P153+P154+P156+P157+P159+P160+P162+P163+P165+P166+P182+P184+P185+P188+P195+P193</f>
        <v>1</v>
      </c>
      <c r="R140" s="46"/>
      <c r="S140" s="46"/>
      <c r="T140" s="45"/>
    </row>
    <row r="141" spans="1:20" ht="47.25" thickTop="1" thickBot="1" x14ac:dyDescent="0.25">
      <c r="A141" s="308" t="s">
        <v>727</v>
      </c>
      <c r="B141" s="308" t="s">
        <v>684</v>
      </c>
      <c r="C141" s="308"/>
      <c r="D141" s="308" t="s">
        <v>685</v>
      </c>
      <c r="E141" s="325">
        <f t="shared" ref="E141:P141" si="116">SUM(E142:E144)</f>
        <v>58832582</v>
      </c>
      <c r="F141" s="325">
        <f t="shared" si="116"/>
        <v>58832582</v>
      </c>
      <c r="G141" s="325">
        <f t="shared" si="116"/>
        <v>43735000</v>
      </c>
      <c r="H141" s="325">
        <f t="shared" si="116"/>
        <v>2080882</v>
      </c>
      <c r="I141" s="325">
        <f t="shared" si="116"/>
        <v>0</v>
      </c>
      <c r="J141" s="325">
        <f t="shared" si="116"/>
        <v>700000</v>
      </c>
      <c r="K141" s="325">
        <f t="shared" si="116"/>
        <v>700000</v>
      </c>
      <c r="L141" s="325">
        <f t="shared" si="116"/>
        <v>0</v>
      </c>
      <c r="M141" s="325">
        <f t="shared" si="116"/>
        <v>0</v>
      </c>
      <c r="N141" s="325">
        <f t="shared" si="116"/>
        <v>0</v>
      </c>
      <c r="O141" s="325">
        <f t="shared" si="116"/>
        <v>700000</v>
      </c>
      <c r="P141" s="325">
        <f t="shared" si="116"/>
        <v>59532582</v>
      </c>
      <c r="Q141" s="47"/>
      <c r="R141" s="46"/>
      <c r="T141" s="45"/>
    </row>
    <row r="142" spans="1:20" ht="93" thickTop="1" thickBot="1" x14ac:dyDescent="0.25">
      <c r="A142" s="101" t="s">
        <v>415</v>
      </c>
      <c r="B142" s="101" t="s">
        <v>236</v>
      </c>
      <c r="C142" s="101" t="s">
        <v>234</v>
      </c>
      <c r="D142" s="101" t="s">
        <v>235</v>
      </c>
      <c r="E142" s="325">
        <f t="shared" ref="E142:E144" si="117">F142</f>
        <v>58802582</v>
      </c>
      <c r="F142" s="458">
        <v>58802582</v>
      </c>
      <c r="G142" s="458">
        <v>43735000</v>
      </c>
      <c r="H142" s="458">
        <v>2080882</v>
      </c>
      <c r="I142" s="458"/>
      <c r="J142" s="325">
        <f t="shared" si="115"/>
        <v>700000</v>
      </c>
      <c r="K142" s="458">
        <v>700000</v>
      </c>
      <c r="L142" s="458"/>
      <c r="M142" s="458"/>
      <c r="N142" s="458"/>
      <c r="O142" s="455">
        <f>K142</f>
        <v>700000</v>
      </c>
      <c r="P142" s="325">
        <f t="shared" ref="P142:P157" si="118">E142+J142</f>
        <v>59502582</v>
      </c>
      <c r="Q142" s="47"/>
      <c r="R142" s="46"/>
      <c r="T142" s="45"/>
    </row>
    <row r="143" spans="1:20" ht="93" hidden="1" thickTop="1" thickBot="1" x14ac:dyDescent="0.25">
      <c r="A143" s="101" t="s">
        <v>628</v>
      </c>
      <c r="B143" s="101" t="s">
        <v>362</v>
      </c>
      <c r="C143" s="101" t="s">
        <v>625</v>
      </c>
      <c r="D143" s="101" t="s">
        <v>626</v>
      </c>
      <c r="E143" s="325">
        <f t="shared" si="117"/>
        <v>0</v>
      </c>
      <c r="F143" s="458">
        <v>0</v>
      </c>
      <c r="G143" s="458"/>
      <c r="H143" s="458"/>
      <c r="I143" s="458"/>
      <c r="J143" s="325">
        <f t="shared" si="115"/>
        <v>0</v>
      </c>
      <c r="K143" s="458"/>
      <c r="L143" s="458"/>
      <c r="M143" s="458"/>
      <c r="N143" s="458"/>
      <c r="O143" s="455">
        <f>K143</f>
        <v>0</v>
      </c>
      <c r="P143" s="325">
        <f t="shared" si="118"/>
        <v>0</v>
      </c>
      <c r="Q143" s="47"/>
      <c r="R143" s="46"/>
      <c r="T143" s="45"/>
    </row>
    <row r="144" spans="1:20" ht="48" thickTop="1" thickBot="1" x14ac:dyDescent="0.25">
      <c r="A144" s="101" t="s">
        <v>919</v>
      </c>
      <c r="B144" s="101" t="s">
        <v>43</v>
      </c>
      <c r="C144" s="101" t="s">
        <v>42</v>
      </c>
      <c r="D144" s="101" t="s">
        <v>248</v>
      </c>
      <c r="E144" s="325">
        <f t="shared" si="117"/>
        <v>30000</v>
      </c>
      <c r="F144" s="458">
        <v>30000</v>
      </c>
      <c r="G144" s="458"/>
      <c r="H144" s="458"/>
      <c r="I144" s="458"/>
      <c r="J144" s="325">
        <f t="shared" si="115"/>
        <v>0</v>
      </c>
      <c r="K144" s="458"/>
      <c r="L144" s="458"/>
      <c r="M144" s="458"/>
      <c r="N144" s="458"/>
      <c r="O144" s="455"/>
      <c r="P144" s="325">
        <f t="shared" si="118"/>
        <v>30000</v>
      </c>
      <c r="Q144" s="47"/>
      <c r="R144" s="46"/>
      <c r="T144" s="45"/>
    </row>
    <row r="145" spans="1:20" ht="47.25" thickTop="1" thickBot="1" x14ac:dyDescent="0.25">
      <c r="A145" s="308" t="s">
        <v>728</v>
      </c>
      <c r="B145" s="308" t="s">
        <v>711</v>
      </c>
      <c r="C145" s="308"/>
      <c r="D145" s="308" t="s">
        <v>712</v>
      </c>
      <c r="E145" s="325">
        <f t="shared" ref="E145:P145" si="119">SUM(E146:E185)-E146-E155-E164-E167-E183-E161-E158</f>
        <v>278633841.73000002</v>
      </c>
      <c r="F145" s="325">
        <f t="shared" si="119"/>
        <v>278633841.73000002</v>
      </c>
      <c r="G145" s="325">
        <f t="shared" si="119"/>
        <v>57231833</v>
      </c>
      <c r="H145" s="325">
        <f t="shared" si="119"/>
        <v>3184752.2800000007</v>
      </c>
      <c r="I145" s="325">
        <f t="shared" si="119"/>
        <v>0</v>
      </c>
      <c r="J145" s="325">
        <f t="shared" si="119"/>
        <v>79353223.539999992</v>
      </c>
      <c r="K145" s="325">
        <f t="shared" si="119"/>
        <v>73089963.539999992</v>
      </c>
      <c r="L145" s="325">
        <f t="shared" si="119"/>
        <v>6239260</v>
      </c>
      <c r="M145" s="325">
        <f t="shared" si="119"/>
        <v>2604685</v>
      </c>
      <c r="N145" s="325">
        <f t="shared" si="119"/>
        <v>705805</v>
      </c>
      <c r="O145" s="325">
        <f t="shared" si="119"/>
        <v>73113963.539999992</v>
      </c>
      <c r="P145" s="325">
        <f t="shared" si="119"/>
        <v>357987065.26999998</v>
      </c>
      <c r="Q145" s="47"/>
      <c r="R145" s="46"/>
      <c r="T145" s="45"/>
    </row>
    <row r="146" spans="1:20" ht="138.75" thickTop="1" thickBot="1" x14ac:dyDescent="0.25">
      <c r="A146" s="326" t="s">
        <v>729</v>
      </c>
      <c r="B146" s="326" t="s">
        <v>730</v>
      </c>
      <c r="C146" s="326"/>
      <c r="D146" s="326" t="s">
        <v>731</v>
      </c>
      <c r="E146" s="322">
        <f>SUM(E147:E151)</f>
        <v>79408000</v>
      </c>
      <c r="F146" s="322">
        <f t="shared" ref="F146:P146" si="120">SUM(F147:F151)</f>
        <v>79408000</v>
      </c>
      <c r="G146" s="322">
        <f t="shared" si="120"/>
        <v>0</v>
      </c>
      <c r="H146" s="322">
        <f t="shared" si="120"/>
        <v>0</v>
      </c>
      <c r="I146" s="322">
        <f t="shared" si="120"/>
        <v>0</v>
      </c>
      <c r="J146" s="322">
        <f t="shared" si="120"/>
        <v>50000</v>
      </c>
      <c r="K146" s="322">
        <f t="shared" si="120"/>
        <v>50000</v>
      </c>
      <c r="L146" s="322">
        <f t="shared" si="120"/>
        <v>0</v>
      </c>
      <c r="M146" s="322">
        <f t="shared" si="120"/>
        <v>0</v>
      </c>
      <c r="N146" s="322">
        <f t="shared" si="120"/>
        <v>0</v>
      </c>
      <c r="O146" s="322">
        <f t="shared" si="120"/>
        <v>50000</v>
      </c>
      <c r="P146" s="322">
        <f t="shared" si="120"/>
        <v>79458000</v>
      </c>
      <c r="Q146" s="148"/>
      <c r="R146" s="48"/>
      <c r="T146" s="49"/>
    </row>
    <row r="147" spans="1:20" s="33" customFormat="1" ht="93" thickTop="1" thickBot="1" x14ac:dyDescent="0.25">
      <c r="A147" s="101" t="s">
        <v>269</v>
      </c>
      <c r="B147" s="101" t="s">
        <v>270</v>
      </c>
      <c r="C147" s="101" t="s">
        <v>205</v>
      </c>
      <c r="D147" s="327" t="s">
        <v>271</v>
      </c>
      <c r="E147" s="325">
        <f>F147</f>
        <v>858000</v>
      </c>
      <c r="F147" s="458">
        <f>(835000)+23000</f>
        <v>858000</v>
      </c>
      <c r="G147" s="458"/>
      <c r="H147" s="458"/>
      <c r="I147" s="458"/>
      <c r="J147" s="325">
        <f t="shared" si="115"/>
        <v>50000</v>
      </c>
      <c r="K147" s="458">
        <v>50000</v>
      </c>
      <c r="L147" s="458"/>
      <c r="M147" s="458"/>
      <c r="N147" s="458"/>
      <c r="O147" s="455">
        <f t="shared" ref="O147:O166" si="121">K147</f>
        <v>50000</v>
      </c>
      <c r="P147" s="325">
        <f t="shared" si="118"/>
        <v>908000</v>
      </c>
      <c r="Q147" s="36"/>
      <c r="R147" s="46"/>
    </row>
    <row r="148" spans="1:20" s="33" customFormat="1" ht="48" thickTop="1" thickBot="1" x14ac:dyDescent="0.25">
      <c r="A148" s="101" t="s">
        <v>272</v>
      </c>
      <c r="B148" s="101" t="s">
        <v>273</v>
      </c>
      <c r="C148" s="101" t="s">
        <v>206</v>
      </c>
      <c r="D148" s="101" t="s">
        <v>6</v>
      </c>
      <c r="E148" s="325">
        <f t="shared" ref="E148:E197" si="122">F148</f>
        <v>650000</v>
      </c>
      <c r="F148" s="458">
        <v>650000</v>
      </c>
      <c r="G148" s="458"/>
      <c r="H148" s="458"/>
      <c r="I148" s="458"/>
      <c r="J148" s="325">
        <f t="shared" si="115"/>
        <v>0</v>
      </c>
      <c r="K148" s="458"/>
      <c r="L148" s="458"/>
      <c r="M148" s="458"/>
      <c r="N148" s="458"/>
      <c r="O148" s="455">
        <f t="shared" si="121"/>
        <v>0</v>
      </c>
      <c r="P148" s="325">
        <f t="shared" si="118"/>
        <v>650000</v>
      </c>
      <c r="Q148" s="36"/>
      <c r="R148" s="50"/>
    </row>
    <row r="149" spans="1:20" s="33" customFormat="1" ht="93" thickTop="1" thickBot="1" x14ac:dyDescent="0.25">
      <c r="A149" s="101" t="s">
        <v>275</v>
      </c>
      <c r="B149" s="101" t="s">
        <v>276</v>
      </c>
      <c r="C149" s="101" t="s">
        <v>206</v>
      </c>
      <c r="D149" s="101" t="s">
        <v>7</v>
      </c>
      <c r="E149" s="325">
        <f t="shared" si="122"/>
        <v>22200000</v>
      </c>
      <c r="F149" s="458">
        <f>19200000+3000000</f>
        <v>22200000</v>
      </c>
      <c r="G149" s="458"/>
      <c r="H149" s="458"/>
      <c r="I149" s="458"/>
      <c r="J149" s="325">
        <f t="shared" si="115"/>
        <v>0</v>
      </c>
      <c r="K149" s="458"/>
      <c r="L149" s="458"/>
      <c r="M149" s="458"/>
      <c r="N149" s="458"/>
      <c r="O149" s="455">
        <f t="shared" si="121"/>
        <v>0</v>
      </c>
      <c r="P149" s="325">
        <f t="shared" si="118"/>
        <v>22200000</v>
      </c>
      <c r="Q149" s="36"/>
      <c r="R149" s="50"/>
    </row>
    <row r="150" spans="1:20" s="33" customFormat="1" ht="93" thickTop="1" thickBot="1" x14ac:dyDescent="0.25">
      <c r="A150" s="101" t="s">
        <v>277</v>
      </c>
      <c r="B150" s="101" t="s">
        <v>274</v>
      </c>
      <c r="C150" s="101" t="s">
        <v>206</v>
      </c>
      <c r="D150" s="101" t="s">
        <v>8</v>
      </c>
      <c r="E150" s="325">
        <f t="shared" si="122"/>
        <v>700000</v>
      </c>
      <c r="F150" s="458">
        <v>700000</v>
      </c>
      <c r="G150" s="458"/>
      <c r="H150" s="458"/>
      <c r="I150" s="458"/>
      <c r="J150" s="325">
        <f t="shared" si="115"/>
        <v>0</v>
      </c>
      <c r="K150" s="458"/>
      <c r="L150" s="458"/>
      <c r="M150" s="458"/>
      <c r="N150" s="458"/>
      <c r="O150" s="455">
        <f t="shared" si="121"/>
        <v>0</v>
      </c>
      <c r="P150" s="325">
        <f t="shared" si="118"/>
        <v>700000</v>
      </c>
      <c r="Q150" s="36"/>
      <c r="R150" s="50"/>
    </row>
    <row r="151" spans="1:20" s="33" customFormat="1" ht="93" thickTop="1" thickBot="1" x14ac:dyDescent="0.25">
      <c r="A151" s="101" t="s">
        <v>278</v>
      </c>
      <c r="B151" s="101" t="s">
        <v>279</v>
      </c>
      <c r="C151" s="101" t="s">
        <v>206</v>
      </c>
      <c r="D151" s="101" t="s">
        <v>9</v>
      </c>
      <c r="E151" s="325">
        <f t="shared" si="122"/>
        <v>55000000</v>
      </c>
      <c r="F151" s="458">
        <f>58000000-3000000</f>
        <v>55000000</v>
      </c>
      <c r="G151" s="458"/>
      <c r="H151" s="458"/>
      <c r="I151" s="458"/>
      <c r="J151" s="325">
        <f t="shared" si="115"/>
        <v>0</v>
      </c>
      <c r="K151" s="458"/>
      <c r="L151" s="458"/>
      <c r="M151" s="458"/>
      <c r="N151" s="458"/>
      <c r="O151" s="455">
        <f t="shared" si="121"/>
        <v>0</v>
      </c>
      <c r="P151" s="325">
        <f t="shared" si="118"/>
        <v>55000000</v>
      </c>
      <c r="Q151" s="36"/>
      <c r="R151" s="50"/>
    </row>
    <row r="152" spans="1:20" s="33" customFormat="1" ht="93" thickTop="1" thickBot="1" x14ac:dyDescent="0.25">
      <c r="A152" s="101" t="s">
        <v>478</v>
      </c>
      <c r="B152" s="101" t="s">
        <v>479</v>
      </c>
      <c r="C152" s="101" t="s">
        <v>206</v>
      </c>
      <c r="D152" s="101" t="s">
        <v>480</v>
      </c>
      <c r="E152" s="325">
        <f t="shared" si="122"/>
        <v>362971</v>
      </c>
      <c r="F152" s="458">
        <v>362971</v>
      </c>
      <c r="G152" s="458"/>
      <c r="H152" s="458"/>
      <c r="I152" s="458"/>
      <c r="J152" s="325">
        <f t="shared" si="115"/>
        <v>0</v>
      </c>
      <c r="K152" s="458"/>
      <c r="L152" s="458"/>
      <c r="M152" s="458"/>
      <c r="N152" s="458"/>
      <c r="O152" s="455">
        <f t="shared" si="121"/>
        <v>0</v>
      </c>
      <c r="P152" s="325">
        <f t="shared" si="118"/>
        <v>362971</v>
      </c>
      <c r="Q152" s="36"/>
      <c r="R152" s="50"/>
    </row>
    <row r="153" spans="1:20" s="33" customFormat="1" ht="93" thickTop="1" thickBot="1" x14ac:dyDescent="0.25">
      <c r="A153" s="101" t="s">
        <v>920</v>
      </c>
      <c r="B153" s="101" t="s">
        <v>921</v>
      </c>
      <c r="C153" s="101" t="s">
        <v>206</v>
      </c>
      <c r="D153" s="101" t="s">
        <v>922</v>
      </c>
      <c r="E153" s="325">
        <f t="shared" si="122"/>
        <v>1893100</v>
      </c>
      <c r="F153" s="458">
        <f>(1500000)+393100</f>
        <v>1893100</v>
      </c>
      <c r="G153" s="458"/>
      <c r="H153" s="458"/>
      <c r="I153" s="458"/>
      <c r="J153" s="325">
        <f t="shared" si="115"/>
        <v>0</v>
      </c>
      <c r="K153" s="458"/>
      <c r="L153" s="458"/>
      <c r="M153" s="458"/>
      <c r="N153" s="458"/>
      <c r="O153" s="455">
        <f t="shared" si="121"/>
        <v>0</v>
      </c>
      <c r="P153" s="325">
        <f t="shared" si="118"/>
        <v>1893100</v>
      </c>
      <c r="Q153" s="36"/>
      <c r="R153" s="50"/>
    </row>
    <row r="154" spans="1:20" ht="93" thickTop="1" thickBot="1" x14ac:dyDescent="0.25">
      <c r="A154" s="101" t="s">
        <v>481</v>
      </c>
      <c r="B154" s="101" t="s">
        <v>482</v>
      </c>
      <c r="C154" s="101" t="s">
        <v>205</v>
      </c>
      <c r="D154" s="101" t="s">
        <v>483</v>
      </c>
      <c r="E154" s="325">
        <f t="shared" si="122"/>
        <v>470456</v>
      </c>
      <c r="F154" s="458">
        <v>470456</v>
      </c>
      <c r="G154" s="458"/>
      <c r="H154" s="458"/>
      <c r="I154" s="458"/>
      <c r="J154" s="325">
        <f t="shared" si="115"/>
        <v>0</v>
      </c>
      <c r="K154" s="458"/>
      <c r="L154" s="458"/>
      <c r="M154" s="458"/>
      <c r="N154" s="458"/>
      <c r="O154" s="455">
        <f>K154</f>
        <v>0</v>
      </c>
      <c r="P154" s="325">
        <f t="shared" si="118"/>
        <v>470456</v>
      </c>
      <c r="Q154" s="20"/>
      <c r="R154" s="50"/>
    </row>
    <row r="155" spans="1:20" s="33" customFormat="1" ht="138.75" thickTop="1" thickBot="1" x14ac:dyDescent="0.25">
      <c r="A155" s="326" t="s">
        <v>732</v>
      </c>
      <c r="B155" s="326" t="s">
        <v>733</v>
      </c>
      <c r="C155" s="326"/>
      <c r="D155" s="326" t="s">
        <v>734</v>
      </c>
      <c r="E155" s="322">
        <f>SUM(E156:E157)</f>
        <v>65523559.719999999</v>
      </c>
      <c r="F155" s="322">
        <f t="shared" ref="F155:P155" si="123">SUM(F156:F157)</f>
        <v>65523559.719999999</v>
      </c>
      <c r="G155" s="322">
        <f t="shared" si="123"/>
        <v>34554767</v>
      </c>
      <c r="H155" s="322">
        <f t="shared" si="123"/>
        <v>1322837.72</v>
      </c>
      <c r="I155" s="322">
        <f t="shared" si="123"/>
        <v>0</v>
      </c>
      <c r="J155" s="322">
        <f t="shared" si="123"/>
        <v>1271000</v>
      </c>
      <c r="K155" s="322">
        <f t="shared" si="123"/>
        <v>0</v>
      </c>
      <c r="L155" s="322">
        <f t="shared" si="123"/>
        <v>1271000</v>
      </c>
      <c r="M155" s="322">
        <f t="shared" si="123"/>
        <v>719000</v>
      </c>
      <c r="N155" s="322">
        <f t="shared" si="123"/>
        <v>150000</v>
      </c>
      <c r="O155" s="322">
        <f t="shared" si="123"/>
        <v>0</v>
      </c>
      <c r="P155" s="322">
        <f t="shared" si="123"/>
        <v>66794559.719999999</v>
      </c>
      <c r="Q155" s="36"/>
      <c r="R155" s="51"/>
    </row>
    <row r="156" spans="1:20" ht="138.75" thickTop="1" thickBot="1" x14ac:dyDescent="0.25">
      <c r="A156" s="101" t="s">
        <v>267</v>
      </c>
      <c r="B156" s="101" t="s">
        <v>265</v>
      </c>
      <c r="C156" s="101" t="s">
        <v>200</v>
      </c>
      <c r="D156" s="101" t="s">
        <v>17</v>
      </c>
      <c r="E156" s="325">
        <f t="shared" si="122"/>
        <v>53657717.719999999</v>
      </c>
      <c r="F156" s="458">
        <f>(53507717.72)+150000</f>
        <v>53657717.719999999</v>
      </c>
      <c r="G156" s="458">
        <v>26679366</v>
      </c>
      <c r="H156" s="458">
        <v>621472.72</v>
      </c>
      <c r="I156" s="458"/>
      <c r="J156" s="325">
        <f t="shared" si="115"/>
        <v>1271000</v>
      </c>
      <c r="K156" s="458">
        <v>0</v>
      </c>
      <c r="L156" s="458">
        <v>1271000</v>
      </c>
      <c r="M156" s="458">
        <v>719000</v>
      </c>
      <c r="N156" s="458">
        <f>70000+10000+70000</f>
        <v>150000</v>
      </c>
      <c r="O156" s="455">
        <f>K156</f>
        <v>0</v>
      </c>
      <c r="P156" s="325">
        <f t="shared" si="118"/>
        <v>54928717.719999999</v>
      </c>
      <c r="Q156" s="20"/>
      <c r="R156" s="46"/>
    </row>
    <row r="157" spans="1:20" ht="93" thickTop="1" thickBot="1" x14ac:dyDescent="0.25">
      <c r="A157" s="101" t="s">
        <v>268</v>
      </c>
      <c r="B157" s="101" t="s">
        <v>266</v>
      </c>
      <c r="C157" s="101" t="s">
        <v>199</v>
      </c>
      <c r="D157" s="101" t="s">
        <v>455</v>
      </c>
      <c r="E157" s="325">
        <f t="shared" si="122"/>
        <v>11865842</v>
      </c>
      <c r="F157" s="458">
        <f>((11310735)+235107)+320000</f>
        <v>11865842</v>
      </c>
      <c r="G157" s="458">
        <f>4675746+3199655</f>
        <v>7875401</v>
      </c>
      <c r="H157" s="458">
        <f>299371+9225+63300+833+266401+8754+53172+309</f>
        <v>701365</v>
      </c>
      <c r="I157" s="458"/>
      <c r="J157" s="325">
        <f t="shared" si="115"/>
        <v>0</v>
      </c>
      <c r="K157" s="458">
        <v>0</v>
      </c>
      <c r="L157" s="458"/>
      <c r="M157" s="458"/>
      <c r="N157" s="458"/>
      <c r="O157" s="455">
        <f t="shared" si="121"/>
        <v>0</v>
      </c>
      <c r="P157" s="325">
        <f t="shared" si="118"/>
        <v>11865842</v>
      </c>
      <c r="Q157" s="20"/>
      <c r="R157" s="46"/>
    </row>
    <row r="158" spans="1:20" ht="48" thickTop="1" thickBot="1" x14ac:dyDescent="0.25">
      <c r="A158" s="326" t="s">
        <v>1021</v>
      </c>
      <c r="B158" s="326" t="s">
        <v>765</v>
      </c>
      <c r="C158" s="326"/>
      <c r="D158" s="326" t="s">
        <v>766</v>
      </c>
      <c r="E158" s="322">
        <f>E159</f>
        <v>11456020.51</v>
      </c>
      <c r="F158" s="322">
        <f t="shared" ref="F158:P158" si="124">F159</f>
        <v>11456020.51</v>
      </c>
      <c r="G158" s="322">
        <f t="shared" si="124"/>
        <v>7875924</v>
      </c>
      <c r="H158" s="322">
        <f t="shared" si="124"/>
        <v>303560.56</v>
      </c>
      <c r="I158" s="322">
        <f t="shared" si="124"/>
        <v>0</v>
      </c>
      <c r="J158" s="322">
        <f t="shared" si="124"/>
        <v>13195</v>
      </c>
      <c r="K158" s="322">
        <f t="shared" si="124"/>
        <v>13195</v>
      </c>
      <c r="L158" s="322">
        <f t="shared" si="124"/>
        <v>0</v>
      </c>
      <c r="M158" s="322">
        <f t="shared" si="124"/>
        <v>0</v>
      </c>
      <c r="N158" s="322">
        <f t="shared" si="124"/>
        <v>0</v>
      </c>
      <c r="O158" s="322">
        <f t="shared" si="124"/>
        <v>13195</v>
      </c>
      <c r="P158" s="322">
        <f t="shared" si="124"/>
        <v>11469215.51</v>
      </c>
      <c r="Q158" s="20"/>
      <c r="R158" s="46"/>
    </row>
    <row r="159" spans="1:20" ht="48" thickTop="1" thickBot="1" x14ac:dyDescent="0.25">
      <c r="A159" s="101" t="s">
        <v>1215</v>
      </c>
      <c r="B159" s="101" t="s">
        <v>184</v>
      </c>
      <c r="C159" s="101" t="s">
        <v>185</v>
      </c>
      <c r="D159" s="101" t="s">
        <v>638</v>
      </c>
      <c r="E159" s="309">
        <f t="shared" ref="E159" si="125">F159</f>
        <v>11456020.51</v>
      </c>
      <c r="F159" s="323">
        <f>((10726813)+198876.95+190000+6003.73+15541.83)+118785+200000</f>
        <v>11456020.51</v>
      </c>
      <c r="G159" s="323">
        <v>7875924</v>
      </c>
      <c r="H159" s="323">
        <f>(120805+10790+84400+66020)+6003.73+15541.83</f>
        <v>303560.56</v>
      </c>
      <c r="I159" s="323"/>
      <c r="J159" s="325">
        <f t="shared" ref="J159" si="126">L159+O159</f>
        <v>13195</v>
      </c>
      <c r="K159" s="323">
        <v>13195</v>
      </c>
      <c r="L159" s="454"/>
      <c r="M159" s="454"/>
      <c r="N159" s="454"/>
      <c r="O159" s="455">
        <f t="shared" ref="O159" si="127">K159</f>
        <v>13195</v>
      </c>
      <c r="P159" s="325">
        <f>+J159+E159</f>
        <v>11469215.51</v>
      </c>
      <c r="Q159" s="20"/>
      <c r="R159" s="46"/>
    </row>
    <row r="160" spans="1:20" ht="184.5" thickTop="1" thickBot="1" x14ac:dyDescent="0.25">
      <c r="A160" s="101" t="s">
        <v>263</v>
      </c>
      <c r="B160" s="101" t="s">
        <v>264</v>
      </c>
      <c r="C160" s="101" t="s">
        <v>199</v>
      </c>
      <c r="D160" s="101" t="s">
        <v>453</v>
      </c>
      <c r="E160" s="325">
        <f t="shared" si="122"/>
        <v>5126500</v>
      </c>
      <c r="F160" s="458">
        <v>5126500</v>
      </c>
      <c r="G160" s="458"/>
      <c r="H160" s="458"/>
      <c r="I160" s="458"/>
      <c r="J160" s="325">
        <f t="shared" si="115"/>
        <v>0</v>
      </c>
      <c r="K160" s="325"/>
      <c r="L160" s="458"/>
      <c r="M160" s="458"/>
      <c r="N160" s="458"/>
      <c r="O160" s="455">
        <f t="shared" si="121"/>
        <v>0</v>
      </c>
      <c r="P160" s="325">
        <f>+J160+E160</f>
        <v>5126500</v>
      </c>
      <c r="Q160" s="20"/>
      <c r="R160" s="50"/>
    </row>
    <row r="161" spans="1:18" ht="48" thickTop="1" thickBot="1" x14ac:dyDescent="0.25">
      <c r="A161" s="326" t="s">
        <v>881</v>
      </c>
      <c r="B161" s="326" t="s">
        <v>882</v>
      </c>
      <c r="C161" s="326"/>
      <c r="D161" s="326" t="s">
        <v>883</v>
      </c>
      <c r="E161" s="322">
        <f t="shared" si="122"/>
        <v>184607</v>
      </c>
      <c r="F161" s="322">
        <f>F162</f>
        <v>184607</v>
      </c>
      <c r="G161" s="322">
        <f t="shared" ref="G161:I161" si="128">G162</f>
        <v>0</v>
      </c>
      <c r="H161" s="322">
        <f t="shared" si="128"/>
        <v>0</v>
      </c>
      <c r="I161" s="322">
        <f t="shared" si="128"/>
        <v>0</v>
      </c>
      <c r="J161" s="322">
        <f t="shared" si="115"/>
        <v>0</v>
      </c>
      <c r="K161" s="322">
        <f t="shared" ref="K161:N161" si="129">K162</f>
        <v>0</v>
      </c>
      <c r="L161" s="322">
        <f t="shared" si="129"/>
        <v>0</v>
      </c>
      <c r="M161" s="322">
        <f t="shared" si="129"/>
        <v>0</v>
      </c>
      <c r="N161" s="322">
        <f t="shared" si="129"/>
        <v>0</v>
      </c>
      <c r="O161" s="322">
        <f t="shared" si="121"/>
        <v>0</v>
      </c>
      <c r="P161" s="322">
        <f>+J161+E161</f>
        <v>184607</v>
      </c>
      <c r="Q161" s="20"/>
      <c r="R161" s="50"/>
    </row>
    <row r="162" spans="1:18" ht="93" thickTop="1" thickBot="1" x14ac:dyDescent="0.25">
      <c r="A162" s="101" t="s">
        <v>484</v>
      </c>
      <c r="B162" s="101" t="s">
        <v>485</v>
      </c>
      <c r="C162" s="101" t="s">
        <v>199</v>
      </c>
      <c r="D162" s="101" t="s">
        <v>486</v>
      </c>
      <c r="E162" s="325">
        <f t="shared" si="122"/>
        <v>184607</v>
      </c>
      <c r="F162" s="458">
        <v>184607</v>
      </c>
      <c r="G162" s="458"/>
      <c r="H162" s="458"/>
      <c r="I162" s="458"/>
      <c r="J162" s="325">
        <f t="shared" si="115"/>
        <v>0</v>
      </c>
      <c r="K162" s="325"/>
      <c r="L162" s="458"/>
      <c r="M162" s="458"/>
      <c r="N162" s="458"/>
      <c r="O162" s="455">
        <f t="shared" si="121"/>
        <v>0</v>
      </c>
      <c r="P162" s="325">
        <f>+J162+E162</f>
        <v>184607</v>
      </c>
      <c r="Q162" s="20"/>
      <c r="R162" s="50"/>
    </row>
    <row r="163" spans="1:18" ht="138.75" thickTop="1" thickBot="1" x14ac:dyDescent="0.25">
      <c r="A163" s="101" t="s">
        <v>348</v>
      </c>
      <c r="B163" s="101" t="s">
        <v>347</v>
      </c>
      <c r="C163" s="101" t="s">
        <v>50</v>
      </c>
      <c r="D163" s="101" t="s">
        <v>454</v>
      </c>
      <c r="E163" s="325">
        <f t="shared" si="122"/>
        <v>2687933.28</v>
      </c>
      <c r="F163" s="458">
        <v>2687933.28</v>
      </c>
      <c r="G163" s="458"/>
      <c r="H163" s="458"/>
      <c r="I163" s="458"/>
      <c r="J163" s="325">
        <f t="shared" si="115"/>
        <v>0</v>
      </c>
      <c r="K163" s="325"/>
      <c r="L163" s="458"/>
      <c r="M163" s="458"/>
      <c r="N163" s="458"/>
      <c r="O163" s="455">
        <f t="shared" si="121"/>
        <v>0</v>
      </c>
      <c r="P163" s="325">
        <f>E163+J163</f>
        <v>2687933.28</v>
      </c>
      <c r="Q163" s="20"/>
      <c r="R163" s="50"/>
    </row>
    <row r="164" spans="1:18" s="33" customFormat="1" ht="48" thickTop="1" thickBot="1" x14ac:dyDescent="0.25">
      <c r="A164" s="326" t="s">
        <v>735</v>
      </c>
      <c r="B164" s="326" t="s">
        <v>736</v>
      </c>
      <c r="C164" s="326"/>
      <c r="D164" s="326" t="s">
        <v>737</v>
      </c>
      <c r="E164" s="322">
        <f>E165</f>
        <v>1000000</v>
      </c>
      <c r="F164" s="322">
        <f t="shared" ref="F164:P164" si="130">F165</f>
        <v>1000000</v>
      </c>
      <c r="G164" s="322">
        <f t="shared" si="130"/>
        <v>0</v>
      </c>
      <c r="H164" s="322">
        <f t="shared" si="130"/>
        <v>0</v>
      </c>
      <c r="I164" s="322">
        <f t="shared" si="130"/>
        <v>0</v>
      </c>
      <c r="J164" s="322">
        <f t="shared" si="130"/>
        <v>0</v>
      </c>
      <c r="K164" s="322">
        <f t="shared" si="130"/>
        <v>0</v>
      </c>
      <c r="L164" s="322">
        <f t="shared" si="130"/>
        <v>0</v>
      </c>
      <c r="M164" s="322">
        <f t="shared" si="130"/>
        <v>0</v>
      </c>
      <c r="N164" s="322">
        <f t="shared" si="130"/>
        <v>0</v>
      </c>
      <c r="O164" s="322">
        <f t="shared" si="130"/>
        <v>0</v>
      </c>
      <c r="P164" s="322">
        <f t="shared" si="130"/>
        <v>1000000</v>
      </c>
      <c r="Q164" s="36"/>
      <c r="R164" s="51"/>
    </row>
    <row r="165" spans="1:18" ht="93" thickTop="1" thickBot="1" x14ac:dyDescent="0.25">
      <c r="A165" s="101" t="s">
        <v>325</v>
      </c>
      <c r="B165" s="101" t="s">
        <v>326</v>
      </c>
      <c r="C165" s="101" t="s">
        <v>205</v>
      </c>
      <c r="D165" s="101" t="s">
        <v>635</v>
      </c>
      <c r="E165" s="325">
        <f t="shared" si="122"/>
        <v>1000000</v>
      </c>
      <c r="F165" s="458">
        <v>1000000</v>
      </c>
      <c r="G165" s="458"/>
      <c r="H165" s="458"/>
      <c r="I165" s="458"/>
      <c r="J165" s="325">
        <f t="shared" si="115"/>
        <v>0</v>
      </c>
      <c r="K165" s="458"/>
      <c r="L165" s="458"/>
      <c r="M165" s="458"/>
      <c r="N165" s="458"/>
      <c r="O165" s="455">
        <f t="shared" si="121"/>
        <v>0</v>
      </c>
      <c r="P165" s="325">
        <f>E165+J165</f>
        <v>1000000</v>
      </c>
      <c r="Q165" s="20"/>
      <c r="R165" s="50"/>
    </row>
    <row r="166" spans="1:18" ht="48" thickTop="1" thickBot="1" x14ac:dyDescent="0.25">
      <c r="A166" s="101" t="s">
        <v>428</v>
      </c>
      <c r="B166" s="101" t="s">
        <v>372</v>
      </c>
      <c r="C166" s="101" t="s">
        <v>373</v>
      </c>
      <c r="D166" s="101" t="s">
        <v>371</v>
      </c>
      <c r="E166" s="542">
        <f t="shared" si="122"/>
        <v>117000</v>
      </c>
      <c r="F166" s="458">
        <v>117000</v>
      </c>
      <c r="G166" s="458">
        <v>90000</v>
      </c>
      <c r="H166" s="458"/>
      <c r="I166" s="458"/>
      <c r="J166" s="325">
        <f t="shared" si="115"/>
        <v>0</v>
      </c>
      <c r="K166" s="458"/>
      <c r="L166" s="458"/>
      <c r="M166" s="458"/>
      <c r="N166" s="458"/>
      <c r="O166" s="455">
        <f t="shared" si="121"/>
        <v>0</v>
      </c>
      <c r="P166" s="325">
        <f>E166+J166</f>
        <v>117000</v>
      </c>
      <c r="Q166" s="20"/>
      <c r="R166" s="50"/>
    </row>
    <row r="167" spans="1:18" ht="93" hidden="1" thickTop="1" thickBot="1" x14ac:dyDescent="0.25">
      <c r="A167" s="138" t="s">
        <v>1059</v>
      </c>
      <c r="B167" s="138" t="s">
        <v>1060</v>
      </c>
      <c r="C167" s="138"/>
      <c r="D167" s="138" t="s">
        <v>1058</v>
      </c>
      <c r="E167" s="139">
        <f>E168+E172+E176+E179</f>
        <v>0</v>
      </c>
      <c r="F167" s="139">
        <f t="shared" ref="F167:P167" si="131">F168+F172+F176+F179</f>
        <v>0</v>
      </c>
      <c r="G167" s="139">
        <f t="shared" si="131"/>
        <v>0</v>
      </c>
      <c r="H167" s="139">
        <f t="shared" si="131"/>
        <v>0</v>
      </c>
      <c r="I167" s="139">
        <f t="shared" si="131"/>
        <v>0</v>
      </c>
      <c r="J167" s="139">
        <f t="shared" si="131"/>
        <v>0</v>
      </c>
      <c r="K167" s="139">
        <f t="shared" si="131"/>
        <v>0</v>
      </c>
      <c r="L167" s="139">
        <f t="shared" si="131"/>
        <v>0</v>
      </c>
      <c r="M167" s="139">
        <f t="shared" si="131"/>
        <v>0</v>
      </c>
      <c r="N167" s="139">
        <f t="shared" si="131"/>
        <v>0</v>
      </c>
      <c r="O167" s="139">
        <f t="shared" si="131"/>
        <v>0</v>
      </c>
      <c r="P167" s="139">
        <f t="shared" si="131"/>
        <v>0</v>
      </c>
      <c r="Q167" s="20"/>
      <c r="R167" s="50"/>
    </row>
    <row r="168" spans="1:18" ht="256.5" hidden="1" customHeight="1" thickTop="1" x14ac:dyDescent="0.65">
      <c r="A168" s="871" t="s">
        <v>1061</v>
      </c>
      <c r="B168" s="871" t="s">
        <v>1062</v>
      </c>
      <c r="C168" s="871" t="s">
        <v>50</v>
      </c>
      <c r="D168" s="399" t="s">
        <v>1430</v>
      </c>
      <c r="E168" s="796">
        <f t="shared" ref="E168:E172" si="132">F168</f>
        <v>0</v>
      </c>
      <c r="F168" s="796"/>
      <c r="G168" s="796"/>
      <c r="H168" s="796"/>
      <c r="I168" s="796"/>
      <c r="J168" s="796">
        <f t="shared" ref="J168:J172" si="133">L168+O168</f>
        <v>0</v>
      </c>
      <c r="K168" s="786">
        <v>0</v>
      </c>
      <c r="L168" s="796"/>
      <c r="M168" s="796"/>
      <c r="N168" s="796"/>
      <c r="O168" s="786">
        <f t="shared" ref="O168:O172" si="134">K168</f>
        <v>0</v>
      </c>
      <c r="P168" s="796">
        <f t="shared" ref="P168:P172" si="135">E168+J168</f>
        <v>0</v>
      </c>
      <c r="Q168" s="784"/>
      <c r="R168" s="791"/>
    </row>
    <row r="169" spans="1:18" ht="238.5" hidden="1" customHeight="1" x14ac:dyDescent="0.2">
      <c r="A169" s="797"/>
      <c r="B169" s="797"/>
      <c r="C169" s="797"/>
      <c r="D169" s="400" t="s">
        <v>1431</v>
      </c>
      <c r="E169" s="797"/>
      <c r="F169" s="797"/>
      <c r="G169" s="797"/>
      <c r="H169" s="797"/>
      <c r="I169" s="797"/>
      <c r="J169" s="797"/>
      <c r="K169" s="797"/>
      <c r="L169" s="797"/>
      <c r="M169" s="797"/>
      <c r="N169" s="797"/>
      <c r="O169" s="797"/>
      <c r="P169" s="797"/>
      <c r="Q169" s="784"/>
      <c r="R169" s="792"/>
    </row>
    <row r="170" spans="1:18" ht="220.5" hidden="1" customHeight="1" x14ac:dyDescent="0.2">
      <c r="A170" s="797"/>
      <c r="B170" s="797"/>
      <c r="C170" s="797"/>
      <c r="D170" s="400" t="s">
        <v>1432</v>
      </c>
      <c r="E170" s="797"/>
      <c r="F170" s="797"/>
      <c r="G170" s="797"/>
      <c r="H170" s="797"/>
      <c r="I170" s="797"/>
      <c r="J170" s="797"/>
      <c r="K170" s="797"/>
      <c r="L170" s="797"/>
      <c r="M170" s="797"/>
      <c r="N170" s="797"/>
      <c r="O170" s="797"/>
      <c r="P170" s="797"/>
      <c r="Q170" s="784"/>
      <c r="R170" s="792"/>
    </row>
    <row r="171" spans="1:18" ht="166.5" hidden="1" customHeight="1" thickBot="1" x14ac:dyDescent="0.25">
      <c r="A171" s="787"/>
      <c r="B171" s="787"/>
      <c r="C171" s="787"/>
      <c r="D171" s="401" t="s">
        <v>1433</v>
      </c>
      <c r="E171" s="787"/>
      <c r="F171" s="787"/>
      <c r="G171" s="787"/>
      <c r="H171" s="787"/>
      <c r="I171" s="787"/>
      <c r="J171" s="787"/>
      <c r="K171" s="787"/>
      <c r="L171" s="787"/>
      <c r="M171" s="787"/>
      <c r="N171" s="787"/>
      <c r="O171" s="787"/>
      <c r="P171" s="787"/>
      <c r="Q171" s="784"/>
      <c r="R171" s="792"/>
    </row>
    <row r="172" spans="1:18" ht="277.5" hidden="1" customHeight="1" thickTop="1" x14ac:dyDescent="0.65">
      <c r="A172" s="871" t="s">
        <v>1064</v>
      </c>
      <c r="B172" s="871" t="s">
        <v>1065</v>
      </c>
      <c r="C172" s="871" t="s">
        <v>50</v>
      </c>
      <c r="D172" s="399" t="s">
        <v>1063</v>
      </c>
      <c r="E172" s="796">
        <f t="shared" si="132"/>
        <v>0</v>
      </c>
      <c r="F172" s="796"/>
      <c r="G172" s="796"/>
      <c r="H172" s="796"/>
      <c r="I172" s="796"/>
      <c r="J172" s="796">
        <f t="shared" si="133"/>
        <v>0</v>
      </c>
      <c r="K172" s="786">
        <v>0</v>
      </c>
      <c r="L172" s="796"/>
      <c r="M172" s="796"/>
      <c r="N172" s="796"/>
      <c r="O172" s="796">
        <f t="shared" si="134"/>
        <v>0</v>
      </c>
      <c r="P172" s="796">
        <f t="shared" si="135"/>
        <v>0</v>
      </c>
      <c r="Q172" s="20"/>
      <c r="R172" s="791"/>
    </row>
    <row r="173" spans="1:18" ht="298.5" hidden="1" customHeight="1" x14ac:dyDescent="0.2">
      <c r="A173" s="797"/>
      <c r="B173" s="797"/>
      <c r="C173" s="797"/>
      <c r="D173" s="400" t="s">
        <v>1434</v>
      </c>
      <c r="E173" s="797"/>
      <c r="F173" s="797"/>
      <c r="G173" s="797"/>
      <c r="H173" s="797"/>
      <c r="I173" s="797"/>
      <c r="J173" s="797"/>
      <c r="K173" s="797"/>
      <c r="L173" s="797"/>
      <c r="M173" s="797"/>
      <c r="N173" s="797"/>
      <c r="O173" s="797"/>
      <c r="P173" s="797"/>
      <c r="Q173" s="20"/>
      <c r="R173" s="793"/>
    </row>
    <row r="174" spans="1:18" ht="283.5" hidden="1" customHeight="1" x14ac:dyDescent="0.2">
      <c r="A174" s="797"/>
      <c r="B174" s="797"/>
      <c r="C174" s="797"/>
      <c r="D174" s="400" t="s">
        <v>1435</v>
      </c>
      <c r="E174" s="797"/>
      <c r="F174" s="797"/>
      <c r="G174" s="797"/>
      <c r="H174" s="797"/>
      <c r="I174" s="797"/>
      <c r="J174" s="797"/>
      <c r="K174" s="797"/>
      <c r="L174" s="797"/>
      <c r="M174" s="797"/>
      <c r="N174" s="797"/>
      <c r="O174" s="797"/>
      <c r="P174" s="797"/>
      <c r="Q174" s="20"/>
      <c r="R174" s="793"/>
    </row>
    <row r="175" spans="1:18" ht="93" hidden="1" thickTop="1" thickBot="1" x14ac:dyDescent="0.25">
      <c r="A175" s="787"/>
      <c r="B175" s="787"/>
      <c r="C175" s="787"/>
      <c r="D175" s="401" t="s">
        <v>1436</v>
      </c>
      <c r="E175" s="787"/>
      <c r="F175" s="787"/>
      <c r="G175" s="787"/>
      <c r="H175" s="787"/>
      <c r="I175" s="787"/>
      <c r="J175" s="787"/>
      <c r="K175" s="787"/>
      <c r="L175" s="787"/>
      <c r="M175" s="787"/>
      <c r="N175" s="787"/>
      <c r="O175" s="787"/>
      <c r="P175" s="787"/>
      <c r="Q175" s="20"/>
      <c r="R175" s="793"/>
    </row>
    <row r="176" spans="1:18" ht="310.5" hidden="1" customHeight="1" thickTop="1" x14ac:dyDescent="0.65">
      <c r="A176" s="871" t="s">
        <v>1066</v>
      </c>
      <c r="B176" s="871" t="s">
        <v>1067</v>
      </c>
      <c r="C176" s="871" t="s">
        <v>50</v>
      </c>
      <c r="D176" s="399" t="s">
        <v>1437</v>
      </c>
      <c r="E176" s="796">
        <f t="shared" ref="E176" si="136">F176</f>
        <v>0</v>
      </c>
      <c r="F176" s="796"/>
      <c r="G176" s="796"/>
      <c r="H176" s="796"/>
      <c r="I176" s="796"/>
      <c r="J176" s="796">
        <f t="shared" ref="J176" si="137">L176+O176</f>
        <v>0</v>
      </c>
      <c r="K176" s="786">
        <v>0</v>
      </c>
      <c r="L176" s="796"/>
      <c r="M176" s="796"/>
      <c r="N176" s="796"/>
      <c r="O176" s="786">
        <f t="shared" ref="O176" si="138">K176</f>
        <v>0</v>
      </c>
      <c r="P176" s="796">
        <f t="shared" ref="P176" si="139">E176+J176</f>
        <v>0</v>
      </c>
      <c r="Q176" s="20"/>
      <c r="R176" s="791"/>
    </row>
    <row r="177" spans="1:18" ht="268.5" hidden="1" customHeight="1" x14ac:dyDescent="0.2">
      <c r="A177" s="797"/>
      <c r="B177" s="797"/>
      <c r="C177" s="797"/>
      <c r="D177" s="400" t="s">
        <v>1438</v>
      </c>
      <c r="E177" s="797"/>
      <c r="F177" s="797"/>
      <c r="G177" s="797"/>
      <c r="H177" s="797"/>
      <c r="I177" s="797"/>
      <c r="J177" s="797"/>
      <c r="K177" s="797"/>
      <c r="L177" s="797"/>
      <c r="M177" s="797"/>
      <c r="N177" s="797"/>
      <c r="O177" s="797"/>
      <c r="P177" s="797"/>
      <c r="Q177" s="20"/>
      <c r="R177" s="792"/>
    </row>
    <row r="178" spans="1:18" ht="93" hidden="1" thickTop="1" thickBot="1" x14ac:dyDescent="0.25">
      <c r="A178" s="787"/>
      <c r="B178" s="787"/>
      <c r="C178" s="787"/>
      <c r="D178" s="401" t="s">
        <v>1068</v>
      </c>
      <c r="E178" s="787"/>
      <c r="F178" s="787"/>
      <c r="G178" s="787"/>
      <c r="H178" s="787"/>
      <c r="I178" s="787"/>
      <c r="J178" s="787"/>
      <c r="K178" s="787"/>
      <c r="L178" s="787"/>
      <c r="M178" s="787"/>
      <c r="N178" s="787"/>
      <c r="O178" s="787"/>
      <c r="P178" s="787"/>
      <c r="Q178" s="20"/>
      <c r="R178" s="792"/>
    </row>
    <row r="179" spans="1:18" ht="184.5" hidden="1" thickTop="1" thickBot="1" x14ac:dyDescent="0.7">
      <c r="A179" s="770" t="s">
        <v>1072</v>
      </c>
      <c r="B179" s="770" t="s">
        <v>1073</v>
      </c>
      <c r="C179" s="770" t="s">
        <v>50</v>
      </c>
      <c r="D179" s="402" t="s">
        <v>1069</v>
      </c>
      <c r="E179" s="796">
        <f t="shared" ref="E179" si="140">F179</f>
        <v>0</v>
      </c>
      <c r="F179" s="796"/>
      <c r="G179" s="796"/>
      <c r="H179" s="796"/>
      <c r="I179" s="796"/>
      <c r="J179" s="796">
        <f t="shared" ref="J179" si="141">L179+O179</f>
        <v>0</v>
      </c>
      <c r="K179" s="790">
        <v>0</v>
      </c>
      <c r="L179" s="772"/>
      <c r="M179" s="772"/>
      <c r="N179" s="772"/>
      <c r="O179" s="790">
        <f t="shared" ref="O179" si="142">K179</f>
        <v>0</v>
      </c>
      <c r="P179" s="772">
        <f t="shared" ref="P179" si="143">E179+J179</f>
        <v>0</v>
      </c>
      <c r="Q179" s="20"/>
      <c r="R179" s="791"/>
    </row>
    <row r="180" spans="1:18" ht="184.5" hidden="1" thickTop="1" thickBot="1" x14ac:dyDescent="0.25">
      <c r="A180" s="779"/>
      <c r="B180" s="779"/>
      <c r="C180" s="779"/>
      <c r="D180" s="124" t="s">
        <v>1070</v>
      </c>
      <c r="E180" s="797"/>
      <c r="F180" s="797"/>
      <c r="G180" s="797"/>
      <c r="H180" s="797"/>
      <c r="I180" s="797"/>
      <c r="J180" s="797"/>
      <c r="K180" s="779"/>
      <c r="L180" s="779"/>
      <c r="M180" s="779"/>
      <c r="N180" s="779"/>
      <c r="O180" s="779"/>
      <c r="P180" s="779"/>
      <c r="Q180" s="20"/>
      <c r="R180" s="792"/>
    </row>
    <row r="181" spans="1:18" ht="47.25" hidden="1" thickTop="1" thickBot="1" x14ac:dyDescent="0.25">
      <c r="A181" s="771"/>
      <c r="B181" s="771"/>
      <c r="C181" s="771"/>
      <c r="D181" s="403" t="s">
        <v>1071</v>
      </c>
      <c r="E181" s="787"/>
      <c r="F181" s="787"/>
      <c r="G181" s="787"/>
      <c r="H181" s="787"/>
      <c r="I181" s="787"/>
      <c r="J181" s="787"/>
      <c r="K181" s="771"/>
      <c r="L181" s="771"/>
      <c r="M181" s="771"/>
      <c r="N181" s="771"/>
      <c r="O181" s="771"/>
      <c r="P181" s="771"/>
      <c r="Q181" s="20"/>
      <c r="R181" s="792"/>
    </row>
    <row r="182" spans="1:18" ht="93" thickTop="1" thickBot="1" x14ac:dyDescent="0.25">
      <c r="A182" s="101" t="s">
        <v>1203</v>
      </c>
      <c r="B182" s="101" t="s">
        <v>1200</v>
      </c>
      <c r="C182" s="101" t="s">
        <v>206</v>
      </c>
      <c r="D182" s="466" t="s">
        <v>1201</v>
      </c>
      <c r="E182" s="542">
        <f t="shared" ref="E182" si="144">F182</f>
        <v>8000440.2199999997</v>
      </c>
      <c r="F182" s="458">
        <f>((5975529)+1168180)+856731.22</f>
        <v>8000440.2199999997</v>
      </c>
      <c r="G182" s="132"/>
      <c r="H182" s="132"/>
      <c r="I182" s="132"/>
      <c r="J182" s="325">
        <f t="shared" ref="J182" si="145">L182+O182</f>
        <v>47321788.539999999</v>
      </c>
      <c r="K182" s="458">
        <f>((30767856.02)+16737530.6-3236524.08)+908668+1644258+500000</f>
        <v>47321788.539999999</v>
      </c>
      <c r="L182" s="458"/>
      <c r="M182" s="458"/>
      <c r="N182" s="458"/>
      <c r="O182" s="455">
        <f t="shared" ref="O182" si="146">K182</f>
        <v>47321788.539999999</v>
      </c>
      <c r="P182" s="325">
        <f>E182+J182</f>
        <v>55322228.759999998</v>
      </c>
      <c r="Q182" s="20"/>
      <c r="R182" s="21"/>
    </row>
    <row r="183" spans="1:18" s="33" customFormat="1" ht="48" thickTop="1" thickBot="1" x14ac:dyDescent="0.25">
      <c r="A183" s="326" t="s">
        <v>738</v>
      </c>
      <c r="B183" s="326" t="s">
        <v>739</v>
      </c>
      <c r="C183" s="326"/>
      <c r="D183" s="326" t="s">
        <v>740</v>
      </c>
      <c r="E183" s="322">
        <f>SUM(E184:E185)</f>
        <v>102403254</v>
      </c>
      <c r="F183" s="322">
        <f t="shared" ref="F183:P183" si="147">SUM(F184:F185)</f>
        <v>102403254</v>
      </c>
      <c r="G183" s="322">
        <f t="shared" si="147"/>
        <v>14711142</v>
      </c>
      <c r="H183" s="322">
        <f t="shared" si="147"/>
        <v>1558354</v>
      </c>
      <c r="I183" s="322">
        <f t="shared" si="147"/>
        <v>0</v>
      </c>
      <c r="J183" s="322">
        <f t="shared" si="147"/>
        <v>30697240</v>
      </c>
      <c r="K183" s="322">
        <f t="shared" si="147"/>
        <v>25704980</v>
      </c>
      <c r="L183" s="322">
        <f t="shared" si="147"/>
        <v>4968260</v>
      </c>
      <c r="M183" s="322">
        <f t="shared" si="147"/>
        <v>1885685</v>
      </c>
      <c r="N183" s="322">
        <f t="shared" si="147"/>
        <v>555805</v>
      </c>
      <c r="O183" s="322">
        <f t="shared" si="147"/>
        <v>25728980</v>
      </c>
      <c r="P183" s="322">
        <f t="shared" si="147"/>
        <v>133100494</v>
      </c>
      <c r="Q183" s="36"/>
      <c r="R183" s="51"/>
    </row>
    <row r="184" spans="1:18" ht="93" thickTop="1" thickBot="1" x14ac:dyDescent="0.25">
      <c r="A184" s="101" t="s">
        <v>327</v>
      </c>
      <c r="B184" s="101" t="s">
        <v>329</v>
      </c>
      <c r="C184" s="101" t="s">
        <v>191</v>
      </c>
      <c r="D184" s="466" t="s">
        <v>331</v>
      </c>
      <c r="E184" s="325">
        <f t="shared" si="122"/>
        <v>31733414</v>
      </c>
      <c r="F184" s="458">
        <f>((24773656)+2282350+2871000+571920)+149693+255079-300000+513700+22500+905816-13000-299300</f>
        <v>31733414</v>
      </c>
      <c r="G184" s="323">
        <f>(3231579+4596637+3505606)+1568320+1809000</f>
        <v>14711142</v>
      </c>
      <c r="H184" s="323">
        <f>((35600+197918+78510+15030+337600+219800+437423+28830)+70000)+137643</f>
        <v>1558354</v>
      </c>
      <c r="I184" s="458"/>
      <c r="J184" s="325">
        <f t="shared" ref="J184:J197" si="148">L184+O184</f>
        <v>6594640</v>
      </c>
      <c r="K184" s="458">
        <f>(0)+26950+100000+1475430</f>
        <v>1602380</v>
      </c>
      <c r="L184" s="458">
        <f>4992260-24000</f>
        <v>4968260</v>
      </c>
      <c r="M184" s="458">
        <v>1885685</v>
      </c>
      <c r="N184" s="458">
        <f>34805+338560+116750+65690</f>
        <v>555805</v>
      </c>
      <c r="O184" s="455">
        <f>(K184)+24000</f>
        <v>1626380</v>
      </c>
      <c r="P184" s="325">
        <f t="shared" ref="P184:P197" si="149">E184+J184</f>
        <v>38328054</v>
      </c>
      <c r="Q184" s="20"/>
      <c r="R184" s="46"/>
    </row>
    <row r="185" spans="1:18" ht="66.75" customHeight="1" thickTop="1" thickBot="1" x14ac:dyDescent="0.25">
      <c r="A185" s="101" t="s">
        <v>328</v>
      </c>
      <c r="B185" s="101" t="s">
        <v>330</v>
      </c>
      <c r="C185" s="101" t="s">
        <v>191</v>
      </c>
      <c r="D185" s="466" t="s">
        <v>332</v>
      </c>
      <c r="E185" s="325">
        <f t="shared" si="122"/>
        <v>70669840</v>
      </c>
      <c r="F185" s="458">
        <f>((43653090)+5000000+1800000)+20216750</f>
        <v>70669840</v>
      </c>
      <c r="G185" s="132"/>
      <c r="H185" s="132"/>
      <c r="I185" s="132"/>
      <c r="J185" s="325">
        <f t="shared" si="148"/>
        <v>24102600</v>
      </c>
      <c r="K185" s="458">
        <f>(24000000)+102600</f>
        <v>24102600</v>
      </c>
      <c r="L185" s="458"/>
      <c r="M185" s="458"/>
      <c r="N185" s="458"/>
      <c r="O185" s="455">
        <f t="shared" ref="O185:O197" si="150">K185</f>
        <v>24102600</v>
      </c>
      <c r="P185" s="325">
        <f t="shared" si="149"/>
        <v>94772440</v>
      </c>
      <c r="Q185" s="20"/>
      <c r="R185" s="46"/>
    </row>
    <row r="186" spans="1:18" ht="47.25" thickTop="1" thickBot="1" x14ac:dyDescent="0.25">
      <c r="A186" s="308" t="s">
        <v>741</v>
      </c>
      <c r="B186" s="308" t="s">
        <v>742</v>
      </c>
      <c r="C186" s="308"/>
      <c r="D186" s="344" t="s">
        <v>743</v>
      </c>
      <c r="E186" s="325">
        <f>SUM(E187)</f>
        <v>0</v>
      </c>
      <c r="F186" s="325">
        <f t="shared" ref="F186:P186" si="151">SUM(F187)</f>
        <v>0</v>
      </c>
      <c r="G186" s="325">
        <f t="shared" si="151"/>
        <v>0</v>
      </c>
      <c r="H186" s="325">
        <f t="shared" si="151"/>
        <v>0</v>
      </c>
      <c r="I186" s="325">
        <f t="shared" si="151"/>
        <v>0</v>
      </c>
      <c r="J186" s="325">
        <f>SUM(J187)</f>
        <v>26000000</v>
      </c>
      <c r="K186" s="325">
        <f t="shared" si="151"/>
        <v>26000000</v>
      </c>
      <c r="L186" s="325">
        <f t="shared" si="151"/>
        <v>0</v>
      </c>
      <c r="M186" s="325">
        <f t="shared" si="151"/>
        <v>0</v>
      </c>
      <c r="N186" s="325">
        <f t="shared" si="151"/>
        <v>0</v>
      </c>
      <c r="O186" s="325">
        <f t="shared" si="151"/>
        <v>26000000</v>
      </c>
      <c r="P186" s="325">
        <f t="shared" si="151"/>
        <v>26000000</v>
      </c>
      <c r="Q186" s="20"/>
      <c r="R186" s="46"/>
    </row>
    <row r="187" spans="1:18" s="33" customFormat="1" ht="48" thickTop="1" thickBot="1" x14ac:dyDescent="0.25">
      <c r="A187" s="326" t="s">
        <v>744</v>
      </c>
      <c r="B187" s="326" t="s">
        <v>745</v>
      </c>
      <c r="C187" s="326"/>
      <c r="D187" s="541" t="s">
        <v>746</v>
      </c>
      <c r="E187" s="322">
        <f>SUM(E188:E189)</f>
        <v>0</v>
      </c>
      <c r="F187" s="322">
        <f>SUM(F188:F189)</f>
        <v>0</v>
      </c>
      <c r="G187" s="322">
        <f>SUM(G188:G189)</f>
        <v>0</v>
      </c>
      <c r="H187" s="322">
        <f>SUM(H188:H189)</f>
        <v>0</v>
      </c>
      <c r="I187" s="322">
        <f>SUM(I188:I189)</f>
        <v>0</v>
      </c>
      <c r="J187" s="322">
        <f t="shared" ref="J187:O187" si="152">SUM(J188:J189)</f>
        <v>26000000</v>
      </c>
      <c r="K187" s="322">
        <f t="shared" si="152"/>
        <v>26000000</v>
      </c>
      <c r="L187" s="322">
        <f t="shared" si="152"/>
        <v>0</v>
      </c>
      <c r="M187" s="322">
        <f t="shared" si="152"/>
        <v>0</v>
      </c>
      <c r="N187" s="322">
        <f t="shared" si="152"/>
        <v>0</v>
      </c>
      <c r="O187" s="322">
        <f t="shared" si="152"/>
        <v>26000000</v>
      </c>
      <c r="P187" s="322">
        <f>SUM(P188:P189)</f>
        <v>26000000</v>
      </c>
      <c r="Q187" s="36"/>
      <c r="R187" s="52"/>
    </row>
    <row r="188" spans="1:18" ht="93" thickTop="1" thickBot="1" x14ac:dyDescent="0.25">
      <c r="A188" s="101" t="s">
        <v>367</v>
      </c>
      <c r="B188" s="101" t="s">
        <v>365</v>
      </c>
      <c r="C188" s="101" t="s">
        <v>340</v>
      </c>
      <c r="D188" s="466" t="s">
        <v>366</v>
      </c>
      <c r="E188" s="325">
        <f t="shared" si="122"/>
        <v>0</v>
      </c>
      <c r="F188" s="458"/>
      <c r="G188" s="458"/>
      <c r="H188" s="458"/>
      <c r="I188" s="458"/>
      <c r="J188" s="325">
        <f t="shared" si="148"/>
        <v>26000000</v>
      </c>
      <c r="K188" s="458">
        <f>(20000000)+6000000</f>
        <v>26000000</v>
      </c>
      <c r="L188" s="458"/>
      <c r="M188" s="458"/>
      <c r="N188" s="458"/>
      <c r="O188" s="455">
        <f t="shared" si="150"/>
        <v>26000000</v>
      </c>
      <c r="P188" s="325">
        <f t="shared" si="149"/>
        <v>26000000</v>
      </c>
      <c r="Q188" s="20"/>
      <c r="R188" s="46"/>
    </row>
    <row r="189" spans="1:18" ht="184.5" hidden="1" thickTop="1" thickBot="1" x14ac:dyDescent="0.25">
      <c r="A189" s="41" t="s">
        <v>1074</v>
      </c>
      <c r="B189" s="41" t="s">
        <v>1075</v>
      </c>
      <c r="C189" s="41" t="s">
        <v>340</v>
      </c>
      <c r="D189" s="152" t="s">
        <v>1076</v>
      </c>
      <c r="E189" s="42">
        <f t="shared" si="122"/>
        <v>0</v>
      </c>
      <c r="F189" s="43"/>
      <c r="G189" s="43"/>
      <c r="H189" s="43"/>
      <c r="I189" s="43"/>
      <c r="J189" s="42">
        <f t="shared" si="148"/>
        <v>0</v>
      </c>
      <c r="K189" s="43">
        <v>0</v>
      </c>
      <c r="L189" s="43"/>
      <c r="M189" s="43"/>
      <c r="N189" s="43"/>
      <c r="O189" s="44">
        <f t="shared" si="150"/>
        <v>0</v>
      </c>
      <c r="P189" s="42">
        <f t="shared" si="149"/>
        <v>0</v>
      </c>
      <c r="Q189" s="20"/>
      <c r="R189" s="46"/>
    </row>
    <row r="190" spans="1:18" ht="47.25" thickTop="1" thickBot="1" x14ac:dyDescent="0.25">
      <c r="A190" s="308" t="s">
        <v>751</v>
      </c>
      <c r="B190" s="308" t="s">
        <v>748</v>
      </c>
      <c r="C190" s="308"/>
      <c r="D190" s="308" t="s">
        <v>749</v>
      </c>
      <c r="E190" s="325">
        <f>E194+E191</f>
        <v>0</v>
      </c>
      <c r="F190" s="325">
        <f t="shared" ref="F190:P190" si="153">F194+F191</f>
        <v>0</v>
      </c>
      <c r="G190" s="325">
        <f t="shared" si="153"/>
        <v>0</v>
      </c>
      <c r="H190" s="325">
        <f t="shared" si="153"/>
        <v>0</v>
      </c>
      <c r="I190" s="325">
        <f t="shared" si="153"/>
        <v>0</v>
      </c>
      <c r="J190" s="325">
        <f t="shared" si="153"/>
        <v>2463660</v>
      </c>
      <c r="K190" s="325">
        <f t="shared" si="153"/>
        <v>2463660</v>
      </c>
      <c r="L190" s="325">
        <f t="shared" si="153"/>
        <v>0</v>
      </c>
      <c r="M190" s="325">
        <f t="shared" si="153"/>
        <v>0</v>
      </c>
      <c r="N190" s="325">
        <f t="shared" si="153"/>
        <v>0</v>
      </c>
      <c r="O190" s="325">
        <f t="shared" si="153"/>
        <v>2463660</v>
      </c>
      <c r="P190" s="325">
        <f t="shared" si="153"/>
        <v>2463660</v>
      </c>
      <c r="Q190" s="20"/>
      <c r="R190" s="46"/>
    </row>
    <row r="191" spans="1:18" ht="47.25" thickTop="1" thickBot="1" x14ac:dyDescent="0.25">
      <c r="A191" s="310" t="s">
        <v>926</v>
      </c>
      <c r="B191" s="310" t="s">
        <v>803</v>
      </c>
      <c r="C191" s="310"/>
      <c r="D191" s="310" t="s">
        <v>804</v>
      </c>
      <c r="E191" s="312">
        <f>E192</f>
        <v>0</v>
      </c>
      <c r="F191" s="312">
        <f t="shared" ref="F191:P196" si="154">F192</f>
        <v>0</v>
      </c>
      <c r="G191" s="312">
        <f t="shared" si="154"/>
        <v>0</v>
      </c>
      <c r="H191" s="312">
        <f t="shared" si="154"/>
        <v>0</v>
      </c>
      <c r="I191" s="312">
        <f t="shared" si="154"/>
        <v>0</v>
      </c>
      <c r="J191" s="312">
        <f t="shared" si="154"/>
        <v>450000</v>
      </c>
      <c r="K191" s="312">
        <f t="shared" si="154"/>
        <v>450000</v>
      </c>
      <c r="L191" s="312">
        <f t="shared" si="154"/>
        <v>0</v>
      </c>
      <c r="M191" s="312">
        <f t="shared" si="154"/>
        <v>0</v>
      </c>
      <c r="N191" s="312">
        <f t="shared" si="154"/>
        <v>0</v>
      </c>
      <c r="O191" s="312">
        <f t="shared" si="154"/>
        <v>450000</v>
      </c>
      <c r="P191" s="312">
        <f t="shared" si="154"/>
        <v>450000</v>
      </c>
      <c r="Q191" s="20"/>
      <c r="R191" s="46"/>
    </row>
    <row r="192" spans="1:18" ht="54.75" thickTop="1" thickBot="1" x14ac:dyDescent="0.25">
      <c r="A192" s="326" t="s">
        <v>923</v>
      </c>
      <c r="B192" s="326" t="s">
        <v>821</v>
      </c>
      <c r="C192" s="326"/>
      <c r="D192" s="326" t="s">
        <v>1503</v>
      </c>
      <c r="E192" s="322">
        <f>E193</f>
        <v>0</v>
      </c>
      <c r="F192" s="322">
        <f t="shared" si="154"/>
        <v>0</v>
      </c>
      <c r="G192" s="322">
        <f t="shared" si="154"/>
        <v>0</v>
      </c>
      <c r="H192" s="322">
        <f t="shared" si="154"/>
        <v>0</v>
      </c>
      <c r="I192" s="322">
        <f t="shared" si="154"/>
        <v>0</v>
      </c>
      <c r="J192" s="322">
        <f t="shared" si="154"/>
        <v>450000</v>
      </c>
      <c r="K192" s="322">
        <f t="shared" si="154"/>
        <v>450000</v>
      </c>
      <c r="L192" s="322">
        <f t="shared" si="154"/>
        <v>0</v>
      </c>
      <c r="M192" s="322">
        <f t="shared" si="154"/>
        <v>0</v>
      </c>
      <c r="N192" s="322">
        <f t="shared" si="154"/>
        <v>0</v>
      </c>
      <c r="O192" s="322">
        <f t="shared" si="154"/>
        <v>450000</v>
      </c>
      <c r="P192" s="322">
        <f t="shared" si="154"/>
        <v>450000</v>
      </c>
      <c r="Q192" s="20"/>
      <c r="R192" s="46"/>
    </row>
    <row r="193" spans="1:18" ht="54" thickTop="1" thickBot="1" x14ac:dyDescent="0.25">
      <c r="A193" s="101" t="s">
        <v>924</v>
      </c>
      <c r="B193" s="101" t="s">
        <v>925</v>
      </c>
      <c r="C193" s="101" t="s">
        <v>304</v>
      </c>
      <c r="D193" s="101" t="s">
        <v>1614</v>
      </c>
      <c r="E193" s="325">
        <f t="shared" ref="E193:E195" si="155">F193</f>
        <v>0</v>
      </c>
      <c r="F193" s="458"/>
      <c r="G193" s="458"/>
      <c r="H193" s="458"/>
      <c r="I193" s="458"/>
      <c r="J193" s="325">
        <f>L193+O193</f>
        <v>450000</v>
      </c>
      <c r="K193" s="458">
        <f>(0)+999655-549655</f>
        <v>450000</v>
      </c>
      <c r="L193" s="458"/>
      <c r="M193" s="458"/>
      <c r="N193" s="458"/>
      <c r="O193" s="455">
        <f>K193</f>
        <v>450000</v>
      </c>
      <c r="P193" s="325">
        <f>E193+J193</f>
        <v>450000</v>
      </c>
      <c r="Q193" s="20"/>
      <c r="R193" s="46"/>
    </row>
    <row r="194" spans="1:18" ht="47.25" thickTop="1" thickBot="1" x14ac:dyDescent="0.25">
      <c r="A194" s="310" t="s">
        <v>753</v>
      </c>
      <c r="B194" s="310" t="s">
        <v>691</v>
      </c>
      <c r="C194" s="310"/>
      <c r="D194" s="310" t="s">
        <v>689</v>
      </c>
      <c r="E194" s="312">
        <f>E196+E195</f>
        <v>0</v>
      </c>
      <c r="F194" s="312">
        <f t="shared" ref="F194:I194" si="156">F196+F195</f>
        <v>0</v>
      </c>
      <c r="G194" s="312">
        <f t="shared" si="156"/>
        <v>0</v>
      </c>
      <c r="H194" s="312">
        <f t="shared" si="156"/>
        <v>0</v>
      </c>
      <c r="I194" s="312">
        <f t="shared" si="156"/>
        <v>0</v>
      </c>
      <c r="J194" s="312">
        <f>J196+J195</f>
        <v>2013660</v>
      </c>
      <c r="K194" s="312">
        <f t="shared" ref="K194:O194" si="157">K196+K195</f>
        <v>2013660</v>
      </c>
      <c r="L194" s="312">
        <f t="shared" si="157"/>
        <v>0</v>
      </c>
      <c r="M194" s="312">
        <f t="shared" si="157"/>
        <v>0</v>
      </c>
      <c r="N194" s="312">
        <f t="shared" si="157"/>
        <v>0</v>
      </c>
      <c r="O194" s="312">
        <f t="shared" si="157"/>
        <v>2013660</v>
      </c>
      <c r="P194" s="312">
        <f>P196+P195</f>
        <v>2013660</v>
      </c>
      <c r="Q194" s="20"/>
      <c r="R194" s="46"/>
    </row>
    <row r="195" spans="1:18" ht="48" thickTop="1" thickBot="1" x14ac:dyDescent="0.25">
      <c r="A195" s="101" t="s">
        <v>1309</v>
      </c>
      <c r="B195" s="101" t="s">
        <v>212</v>
      </c>
      <c r="C195" s="101" t="s">
        <v>213</v>
      </c>
      <c r="D195" s="101" t="s">
        <v>41</v>
      </c>
      <c r="E195" s="325">
        <f t="shared" si="155"/>
        <v>0</v>
      </c>
      <c r="F195" s="458">
        <v>0</v>
      </c>
      <c r="G195" s="458"/>
      <c r="H195" s="458"/>
      <c r="I195" s="458"/>
      <c r="J195" s="325">
        <f t="shared" ref="J195" si="158">L195+O195</f>
        <v>2013660</v>
      </c>
      <c r="K195" s="458">
        <f>(13660)+2000000</f>
        <v>2013660</v>
      </c>
      <c r="L195" s="458"/>
      <c r="M195" s="458"/>
      <c r="N195" s="458"/>
      <c r="O195" s="455">
        <f t="shared" ref="O195" si="159">K195</f>
        <v>2013660</v>
      </c>
      <c r="P195" s="325">
        <f t="shared" ref="P195" si="160">E195+J195</f>
        <v>2013660</v>
      </c>
      <c r="Q195" s="20"/>
      <c r="R195" s="46"/>
    </row>
    <row r="196" spans="1:18" ht="48" hidden="1" thickTop="1" thickBot="1" x14ac:dyDescent="0.25">
      <c r="A196" s="138" t="s">
        <v>752</v>
      </c>
      <c r="B196" s="138" t="s">
        <v>694</v>
      </c>
      <c r="C196" s="138"/>
      <c r="D196" s="151" t="s">
        <v>692</v>
      </c>
      <c r="E196" s="139">
        <f>E197</f>
        <v>0</v>
      </c>
      <c r="F196" s="139">
        <f t="shared" si="154"/>
        <v>0</v>
      </c>
      <c r="G196" s="139">
        <f t="shared" si="154"/>
        <v>0</v>
      </c>
      <c r="H196" s="139">
        <f t="shared" si="154"/>
        <v>0</v>
      </c>
      <c r="I196" s="139">
        <f t="shared" si="154"/>
        <v>0</v>
      </c>
      <c r="J196" s="139">
        <f t="shared" si="154"/>
        <v>0</v>
      </c>
      <c r="K196" s="139">
        <f t="shared" si="154"/>
        <v>0</v>
      </c>
      <c r="L196" s="139">
        <f t="shared" si="154"/>
        <v>0</v>
      </c>
      <c r="M196" s="139">
        <f t="shared" si="154"/>
        <v>0</v>
      </c>
      <c r="N196" s="139">
        <f t="shared" si="154"/>
        <v>0</v>
      </c>
      <c r="O196" s="139">
        <f t="shared" si="154"/>
        <v>0</v>
      </c>
      <c r="P196" s="139">
        <f t="shared" si="154"/>
        <v>0</v>
      </c>
      <c r="Q196" s="20"/>
      <c r="R196" s="46"/>
    </row>
    <row r="197" spans="1:18" ht="184.5" hidden="1" thickTop="1" thickBot="1" x14ac:dyDescent="0.7">
      <c r="A197" s="768" t="s">
        <v>423</v>
      </c>
      <c r="B197" s="768" t="s">
        <v>338</v>
      </c>
      <c r="C197" s="768" t="s">
        <v>170</v>
      </c>
      <c r="D197" s="153" t="s">
        <v>440</v>
      </c>
      <c r="E197" s="746">
        <f t="shared" si="122"/>
        <v>0</v>
      </c>
      <c r="F197" s="747"/>
      <c r="G197" s="747"/>
      <c r="H197" s="747"/>
      <c r="I197" s="747"/>
      <c r="J197" s="746">
        <f t="shared" si="148"/>
        <v>0</v>
      </c>
      <c r="K197" s="747"/>
      <c r="L197" s="747"/>
      <c r="M197" s="747"/>
      <c r="N197" s="747"/>
      <c r="O197" s="766">
        <f t="shared" si="150"/>
        <v>0</v>
      </c>
      <c r="P197" s="781">
        <f t="shared" si="149"/>
        <v>0</v>
      </c>
      <c r="Q197" s="20"/>
      <c r="R197" s="50"/>
    </row>
    <row r="198" spans="1:18" ht="93" hidden="1" thickTop="1" thickBot="1" x14ac:dyDescent="0.25">
      <c r="A198" s="769"/>
      <c r="B198" s="778"/>
      <c r="C198" s="769"/>
      <c r="D198" s="154" t="s">
        <v>441</v>
      </c>
      <c r="E198" s="769"/>
      <c r="F198" s="767"/>
      <c r="G198" s="767"/>
      <c r="H198" s="767"/>
      <c r="I198" s="767"/>
      <c r="J198" s="769"/>
      <c r="K198" s="769"/>
      <c r="L198" s="767"/>
      <c r="M198" s="767"/>
      <c r="N198" s="767"/>
      <c r="O198" s="798"/>
      <c r="P198" s="799"/>
      <c r="Q198" s="20"/>
      <c r="R198" s="50"/>
    </row>
    <row r="199" spans="1:18" ht="120" customHeight="1" thickTop="1" thickBot="1" x14ac:dyDescent="0.25">
      <c r="A199" s="645">
        <v>1000000</v>
      </c>
      <c r="B199" s="645"/>
      <c r="C199" s="645"/>
      <c r="D199" s="646" t="s">
        <v>24</v>
      </c>
      <c r="E199" s="647">
        <f>E200</f>
        <v>174430635</v>
      </c>
      <c r="F199" s="648">
        <f t="shared" ref="F199:G199" si="161">F200</f>
        <v>174430635</v>
      </c>
      <c r="G199" s="648">
        <f t="shared" si="161"/>
        <v>127110999</v>
      </c>
      <c r="H199" s="648">
        <f>H200</f>
        <v>8158262</v>
      </c>
      <c r="I199" s="648">
        <f>I200</f>
        <v>0</v>
      </c>
      <c r="J199" s="647">
        <f>J200</f>
        <v>11433850</v>
      </c>
      <c r="K199" s="648">
        <f>K200</f>
        <v>300000</v>
      </c>
      <c r="L199" s="648">
        <f>L200</f>
        <v>10895910</v>
      </c>
      <c r="M199" s="648">
        <f t="shared" ref="M199" si="162">M200</f>
        <v>8032370</v>
      </c>
      <c r="N199" s="648">
        <f>N200</f>
        <v>284620</v>
      </c>
      <c r="O199" s="647">
        <f>O200</f>
        <v>537940</v>
      </c>
      <c r="P199" s="648">
        <f t="shared" ref="P199" si="163">P200</f>
        <v>185864485</v>
      </c>
      <c r="Q199" s="20"/>
    </row>
    <row r="200" spans="1:18" ht="120" customHeight="1" thickTop="1" thickBot="1" x14ac:dyDescent="0.25">
      <c r="A200" s="642">
        <v>1010000</v>
      </c>
      <c r="B200" s="642"/>
      <c r="C200" s="642"/>
      <c r="D200" s="643" t="s">
        <v>39</v>
      </c>
      <c r="E200" s="644">
        <f>E201+E203+E217+E211</f>
        <v>174430635</v>
      </c>
      <c r="F200" s="644">
        <f>F201+F203+F217+F211</f>
        <v>174430635</v>
      </c>
      <c r="G200" s="644">
        <f>G201+G203+G217+G211</f>
        <v>127110999</v>
      </c>
      <c r="H200" s="644">
        <f>H201+H203+H217+H211</f>
        <v>8158262</v>
      </c>
      <c r="I200" s="644">
        <f>I201+I203+I217+I211</f>
        <v>0</v>
      </c>
      <c r="J200" s="644">
        <f t="shared" ref="J200:J210" si="164">L200+O200</f>
        <v>11433850</v>
      </c>
      <c r="K200" s="644">
        <f>K201+K203+K217+K211</f>
        <v>300000</v>
      </c>
      <c r="L200" s="644">
        <f>L201+L203+L217+L211</f>
        <v>10895910</v>
      </c>
      <c r="M200" s="644">
        <f>M201+M203+M217+M211</f>
        <v>8032370</v>
      </c>
      <c r="N200" s="644">
        <f>N201+N203+N217+N211</f>
        <v>284620</v>
      </c>
      <c r="O200" s="644">
        <f>O201+O203+O217+O211</f>
        <v>537940</v>
      </c>
      <c r="P200" s="644">
        <f t="shared" ref="P200:P210" si="165">E200+J200</f>
        <v>185864485</v>
      </c>
      <c r="Q200" s="492" t="b">
        <f>P200=P202+P204+P205+P206+P210+P209+P214</f>
        <v>1</v>
      </c>
      <c r="R200" s="46"/>
    </row>
    <row r="201" spans="1:18" ht="47.25" thickTop="1" thickBot="1" x14ac:dyDescent="0.25">
      <c r="A201" s="308" t="s">
        <v>754</v>
      </c>
      <c r="B201" s="308" t="s">
        <v>708</v>
      </c>
      <c r="C201" s="308"/>
      <c r="D201" s="308" t="s">
        <v>709</v>
      </c>
      <c r="E201" s="325">
        <f>E202</f>
        <v>96162228</v>
      </c>
      <c r="F201" s="325">
        <f t="shared" ref="F201:P201" si="166">F202</f>
        <v>96162228</v>
      </c>
      <c r="G201" s="325">
        <f t="shared" si="166"/>
        <v>73990970</v>
      </c>
      <c r="H201" s="325">
        <f t="shared" si="166"/>
        <v>4617684</v>
      </c>
      <c r="I201" s="325">
        <f t="shared" si="166"/>
        <v>0</v>
      </c>
      <c r="J201" s="325">
        <f t="shared" si="166"/>
        <v>9914660</v>
      </c>
      <c r="K201" s="325">
        <f t="shared" si="166"/>
        <v>0</v>
      </c>
      <c r="L201" s="325">
        <f t="shared" si="166"/>
        <v>9792720</v>
      </c>
      <c r="M201" s="325">
        <f t="shared" si="166"/>
        <v>7465250</v>
      </c>
      <c r="N201" s="325">
        <f t="shared" si="166"/>
        <v>223920</v>
      </c>
      <c r="O201" s="325">
        <f t="shared" si="166"/>
        <v>121940</v>
      </c>
      <c r="P201" s="325">
        <f t="shared" si="166"/>
        <v>106076888</v>
      </c>
      <c r="Q201" s="47"/>
      <c r="R201" s="46"/>
    </row>
    <row r="202" spans="1:18" ht="48" thickTop="1" thickBot="1" x14ac:dyDescent="0.25">
      <c r="A202" s="101" t="s">
        <v>636</v>
      </c>
      <c r="B202" s="101" t="s">
        <v>637</v>
      </c>
      <c r="C202" s="101" t="s">
        <v>181</v>
      </c>
      <c r="D202" s="101" t="s">
        <v>1120</v>
      </c>
      <c r="E202" s="325">
        <f>F202</f>
        <v>96162228</v>
      </c>
      <c r="F202" s="458">
        <f>((95874428)+50028)+237772</f>
        <v>96162228</v>
      </c>
      <c r="G202" s="458">
        <v>73990970</v>
      </c>
      <c r="H202" s="458">
        <f>3898302+36160+523522+130800+28900</f>
        <v>4617684</v>
      </c>
      <c r="I202" s="458"/>
      <c r="J202" s="325">
        <f t="shared" si="164"/>
        <v>9914660</v>
      </c>
      <c r="K202" s="458"/>
      <c r="L202" s="458">
        <f>9914660-121940</f>
        <v>9792720</v>
      </c>
      <c r="M202" s="458">
        <v>7465250</v>
      </c>
      <c r="N202" s="458">
        <v>223920</v>
      </c>
      <c r="O202" s="455">
        <f>(K202+121940)</f>
        <v>121940</v>
      </c>
      <c r="P202" s="325">
        <f t="shared" si="165"/>
        <v>106076888</v>
      </c>
      <c r="Q202" s="20"/>
      <c r="R202" s="46"/>
    </row>
    <row r="203" spans="1:18" s="24" customFormat="1" ht="47.25" thickTop="1" thickBot="1" x14ac:dyDescent="0.25">
      <c r="A203" s="308" t="s">
        <v>755</v>
      </c>
      <c r="B203" s="308" t="s">
        <v>756</v>
      </c>
      <c r="C203" s="308"/>
      <c r="D203" s="308" t="s">
        <v>757</v>
      </c>
      <c r="E203" s="325">
        <f t="shared" ref="E203:P203" si="167">SUM(E204:E210)-E208</f>
        <v>77241557</v>
      </c>
      <c r="F203" s="325">
        <f t="shared" si="167"/>
        <v>77241557</v>
      </c>
      <c r="G203" s="325">
        <f t="shared" si="167"/>
        <v>53120029</v>
      </c>
      <c r="H203" s="325">
        <f t="shared" si="167"/>
        <v>3540578</v>
      </c>
      <c r="I203" s="325">
        <f t="shared" si="167"/>
        <v>0</v>
      </c>
      <c r="J203" s="325">
        <f t="shared" si="167"/>
        <v>1519190</v>
      </c>
      <c r="K203" s="325">
        <f t="shared" si="167"/>
        <v>300000</v>
      </c>
      <c r="L203" s="325">
        <f t="shared" si="167"/>
        <v>1103190</v>
      </c>
      <c r="M203" s="325">
        <f t="shared" si="167"/>
        <v>567120</v>
      </c>
      <c r="N203" s="325">
        <f t="shared" si="167"/>
        <v>60700</v>
      </c>
      <c r="O203" s="325">
        <f t="shared" si="167"/>
        <v>416000</v>
      </c>
      <c r="P203" s="325">
        <f t="shared" si="167"/>
        <v>78760747</v>
      </c>
      <c r="Q203" s="25"/>
      <c r="R203" s="50"/>
    </row>
    <row r="204" spans="1:18" ht="48" thickTop="1" thickBot="1" x14ac:dyDescent="0.25">
      <c r="A204" s="101" t="s">
        <v>172</v>
      </c>
      <c r="B204" s="101" t="s">
        <v>173</v>
      </c>
      <c r="C204" s="101" t="s">
        <v>174</v>
      </c>
      <c r="D204" s="101" t="s">
        <v>175</v>
      </c>
      <c r="E204" s="325">
        <f t="shared" ref="E204:E207" si="168">F204</f>
        <v>18561225</v>
      </c>
      <c r="F204" s="458">
        <f>(18479775)+81450</f>
        <v>18561225</v>
      </c>
      <c r="G204" s="458">
        <v>13552210</v>
      </c>
      <c r="H204" s="458">
        <f>914400+11100+184288+28000+22100</f>
        <v>1159888</v>
      </c>
      <c r="I204" s="458"/>
      <c r="J204" s="325">
        <f t="shared" si="164"/>
        <v>469000</v>
      </c>
      <c r="K204" s="458">
        <f>(0)+500000-200000</f>
        <v>300000</v>
      </c>
      <c r="L204" s="458">
        <v>169000</v>
      </c>
      <c r="M204" s="458">
        <v>31000</v>
      </c>
      <c r="N204" s="458">
        <v>21000</v>
      </c>
      <c r="O204" s="455">
        <f t="shared" ref="O204:O210" si="169">K204</f>
        <v>300000</v>
      </c>
      <c r="P204" s="325">
        <f t="shared" si="165"/>
        <v>19030225</v>
      </c>
      <c r="Q204" s="20"/>
      <c r="R204" s="46"/>
    </row>
    <row r="205" spans="1:18" ht="48" thickTop="1" thickBot="1" x14ac:dyDescent="0.25">
      <c r="A205" s="101" t="s">
        <v>176</v>
      </c>
      <c r="B205" s="101" t="s">
        <v>177</v>
      </c>
      <c r="C205" s="101" t="s">
        <v>174</v>
      </c>
      <c r="D205" s="101" t="s">
        <v>463</v>
      </c>
      <c r="E205" s="325">
        <f t="shared" si="168"/>
        <v>3026822</v>
      </c>
      <c r="F205" s="458">
        <f>(2847504)+179318</f>
        <v>3026822</v>
      </c>
      <c r="G205" s="458">
        <v>1875700</v>
      </c>
      <c r="H205" s="458">
        <f>344000+5350+135610+4400</f>
        <v>489360</v>
      </c>
      <c r="I205" s="458"/>
      <c r="J205" s="325">
        <f t="shared" si="164"/>
        <v>113790</v>
      </c>
      <c r="K205" s="458"/>
      <c r="L205" s="458">
        <v>113790</v>
      </c>
      <c r="M205" s="458">
        <v>17920</v>
      </c>
      <c r="N205" s="458">
        <v>5700</v>
      </c>
      <c r="O205" s="455">
        <f t="shared" si="169"/>
        <v>0</v>
      </c>
      <c r="P205" s="325">
        <f t="shared" si="165"/>
        <v>3140612</v>
      </c>
      <c r="Q205" s="20"/>
      <c r="R205" s="46"/>
    </row>
    <row r="206" spans="1:18" ht="93" thickTop="1" thickBot="1" x14ac:dyDescent="0.25">
      <c r="A206" s="101" t="s">
        <v>178</v>
      </c>
      <c r="B206" s="101" t="s">
        <v>171</v>
      </c>
      <c r="C206" s="101" t="s">
        <v>179</v>
      </c>
      <c r="D206" s="101" t="s">
        <v>180</v>
      </c>
      <c r="E206" s="325">
        <f t="shared" si="168"/>
        <v>22228907</v>
      </c>
      <c r="F206" s="458">
        <f>(21555193)+929343+50000-305629</f>
        <v>22228907</v>
      </c>
      <c r="G206" s="458">
        <v>15462100</v>
      </c>
      <c r="H206" s="458">
        <f>982800+12680+678200+90000+41200</f>
        <v>1804880</v>
      </c>
      <c r="I206" s="458"/>
      <c r="J206" s="325">
        <f t="shared" si="164"/>
        <v>762000</v>
      </c>
      <c r="K206" s="458"/>
      <c r="L206" s="458">
        <f>762000-57400</f>
        <v>704600</v>
      </c>
      <c r="M206" s="458">
        <v>506000</v>
      </c>
      <c r="N206" s="458">
        <v>34000</v>
      </c>
      <c r="O206" s="455">
        <f>(K206+57400)</f>
        <v>57400</v>
      </c>
      <c r="P206" s="325">
        <f t="shared" si="165"/>
        <v>22990907</v>
      </c>
      <c r="Q206" s="20"/>
      <c r="R206" s="46"/>
    </row>
    <row r="207" spans="1:18" ht="48" hidden="1" thickTop="1" thickBot="1" x14ac:dyDescent="0.25">
      <c r="A207" s="126" t="s">
        <v>1194</v>
      </c>
      <c r="B207" s="126" t="s">
        <v>1195</v>
      </c>
      <c r="C207" s="126" t="s">
        <v>1197</v>
      </c>
      <c r="D207" s="126" t="s">
        <v>1196</v>
      </c>
      <c r="E207" s="125">
        <f t="shared" si="168"/>
        <v>0</v>
      </c>
      <c r="F207" s="132"/>
      <c r="G207" s="132"/>
      <c r="H207" s="132"/>
      <c r="I207" s="132"/>
      <c r="J207" s="125">
        <f t="shared" si="164"/>
        <v>0</v>
      </c>
      <c r="K207" s="132"/>
      <c r="L207" s="132"/>
      <c r="M207" s="132"/>
      <c r="N207" s="132"/>
      <c r="O207" s="130">
        <f>(K207)</f>
        <v>0</v>
      </c>
      <c r="P207" s="125">
        <f t="shared" si="165"/>
        <v>0</v>
      </c>
      <c r="Q207" s="20"/>
      <c r="R207" s="46"/>
    </row>
    <row r="208" spans="1:18" ht="48" thickTop="1" thickBot="1" x14ac:dyDescent="0.25">
      <c r="A208" s="326" t="s">
        <v>758</v>
      </c>
      <c r="B208" s="326" t="s">
        <v>759</v>
      </c>
      <c r="C208" s="326"/>
      <c r="D208" s="326" t="s">
        <v>760</v>
      </c>
      <c r="E208" s="322">
        <f>SUM(E209:E210)</f>
        <v>33424603</v>
      </c>
      <c r="F208" s="322">
        <f t="shared" ref="F208:P208" si="170">SUM(F209:F210)</f>
        <v>33424603</v>
      </c>
      <c r="G208" s="322">
        <f t="shared" si="170"/>
        <v>22230019</v>
      </c>
      <c r="H208" s="322">
        <f t="shared" si="170"/>
        <v>86450</v>
      </c>
      <c r="I208" s="322">
        <f t="shared" si="170"/>
        <v>0</v>
      </c>
      <c r="J208" s="322">
        <f t="shared" si="170"/>
        <v>174400</v>
      </c>
      <c r="K208" s="322">
        <f t="shared" si="170"/>
        <v>0</v>
      </c>
      <c r="L208" s="322">
        <f t="shared" si="170"/>
        <v>115800</v>
      </c>
      <c r="M208" s="322">
        <f t="shared" si="170"/>
        <v>12200</v>
      </c>
      <c r="N208" s="322">
        <f t="shared" si="170"/>
        <v>0</v>
      </c>
      <c r="O208" s="322">
        <f t="shared" si="170"/>
        <v>58600</v>
      </c>
      <c r="P208" s="322">
        <f t="shared" si="170"/>
        <v>33599003</v>
      </c>
      <c r="Q208" s="20"/>
      <c r="R208" s="46"/>
    </row>
    <row r="209" spans="1:18" ht="48" thickTop="1" thickBot="1" x14ac:dyDescent="0.25">
      <c r="A209" s="101" t="s">
        <v>333</v>
      </c>
      <c r="B209" s="101" t="s">
        <v>334</v>
      </c>
      <c r="C209" s="101" t="s">
        <v>182</v>
      </c>
      <c r="D209" s="101" t="s">
        <v>464</v>
      </c>
      <c r="E209" s="325">
        <f>F209</f>
        <v>29071503</v>
      </c>
      <c r="F209" s="458">
        <v>29071503</v>
      </c>
      <c r="G209" s="458">
        <v>22230019</v>
      </c>
      <c r="H209" s="458">
        <f>77900+8250+300</f>
        <v>86450</v>
      </c>
      <c r="I209" s="458"/>
      <c r="J209" s="325">
        <f t="shared" si="164"/>
        <v>174400</v>
      </c>
      <c r="K209" s="458"/>
      <c r="L209" s="458">
        <f>174400-58600</f>
        <v>115800</v>
      </c>
      <c r="M209" s="458">
        <v>12200</v>
      </c>
      <c r="N209" s="458"/>
      <c r="O209" s="455">
        <f>(K209+58600)</f>
        <v>58600</v>
      </c>
      <c r="P209" s="325">
        <f t="shared" si="165"/>
        <v>29245903</v>
      </c>
      <c r="Q209" s="20"/>
      <c r="R209" s="46"/>
    </row>
    <row r="210" spans="1:18" ht="48" thickTop="1" thickBot="1" x14ac:dyDescent="0.25">
      <c r="A210" s="101" t="s">
        <v>335</v>
      </c>
      <c r="B210" s="101" t="s">
        <v>336</v>
      </c>
      <c r="C210" s="101" t="s">
        <v>182</v>
      </c>
      <c r="D210" s="101" t="s">
        <v>465</v>
      </c>
      <c r="E210" s="325">
        <f>F210</f>
        <v>4353100</v>
      </c>
      <c r="F210" s="458">
        <v>4353100</v>
      </c>
      <c r="G210" s="458"/>
      <c r="H210" s="458"/>
      <c r="I210" s="458"/>
      <c r="J210" s="325">
        <f t="shared" si="164"/>
        <v>0</v>
      </c>
      <c r="K210" s="458"/>
      <c r="L210" s="458"/>
      <c r="M210" s="458"/>
      <c r="N210" s="458"/>
      <c r="O210" s="455">
        <f t="shared" si="169"/>
        <v>0</v>
      </c>
      <c r="P210" s="325">
        <f t="shared" si="165"/>
        <v>4353100</v>
      </c>
      <c r="Q210" s="20"/>
      <c r="R210" s="50"/>
    </row>
    <row r="211" spans="1:18" ht="47.25" thickTop="1" thickBot="1" x14ac:dyDescent="0.25">
      <c r="A211" s="308" t="s">
        <v>915</v>
      </c>
      <c r="B211" s="308" t="s">
        <v>748</v>
      </c>
      <c r="C211" s="308"/>
      <c r="D211" s="308" t="s">
        <v>749</v>
      </c>
      <c r="E211" s="325">
        <f>SUM(E212)</f>
        <v>1026850</v>
      </c>
      <c r="F211" s="325">
        <f t="shared" ref="F211:P211" si="171">SUM(F212)</f>
        <v>1026850</v>
      </c>
      <c r="G211" s="325">
        <f t="shared" si="171"/>
        <v>0</v>
      </c>
      <c r="H211" s="325">
        <f t="shared" si="171"/>
        <v>0</v>
      </c>
      <c r="I211" s="325">
        <f t="shared" si="171"/>
        <v>0</v>
      </c>
      <c r="J211" s="325">
        <f t="shared" si="171"/>
        <v>0</v>
      </c>
      <c r="K211" s="325">
        <f t="shared" si="171"/>
        <v>0</v>
      </c>
      <c r="L211" s="325">
        <f t="shared" si="171"/>
        <v>0</v>
      </c>
      <c r="M211" s="325">
        <f t="shared" si="171"/>
        <v>0</v>
      </c>
      <c r="N211" s="325">
        <f t="shared" si="171"/>
        <v>0</v>
      </c>
      <c r="O211" s="325">
        <f t="shared" si="171"/>
        <v>0</v>
      </c>
      <c r="P211" s="325">
        <f t="shared" si="171"/>
        <v>1026850</v>
      </c>
      <c r="Q211" s="20"/>
      <c r="R211" s="50"/>
    </row>
    <row r="212" spans="1:18" ht="47.25" thickTop="1" thickBot="1" x14ac:dyDescent="0.25">
      <c r="A212" s="310" t="s">
        <v>916</v>
      </c>
      <c r="B212" s="310" t="s">
        <v>691</v>
      </c>
      <c r="C212" s="310"/>
      <c r="D212" s="310" t="s">
        <v>689</v>
      </c>
      <c r="E212" s="312">
        <f>E213+E216+E215</f>
        <v>1026850</v>
      </c>
      <c r="F212" s="312">
        <f t="shared" ref="F212:P212" si="172">F213+F216+F215</f>
        <v>1026850</v>
      </c>
      <c r="G212" s="312">
        <f t="shared" si="172"/>
        <v>0</v>
      </c>
      <c r="H212" s="312">
        <f t="shared" si="172"/>
        <v>0</v>
      </c>
      <c r="I212" s="312">
        <f t="shared" si="172"/>
        <v>0</v>
      </c>
      <c r="J212" s="312">
        <f t="shared" si="172"/>
        <v>0</v>
      </c>
      <c r="K212" s="312">
        <f t="shared" si="172"/>
        <v>0</v>
      </c>
      <c r="L212" s="312">
        <f t="shared" si="172"/>
        <v>0</v>
      </c>
      <c r="M212" s="312">
        <f t="shared" si="172"/>
        <v>0</v>
      </c>
      <c r="N212" s="312">
        <f t="shared" si="172"/>
        <v>0</v>
      </c>
      <c r="O212" s="312">
        <f t="shared" si="172"/>
        <v>0</v>
      </c>
      <c r="P212" s="312">
        <f t="shared" si="172"/>
        <v>1026850</v>
      </c>
      <c r="Q212" s="20"/>
      <c r="R212" s="50"/>
    </row>
    <row r="213" spans="1:18" ht="48" thickTop="1" thickBot="1" x14ac:dyDescent="0.25">
      <c r="A213" s="326" t="s">
        <v>1033</v>
      </c>
      <c r="B213" s="326" t="s">
        <v>1034</v>
      </c>
      <c r="C213" s="326"/>
      <c r="D213" s="326" t="s">
        <v>1032</v>
      </c>
      <c r="E213" s="322">
        <f>E214</f>
        <v>1026850</v>
      </c>
      <c r="F213" s="322">
        <f t="shared" ref="F213:P213" si="173">F214</f>
        <v>1026850</v>
      </c>
      <c r="G213" s="322">
        <f t="shared" si="173"/>
        <v>0</v>
      </c>
      <c r="H213" s="322">
        <f t="shared" si="173"/>
        <v>0</v>
      </c>
      <c r="I213" s="322">
        <f t="shared" si="173"/>
        <v>0</v>
      </c>
      <c r="J213" s="322">
        <f t="shared" si="173"/>
        <v>0</v>
      </c>
      <c r="K213" s="322">
        <f t="shared" si="173"/>
        <v>0</v>
      </c>
      <c r="L213" s="322">
        <f t="shared" si="173"/>
        <v>0</v>
      </c>
      <c r="M213" s="322">
        <f t="shared" si="173"/>
        <v>0</v>
      </c>
      <c r="N213" s="322">
        <f t="shared" si="173"/>
        <v>0</v>
      </c>
      <c r="O213" s="322">
        <f t="shared" si="173"/>
        <v>0</v>
      </c>
      <c r="P213" s="322">
        <f t="shared" si="173"/>
        <v>1026850</v>
      </c>
      <c r="Q213" s="20"/>
      <c r="R213" s="50"/>
    </row>
    <row r="214" spans="1:18" ht="48" thickTop="1" thickBot="1" x14ac:dyDescent="0.25">
      <c r="A214" s="101" t="s">
        <v>1036</v>
      </c>
      <c r="B214" s="101" t="s">
        <v>1037</v>
      </c>
      <c r="C214" s="101" t="s">
        <v>213</v>
      </c>
      <c r="D214" s="101" t="s">
        <v>1035</v>
      </c>
      <c r="E214" s="325">
        <f>F214</f>
        <v>1026850</v>
      </c>
      <c r="F214" s="458">
        <v>1026850</v>
      </c>
      <c r="G214" s="458"/>
      <c r="H214" s="458"/>
      <c r="I214" s="458"/>
      <c r="J214" s="325">
        <f>L214+O214</f>
        <v>0</v>
      </c>
      <c r="K214" s="458"/>
      <c r="L214" s="458"/>
      <c r="M214" s="458"/>
      <c r="N214" s="458"/>
      <c r="O214" s="455">
        <f>K214</f>
        <v>0</v>
      </c>
      <c r="P214" s="325">
        <f>E214+J214</f>
        <v>1026850</v>
      </c>
      <c r="Q214" s="20"/>
      <c r="R214" s="50"/>
    </row>
    <row r="215" spans="1:18" ht="48" hidden="1" thickTop="1" thickBot="1" x14ac:dyDescent="0.25">
      <c r="A215" s="126" t="s">
        <v>1265</v>
      </c>
      <c r="B215" s="126" t="s">
        <v>212</v>
      </c>
      <c r="C215" s="126" t="s">
        <v>213</v>
      </c>
      <c r="D215" s="126" t="s">
        <v>41</v>
      </c>
      <c r="E215" s="125">
        <f t="shared" ref="E215:E216" si="174">F215</f>
        <v>0</v>
      </c>
      <c r="F215" s="132"/>
      <c r="G215" s="132"/>
      <c r="H215" s="132"/>
      <c r="I215" s="132"/>
      <c r="J215" s="125">
        <f>L215+O215</f>
        <v>0</v>
      </c>
      <c r="K215" s="132"/>
      <c r="L215" s="132"/>
      <c r="M215" s="132"/>
      <c r="N215" s="132"/>
      <c r="O215" s="130">
        <f>K215</f>
        <v>0</v>
      </c>
      <c r="P215" s="125">
        <f>E215+J215</f>
        <v>0</v>
      </c>
      <c r="Q215" s="20"/>
      <c r="R215" s="50"/>
    </row>
    <row r="216" spans="1:18" ht="48" hidden="1" thickTop="1" thickBot="1" x14ac:dyDescent="0.25">
      <c r="A216" s="126" t="s">
        <v>917</v>
      </c>
      <c r="B216" s="126" t="s">
        <v>197</v>
      </c>
      <c r="C216" s="126" t="s">
        <v>170</v>
      </c>
      <c r="D216" s="126" t="s">
        <v>34</v>
      </c>
      <c r="E216" s="125">
        <f t="shared" si="174"/>
        <v>0</v>
      </c>
      <c r="F216" s="132"/>
      <c r="G216" s="132"/>
      <c r="H216" s="132"/>
      <c r="I216" s="132"/>
      <c r="J216" s="125">
        <f t="shared" ref="J216" si="175">L216+O216</f>
        <v>0</v>
      </c>
      <c r="K216" s="132">
        <f>940242-455475-484767</f>
        <v>0</v>
      </c>
      <c r="L216" s="132"/>
      <c r="M216" s="132"/>
      <c r="N216" s="132"/>
      <c r="O216" s="130">
        <f t="shared" ref="O216" si="176">K216</f>
        <v>0</v>
      </c>
      <c r="P216" s="125">
        <f t="shared" ref="P216" si="177">E216+J216</f>
        <v>0</v>
      </c>
      <c r="Q216" s="20"/>
      <c r="R216" s="46"/>
    </row>
    <row r="217" spans="1:18" ht="47.25" hidden="1" thickTop="1" thickBot="1" x14ac:dyDescent="0.25">
      <c r="A217" s="144" t="s">
        <v>761</v>
      </c>
      <c r="B217" s="144" t="s">
        <v>702</v>
      </c>
      <c r="C217" s="144"/>
      <c r="D217" s="144" t="s">
        <v>703</v>
      </c>
      <c r="E217" s="42">
        <f>E218</f>
        <v>0</v>
      </c>
      <c r="F217" s="42">
        <f t="shared" ref="F217:P218" si="178">F218</f>
        <v>0</v>
      </c>
      <c r="G217" s="42">
        <f t="shared" si="178"/>
        <v>0</v>
      </c>
      <c r="H217" s="42">
        <f t="shared" si="178"/>
        <v>0</v>
      </c>
      <c r="I217" s="42">
        <f t="shared" si="178"/>
        <v>0</v>
      </c>
      <c r="J217" s="42">
        <f t="shared" si="178"/>
        <v>0</v>
      </c>
      <c r="K217" s="42">
        <f t="shared" si="178"/>
        <v>0</v>
      </c>
      <c r="L217" s="42">
        <f t="shared" si="178"/>
        <v>0</v>
      </c>
      <c r="M217" s="42">
        <f t="shared" si="178"/>
        <v>0</v>
      </c>
      <c r="N217" s="42">
        <f t="shared" si="178"/>
        <v>0</v>
      </c>
      <c r="O217" s="42">
        <f t="shared" si="178"/>
        <v>0</v>
      </c>
      <c r="P217" s="42">
        <f t="shared" si="178"/>
        <v>0</v>
      </c>
      <c r="Q217" s="20"/>
      <c r="R217" s="50"/>
    </row>
    <row r="218" spans="1:18" ht="91.5" hidden="1" thickTop="1" thickBot="1" x14ac:dyDescent="0.25">
      <c r="A218" s="145" t="s">
        <v>762</v>
      </c>
      <c r="B218" s="145" t="s">
        <v>705</v>
      </c>
      <c r="C218" s="145"/>
      <c r="D218" s="145" t="s">
        <v>706</v>
      </c>
      <c r="E218" s="146">
        <f>E219</f>
        <v>0</v>
      </c>
      <c r="F218" s="146">
        <f t="shared" si="178"/>
        <v>0</v>
      </c>
      <c r="G218" s="146">
        <f t="shared" si="178"/>
        <v>0</v>
      </c>
      <c r="H218" s="146">
        <f t="shared" si="178"/>
        <v>0</v>
      </c>
      <c r="I218" s="146">
        <f t="shared" si="178"/>
        <v>0</v>
      </c>
      <c r="J218" s="146">
        <f t="shared" si="178"/>
        <v>0</v>
      </c>
      <c r="K218" s="146">
        <f t="shared" si="178"/>
        <v>0</v>
      </c>
      <c r="L218" s="146">
        <f t="shared" si="178"/>
        <v>0</v>
      </c>
      <c r="M218" s="146">
        <f t="shared" si="178"/>
        <v>0</v>
      </c>
      <c r="N218" s="146">
        <f t="shared" si="178"/>
        <v>0</v>
      </c>
      <c r="O218" s="146">
        <f t="shared" si="178"/>
        <v>0</v>
      </c>
      <c r="P218" s="146">
        <f t="shared" si="178"/>
        <v>0</v>
      </c>
      <c r="Q218" s="20"/>
      <c r="R218" s="50"/>
    </row>
    <row r="219" spans="1:18" ht="48" hidden="1" thickTop="1" thickBot="1" x14ac:dyDescent="0.25">
      <c r="A219" s="41" t="s">
        <v>586</v>
      </c>
      <c r="B219" s="41" t="s">
        <v>363</v>
      </c>
      <c r="C219" s="41" t="s">
        <v>43</v>
      </c>
      <c r="D219" s="41" t="s">
        <v>364</v>
      </c>
      <c r="E219" s="42">
        <f t="shared" ref="E219" si="179">F219</f>
        <v>0</v>
      </c>
      <c r="F219" s="43">
        <v>0</v>
      </c>
      <c r="G219" s="43"/>
      <c r="H219" s="43"/>
      <c r="I219" s="43"/>
      <c r="J219" s="42">
        <f>L219+O219</f>
        <v>0</v>
      </c>
      <c r="K219" s="43"/>
      <c r="L219" s="43"/>
      <c r="M219" s="43"/>
      <c r="N219" s="43"/>
      <c r="O219" s="44">
        <f>K219</f>
        <v>0</v>
      </c>
      <c r="P219" s="42">
        <f>E219+J219</f>
        <v>0</v>
      </c>
      <c r="Q219" s="20"/>
      <c r="R219" s="50"/>
    </row>
    <row r="220" spans="1:18" ht="120" customHeight="1" thickTop="1" thickBot="1" x14ac:dyDescent="0.25">
      <c r="A220" s="645" t="s">
        <v>22</v>
      </c>
      <c r="B220" s="645"/>
      <c r="C220" s="645"/>
      <c r="D220" s="646" t="s">
        <v>23</v>
      </c>
      <c r="E220" s="647">
        <f>E221</f>
        <v>127898143</v>
      </c>
      <c r="F220" s="648">
        <f t="shared" ref="F220:G220" si="180">F221</f>
        <v>127898143</v>
      </c>
      <c r="G220" s="648">
        <f t="shared" si="180"/>
        <v>52169105</v>
      </c>
      <c r="H220" s="648">
        <f>H221</f>
        <v>4493410</v>
      </c>
      <c r="I220" s="648">
        <f t="shared" ref="I220" si="181">I221</f>
        <v>0</v>
      </c>
      <c r="J220" s="647">
        <f>J221</f>
        <v>5265371</v>
      </c>
      <c r="K220" s="648">
        <f>K221</f>
        <v>3351929</v>
      </c>
      <c r="L220" s="648">
        <f>L221</f>
        <v>1888442</v>
      </c>
      <c r="M220" s="648">
        <f t="shared" ref="M220" si="182">M221</f>
        <v>704165</v>
      </c>
      <c r="N220" s="648">
        <f>N221</f>
        <v>524376</v>
      </c>
      <c r="O220" s="647">
        <f>O221</f>
        <v>3376929</v>
      </c>
      <c r="P220" s="648">
        <f t="shared" ref="P220" si="183">P221</f>
        <v>133163514</v>
      </c>
      <c r="Q220" s="20"/>
    </row>
    <row r="221" spans="1:18" ht="120" customHeight="1" thickTop="1" thickBot="1" x14ac:dyDescent="0.25">
      <c r="A221" s="642" t="s">
        <v>21</v>
      </c>
      <c r="B221" s="642"/>
      <c r="C221" s="642"/>
      <c r="D221" s="643" t="s">
        <v>35</v>
      </c>
      <c r="E221" s="644">
        <f>E222+E228+E243+E246+E253</f>
        <v>127898143</v>
      </c>
      <c r="F221" s="644">
        <f t="shared" ref="F221:I221" si="184">F222+F228+F243+F246+F253</f>
        <v>127898143</v>
      </c>
      <c r="G221" s="644">
        <f t="shared" si="184"/>
        <v>52169105</v>
      </c>
      <c r="H221" s="644">
        <f t="shared" si="184"/>
        <v>4493410</v>
      </c>
      <c r="I221" s="644">
        <f t="shared" si="184"/>
        <v>0</v>
      </c>
      <c r="J221" s="644">
        <f>L221+O221</f>
        <v>5265371</v>
      </c>
      <c r="K221" s="644">
        <f t="shared" ref="K221:O221" si="185">K222+K228+K243+K246+K253</f>
        <v>3351929</v>
      </c>
      <c r="L221" s="644">
        <f t="shared" si="185"/>
        <v>1888442</v>
      </c>
      <c r="M221" s="644">
        <f t="shared" si="185"/>
        <v>704165</v>
      </c>
      <c r="N221" s="644">
        <f t="shared" si="185"/>
        <v>524376</v>
      </c>
      <c r="O221" s="644">
        <f t="shared" si="185"/>
        <v>3376929</v>
      </c>
      <c r="P221" s="644">
        <f>E221+J221</f>
        <v>133163514</v>
      </c>
      <c r="Q221" s="492" t="b">
        <f>P221=P226+P227+P230+P231+P233+P235+P236+P240+P241+P242+P238</f>
        <v>1</v>
      </c>
      <c r="R221" s="46"/>
    </row>
    <row r="222" spans="1:18" ht="47.25" thickTop="1" thickBot="1" x14ac:dyDescent="0.25">
      <c r="A222" s="308" t="s">
        <v>763</v>
      </c>
      <c r="B222" s="308" t="s">
        <v>711</v>
      </c>
      <c r="C222" s="308"/>
      <c r="D222" s="308" t="s">
        <v>712</v>
      </c>
      <c r="E222" s="576">
        <f>SUM(E223:E227)-E223-E225</f>
        <v>13273719</v>
      </c>
      <c r="F222" s="576">
        <f t="shared" ref="F222:P222" si="186">SUM(F223:F227)-F223-F225</f>
        <v>13273719</v>
      </c>
      <c r="G222" s="576">
        <f t="shared" si="186"/>
        <v>5109873</v>
      </c>
      <c r="H222" s="576">
        <f t="shared" si="186"/>
        <v>1033530</v>
      </c>
      <c r="I222" s="576">
        <f t="shared" si="186"/>
        <v>0</v>
      </c>
      <c r="J222" s="576">
        <f t="shared" si="186"/>
        <v>954919</v>
      </c>
      <c r="K222" s="576">
        <f t="shared" si="186"/>
        <v>533719</v>
      </c>
      <c r="L222" s="576">
        <f t="shared" si="186"/>
        <v>421200</v>
      </c>
      <c r="M222" s="576">
        <f t="shared" si="186"/>
        <v>198800</v>
      </c>
      <c r="N222" s="576">
        <f t="shared" si="186"/>
        <v>152665</v>
      </c>
      <c r="O222" s="576">
        <f t="shared" si="186"/>
        <v>533719</v>
      </c>
      <c r="P222" s="576">
        <f t="shared" si="186"/>
        <v>14228638</v>
      </c>
      <c r="Q222" s="47"/>
      <c r="R222" s="46"/>
    </row>
    <row r="223" spans="1:18" s="33" customFormat="1" ht="48" hidden="1" thickTop="1" thickBot="1" x14ac:dyDescent="0.25">
      <c r="A223" s="326" t="s">
        <v>764</v>
      </c>
      <c r="B223" s="326" t="s">
        <v>765</v>
      </c>
      <c r="C223" s="326"/>
      <c r="D223" s="326" t="s">
        <v>766</v>
      </c>
      <c r="E223" s="577">
        <f>E224</f>
        <v>0</v>
      </c>
      <c r="F223" s="577">
        <f t="shared" ref="F223:P223" si="187">F224</f>
        <v>0</v>
      </c>
      <c r="G223" s="577">
        <f t="shared" si="187"/>
        <v>0</v>
      </c>
      <c r="H223" s="577">
        <f t="shared" si="187"/>
        <v>0</v>
      </c>
      <c r="I223" s="577">
        <f t="shared" si="187"/>
        <v>0</v>
      </c>
      <c r="J223" s="577">
        <f t="shared" si="187"/>
        <v>0</v>
      </c>
      <c r="K223" s="577">
        <f t="shared" si="187"/>
        <v>0</v>
      </c>
      <c r="L223" s="577">
        <f t="shared" si="187"/>
        <v>0</v>
      </c>
      <c r="M223" s="577">
        <f t="shared" si="187"/>
        <v>0</v>
      </c>
      <c r="N223" s="577">
        <f t="shared" si="187"/>
        <v>0</v>
      </c>
      <c r="O223" s="577">
        <f t="shared" si="187"/>
        <v>0</v>
      </c>
      <c r="P223" s="577">
        <f t="shared" si="187"/>
        <v>0</v>
      </c>
      <c r="Q223" s="155"/>
      <c r="R223" s="52"/>
    </row>
    <row r="224" spans="1:18" ht="48" hidden="1" thickTop="1" thickBot="1" x14ac:dyDescent="0.25">
      <c r="A224" s="101" t="s">
        <v>183</v>
      </c>
      <c r="B224" s="101" t="s">
        <v>184</v>
      </c>
      <c r="C224" s="101" t="s">
        <v>185</v>
      </c>
      <c r="D224" s="101" t="s">
        <v>638</v>
      </c>
      <c r="E224" s="309">
        <f t="shared" ref="E224:E241" si="188">F224</f>
        <v>0</v>
      </c>
      <c r="F224" s="323">
        <f>(6040461)-6040461</f>
        <v>0</v>
      </c>
      <c r="G224" s="323">
        <f>(4559615)-4559615</f>
        <v>0</v>
      </c>
      <c r="H224" s="323">
        <f>(96665+5295+31600+3840)-137400</f>
        <v>0</v>
      </c>
      <c r="I224" s="323"/>
      <c r="J224" s="325">
        <f t="shared" ref="J224:J252" si="189">L224+O224</f>
        <v>0</v>
      </c>
      <c r="K224" s="323"/>
      <c r="L224" s="454"/>
      <c r="M224" s="454"/>
      <c r="N224" s="454"/>
      <c r="O224" s="455">
        <f t="shared" ref="O224:O252" si="190">K224</f>
        <v>0</v>
      </c>
      <c r="P224" s="325">
        <f>+J224+E224</f>
        <v>0</v>
      </c>
      <c r="Q224" s="50"/>
      <c r="R224" s="50"/>
    </row>
    <row r="225" spans="1:18" s="33" customFormat="1" ht="93" thickTop="1" thickBot="1" x14ac:dyDescent="0.25">
      <c r="A225" s="326" t="s">
        <v>767</v>
      </c>
      <c r="B225" s="326" t="s">
        <v>768</v>
      </c>
      <c r="C225" s="326"/>
      <c r="D225" s="326" t="s">
        <v>1549</v>
      </c>
      <c r="E225" s="462">
        <f>SUM(E226:E227)</f>
        <v>13273719</v>
      </c>
      <c r="F225" s="462">
        <f t="shared" ref="F225:P225" si="191">SUM(F226:F227)</f>
        <v>13273719</v>
      </c>
      <c r="G225" s="462">
        <f t="shared" si="191"/>
        <v>5109873</v>
      </c>
      <c r="H225" s="462">
        <f t="shared" si="191"/>
        <v>1033530</v>
      </c>
      <c r="I225" s="462">
        <f t="shared" si="191"/>
        <v>0</v>
      </c>
      <c r="J225" s="462">
        <f t="shared" si="191"/>
        <v>954919</v>
      </c>
      <c r="K225" s="462">
        <f t="shared" si="191"/>
        <v>533719</v>
      </c>
      <c r="L225" s="462">
        <f t="shared" si="191"/>
        <v>421200</v>
      </c>
      <c r="M225" s="462">
        <f t="shared" si="191"/>
        <v>198800</v>
      </c>
      <c r="N225" s="462">
        <f t="shared" si="191"/>
        <v>152665</v>
      </c>
      <c r="O225" s="462">
        <f t="shared" si="191"/>
        <v>533719</v>
      </c>
      <c r="P225" s="462">
        <f t="shared" si="191"/>
        <v>14228638</v>
      </c>
      <c r="Q225" s="51"/>
      <c r="R225" s="51"/>
    </row>
    <row r="226" spans="1:18" ht="48" thickTop="1" thickBot="1" x14ac:dyDescent="0.25">
      <c r="A226" s="101" t="s">
        <v>189</v>
      </c>
      <c r="B226" s="101" t="s">
        <v>190</v>
      </c>
      <c r="C226" s="101" t="s">
        <v>185</v>
      </c>
      <c r="D226" s="101" t="s">
        <v>10</v>
      </c>
      <c r="E226" s="309">
        <f t="shared" si="188"/>
        <v>5976842</v>
      </c>
      <c r="F226" s="323">
        <v>5976842</v>
      </c>
      <c r="G226" s="323">
        <v>3757524</v>
      </c>
      <c r="H226" s="323">
        <f>640500+6906+191040+3080</f>
        <v>841526</v>
      </c>
      <c r="I226" s="323"/>
      <c r="J226" s="325">
        <f t="shared" si="189"/>
        <v>954919</v>
      </c>
      <c r="K226" s="323">
        <f>((0)+400000)+133719</f>
        <v>533719</v>
      </c>
      <c r="L226" s="454">
        <v>421200</v>
      </c>
      <c r="M226" s="454">
        <v>198800</v>
      </c>
      <c r="N226" s="454">
        <v>152665</v>
      </c>
      <c r="O226" s="455">
        <f>K226</f>
        <v>533719</v>
      </c>
      <c r="P226" s="325">
        <f t="shared" ref="P226:P252" si="192">E226+J226</f>
        <v>6931761</v>
      </c>
      <c r="Q226" s="20"/>
      <c r="R226" s="46"/>
    </row>
    <row r="227" spans="1:18" ht="48" thickTop="1" thickBot="1" x14ac:dyDescent="0.25">
      <c r="A227" s="101" t="s">
        <v>351</v>
      </c>
      <c r="B227" s="101" t="s">
        <v>352</v>
      </c>
      <c r="C227" s="101" t="s">
        <v>185</v>
      </c>
      <c r="D227" s="101" t="s">
        <v>353</v>
      </c>
      <c r="E227" s="309">
        <f t="shared" si="188"/>
        <v>7296877</v>
      </c>
      <c r="F227" s="323">
        <f>(7156877)+140000</f>
        <v>7296877</v>
      </c>
      <c r="G227" s="323">
        <v>1352349</v>
      </c>
      <c r="H227" s="323">
        <f>102138+6560+80906+2400</f>
        <v>192004</v>
      </c>
      <c r="I227" s="323"/>
      <c r="J227" s="325">
        <f t="shared" si="189"/>
        <v>0</v>
      </c>
      <c r="K227" s="323"/>
      <c r="L227" s="454"/>
      <c r="M227" s="454"/>
      <c r="N227" s="454"/>
      <c r="O227" s="455">
        <f t="shared" si="190"/>
        <v>0</v>
      </c>
      <c r="P227" s="325">
        <f t="shared" si="192"/>
        <v>7296877</v>
      </c>
      <c r="Q227" s="20"/>
      <c r="R227" s="46"/>
    </row>
    <row r="228" spans="1:18" ht="47.25" thickTop="1" thickBot="1" x14ac:dyDescent="0.25">
      <c r="A228" s="308" t="s">
        <v>769</v>
      </c>
      <c r="B228" s="308" t="s">
        <v>770</v>
      </c>
      <c r="C228" s="101"/>
      <c r="D228" s="308" t="s">
        <v>771</v>
      </c>
      <c r="E228" s="309">
        <f t="shared" ref="E228:P228" si="193">SUM(E229:E242)-E229-E232-E234-E239-E237</f>
        <v>114624424</v>
      </c>
      <c r="F228" s="309">
        <f t="shared" si="193"/>
        <v>114624424</v>
      </c>
      <c r="G228" s="309">
        <f t="shared" si="193"/>
        <v>47059232</v>
      </c>
      <c r="H228" s="309">
        <f t="shared" si="193"/>
        <v>3459880</v>
      </c>
      <c r="I228" s="309">
        <f t="shared" si="193"/>
        <v>0</v>
      </c>
      <c r="J228" s="309">
        <f t="shared" si="193"/>
        <v>4310452</v>
      </c>
      <c r="K228" s="309">
        <f t="shared" si="193"/>
        <v>2818210</v>
      </c>
      <c r="L228" s="309">
        <f t="shared" si="193"/>
        <v>1467242</v>
      </c>
      <c r="M228" s="309">
        <f t="shared" si="193"/>
        <v>505365</v>
      </c>
      <c r="N228" s="309">
        <f t="shared" si="193"/>
        <v>371711</v>
      </c>
      <c r="O228" s="309">
        <f t="shared" si="193"/>
        <v>2843210</v>
      </c>
      <c r="P228" s="309">
        <f t="shared" si="193"/>
        <v>118934876</v>
      </c>
      <c r="Q228" s="20"/>
      <c r="R228" s="46"/>
    </row>
    <row r="229" spans="1:18" s="33" customFormat="1" ht="48" thickTop="1" thickBot="1" x14ac:dyDescent="0.25">
      <c r="A229" s="326" t="s">
        <v>772</v>
      </c>
      <c r="B229" s="326" t="s">
        <v>773</v>
      </c>
      <c r="C229" s="326"/>
      <c r="D229" s="326" t="s">
        <v>774</v>
      </c>
      <c r="E229" s="462">
        <f>SUM(E230:E231)</f>
        <v>35249823</v>
      </c>
      <c r="F229" s="462">
        <f t="shared" ref="F229:P229" si="194">SUM(F230:F231)</f>
        <v>35249823</v>
      </c>
      <c r="G229" s="462">
        <f t="shared" si="194"/>
        <v>0</v>
      </c>
      <c r="H229" s="462">
        <f t="shared" si="194"/>
        <v>0</v>
      </c>
      <c r="I229" s="462">
        <f t="shared" si="194"/>
        <v>0</v>
      </c>
      <c r="J229" s="462">
        <f t="shared" si="194"/>
        <v>0</v>
      </c>
      <c r="K229" s="462">
        <f t="shared" si="194"/>
        <v>0</v>
      </c>
      <c r="L229" s="462">
        <f t="shared" si="194"/>
        <v>0</v>
      </c>
      <c r="M229" s="462">
        <f t="shared" si="194"/>
        <v>0</v>
      </c>
      <c r="N229" s="462">
        <f t="shared" si="194"/>
        <v>0</v>
      </c>
      <c r="O229" s="462">
        <f t="shared" si="194"/>
        <v>0</v>
      </c>
      <c r="P229" s="462">
        <f t="shared" si="194"/>
        <v>35249823</v>
      </c>
      <c r="Q229" s="36"/>
      <c r="R229" s="52"/>
    </row>
    <row r="230" spans="1:18" ht="93" thickTop="1" thickBot="1" x14ac:dyDescent="0.25">
      <c r="A230" s="101" t="s">
        <v>44</v>
      </c>
      <c r="B230" s="101" t="s">
        <v>186</v>
      </c>
      <c r="C230" s="101" t="s">
        <v>195</v>
      </c>
      <c r="D230" s="101" t="s">
        <v>45</v>
      </c>
      <c r="E230" s="309">
        <f t="shared" si="188"/>
        <v>31400000</v>
      </c>
      <c r="F230" s="323">
        <f>((27000000)+2300000)+2100000</f>
        <v>31400000</v>
      </c>
      <c r="G230" s="458"/>
      <c r="H230" s="458"/>
      <c r="I230" s="458"/>
      <c r="J230" s="325">
        <f t="shared" si="189"/>
        <v>0</v>
      </c>
      <c r="K230" s="458"/>
      <c r="L230" s="458"/>
      <c r="M230" s="458"/>
      <c r="N230" s="458"/>
      <c r="O230" s="455">
        <f t="shared" si="190"/>
        <v>0</v>
      </c>
      <c r="P230" s="325">
        <f t="shared" si="192"/>
        <v>31400000</v>
      </c>
      <c r="Q230" s="20"/>
      <c r="R230" s="46"/>
    </row>
    <row r="231" spans="1:18" ht="93" thickTop="1" thickBot="1" x14ac:dyDescent="0.25">
      <c r="A231" s="101" t="s">
        <v>46</v>
      </c>
      <c r="B231" s="101" t="s">
        <v>187</v>
      </c>
      <c r="C231" s="101" t="s">
        <v>195</v>
      </c>
      <c r="D231" s="101" t="s">
        <v>4</v>
      </c>
      <c r="E231" s="309">
        <f t="shared" si="188"/>
        <v>3849823</v>
      </c>
      <c r="F231" s="323">
        <f>(3399823)+450000</f>
        <v>3849823</v>
      </c>
      <c r="G231" s="458"/>
      <c r="H231" s="458"/>
      <c r="I231" s="458"/>
      <c r="J231" s="325">
        <f t="shared" si="189"/>
        <v>0</v>
      </c>
      <c r="K231" s="458"/>
      <c r="L231" s="458"/>
      <c r="M231" s="458"/>
      <c r="N231" s="458"/>
      <c r="O231" s="455">
        <f t="shared" si="190"/>
        <v>0</v>
      </c>
      <c r="P231" s="325">
        <f t="shared" si="192"/>
        <v>3849823</v>
      </c>
      <c r="Q231" s="20"/>
      <c r="R231" s="46"/>
    </row>
    <row r="232" spans="1:18" s="33" customFormat="1" ht="93" thickTop="1" thickBot="1" x14ac:dyDescent="0.25">
      <c r="A232" s="326" t="s">
        <v>775</v>
      </c>
      <c r="B232" s="326" t="s">
        <v>776</v>
      </c>
      <c r="C232" s="326"/>
      <c r="D232" s="326" t="s">
        <v>777</v>
      </c>
      <c r="E232" s="462">
        <f>E233</f>
        <v>41300</v>
      </c>
      <c r="F232" s="462">
        <f t="shared" ref="F232:P232" si="195">F233</f>
        <v>41300</v>
      </c>
      <c r="G232" s="462">
        <f t="shared" si="195"/>
        <v>0</v>
      </c>
      <c r="H232" s="462">
        <f t="shared" si="195"/>
        <v>0</v>
      </c>
      <c r="I232" s="462">
        <f t="shared" si="195"/>
        <v>0</v>
      </c>
      <c r="J232" s="462">
        <f t="shared" si="195"/>
        <v>0</v>
      </c>
      <c r="K232" s="462">
        <f t="shared" si="195"/>
        <v>0</v>
      </c>
      <c r="L232" s="462">
        <f t="shared" si="195"/>
        <v>0</v>
      </c>
      <c r="M232" s="462">
        <f t="shared" si="195"/>
        <v>0</v>
      </c>
      <c r="N232" s="462">
        <f t="shared" si="195"/>
        <v>0</v>
      </c>
      <c r="O232" s="462">
        <f t="shared" si="195"/>
        <v>0</v>
      </c>
      <c r="P232" s="462">
        <f t="shared" si="195"/>
        <v>41300</v>
      </c>
      <c r="Q232" s="36"/>
      <c r="R232" s="53"/>
    </row>
    <row r="233" spans="1:18" ht="93" thickTop="1" thickBot="1" x14ac:dyDescent="0.25">
      <c r="A233" s="101" t="s">
        <v>47</v>
      </c>
      <c r="B233" s="101" t="s">
        <v>188</v>
      </c>
      <c r="C233" s="101" t="s">
        <v>195</v>
      </c>
      <c r="D233" s="101" t="s">
        <v>349</v>
      </c>
      <c r="E233" s="309">
        <f>F233</f>
        <v>41300</v>
      </c>
      <c r="F233" s="323">
        <v>41300</v>
      </c>
      <c r="G233" s="323"/>
      <c r="H233" s="323"/>
      <c r="I233" s="458"/>
      <c r="J233" s="325">
        <f t="shared" si="189"/>
        <v>0</v>
      </c>
      <c r="K233" s="458"/>
      <c r="L233" s="323"/>
      <c r="M233" s="323"/>
      <c r="N233" s="323"/>
      <c r="O233" s="455">
        <f t="shared" si="190"/>
        <v>0</v>
      </c>
      <c r="P233" s="325">
        <f t="shared" si="192"/>
        <v>41300</v>
      </c>
      <c r="Q233" s="20"/>
      <c r="R233" s="46"/>
    </row>
    <row r="234" spans="1:18" ht="48" thickTop="1" thickBot="1" x14ac:dyDescent="0.25">
      <c r="A234" s="326" t="s">
        <v>778</v>
      </c>
      <c r="B234" s="326" t="s">
        <v>779</v>
      </c>
      <c r="C234" s="326"/>
      <c r="D234" s="326" t="s">
        <v>780</v>
      </c>
      <c r="E234" s="462">
        <f>SUM(E235:E236)</f>
        <v>71169131</v>
      </c>
      <c r="F234" s="462">
        <f t="shared" ref="F234:P234" si="196">SUM(F235:F236)</f>
        <v>71169131</v>
      </c>
      <c r="G234" s="462">
        <f t="shared" si="196"/>
        <v>45541127</v>
      </c>
      <c r="H234" s="462">
        <f t="shared" si="196"/>
        <v>3459880</v>
      </c>
      <c r="I234" s="462">
        <f t="shared" si="196"/>
        <v>0</v>
      </c>
      <c r="J234" s="462">
        <f t="shared" si="196"/>
        <v>4260452</v>
      </c>
      <c r="K234" s="462">
        <f t="shared" si="196"/>
        <v>2818210</v>
      </c>
      <c r="L234" s="462">
        <f t="shared" si="196"/>
        <v>1417242</v>
      </c>
      <c r="M234" s="462">
        <f t="shared" si="196"/>
        <v>505365</v>
      </c>
      <c r="N234" s="462">
        <f t="shared" si="196"/>
        <v>371711</v>
      </c>
      <c r="O234" s="462">
        <f t="shared" si="196"/>
        <v>2843210</v>
      </c>
      <c r="P234" s="462">
        <f t="shared" si="196"/>
        <v>75429583</v>
      </c>
      <c r="Q234" s="20"/>
      <c r="R234" s="46"/>
    </row>
    <row r="235" spans="1:18" ht="93" thickTop="1" thickBot="1" x14ac:dyDescent="0.25">
      <c r="A235" s="101" t="s">
        <v>28</v>
      </c>
      <c r="B235" s="101" t="s">
        <v>192</v>
      </c>
      <c r="C235" s="101" t="s">
        <v>195</v>
      </c>
      <c r="D235" s="101" t="s">
        <v>48</v>
      </c>
      <c r="E235" s="309">
        <f t="shared" si="188"/>
        <v>64207440</v>
      </c>
      <c r="F235" s="323">
        <f>((63565171)+70460)+97000+116000+298907+59902</f>
        <v>64207440</v>
      </c>
      <c r="G235" s="323">
        <f>13791707+13494017+12637962+5617441</f>
        <v>45541127</v>
      </c>
      <c r="H235" s="323">
        <f>582200+114491+553286+67934+483136+25997+376551+57199+5016+21100+12432+180616+368000+5930+382500+11712+147504+59200+5076</f>
        <v>3459880</v>
      </c>
      <c r="I235" s="323"/>
      <c r="J235" s="325">
        <f t="shared" si="189"/>
        <v>4260452</v>
      </c>
      <c r="K235" s="323">
        <f>((1000000)+71064)+75200+1671946</f>
        <v>2818210</v>
      </c>
      <c r="L235" s="323">
        <f>1442242-25000</f>
        <v>1417242</v>
      </c>
      <c r="M235" s="323">
        <v>505365</v>
      </c>
      <c r="N235" s="323">
        <v>371711</v>
      </c>
      <c r="O235" s="455">
        <f>(K235+25000)</f>
        <v>2843210</v>
      </c>
      <c r="P235" s="325">
        <f t="shared" si="192"/>
        <v>68467892</v>
      </c>
      <c r="Q235" s="20"/>
      <c r="R235" s="46"/>
    </row>
    <row r="236" spans="1:18" ht="93" thickTop="1" thickBot="1" x14ac:dyDescent="0.25">
      <c r="A236" s="101" t="s">
        <v>29</v>
      </c>
      <c r="B236" s="101" t="s">
        <v>193</v>
      </c>
      <c r="C236" s="101" t="s">
        <v>195</v>
      </c>
      <c r="D236" s="101" t="s">
        <v>49</v>
      </c>
      <c r="E236" s="309">
        <f t="shared" si="188"/>
        <v>6961691</v>
      </c>
      <c r="F236" s="323">
        <v>6961691</v>
      </c>
      <c r="G236" s="323"/>
      <c r="H236" s="323"/>
      <c r="I236" s="323"/>
      <c r="J236" s="325">
        <f t="shared" si="189"/>
        <v>0</v>
      </c>
      <c r="K236" s="323">
        <v>0</v>
      </c>
      <c r="L236" s="323"/>
      <c r="M236" s="323"/>
      <c r="N236" s="323"/>
      <c r="O236" s="455">
        <f t="shared" si="190"/>
        <v>0</v>
      </c>
      <c r="P236" s="325">
        <f t="shared" si="192"/>
        <v>6961691</v>
      </c>
      <c r="Q236" s="20"/>
      <c r="R236" s="46"/>
    </row>
    <row r="237" spans="1:18" ht="69.75" customHeight="1" thickTop="1" thickBot="1" x14ac:dyDescent="0.25">
      <c r="A237" s="578" t="s">
        <v>1377</v>
      </c>
      <c r="B237" s="326" t="s">
        <v>816</v>
      </c>
      <c r="C237" s="326"/>
      <c r="D237" s="326" t="s">
        <v>817</v>
      </c>
      <c r="E237" s="462">
        <f>E238</f>
        <v>93550</v>
      </c>
      <c r="F237" s="462">
        <f t="shared" ref="F237:P237" si="197">F238</f>
        <v>93550</v>
      </c>
      <c r="G237" s="462">
        <f t="shared" si="197"/>
        <v>76680</v>
      </c>
      <c r="H237" s="462">
        <f t="shared" si="197"/>
        <v>0</v>
      </c>
      <c r="I237" s="462">
        <f t="shared" si="197"/>
        <v>0</v>
      </c>
      <c r="J237" s="462">
        <f t="shared" si="197"/>
        <v>0</v>
      </c>
      <c r="K237" s="462">
        <f t="shared" si="197"/>
        <v>0</v>
      </c>
      <c r="L237" s="462">
        <f t="shared" si="197"/>
        <v>0</v>
      </c>
      <c r="M237" s="462">
        <f t="shared" si="197"/>
        <v>0</v>
      </c>
      <c r="N237" s="462">
        <f t="shared" si="197"/>
        <v>0</v>
      </c>
      <c r="O237" s="462">
        <f t="shared" si="197"/>
        <v>0</v>
      </c>
      <c r="P237" s="462">
        <f t="shared" si="197"/>
        <v>93550</v>
      </c>
      <c r="Q237" s="20"/>
      <c r="R237" s="46"/>
    </row>
    <row r="238" spans="1:18" ht="93" thickTop="1" thickBot="1" x14ac:dyDescent="0.25">
      <c r="A238" s="101" t="s">
        <v>1378</v>
      </c>
      <c r="B238" s="101" t="s">
        <v>1379</v>
      </c>
      <c r="C238" s="101" t="s">
        <v>195</v>
      </c>
      <c r="D238" s="101" t="s">
        <v>1380</v>
      </c>
      <c r="E238" s="309">
        <f t="shared" ref="E238" si="198">F238</f>
        <v>93550</v>
      </c>
      <c r="F238" s="323">
        <v>93550</v>
      </c>
      <c r="G238" s="323">
        <v>76680</v>
      </c>
      <c r="H238" s="323"/>
      <c r="I238" s="323"/>
      <c r="J238" s="325">
        <f t="shared" ref="J238" si="199">L238+O238</f>
        <v>0</v>
      </c>
      <c r="K238" s="323">
        <v>0</v>
      </c>
      <c r="L238" s="323"/>
      <c r="M238" s="323"/>
      <c r="N238" s="323"/>
      <c r="O238" s="455">
        <f t="shared" ref="O238" si="200">K238</f>
        <v>0</v>
      </c>
      <c r="P238" s="325">
        <f t="shared" ref="P238" si="201">E238+J238</f>
        <v>93550</v>
      </c>
      <c r="Q238" s="20"/>
      <c r="R238" s="46"/>
    </row>
    <row r="239" spans="1:18" ht="48" thickTop="1" thickBot="1" x14ac:dyDescent="0.25">
      <c r="A239" s="578" t="s">
        <v>781</v>
      </c>
      <c r="B239" s="326" t="s">
        <v>782</v>
      </c>
      <c r="C239" s="326"/>
      <c r="D239" s="326" t="s">
        <v>783</v>
      </c>
      <c r="E239" s="462">
        <f>SUM(E240:E242)</f>
        <v>8070620</v>
      </c>
      <c r="F239" s="462">
        <f t="shared" ref="F239:P239" si="202">SUM(F240:F242)</f>
        <v>8070620</v>
      </c>
      <c r="G239" s="462">
        <f t="shared" si="202"/>
        <v>1441425</v>
      </c>
      <c r="H239" s="462">
        <f t="shared" si="202"/>
        <v>0</v>
      </c>
      <c r="I239" s="462">
        <f t="shared" si="202"/>
        <v>0</v>
      </c>
      <c r="J239" s="462">
        <f t="shared" si="202"/>
        <v>50000</v>
      </c>
      <c r="K239" s="462">
        <f t="shared" si="202"/>
        <v>0</v>
      </c>
      <c r="L239" s="462">
        <f t="shared" si="202"/>
        <v>50000</v>
      </c>
      <c r="M239" s="462">
        <f t="shared" si="202"/>
        <v>0</v>
      </c>
      <c r="N239" s="462">
        <f t="shared" si="202"/>
        <v>0</v>
      </c>
      <c r="O239" s="462">
        <f t="shared" si="202"/>
        <v>0</v>
      </c>
      <c r="P239" s="462">
        <f t="shared" si="202"/>
        <v>8120620</v>
      </c>
      <c r="Q239" s="20"/>
      <c r="R239" s="46"/>
    </row>
    <row r="240" spans="1:18" ht="138.75" thickTop="1" thickBot="1" x14ac:dyDescent="0.25">
      <c r="A240" s="579" t="s">
        <v>30</v>
      </c>
      <c r="B240" s="579" t="s">
        <v>194</v>
      </c>
      <c r="C240" s="579" t="s">
        <v>195</v>
      </c>
      <c r="D240" s="101" t="s">
        <v>31</v>
      </c>
      <c r="E240" s="309">
        <f t="shared" si="188"/>
        <v>775354</v>
      </c>
      <c r="F240" s="323">
        <f>(625354)+150000</f>
        <v>775354</v>
      </c>
      <c r="G240" s="458"/>
      <c r="H240" s="458"/>
      <c r="I240" s="458"/>
      <c r="J240" s="325">
        <f t="shared" si="189"/>
        <v>0</v>
      </c>
      <c r="K240" s="458"/>
      <c r="L240" s="458"/>
      <c r="M240" s="458"/>
      <c r="N240" s="458"/>
      <c r="O240" s="455">
        <f t="shared" si="190"/>
        <v>0</v>
      </c>
      <c r="P240" s="325">
        <f t="shared" si="192"/>
        <v>775354</v>
      </c>
      <c r="Q240" s="20"/>
      <c r="R240" s="46"/>
    </row>
    <row r="241" spans="1:18" ht="93" thickTop="1" thickBot="1" x14ac:dyDescent="0.25">
      <c r="A241" s="579" t="s">
        <v>512</v>
      </c>
      <c r="B241" s="579" t="s">
        <v>510</v>
      </c>
      <c r="C241" s="579" t="s">
        <v>195</v>
      </c>
      <c r="D241" s="101" t="s">
        <v>511</v>
      </c>
      <c r="E241" s="309">
        <f t="shared" si="188"/>
        <v>5182225</v>
      </c>
      <c r="F241" s="323">
        <f>(5242225)-60000</f>
        <v>5182225</v>
      </c>
      <c r="G241" s="458"/>
      <c r="H241" s="458"/>
      <c r="I241" s="458"/>
      <c r="J241" s="325">
        <f t="shared" si="189"/>
        <v>0</v>
      </c>
      <c r="K241" s="458"/>
      <c r="L241" s="458"/>
      <c r="M241" s="458"/>
      <c r="N241" s="458"/>
      <c r="O241" s="455">
        <f t="shared" si="190"/>
        <v>0</v>
      </c>
      <c r="P241" s="325">
        <f t="shared" si="192"/>
        <v>5182225</v>
      </c>
      <c r="Q241" s="20"/>
      <c r="R241" s="46"/>
    </row>
    <row r="242" spans="1:18" ht="48" thickTop="1" thickBot="1" x14ac:dyDescent="0.25">
      <c r="A242" s="579" t="s">
        <v>32</v>
      </c>
      <c r="B242" s="579" t="s">
        <v>196</v>
      </c>
      <c r="C242" s="579" t="s">
        <v>195</v>
      </c>
      <c r="D242" s="101" t="s">
        <v>33</v>
      </c>
      <c r="E242" s="309">
        <f>F242</f>
        <v>2113041</v>
      </c>
      <c r="F242" s="323">
        <v>2113041</v>
      </c>
      <c r="G242" s="458">
        <v>1441425</v>
      </c>
      <c r="H242" s="458"/>
      <c r="I242" s="458"/>
      <c r="J242" s="325">
        <f t="shared" si="189"/>
        <v>50000</v>
      </c>
      <c r="K242" s="458"/>
      <c r="L242" s="458">
        <v>50000</v>
      </c>
      <c r="M242" s="458"/>
      <c r="N242" s="458"/>
      <c r="O242" s="455">
        <f t="shared" si="190"/>
        <v>0</v>
      </c>
      <c r="P242" s="325">
        <f t="shared" si="192"/>
        <v>2163041</v>
      </c>
      <c r="Q242" s="20"/>
      <c r="R242" s="46"/>
    </row>
    <row r="243" spans="1:18" ht="47.25" hidden="1" thickTop="1" thickBot="1" x14ac:dyDescent="0.25">
      <c r="A243" s="123" t="s">
        <v>784</v>
      </c>
      <c r="B243" s="123" t="s">
        <v>742</v>
      </c>
      <c r="C243" s="123"/>
      <c r="D243" s="404" t="s">
        <v>743</v>
      </c>
      <c r="E243" s="150">
        <f>E244</f>
        <v>0</v>
      </c>
      <c r="F243" s="150">
        <f t="shared" ref="F243:P244" si="203">F244</f>
        <v>0</v>
      </c>
      <c r="G243" s="150">
        <f t="shared" si="203"/>
        <v>0</v>
      </c>
      <c r="H243" s="150">
        <f t="shared" si="203"/>
        <v>0</v>
      </c>
      <c r="I243" s="150">
        <f t="shared" si="203"/>
        <v>0</v>
      </c>
      <c r="J243" s="150">
        <f t="shared" si="203"/>
        <v>0</v>
      </c>
      <c r="K243" s="150">
        <f t="shared" si="203"/>
        <v>0</v>
      </c>
      <c r="L243" s="150">
        <f t="shared" si="203"/>
        <v>0</v>
      </c>
      <c r="M243" s="150">
        <f t="shared" si="203"/>
        <v>0</v>
      </c>
      <c r="N243" s="150">
        <f t="shared" si="203"/>
        <v>0</v>
      </c>
      <c r="O243" s="150">
        <f t="shared" si="203"/>
        <v>0</v>
      </c>
      <c r="P243" s="150">
        <f t="shared" si="203"/>
        <v>0</v>
      </c>
      <c r="Q243" s="20"/>
      <c r="R243" s="46"/>
    </row>
    <row r="244" spans="1:18" ht="48" hidden="1" thickTop="1" thickBot="1" x14ac:dyDescent="0.25">
      <c r="A244" s="405" t="s">
        <v>785</v>
      </c>
      <c r="B244" s="405" t="s">
        <v>745</v>
      </c>
      <c r="C244" s="405"/>
      <c r="D244" s="138" t="s">
        <v>746</v>
      </c>
      <c r="E244" s="156">
        <f>E245</f>
        <v>0</v>
      </c>
      <c r="F244" s="156">
        <f t="shared" si="203"/>
        <v>0</v>
      </c>
      <c r="G244" s="156">
        <f t="shared" si="203"/>
        <v>0</v>
      </c>
      <c r="H244" s="156">
        <f t="shared" si="203"/>
        <v>0</v>
      </c>
      <c r="I244" s="156">
        <f t="shared" si="203"/>
        <v>0</v>
      </c>
      <c r="J244" s="156">
        <f t="shared" si="203"/>
        <v>0</v>
      </c>
      <c r="K244" s="156">
        <f t="shared" si="203"/>
        <v>0</v>
      </c>
      <c r="L244" s="156">
        <f t="shared" si="203"/>
        <v>0</v>
      </c>
      <c r="M244" s="156">
        <f t="shared" si="203"/>
        <v>0</v>
      </c>
      <c r="N244" s="156">
        <f t="shared" si="203"/>
        <v>0</v>
      </c>
      <c r="O244" s="156">
        <f t="shared" si="203"/>
        <v>0</v>
      </c>
      <c r="P244" s="156">
        <f t="shared" si="203"/>
        <v>0</v>
      </c>
      <c r="Q244" s="20"/>
      <c r="R244" s="46"/>
    </row>
    <row r="245" spans="1:18" ht="138.75" hidden="1" thickTop="1" thickBot="1" x14ac:dyDescent="0.25">
      <c r="A245" s="406" t="s">
        <v>342</v>
      </c>
      <c r="B245" s="406" t="s">
        <v>341</v>
      </c>
      <c r="C245" s="406" t="s">
        <v>340</v>
      </c>
      <c r="D245" s="126" t="s">
        <v>639</v>
      </c>
      <c r="E245" s="150">
        <f>F245</f>
        <v>0</v>
      </c>
      <c r="F245" s="127"/>
      <c r="G245" s="132"/>
      <c r="H245" s="132"/>
      <c r="I245" s="132"/>
      <c r="J245" s="125">
        <f t="shared" si="189"/>
        <v>0</v>
      </c>
      <c r="K245" s="132"/>
      <c r="L245" s="132"/>
      <c r="M245" s="132"/>
      <c r="N245" s="132"/>
      <c r="O245" s="130">
        <f t="shared" si="190"/>
        <v>0</v>
      </c>
      <c r="P245" s="125">
        <f t="shared" si="192"/>
        <v>0</v>
      </c>
      <c r="Q245" s="20"/>
      <c r="R245" s="50"/>
    </row>
    <row r="246" spans="1:18" ht="47.25" hidden="1" thickTop="1" thickBot="1" x14ac:dyDescent="0.25">
      <c r="A246" s="123" t="s">
        <v>786</v>
      </c>
      <c r="B246" s="123" t="s">
        <v>748</v>
      </c>
      <c r="C246" s="123"/>
      <c r="D246" s="123" t="s">
        <v>749</v>
      </c>
      <c r="E246" s="150">
        <f>E250+E247</f>
        <v>0</v>
      </c>
      <c r="F246" s="150">
        <f t="shared" ref="F246:P246" si="204">F250+F247</f>
        <v>0</v>
      </c>
      <c r="G246" s="150">
        <f t="shared" si="204"/>
        <v>0</v>
      </c>
      <c r="H246" s="150">
        <f t="shared" si="204"/>
        <v>0</v>
      </c>
      <c r="I246" s="150">
        <f t="shared" si="204"/>
        <v>0</v>
      </c>
      <c r="J246" s="150">
        <f t="shared" si="204"/>
        <v>0</v>
      </c>
      <c r="K246" s="150">
        <f t="shared" si="204"/>
        <v>0</v>
      </c>
      <c r="L246" s="150">
        <f t="shared" si="204"/>
        <v>0</v>
      </c>
      <c r="M246" s="150">
        <f t="shared" si="204"/>
        <v>0</v>
      </c>
      <c r="N246" s="150">
        <f t="shared" si="204"/>
        <v>0</v>
      </c>
      <c r="O246" s="150">
        <f t="shared" si="204"/>
        <v>0</v>
      </c>
      <c r="P246" s="150">
        <f t="shared" si="204"/>
        <v>0</v>
      </c>
      <c r="Q246" s="20"/>
      <c r="R246" s="50"/>
    </row>
    <row r="247" spans="1:18" ht="47.25" hidden="1" thickTop="1" thickBot="1" x14ac:dyDescent="0.25">
      <c r="A247" s="134" t="s">
        <v>1099</v>
      </c>
      <c r="B247" s="134" t="s">
        <v>803</v>
      </c>
      <c r="C247" s="134"/>
      <c r="D247" s="134" t="s">
        <v>804</v>
      </c>
      <c r="E247" s="135">
        <f>E248</f>
        <v>0</v>
      </c>
      <c r="F247" s="135">
        <f t="shared" ref="F247:P248" si="205">F248</f>
        <v>0</v>
      </c>
      <c r="G247" s="135">
        <f t="shared" si="205"/>
        <v>0</v>
      </c>
      <c r="H247" s="135">
        <f t="shared" si="205"/>
        <v>0</v>
      </c>
      <c r="I247" s="135">
        <f t="shared" si="205"/>
        <v>0</v>
      </c>
      <c r="J247" s="135">
        <f t="shared" si="205"/>
        <v>0</v>
      </c>
      <c r="K247" s="135">
        <f t="shared" si="205"/>
        <v>0</v>
      </c>
      <c r="L247" s="135">
        <f t="shared" si="205"/>
        <v>0</v>
      </c>
      <c r="M247" s="135">
        <f t="shared" si="205"/>
        <v>0</v>
      </c>
      <c r="N247" s="135">
        <f t="shared" si="205"/>
        <v>0</v>
      </c>
      <c r="O247" s="135">
        <f t="shared" si="205"/>
        <v>0</v>
      </c>
      <c r="P247" s="135">
        <f t="shared" si="205"/>
        <v>0</v>
      </c>
      <c r="Q247" s="20"/>
      <c r="R247" s="50"/>
    </row>
    <row r="248" spans="1:18" ht="54" hidden="1" thickTop="1" thickBot="1" x14ac:dyDescent="0.25">
      <c r="A248" s="138" t="s">
        <v>1100</v>
      </c>
      <c r="B248" s="138" t="s">
        <v>821</v>
      </c>
      <c r="C248" s="138"/>
      <c r="D248" s="138" t="s">
        <v>1488</v>
      </c>
      <c r="E248" s="139">
        <f>E249</f>
        <v>0</v>
      </c>
      <c r="F248" s="139">
        <f t="shared" si="205"/>
        <v>0</v>
      </c>
      <c r="G248" s="139">
        <f t="shared" si="205"/>
        <v>0</v>
      </c>
      <c r="H248" s="139">
        <f t="shared" si="205"/>
        <v>0</v>
      </c>
      <c r="I248" s="139">
        <f t="shared" si="205"/>
        <v>0</v>
      </c>
      <c r="J248" s="139">
        <f t="shared" si="205"/>
        <v>0</v>
      </c>
      <c r="K248" s="139">
        <f t="shared" si="205"/>
        <v>0</v>
      </c>
      <c r="L248" s="139">
        <f t="shared" si="205"/>
        <v>0</v>
      </c>
      <c r="M248" s="139">
        <f t="shared" si="205"/>
        <v>0</v>
      </c>
      <c r="N248" s="139">
        <f t="shared" si="205"/>
        <v>0</v>
      </c>
      <c r="O248" s="139">
        <f t="shared" si="205"/>
        <v>0</v>
      </c>
      <c r="P248" s="139">
        <f t="shared" si="205"/>
        <v>0</v>
      </c>
      <c r="Q248" s="20"/>
      <c r="R248" s="50"/>
    </row>
    <row r="249" spans="1:18" ht="54" hidden="1" thickTop="1" thickBot="1" x14ac:dyDescent="0.25">
      <c r="A249" s="126" t="s">
        <v>1101</v>
      </c>
      <c r="B249" s="126" t="s">
        <v>313</v>
      </c>
      <c r="C249" s="126" t="s">
        <v>304</v>
      </c>
      <c r="D249" s="126" t="s">
        <v>1237</v>
      </c>
      <c r="E249" s="125">
        <f t="shared" ref="E249" si="206">F249</f>
        <v>0</v>
      </c>
      <c r="F249" s="132"/>
      <c r="G249" s="132"/>
      <c r="H249" s="132"/>
      <c r="I249" s="132"/>
      <c r="J249" s="125">
        <f t="shared" ref="J249" si="207">L249+O249</f>
        <v>0</v>
      </c>
      <c r="K249" s="132">
        <f>49500-49500</f>
        <v>0</v>
      </c>
      <c r="L249" s="132"/>
      <c r="M249" s="132"/>
      <c r="N249" s="132"/>
      <c r="O249" s="130">
        <f t="shared" ref="O249" si="208">K249</f>
        <v>0</v>
      </c>
      <c r="P249" s="125">
        <f>E249+J249</f>
        <v>0</v>
      </c>
      <c r="Q249" s="20"/>
      <c r="R249" s="50"/>
    </row>
    <row r="250" spans="1:18" ht="47.25" hidden="1" thickTop="1" thickBot="1" x14ac:dyDescent="0.25">
      <c r="A250" s="134" t="s">
        <v>787</v>
      </c>
      <c r="B250" s="134" t="s">
        <v>691</v>
      </c>
      <c r="C250" s="134"/>
      <c r="D250" s="134" t="s">
        <v>689</v>
      </c>
      <c r="E250" s="157">
        <f>E252+E251</f>
        <v>0</v>
      </c>
      <c r="F250" s="157">
        <f t="shared" ref="F250:H250" si="209">F252+F251</f>
        <v>0</v>
      </c>
      <c r="G250" s="157">
        <f t="shared" si="209"/>
        <v>0</v>
      </c>
      <c r="H250" s="157">
        <f t="shared" si="209"/>
        <v>0</v>
      </c>
      <c r="I250" s="157">
        <f>I252+I251</f>
        <v>0</v>
      </c>
      <c r="J250" s="157">
        <f>J252+J251</f>
        <v>0</v>
      </c>
      <c r="K250" s="157">
        <f>K252+K251</f>
        <v>0</v>
      </c>
      <c r="L250" s="157">
        <f t="shared" ref="L250:O250" si="210">L252+L251</f>
        <v>0</v>
      </c>
      <c r="M250" s="157">
        <f t="shared" si="210"/>
        <v>0</v>
      </c>
      <c r="N250" s="157">
        <f t="shared" si="210"/>
        <v>0</v>
      </c>
      <c r="O250" s="157">
        <f t="shared" si="210"/>
        <v>0</v>
      </c>
      <c r="P250" s="157">
        <f>P252+P251</f>
        <v>0</v>
      </c>
      <c r="Q250" s="20"/>
      <c r="R250" s="50"/>
    </row>
    <row r="251" spans="1:18" ht="48" hidden="1" thickTop="1" thickBot="1" x14ac:dyDescent="0.25">
      <c r="A251" s="406" t="s">
        <v>1335</v>
      </c>
      <c r="B251" s="406" t="s">
        <v>212</v>
      </c>
      <c r="C251" s="406"/>
      <c r="D251" s="126" t="s">
        <v>41</v>
      </c>
      <c r="E251" s="150">
        <f>F251</f>
        <v>0</v>
      </c>
      <c r="F251" s="127"/>
      <c r="G251" s="132"/>
      <c r="H251" s="132"/>
      <c r="I251" s="132"/>
      <c r="J251" s="125">
        <f t="shared" ref="J251" si="211">L251+O251</f>
        <v>0</v>
      </c>
      <c r="K251" s="132"/>
      <c r="L251" s="132"/>
      <c r="M251" s="132"/>
      <c r="N251" s="132"/>
      <c r="O251" s="130">
        <f t="shared" ref="O251" si="212">K251</f>
        <v>0</v>
      </c>
      <c r="P251" s="125">
        <f t="shared" ref="P251" si="213">E251+J251</f>
        <v>0</v>
      </c>
      <c r="Q251" s="20"/>
      <c r="R251" s="50"/>
    </row>
    <row r="252" spans="1:18" ht="48" hidden="1" thickTop="1" thickBot="1" x14ac:dyDescent="0.25">
      <c r="A252" s="126" t="s">
        <v>607</v>
      </c>
      <c r="B252" s="126" t="s">
        <v>197</v>
      </c>
      <c r="C252" s="126" t="s">
        <v>170</v>
      </c>
      <c r="D252" s="126" t="s">
        <v>34</v>
      </c>
      <c r="E252" s="125">
        <f t="shared" ref="E252" si="214">F252</f>
        <v>0</v>
      </c>
      <c r="F252" s="132"/>
      <c r="G252" s="132"/>
      <c r="H252" s="132"/>
      <c r="I252" s="132"/>
      <c r="J252" s="125">
        <f t="shared" si="189"/>
        <v>0</v>
      </c>
      <c r="K252" s="132"/>
      <c r="L252" s="132"/>
      <c r="M252" s="132"/>
      <c r="N252" s="132"/>
      <c r="O252" s="130">
        <f t="shared" si="190"/>
        <v>0</v>
      </c>
      <c r="P252" s="125">
        <f t="shared" si="192"/>
        <v>0</v>
      </c>
      <c r="Q252" s="20"/>
      <c r="R252" s="46"/>
    </row>
    <row r="253" spans="1:18" ht="47.25" hidden="1" thickTop="1" thickBot="1" x14ac:dyDescent="0.25">
      <c r="A253" s="144" t="s">
        <v>1107</v>
      </c>
      <c r="B253" s="144" t="s">
        <v>702</v>
      </c>
      <c r="C253" s="144"/>
      <c r="D253" s="144" t="s">
        <v>703</v>
      </c>
      <c r="E253" s="42">
        <f>E254</f>
        <v>0</v>
      </c>
      <c r="F253" s="42">
        <f t="shared" ref="F253:P254" si="215">F254</f>
        <v>0</v>
      </c>
      <c r="G253" s="42">
        <f t="shared" si="215"/>
        <v>0</v>
      </c>
      <c r="H253" s="42">
        <f t="shared" si="215"/>
        <v>0</v>
      </c>
      <c r="I253" s="42">
        <f t="shared" si="215"/>
        <v>0</v>
      </c>
      <c r="J253" s="42">
        <f t="shared" si="215"/>
        <v>0</v>
      </c>
      <c r="K253" s="42">
        <f t="shared" si="215"/>
        <v>0</v>
      </c>
      <c r="L253" s="42">
        <f t="shared" si="215"/>
        <v>0</v>
      </c>
      <c r="M253" s="42">
        <f t="shared" si="215"/>
        <v>0</v>
      </c>
      <c r="N253" s="42">
        <f t="shared" si="215"/>
        <v>0</v>
      </c>
      <c r="O253" s="42">
        <f t="shared" si="215"/>
        <v>0</v>
      </c>
      <c r="P253" s="42">
        <f t="shared" si="215"/>
        <v>0</v>
      </c>
      <c r="Q253" s="20"/>
      <c r="R253" s="46"/>
    </row>
    <row r="254" spans="1:18" ht="91.5" hidden="1" thickTop="1" thickBot="1" x14ac:dyDescent="0.25">
      <c r="A254" s="145" t="s">
        <v>1108</v>
      </c>
      <c r="B254" s="145" t="s">
        <v>705</v>
      </c>
      <c r="C254" s="145"/>
      <c r="D254" s="145" t="s">
        <v>706</v>
      </c>
      <c r="E254" s="146">
        <f>E255</f>
        <v>0</v>
      </c>
      <c r="F254" s="146">
        <f t="shared" si="215"/>
        <v>0</v>
      </c>
      <c r="G254" s="146">
        <f t="shared" si="215"/>
        <v>0</v>
      </c>
      <c r="H254" s="146">
        <f t="shared" si="215"/>
        <v>0</v>
      </c>
      <c r="I254" s="146">
        <f t="shared" si="215"/>
        <v>0</v>
      </c>
      <c r="J254" s="146">
        <f t="shared" si="215"/>
        <v>0</v>
      </c>
      <c r="K254" s="146">
        <f t="shared" si="215"/>
        <v>0</v>
      </c>
      <c r="L254" s="146">
        <f t="shared" si="215"/>
        <v>0</v>
      </c>
      <c r="M254" s="146">
        <f t="shared" si="215"/>
        <v>0</v>
      </c>
      <c r="N254" s="146">
        <f t="shared" si="215"/>
        <v>0</v>
      </c>
      <c r="O254" s="146">
        <f t="shared" si="215"/>
        <v>0</v>
      </c>
      <c r="P254" s="146">
        <f t="shared" si="215"/>
        <v>0</v>
      </c>
      <c r="Q254" s="20"/>
      <c r="R254" s="46"/>
    </row>
    <row r="255" spans="1:18" ht="48" hidden="1" thickTop="1" thickBot="1" x14ac:dyDescent="0.25">
      <c r="A255" s="41" t="s">
        <v>1109</v>
      </c>
      <c r="B255" s="41" t="s">
        <v>363</v>
      </c>
      <c r="C255" s="41" t="s">
        <v>43</v>
      </c>
      <c r="D255" s="41" t="s">
        <v>364</v>
      </c>
      <c r="E255" s="42">
        <f t="shared" ref="E255" si="216">F255</f>
        <v>0</v>
      </c>
      <c r="F255" s="43">
        <v>0</v>
      </c>
      <c r="G255" s="43"/>
      <c r="H255" s="43"/>
      <c r="I255" s="43"/>
      <c r="J255" s="42">
        <f>L255+O255</f>
        <v>0</v>
      </c>
      <c r="K255" s="43">
        <v>0</v>
      </c>
      <c r="L255" s="43"/>
      <c r="M255" s="43"/>
      <c r="N255" s="43"/>
      <c r="O255" s="44">
        <f>K255</f>
        <v>0</v>
      </c>
      <c r="P255" s="42">
        <f>E255+J255</f>
        <v>0</v>
      </c>
      <c r="Q255" s="20"/>
      <c r="R255" s="46"/>
    </row>
    <row r="256" spans="1:18" ht="120" customHeight="1" thickTop="1" thickBot="1" x14ac:dyDescent="0.25">
      <c r="A256" s="645" t="s">
        <v>158</v>
      </c>
      <c r="B256" s="645"/>
      <c r="C256" s="645"/>
      <c r="D256" s="646" t="s">
        <v>561</v>
      </c>
      <c r="E256" s="647">
        <f>E257</f>
        <v>38761661</v>
      </c>
      <c r="F256" s="648">
        <f t="shared" ref="F256:G256" si="217">F257</f>
        <v>38761661</v>
      </c>
      <c r="G256" s="648">
        <f t="shared" si="217"/>
        <v>6530800</v>
      </c>
      <c r="H256" s="648">
        <f>H257</f>
        <v>510883</v>
      </c>
      <c r="I256" s="648">
        <f t="shared" ref="I256" si="218">I257</f>
        <v>0</v>
      </c>
      <c r="J256" s="647">
        <f>J257</f>
        <v>11683813</v>
      </c>
      <c r="K256" s="648">
        <f>K257</f>
        <v>11683813</v>
      </c>
      <c r="L256" s="648">
        <f>L257</f>
        <v>0</v>
      </c>
      <c r="M256" s="648">
        <f t="shared" ref="M256" si="219">M257</f>
        <v>0</v>
      </c>
      <c r="N256" s="648">
        <f>N257</f>
        <v>0</v>
      </c>
      <c r="O256" s="647">
        <f>O257</f>
        <v>11683813</v>
      </c>
      <c r="P256" s="648">
        <f>P257</f>
        <v>50445474</v>
      </c>
      <c r="Q256" s="20"/>
      <c r="R256" s="50"/>
    </row>
    <row r="257" spans="1:18" ht="120" customHeight="1" thickTop="1" thickBot="1" x14ac:dyDescent="0.25">
      <c r="A257" s="642" t="s">
        <v>159</v>
      </c>
      <c r="B257" s="642"/>
      <c r="C257" s="642"/>
      <c r="D257" s="643" t="s">
        <v>562</v>
      </c>
      <c r="E257" s="644">
        <f>E258+E262+E270+E279</f>
        <v>38761661</v>
      </c>
      <c r="F257" s="644">
        <f>F258+F262+F270+F279</f>
        <v>38761661</v>
      </c>
      <c r="G257" s="644">
        <f>G258+G262+G270+G279</f>
        <v>6530800</v>
      </c>
      <c r="H257" s="644">
        <f>H258+H262+H270+H279</f>
        <v>510883</v>
      </c>
      <c r="I257" s="644">
        <f>I258+I262+I270+I279</f>
        <v>0</v>
      </c>
      <c r="J257" s="644">
        <f t="shared" ref="J257:J277" si="220">L257+O257</f>
        <v>11683813</v>
      </c>
      <c r="K257" s="644">
        <f>K258+K262+K270+K279</f>
        <v>11683813</v>
      </c>
      <c r="L257" s="644">
        <f>L258+L262+L270+L279</f>
        <v>0</v>
      </c>
      <c r="M257" s="644">
        <f>M258+M262+M270+M279</f>
        <v>0</v>
      </c>
      <c r="N257" s="644">
        <f>N258+N262+N270+N279</f>
        <v>0</v>
      </c>
      <c r="O257" s="644">
        <f>O258+O262+O270+O279</f>
        <v>11683813</v>
      </c>
      <c r="P257" s="644">
        <f>E257+J257</f>
        <v>50445474</v>
      </c>
      <c r="Q257" s="492" t="b">
        <f>P257=P259+P264+P265+P267+P268+P269+P272+P274+P275+P281</f>
        <v>1</v>
      </c>
      <c r="R257" s="54"/>
    </row>
    <row r="258" spans="1:18" ht="47.25" thickTop="1" thickBot="1" x14ac:dyDescent="0.25">
      <c r="A258" s="308" t="s">
        <v>788</v>
      </c>
      <c r="B258" s="308" t="s">
        <v>684</v>
      </c>
      <c r="C258" s="308"/>
      <c r="D258" s="308" t="s">
        <v>685</v>
      </c>
      <c r="E258" s="325">
        <f>SUM(E259:E261)</f>
        <v>9067321</v>
      </c>
      <c r="F258" s="325">
        <f t="shared" ref="F258:N258" si="221">SUM(F259:F261)</f>
        <v>9067321</v>
      </c>
      <c r="G258" s="325">
        <f t="shared" si="221"/>
        <v>6530800</v>
      </c>
      <c r="H258" s="325">
        <f t="shared" si="221"/>
        <v>510883</v>
      </c>
      <c r="I258" s="325">
        <f t="shared" si="221"/>
        <v>0</v>
      </c>
      <c r="J258" s="325">
        <f t="shared" si="221"/>
        <v>0</v>
      </c>
      <c r="K258" s="325">
        <f t="shared" si="221"/>
        <v>0</v>
      </c>
      <c r="L258" s="325">
        <f t="shared" si="221"/>
        <v>0</v>
      </c>
      <c r="M258" s="325">
        <f t="shared" si="221"/>
        <v>0</v>
      </c>
      <c r="N258" s="325">
        <f t="shared" si="221"/>
        <v>0</v>
      </c>
      <c r="O258" s="325">
        <f>SUM(O259:O261)</f>
        <v>0</v>
      </c>
      <c r="P258" s="325">
        <f>SUM(P259:P261)</f>
        <v>9067321</v>
      </c>
      <c r="Q258" s="47"/>
      <c r="R258" s="54"/>
    </row>
    <row r="259" spans="1:18" ht="93" thickTop="1" thickBot="1" x14ac:dyDescent="0.25">
      <c r="A259" s="101" t="s">
        <v>421</v>
      </c>
      <c r="B259" s="101" t="s">
        <v>236</v>
      </c>
      <c r="C259" s="101" t="s">
        <v>234</v>
      </c>
      <c r="D259" s="101" t="s">
        <v>235</v>
      </c>
      <c r="E259" s="309">
        <f>F259</f>
        <v>9067321</v>
      </c>
      <c r="F259" s="323">
        <v>9067321</v>
      </c>
      <c r="G259" s="323">
        <v>6530800</v>
      </c>
      <c r="H259" s="323">
        <v>510883</v>
      </c>
      <c r="I259" s="323"/>
      <c r="J259" s="325">
        <f t="shared" si="220"/>
        <v>0</v>
      </c>
      <c r="K259" s="323">
        <v>0</v>
      </c>
      <c r="L259" s="454"/>
      <c r="M259" s="454"/>
      <c r="N259" s="454"/>
      <c r="O259" s="455">
        <f t="shared" ref="O259:O275" si="222">K259</f>
        <v>0</v>
      </c>
      <c r="P259" s="325">
        <f t="shared" ref="P259:P267" si="223">+J259+E259</f>
        <v>9067321</v>
      </c>
      <c r="Q259" s="20"/>
      <c r="R259" s="54"/>
    </row>
    <row r="260" spans="1:18" ht="93" hidden="1" thickTop="1" thickBot="1" x14ac:dyDescent="0.25">
      <c r="A260" s="126" t="s">
        <v>627</v>
      </c>
      <c r="B260" s="126" t="s">
        <v>362</v>
      </c>
      <c r="C260" s="126" t="s">
        <v>625</v>
      </c>
      <c r="D260" s="126" t="s">
        <v>626</v>
      </c>
      <c r="E260" s="125">
        <f t="shared" ref="E260:E261" si="224">F260</f>
        <v>0</v>
      </c>
      <c r="F260" s="127">
        <v>0</v>
      </c>
      <c r="G260" s="127"/>
      <c r="H260" s="127"/>
      <c r="I260" s="127"/>
      <c r="J260" s="125">
        <f t="shared" si="220"/>
        <v>0</v>
      </c>
      <c r="K260" s="127"/>
      <c r="L260" s="128"/>
      <c r="M260" s="129"/>
      <c r="N260" s="129"/>
      <c r="O260" s="130">
        <f t="shared" si="222"/>
        <v>0</v>
      </c>
      <c r="P260" s="125">
        <f>+J260+E260</f>
        <v>0</v>
      </c>
      <c r="Q260" s="20"/>
      <c r="R260" s="54"/>
    </row>
    <row r="261" spans="1:18" ht="48" hidden="1" thickTop="1" thickBot="1" x14ac:dyDescent="0.25">
      <c r="A261" s="126" t="s">
        <v>1143</v>
      </c>
      <c r="B261" s="126" t="s">
        <v>43</v>
      </c>
      <c r="C261" s="126" t="s">
        <v>42</v>
      </c>
      <c r="D261" s="126" t="s">
        <v>248</v>
      </c>
      <c r="E261" s="125">
        <f t="shared" si="224"/>
        <v>0</v>
      </c>
      <c r="F261" s="127"/>
      <c r="G261" s="127"/>
      <c r="H261" s="127"/>
      <c r="I261" s="127"/>
      <c r="J261" s="125">
        <f t="shared" si="220"/>
        <v>0</v>
      </c>
      <c r="K261" s="127"/>
      <c r="L261" s="128"/>
      <c r="M261" s="129"/>
      <c r="N261" s="129"/>
      <c r="O261" s="130"/>
      <c r="P261" s="125">
        <f>+J261+E261</f>
        <v>0</v>
      </c>
      <c r="Q261" s="20"/>
      <c r="R261" s="54"/>
    </row>
    <row r="262" spans="1:18" ht="47.25" thickTop="1" thickBot="1" x14ac:dyDescent="0.25">
      <c r="A262" s="308" t="s">
        <v>789</v>
      </c>
      <c r="B262" s="308" t="s">
        <v>742</v>
      </c>
      <c r="C262" s="308"/>
      <c r="D262" s="344" t="s">
        <v>743</v>
      </c>
      <c r="E262" s="325">
        <f>SUM(E263:E269)-E263</f>
        <v>23092600</v>
      </c>
      <c r="F262" s="325">
        <f t="shared" ref="F262:P262" si="225">SUM(F263:F269)-F263</f>
        <v>23092600</v>
      </c>
      <c r="G262" s="325">
        <f t="shared" si="225"/>
        <v>0</v>
      </c>
      <c r="H262" s="325">
        <f t="shared" si="225"/>
        <v>0</v>
      </c>
      <c r="I262" s="325">
        <f t="shared" si="225"/>
        <v>0</v>
      </c>
      <c r="J262" s="325">
        <f>SUM(J263:J269)-J263</f>
        <v>9083813</v>
      </c>
      <c r="K262" s="325">
        <f t="shared" si="225"/>
        <v>9083813</v>
      </c>
      <c r="L262" s="325">
        <f t="shared" si="225"/>
        <v>0</v>
      </c>
      <c r="M262" s="325">
        <f t="shared" si="225"/>
        <v>0</v>
      </c>
      <c r="N262" s="325">
        <f t="shared" si="225"/>
        <v>0</v>
      </c>
      <c r="O262" s="325">
        <f t="shared" si="225"/>
        <v>9083813</v>
      </c>
      <c r="P262" s="325">
        <f t="shared" si="225"/>
        <v>32176413</v>
      </c>
      <c r="Q262" s="20"/>
      <c r="R262" s="54"/>
    </row>
    <row r="263" spans="1:18" s="33" customFormat="1" ht="93" thickTop="1" thickBot="1" x14ac:dyDescent="0.25">
      <c r="A263" s="326" t="s">
        <v>790</v>
      </c>
      <c r="B263" s="326" t="s">
        <v>791</v>
      </c>
      <c r="C263" s="326"/>
      <c r="D263" s="326" t="s">
        <v>792</v>
      </c>
      <c r="E263" s="322">
        <f>SUM(E264:E266)</f>
        <v>6703600</v>
      </c>
      <c r="F263" s="322">
        <f t="shared" ref="F263:P263" si="226">SUM(F264:F266)</f>
        <v>6703600</v>
      </c>
      <c r="G263" s="322">
        <f t="shared" si="226"/>
        <v>0</v>
      </c>
      <c r="H263" s="322">
        <f t="shared" si="226"/>
        <v>0</v>
      </c>
      <c r="I263" s="322">
        <f t="shared" si="226"/>
        <v>0</v>
      </c>
      <c r="J263" s="322">
        <f t="shared" si="226"/>
        <v>8813813</v>
      </c>
      <c r="K263" s="322">
        <f t="shared" si="226"/>
        <v>8813813</v>
      </c>
      <c r="L263" s="322">
        <f t="shared" si="226"/>
        <v>0</v>
      </c>
      <c r="M263" s="322">
        <f t="shared" si="226"/>
        <v>0</v>
      </c>
      <c r="N263" s="322">
        <f t="shared" si="226"/>
        <v>0</v>
      </c>
      <c r="O263" s="322">
        <f t="shared" si="226"/>
        <v>8813813</v>
      </c>
      <c r="P263" s="322">
        <f t="shared" si="226"/>
        <v>15517413</v>
      </c>
      <c r="Q263" s="36"/>
      <c r="R263" s="54"/>
    </row>
    <row r="264" spans="1:18" ht="48" thickTop="1" thickBot="1" x14ac:dyDescent="0.25">
      <c r="A264" s="101" t="s">
        <v>280</v>
      </c>
      <c r="B264" s="101" t="s">
        <v>281</v>
      </c>
      <c r="C264" s="101" t="s">
        <v>340</v>
      </c>
      <c r="D264" s="101" t="s">
        <v>282</v>
      </c>
      <c r="E264" s="309">
        <f>F264</f>
        <v>6703600</v>
      </c>
      <c r="F264" s="323">
        <f>((3162200)+110000)+3431400</f>
        <v>6703600</v>
      </c>
      <c r="G264" s="323"/>
      <c r="H264" s="323"/>
      <c r="I264" s="323"/>
      <c r="J264" s="325">
        <f t="shared" si="220"/>
        <v>3813813</v>
      </c>
      <c r="K264" s="323">
        <f>((200000)+1134400)+2479413</f>
        <v>3813813</v>
      </c>
      <c r="L264" s="454"/>
      <c r="M264" s="454"/>
      <c r="N264" s="454"/>
      <c r="O264" s="455">
        <f t="shared" si="222"/>
        <v>3813813</v>
      </c>
      <c r="P264" s="325">
        <f t="shared" si="223"/>
        <v>10517413</v>
      </c>
      <c r="Q264" s="20"/>
      <c r="R264" s="54"/>
    </row>
    <row r="265" spans="1:18" ht="48" thickTop="1" thickBot="1" x14ac:dyDescent="0.25">
      <c r="A265" s="101" t="s">
        <v>301</v>
      </c>
      <c r="B265" s="101" t="s">
        <v>302</v>
      </c>
      <c r="C265" s="101" t="s">
        <v>283</v>
      </c>
      <c r="D265" s="101" t="s">
        <v>303</v>
      </c>
      <c r="E265" s="309">
        <f t="shared" ref="E265:E277" si="227">F265</f>
        <v>0</v>
      </c>
      <c r="F265" s="323"/>
      <c r="G265" s="323"/>
      <c r="H265" s="323"/>
      <c r="I265" s="323"/>
      <c r="J265" s="325">
        <f t="shared" si="220"/>
        <v>5000000</v>
      </c>
      <c r="K265" s="323">
        <f>((2000000)+2000000)+1000000</f>
        <v>5000000</v>
      </c>
      <c r="L265" s="454"/>
      <c r="M265" s="454"/>
      <c r="N265" s="454"/>
      <c r="O265" s="455">
        <f t="shared" si="222"/>
        <v>5000000</v>
      </c>
      <c r="P265" s="325">
        <f t="shared" si="223"/>
        <v>5000000</v>
      </c>
      <c r="Q265" s="20"/>
      <c r="R265" s="54"/>
    </row>
    <row r="266" spans="1:18" ht="93" hidden="1" thickTop="1" thickBot="1" x14ac:dyDescent="0.25">
      <c r="A266" s="126" t="s">
        <v>284</v>
      </c>
      <c r="B266" s="126" t="s">
        <v>285</v>
      </c>
      <c r="C266" s="126" t="s">
        <v>283</v>
      </c>
      <c r="D266" s="126" t="s">
        <v>466</v>
      </c>
      <c r="E266" s="150">
        <f t="shared" si="227"/>
        <v>0</v>
      </c>
      <c r="F266" s="127">
        <f>(((16700000-15000000)-1000000)-700000)+2500000-2500000</f>
        <v>0</v>
      </c>
      <c r="G266" s="127"/>
      <c r="H266" s="127"/>
      <c r="I266" s="127"/>
      <c r="J266" s="125">
        <f t="shared" si="220"/>
        <v>0</v>
      </c>
      <c r="K266" s="127">
        <v>0</v>
      </c>
      <c r="L266" s="128"/>
      <c r="M266" s="128"/>
      <c r="N266" s="128"/>
      <c r="O266" s="130">
        <f t="shared" si="222"/>
        <v>0</v>
      </c>
      <c r="P266" s="125">
        <f t="shared" si="223"/>
        <v>0</v>
      </c>
      <c r="Q266" s="20"/>
      <c r="R266" s="54"/>
    </row>
    <row r="267" spans="1:18" ht="93" thickTop="1" thickBot="1" x14ac:dyDescent="0.25">
      <c r="A267" s="101" t="s">
        <v>929</v>
      </c>
      <c r="B267" s="101" t="s">
        <v>297</v>
      </c>
      <c r="C267" s="101" t="s">
        <v>283</v>
      </c>
      <c r="D267" s="101" t="s">
        <v>298</v>
      </c>
      <c r="E267" s="309">
        <f t="shared" si="227"/>
        <v>6340000</v>
      </c>
      <c r="F267" s="323">
        <f>(5500000)+420000+420000</f>
        <v>6340000</v>
      </c>
      <c r="G267" s="323"/>
      <c r="H267" s="323"/>
      <c r="I267" s="323"/>
      <c r="J267" s="325">
        <f t="shared" si="220"/>
        <v>0</v>
      </c>
      <c r="K267" s="323"/>
      <c r="L267" s="454"/>
      <c r="M267" s="454"/>
      <c r="N267" s="454"/>
      <c r="O267" s="455">
        <f t="shared" si="222"/>
        <v>0</v>
      </c>
      <c r="P267" s="325">
        <f t="shared" si="223"/>
        <v>6340000</v>
      </c>
      <c r="Q267" s="20"/>
      <c r="R267" s="54"/>
    </row>
    <row r="268" spans="1:18" ht="48" thickTop="1" thickBot="1" x14ac:dyDescent="0.25">
      <c r="A268" s="101" t="s">
        <v>288</v>
      </c>
      <c r="B268" s="101" t="s">
        <v>289</v>
      </c>
      <c r="C268" s="101" t="s">
        <v>283</v>
      </c>
      <c r="D268" s="101" t="s">
        <v>290</v>
      </c>
      <c r="E268" s="309">
        <f t="shared" si="227"/>
        <v>8000000</v>
      </c>
      <c r="F268" s="323">
        <f>(5000000)+3000000</f>
        <v>8000000</v>
      </c>
      <c r="G268" s="323"/>
      <c r="H268" s="323"/>
      <c r="I268" s="323"/>
      <c r="J268" s="325">
        <f t="shared" si="220"/>
        <v>270000</v>
      </c>
      <c r="K268" s="458">
        <f>(0)+270000</f>
        <v>270000</v>
      </c>
      <c r="L268" s="323"/>
      <c r="M268" s="323"/>
      <c r="N268" s="323"/>
      <c r="O268" s="455">
        <f t="shared" si="222"/>
        <v>270000</v>
      </c>
      <c r="P268" s="325">
        <f t="shared" ref="P268:P269" si="228">E268+J268</f>
        <v>8270000</v>
      </c>
      <c r="Q268" s="20"/>
      <c r="R268" s="50"/>
    </row>
    <row r="269" spans="1:18" ht="48" thickTop="1" thickBot="1" x14ac:dyDescent="0.25">
      <c r="A269" s="101" t="s">
        <v>1261</v>
      </c>
      <c r="B269" s="101" t="s">
        <v>1149</v>
      </c>
      <c r="C269" s="101" t="s">
        <v>1150</v>
      </c>
      <c r="D269" s="101" t="s">
        <v>1147</v>
      </c>
      <c r="E269" s="309">
        <f t="shared" si="227"/>
        <v>2049000</v>
      </c>
      <c r="F269" s="323">
        <v>2049000</v>
      </c>
      <c r="G269" s="323"/>
      <c r="H269" s="323"/>
      <c r="I269" s="323"/>
      <c r="J269" s="325">
        <f t="shared" si="220"/>
        <v>0</v>
      </c>
      <c r="K269" s="458"/>
      <c r="L269" s="323"/>
      <c r="M269" s="323"/>
      <c r="N269" s="323"/>
      <c r="O269" s="455">
        <f t="shared" si="222"/>
        <v>0</v>
      </c>
      <c r="P269" s="325">
        <f t="shared" si="228"/>
        <v>2049000</v>
      </c>
      <c r="Q269" s="20"/>
      <c r="R269" s="50"/>
    </row>
    <row r="270" spans="1:18" ht="47.25" thickTop="1" thickBot="1" x14ac:dyDescent="0.25">
      <c r="A270" s="308" t="s">
        <v>793</v>
      </c>
      <c r="B270" s="308" t="s">
        <v>748</v>
      </c>
      <c r="C270" s="308"/>
      <c r="D270" s="308" t="s">
        <v>794</v>
      </c>
      <c r="E270" s="309">
        <f>E273+E271</f>
        <v>3674517</v>
      </c>
      <c r="F270" s="309">
        <f t="shared" ref="F270:P270" si="229">F273+F271</f>
        <v>3674517</v>
      </c>
      <c r="G270" s="309">
        <f t="shared" si="229"/>
        <v>0</v>
      </c>
      <c r="H270" s="309">
        <f t="shared" si="229"/>
        <v>0</v>
      </c>
      <c r="I270" s="309">
        <f t="shared" si="229"/>
        <v>0</v>
      </c>
      <c r="J270" s="309">
        <f t="shared" si="229"/>
        <v>2600000</v>
      </c>
      <c r="K270" s="309">
        <f t="shared" si="229"/>
        <v>2600000</v>
      </c>
      <c r="L270" s="309">
        <f t="shared" si="229"/>
        <v>0</v>
      </c>
      <c r="M270" s="309">
        <f t="shared" si="229"/>
        <v>0</v>
      </c>
      <c r="N270" s="309">
        <f t="shared" si="229"/>
        <v>0</v>
      </c>
      <c r="O270" s="309">
        <f t="shared" si="229"/>
        <v>2600000</v>
      </c>
      <c r="P270" s="309">
        <f t="shared" si="229"/>
        <v>6274517</v>
      </c>
      <c r="Q270" s="20"/>
      <c r="R270" s="50"/>
    </row>
    <row r="271" spans="1:18" ht="47.25" thickTop="1" thickBot="1" x14ac:dyDescent="0.25">
      <c r="A271" s="310" t="s">
        <v>1145</v>
      </c>
      <c r="B271" s="310" t="s">
        <v>803</v>
      </c>
      <c r="C271" s="310"/>
      <c r="D271" s="310" t="s">
        <v>804</v>
      </c>
      <c r="E271" s="311">
        <f>E272</f>
        <v>0</v>
      </c>
      <c r="F271" s="311">
        <f t="shared" ref="F271:P271" si="230">F272</f>
        <v>0</v>
      </c>
      <c r="G271" s="311">
        <f t="shared" si="230"/>
        <v>0</v>
      </c>
      <c r="H271" s="311">
        <f t="shared" si="230"/>
        <v>0</v>
      </c>
      <c r="I271" s="311">
        <f t="shared" si="230"/>
        <v>0</v>
      </c>
      <c r="J271" s="311">
        <f t="shared" si="230"/>
        <v>1000000</v>
      </c>
      <c r="K271" s="311">
        <f t="shared" si="230"/>
        <v>1000000</v>
      </c>
      <c r="L271" s="311">
        <f t="shared" si="230"/>
        <v>0</v>
      </c>
      <c r="M271" s="311">
        <f t="shared" si="230"/>
        <v>0</v>
      </c>
      <c r="N271" s="311">
        <f t="shared" si="230"/>
        <v>0</v>
      </c>
      <c r="O271" s="311">
        <f t="shared" si="230"/>
        <v>1000000</v>
      </c>
      <c r="P271" s="311">
        <f t="shared" si="230"/>
        <v>1000000</v>
      </c>
      <c r="Q271" s="20"/>
      <c r="R271" s="50"/>
    </row>
    <row r="272" spans="1:18" ht="54" thickTop="1" thickBot="1" x14ac:dyDescent="0.25">
      <c r="A272" s="101" t="s">
        <v>1146</v>
      </c>
      <c r="B272" s="101" t="s">
        <v>305</v>
      </c>
      <c r="C272" s="101" t="s">
        <v>304</v>
      </c>
      <c r="D272" s="101" t="s">
        <v>1497</v>
      </c>
      <c r="E272" s="309">
        <f t="shared" ref="E272" si="231">F272</f>
        <v>0</v>
      </c>
      <c r="F272" s="323"/>
      <c r="G272" s="323"/>
      <c r="H272" s="323"/>
      <c r="I272" s="323"/>
      <c r="J272" s="325">
        <f>L272+O272</f>
        <v>1000000</v>
      </c>
      <c r="K272" s="458">
        <f>(300000)+700000</f>
        <v>1000000</v>
      </c>
      <c r="L272" s="323"/>
      <c r="M272" s="323"/>
      <c r="N272" s="323"/>
      <c r="O272" s="455">
        <f>K272</f>
        <v>1000000</v>
      </c>
      <c r="P272" s="325">
        <f t="shared" ref="P272" si="232">E272+J272</f>
        <v>1000000</v>
      </c>
      <c r="Q272" s="20"/>
      <c r="R272" s="50"/>
    </row>
    <row r="273" spans="1:18" ht="47.25" thickTop="1" thickBot="1" x14ac:dyDescent="0.25">
      <c r="A273" s="310" t="s">
        <v>795</v>
      </c>
      <c r="B273" s="310" t="s">
        <v>691</v>
      </c>
      <c r="C273" s="310"/>
      <c r="D273" s="310" t="s">
        <v>689</v>
      </c>
      <c r="E273" s="311">
        <f>E274+E276+E275</f>
        <v>3674517</v>
      </c>
      <c r="F273" s="311">
        <f t="shared" ref="F273:P273" si="233">F274+F276+F275</f>
        <v>3674517</v>
      </c>
      <c r="G273" s="311">
        <f t="shared" si="233"/>
        <v>0</v>
      </c>
      <c r="H273" s="311">
        <f t="shared" si="233"/>
        <v>0</v>
      </c>
      <c r="I273" s="311">
        <f t="shared" si="233"/>
        <v>0</v>
      </c>
      <c r="J273" s="311">
        <f>J274+J276+J275</f>
        <v>1600000</v>
      </c>
      <c r="K273" s="311">
        <f t="shared" si="233"/>
        <v>1600000</v>
      </c>
      <c r="L273" s="311">
        <f t="shared" si="233"/>
        <v>0</v>
      </c>
      <c r="M273" s="311">
        <f t="shared" si="233"/>
        <v>0</v>
      </c>
      <c r="N273" s="311">
        <f t="shared" si="233"/>
        <v>0</v>
      </c>
      <c r="O273" s="311">
        <f t="shared" si="233"/>
        <v>1600000</v>
      </c>
      <c r="P273" s="311">
        <f t="shared" si="233"/>
        <v>5274517</v>
      </c>
      <c r="Q273" s="20"/>
      <c r="R273" s="50"/>
    </row>
    <row r="274" spans="1:18" ht="48" thickTop="1" thickBot="1" x14ac:dyDescent="0.25">
      <c r="A274" s="101" t="s">
        <v>296</v>
      </c>
      <c r="B274" s="101" t="s">
        <v>212</v>
      </c>
      <c r="C274" s="101" t="s">
        <v>213</v>
      </c>
      <c r="D274" s="101" t="s">
        <v>41</v>
      </c>
      <c r="E274" s="309">
        <f t="shared" si="227"/>
        <v>3674517</v>
      </c>
      <c r="F274" s="323">
        <f>(2000000)+1674517</f>
        <v>3674517</v>
      </c>
      <c r="G274" s="323"/>
      <c r="H274" s="323"/>
      <c r="I274" s="323"/>
      <c r="J274" s="325">
        <f t="shared" si="220"/>
        <v>0</v>
      </c>
      <c r="K274" s="458"/>
      <c r="L274" s="323"/>
      <c r="M274" s="323"/>
      <c r="N274" s="323"/>
      <c r="O274" s="455">
        <f t="shared" si="222"/>
        <v>0</v>
      </c>
      <c r="P274" s="325">
        <f>E274+J274</f>
        <v>3674517</v>
      </c>
      <c r="Q274" s="20"/>
      <c r="R274" s="54"/>
    </row>
    <row r="275" spans="1:18" ht="48" thickTop="1" thickBot="1" x14ac:dyDescent="0.25">
      <c r="A275" s="101" t="s">
        <v>918</v>
      </c>
      <c r="B275" s="101" t="s">
        <v>197</v>
      </c>
      <c r="C275" s="101" t="s">
        <v>170</v>
      </c>
      <c r="D275" s="101" t="s">
        <v>34</v>
      </c>
      <c r="E275" s="309">
        <f t="shared" si="227"/>
        <v>0</v>
      </c>
      <c r="F275" s="323"/>
      <c r="G275" s="323"/>
      <c r="H275" s="323"/>
      <c r="I275" s="323"/>
      <c r="J275" s="325">
        <f t="shared" si="220"/>
        <v>1600000</v>
      </c>
      <c r="K275" s="458">
        <f>(300000)+1300000</f>
        <v>1600000</v>
      </c>
      <c r="L275" s="323"/>
      <c r="M275" s="323"/>
      <c r="N275" s="323"/>
      <c r="O275" s="455">
        <f t="shared" si="222"/>
        <v>1600000</v>
      </c>
      <c r="P275" s="325">
        <f>E275+J275</f>
        <v>1600000</v>
      </c>
      <c r="Q275" s="20"/>
      <c r="R275" s="54"/>
    </row>
    <row r="276" spans="1:18" ht="48" hidden="1" thickTop="1" thickBot="1" x14ac:dyDescent="0.25">
      <c r="A276" s="138" t="s">
        <v>796</v>
      </c>
      <c r="B276" s="138" t="s">
        <v>694</v>
      </c>
      <c r="C276" s="138"/>
      <c r="D276" s="138" t="s">
        <v>797</v>
      </c>
      <c r="E276" s="156">
        <f>E277</f>
        <v>0</v>
      </c>
      <c r="F276" s="156">
        <f t="shared" ref="F276:P276" si="234">F277</f>
        <v>0</v>
      </c>
      <c r="G276" s="156">
        <f t="shared" si="234"/>
        <v>0</v>
      </c>
      <c r="H276" s="156">
        <f t="shared" si="234"/>
        <v>0</v>
      </c>
      <c r="I276" s="156">
        <f t="shared" si="234"/>
        <v>0</v>
      </c>
      <c r="J276" s="156">
        <f t="shared" si="234"/>
        <v>0</v>
      </c>
      <c r="K276" s="156">
        <f t="shared" si="234"/>
        <v>0</v>
      </c>
      <c r="L276" s="156">
        <f t="shared" si="234"/>
        <v>0</v>
      </c>
      <c r="M276" s="156">
        <f t="shared" si="234"/>
        <v>0</v>
      </c>
      <c r="N276" s="156">
        <f t="shared" si="234"/>
        <v>0</v>
      </c>
      <c r="O276" s="156">
        <f t="shared" si="234"/>
        <v>0</v>
      </c>
      <c r="P276" s="156">
        <f t="shared" si="234"/>
        <v>0</v>
      </c>
      <c r="Q276" s="20"/>
      <c r="R276" s="50"/>
    </row>
    <row r="277" spans="1:18" ht="214.5" hidden="1" customHeight="1" thickTop="1" thickBot="1" x14ac:dyDescent="0.7">
      <c r="A277" s="768" t="s">
        <v>424</v>
      </c>
      <c r="B277" s="768" t="s">
        <v>338</v>
      </c>
      <c r="C277" s="768" t="s">
        <v>170</v>
      </c>
      <c r="D277" s="153" t="s">
        <v>440</v>
      </c>
      <c r="E277" s="746">
        <f t="shared" si="227"/>
        <v>0</v>
      </c>
      <c r="F277" s="747"/>
      <c r="G277" s="747"/>
      <c r="H277" s="747"/>
      <c r="I277" s="747"/>
      <c r="J277" s="746">
        <f t="shared" si="220"/>
        <v>0</v>
      </c>
      <c r="K277" s="747"/>
      <c r="L277" s="747">
        <v>0</v>
      </c>
      <c r="M277" s="747"/>
      <c r="N277" s="747"/>
      <c r="O277" s="766">
        <f>((K277+884000)-450000)-434000</f>
        <v>0</v>
      </c>
      <c r="P277" s="781">
        <f>E277+J277</f>
        <v>0</v>
      </c>
      <c r="Q277" s="20"/>
      <c r="R277" s="50"/>
    </row>
    <row r="278" spans="1:18" ht="93" hidden="1" thickTop="1" thickBot="1" x14ac:dyDescent="0.25">
      <c r="A278" s="768"/>
      <c r="B278" s="768"/>
      <c r="C278" s="768"/>
      <c r="D278" s="154" t="s">
        <v>441</v>
      </c>
      <c r="E278" s="746"/>
      <c r="F278" s="747"/>
      <c r="G278" s="747"/>
      <c r="H278" s="747"/>
      <c r="I278" s="747"/>
      <c r="J278" s="746"/>
      <c r="K278" s="747"/>
      <c r="L278" s="747"/>
      <c r="M278" s="747"/>
      <c r="N278" s="747"/>
      <c r="O278" s="766"/>
      <c r="P278" s="781"/>
      <c r="Q278" s="20"/>
      <c r="R278" s="50"/>
    </row>
    <row r="279" spans="1:18" ht="47.25" thickTop="1" thickBot="1" x14ac:dyDescent="0.25">
      <c r="A279" s="308" t="s">
        <v>1230</v>
      </c>
      <c r="B279" s="308" t="s">
        <v>696</v>
      </c>
      <c r="C279" s="308"/>
      <c r="D279" s="308" t="s">
        <v>697</v>
      </c>
      <c r="E279" s="325">
        <f>E282+E280</f>
        <v>2927223</v>
      </c>
      <c r="F279" s="325">
        <f t="shared" ref="F279:I279" si="235">F282+F280</f>
        <v>2927223</v>
      </c>
      <c r="G279" s="325">
        <f t="shared" si="235"/>
        <v>0</v>
      </c>
      <c r="H279" s="325">
        <f t="shared" si="235"/>
        <v>0</v>
      </c>
      <c r="I279" s="325">
        <f t="shared" si="235"/>
        <v>0</v>
      </c>
      <c r="J279" s="325">
        <f>J282+J280</f>
        <v>0</v>
      </c>
      <c r="K279" s="325">
        <f t="shared" ref="K279:N279" si="236">K282+K280</f>
        <v>0</v>
      </c>
      <c r="L279" s="325">
        <f t="shared" si="236"/>
        <v>0</v>
      </c>
      <c r="M279" s="325">
        <f t="shared" si="236"/>
        <v>0</v>
      </c>
      <c r="N279" s="325">
        <f t="shared" si="236"/>
        <v>0</v>
      </c>
      <c r="O279" s="325">
        <f>O282+O280</f>
        <v>0</v>
      </c>
      <c r="P279" s="325">
        <f>P282+P280</f>
        <v>2927223</v>
      </c>
      <c r="Q279" s="20"/>
      <c r="R279" s="50"/>
    </row>
    <row r="280" spans="1:18" ht="47.25" thickTop="1" thickBot="1" x14ac:dyDescent="0.25">
      <c r="A280" s="310" t="s">
        <v>1495</v>
      </c>
      <c r="B280" s="310" t="s">
        <v>812</v>
      </c>
      <c r="C280" s="310"/>
      <c r="D280" s="353" t="s">
        <v>1280</v>
      </c>
      <c r="E280" s="312">
        <f>SUM(E281:E283)</f>
        <v>2927223</v>
      </c>
      <c r="F280" s="312">
        <f t="shared" ref="F280:P280" si="237">SUM(F281:F283)</f>
        <v>2927223</v>
      </c>
      <c r="G280" s="312">
        <f t="shared" si="237"/>
        <v>0</v>
      </c>
      <c r="H280" s="312">
        <f t="shared" si="237"/>
        <v>0</v>
      </c>
      <c r="I280" s="312">
        <f t="shared" si="237"/>
        <v>0</v>
      </c>
      <c r="J280" s="312">
        <f t="shared" si="237"/>
        <v>0</v>
      </c>
      <c r="K280" s="312">
        <f t="shared" si="237"/>
        <v>0</v>
      </c>
      <c r="L280" s="312">
        <f t="shared" si="237"/>
        <v>0</v>
      </c>
      <c r="M280" s="312">
        <f t="shared" si="237"/>
        <v>0</v>
      </c>
      <c r="N280" s="312">
        <f t="shared" si="237"/>
        <v>0</v>
      </c>
      <c r="O280" s="312">
        <f t="shared" si="237"/>
        <v>0</v>
      </c>
      <c r="P280" s="312">
        <f t="shared" si="237"/>
        <v>2927223</v>
      </c>
      <c r="Q280" s="20"/>
      <c r="R280" s="50"/>
    </row>
    <row r="281" spans="1:18" ht="93" thickTop="1" thickBot="1" x14ac:dyDescent="0.25">
      <c r="A281" s="101" t="s">
        <v>1496</v>
      </c>
      <c r="B281" s="101" t="s">
        <v>518</v>
      </c>
      <c r="C281" s="101" t="s">
        <v>251</v>
      </c>
      <c r="D281" s="101" t="s">
        <v>519</v>
      </c>
      <c r="E281" s="309">
        <f>F281</f>
        <v>2927223</v>
      </c>
      <c r="F281" s="323">
        <f>((2812463)+37273)+77487</f>
        <v>2927223</v>
      </c>
      <c r="G281" s="323"/>
      <c r="H281" s="323"/>
      <c r="I281" s="323"/>
      <c r="J281" s="325">
        <f>L281+O281</f>
        <v>0</v>
      </c>
      <c r="K281" s="458"/>
      <c r="L281" s="323"/>
      <c r="M281" s="323"/>
      <c r="N281" s="323"/>
      <c r="O281" s="455">
        <f>K281</f>
        <v>0</v>
      </c>
      <c r="P281" s="325">
        <f>E281+J281</f>
        <v>2927223</v>
      </c>
      <c r="Q281" s="20"/>
      <c r="R281" s="50"/>
    </row>
    <row r="282" spans="1:18" ht="47.25" hidden="1" thickTop="1" thickBot="1" x14ac:dyDescent="0.25">
      <c r="A282" s="134" t="s">
        <v>1231</v>
      </c>
      <c r="B282" s="134" t="s">
        <v>1186</v>
      </c>
      <c r="C282" s="134"/>
      <c r="D282" s="134" t="s">
        <v>1184</v>
      </c>
      <c r="E282" s="135">
        <f t="shared" ref="E282:P282" si="238">SUM(E283:E283)</f>
        <v>0</v>
      </c>
      <c r="F282" s="135">
        <f t="shared" si="238"/>
        <v>0</v>
      </c>
      <c r="G282" s="135">
        <f t="shared" si="238"/>
        <v>0</v>
      </c>
      <c r="H282" s="135">
        <f t="shared" si="238"/>
        <v>0</v>
      </c>
      <c r="I282" s="135">
        <f t="shared" si="238"/>
        <v>0</v>
      </c>
      <c r="J282" s="135">
        <f t="shared" si="238"/>
        <v>0</v>
      </c>
      <c r="K282" s="135">
        <f t="shared" si="238"/>
        <v>0</v>
      </c>
      <c r="L282" s="135">
        <f t="shared" si="238"/>
        <v>0</v>
      </c>
      <c r="M282" s="135">
        <f t="shared" si="238"/>
        <v>0</v>
      </c>
      <c r="N282" s="135">
        <f t="shared" si="238"/>
        <v>0</v>
      </c>
      <c r="O282" s="135">
        <f t="shared" si="238"/>
        <v>0</v>
      </c>
      <c r="P282" s="135">
        <f t="shared" si="238"/>
        <v>0</v>
      </c>
      <c r="Q282" s="20"/>
      <c r="R282" s="50"/>
    </row>
    <row r="283" spans="1:18" ht="48" hidden="1" thickTop="1" thickBot="1" x14ac:dyDescent="0.25">
      <c r="A283" s="126" t="s">
        <v>1232</v>
      </c>
      <c r="B283" s="126" t="s">
        <v>1213</v>
      </c>
      <c r="C283" s="126" t="s">
        <v>1188</v>
      </c>
      <c r="D283" s="126" t="s">
        <v>1214</v>
      </c>
      <c r="E283" s="125">
        <f>F283</f>
        <v>0</v>
      </c>
      <c r="F283" s="132"/>
      <c r="G283" s="132"/>
      <c r="H283" s="132"/>
      <c r="I283" s="132"/>
      <c r="J283" s="125">
        <f>L283+O283</f>
        <v>0</v>
      </c>
      <c r="K283" s="132"/>
      <c r="L283" s="132"/>
      <c r="M283" s="132"/>
      <c r="N283" s="132"/>
      <c r="O283" s="130">
        <f>K283</f>
        <v>0</v>
      </c>
      <c r="P283" s="125">
        <f>E283+J283</f>
        <v>0</v>
      </c>
      <c r="Q283" s="20"/>
      <c r="R283" s="50"/>
    </row>
    <row r="284" spans="1:18" ht="120" customHeight="1" thickTop="1" thickBot="1" x14ac:dyDescent="0.25">
      <c r="A284" s="645" t="s">
        <v>540</v>
      </c>
      <c r="B284" s="645"/>
      <c r="C284" s="645"/>
      <c r="D284" s="646" t="s">
        <v>559</v>
      </c>
      <c r="E284" s="647">
        <f>E285</f>
        <v>399126325</v>
      </c>
      <c r="F284" s="648">
        <f t="shared" ref="F284:G284" si="239">F285</f>
        <v>399126325</v>
      </c>
      <c r="G284" s="648">
        <f t="shared" si="239"/>
        <v>8690079</v>
      </c>
      <c r="H284" s="648">
        <f>H285</f>
        <v>239084</v>
      </c>
      <c r="I284" s="648">
        <f t="shared" ref="I284" si="240">I285</f>
        <v>0</v>
      </c>
      <c r="J284" s="647">
        <f>J285</f>
        <v>30711159</v>
      </c>
      <c r="K284" s="648">
        <f>K285</f>
        <v>30711159</v>
      </c>
      <c r="L284" s="648">
        <f>L285</f>
        <v>0</v>
      </c>
      <c r="M284" s="648">
        <f t="shared" ref="M284" si="241">M285</f>
        <v>0</v>
      </c>
      <c r="N284" s="648">
        <f>N285</f>
        <v>0</v>
      </c>
      <c r="O284" s="647">
        <f>O285</f>
        <v>30711159</v>
      </c>
      <c r="P284" s="648">
        <f>P285</f>
        <v>429837484</v>
      </c>
      <c r="Q284" s="20"/>
      <c r="R284" s="50"/>
    </row>
    <row r="285" spans="1:18" ht="120" customHeight="1" thickTop="1" thickBot="1" x14ac:dyDescent="0.25">
      <c r="A285" s="642" t="s">
        <v>541</v>
      </c>
      <c r="B285" s="642"/>
      <c r="C285" s="642"/>
      <c r="D285" s="643" t="s">
        <v>560</v>
      </c>
      <c r="E285" s="644">
        <f>E286+E290+E298+E311+E316</f>
        <v>399126325</v>
      </c>
      <c r="F285" s="644">
        <f>F286+F290+F298+F311+F316</f>
        <v>399126325</v>
      </c>
      <c r="G285" s="644">
        <f>G286+G290+G298+G311+G316</f>
        <v>8690079</v>
      </c>
      <c r="H285" s="644">
        <f>H286+H290+H298+H311+H316</f>
        <v>239084</v>
      </c>
      <c r="I285" s="644">
        <f>I286+I290+I298+I311+I316</f>
        <v>0</v>
      </c>
      <c r="J285" s="644">
        <f t="shared" ref="J285:J308" si="242">L285+O285</f>
        <v>30711159</v>
      </c>
      <c r="K285" s="644">
        <f>K286+K290+K298+K311+K316</f>
        <v>30711159</v>
      </c>
      <c r="L285" s="644">
        <f>L286+L290+L298+L311+L316</f>
        <v>0</v>
      </c>
      <c r="M285" s="644">
        <f>M286+M290+M298+M311+M316</f>
        <v>0</v>
      </c>
      <c r="N285" s="644">
        <f>N286+N290+N298+N311+N316</f>
        <v>0</v>
      </c>
      <c r="O285" s="644">
        <f>O286+O290+O298+O311+O316</f>
        <v>30711159</v>
      </c>
      <c r="P285" s="644">
        <f>E285+J285</f>
        <v>429837484</v>
      </c>
      <c r="Q285" s="492" t="b">
        <f>P285=P287+P292+P293+P295+P296+P297+P300+P303+P305+P306+P313+P314</f>
        <v>1</v>
      </c>
      <c r="R285" s="45"/>
    </row>
    <row r="286" spans="1:18" ht="47.25" thickTop="1" thickBot="1" x14ac:dyDescent="0.25">
      <c r="A286" s="308" t="s">
        <v>798</v>
      </c>
      <c r="B286" s="308" t="s">
        <v>684</v>
      </c>
      <c r="C286" s="308"/>
      <c r="D286" s="308" t="s">
        <v>685</v>
      </c>
      <c r="E286" s="325">
        <f>SUM(E287:E289)</f>
        <v>8901631</v>
      </c>
      <c r="F286" s="325">
        <f t="shared" ref="F286:P286" si="243">SUM(F287:F289)</f>
        <v>8901631</v>
      </c>
      <c r="G286" s="325">
        <f t="shared" si="243"/>
        <v>6736115</v>
      </c>
      <c r="H286" s="325">
        <f t="shared" si="243"/>
        <v>180204</v>
      </c>
      <c r="I286" s="325">
        <f t="shared" si="243"/>
        <v>0</v>
      </c>
      <c r="J286" s="325">
        <f t="shared" si="243"/>
        <v>39000</v>
      </c>
      <c r="K286" s="325">
        <f t="shared" si="243"/>
        <v>39000</v>
      </c>
      <c r="L286" s="325">
        <f t="shared" si="243"/>
        <v>0</v>
      </c>
      <c r="M286" s="325">
        <f t="shared" si="243"/>
        <v>0</v>
      </c>
      <c r="N286" s="325">
        <f t="shared" si="243"/>
        <v>0</v>
      </c>
      <c r="O286" s="325">
        <f t="shared" si="243"/>
        <v>39000</v>
      </c>
      <c r="P286" s="325">
        <f t="shared" si="243"/>
        <v>8940631</v>
      </c>
      <c r="Q286" s="47"/>
      <c r="R286" s="45"/>
    </row>
    <row r="287" spans="1:18" ht="93" thickTop="1" thickBot="1" x14ac:dyDescent="0.25">
      <c r="A287" s="101" t="s">
        <v>542</v>
      </c>
      <c r="B287" s="101" t="s">
        <v>236</v>
      </c>
      <c r="C287" s="101" t="s">
        <v>234</v>
      </c>
      <c r="D287" s="101" t="s">
        <v>235</v>
      </c>
      <c r="E287" s="309">
        <f>F287</f>
        <v>8901631</v>
      </c>
      <c r="F287" s="323">
        <v>8901631</v>
      </c>
      <c r="G287" s="323">
        <v>6736115</v>
      </c>
      <c r="H287" s="323">
        <v>180204</v>
      </c>
      <c r="I287" s="323"/>
      <c r="J287" s="325">
        <f t="shared" si="242"/>
        <v>39000</v>
      </c>
      <c r="K287" s="323">
        <v>39000</v>
      </c>
      <c r="L287" s="454"/>
      <c r="M287" s="454"/>
      <c r="N287" s="454"/>
      <c r="O287" s="455">
        <f t="shared" ref="O287:O306" si="244">K287</f>
        <v>39000</v>
      </c>
      <c r="P287" s="325">
        <f t="shared" ref="P287:P294" si="245">+J287+E287</f>
        <v>8940631</v>
      </c>
      <c r="Q287" s="20"/>
      <c r="R287" s="45"/>
    </row>
    <row r="288" spans="1:18" ht="93" hidden="1" thickTop="1" thickBot="1" x14ac:dyDescent="0.25">
      <c r="A288" s="126" t="s">
        <v>629</v>
      </c>
      <c r="B288" s="126" t="s">
        <v>362</v>
      </c>
      <c r="C288" s="126" t="s">
        <v>625</v>
      </c>
      <c r="D288" s="126" t="s">
        <v>626</v>
      </c>
      <c r="E288" s="150">
        <f>F288</f>
        <v>0</v>
      </c>
      <c r="F288" s="127"/>
      <c r="G288" s="127"/>
      <c r="H288" s="127"/>
      <c r="I288" s="127"/>
      <c r="J288" s="125">
        <f t="shared" si="242"/>
        <v>0</v>
      </c>
      <c r="K288" s="127"/>
      <c r="L288" s="128"/>
      <c r="M288" s="128"/>
      <c r="N288" s="128"/>
      <c r="O288" s="130">
        <f t="shared" si="244"/>
        <v>0</v>
      </c>
      <c r="P288" s="125">
        <f t="shared" si="245"/>
        <v>0</v>
      </c>
      <c r="Q288" s="20"/>
      <c r="R288" s="45"/>
    </row>
    <row r="289" spans="1:18" ht="48" hidden="1" thickTop="1" thickBot="1" x14ac:dyDescent="0.25">
      <c r="A289" s="126" t="s">
        <v>543</v>
      </c>
      <c r="B289" s="126" t="s">
        <v>43</v>
      </c>
      <c r="C289" s="126" t="s">
        <v>42</v>
      </c>
      <c r="D289" s="126" t="s">
        <v>248</v>
      </c>
      <c r="E289" s="150">
        <f>F289</f>
        <v>0</v>
      </c>
      <c r="F289" s="127">
        <v>0</v>
      </c>
      <c r="G289" s="127"/>
      <c r="H289" s="127"/>
      <c r="I289" s="127"/>
      <c r="J289" s="125">
        <f t="shared" si="242"/>
        <v>0</v>
      </c>
      <c r="K289" s="127"/>
      <c r="L289" s="128"/>
      <c r="M289" s="128"/>
      <c r="N289" s="128"/>
      <c r="O289" s="130">
        <f t="shared" si="244"/>
        <v>0</v>
      </c>
      <c r="P289" s="125">
        <f t="shared" si="245"/>
        <v>0</v>
      </c>
      <c r="Q289" s="20"/>
      <c r="R289" s="50"/>
    </row>
    <row r="290" spans="1:18" ht="47.25" thickTop="1" thickBot="1" x14ac:dyDescent="0.25">
      <c r="A290" s="308" t="s">
        <v>799</v>
      </c>
      <c r="B290" s="308" t="s">
        <v>742</v>
      </c>
      <c r="C290" s="308"/>
      <c r="D290" s="344" t="s">
        <v>743</v>
      </c>
      <c r="E290" s="309">
        <f>SUM(E291:E297)-E291</f>
        <v>385709549</v>
      </c>
      <c r="F290" s="309">
        <f t="shared" ref="F290:P290" si="246">SUM(F291:F297)-F291</f>
        <v>385709549</v>
      </c>
      <c r="G290" s="309">
        <f t="shared" si="246"/>
        <v>0</v>
      </c>
      <c r="H290" s="309">
        <f t="shared" si="246"/>
        <v>5000</v>
      </c>
      <c r="I290" s="309">
        <f t="shared" si="246"/>
        <v>0</v>
      </c>
      <c r="J290" s="309">
        <f t="shared" si="246"/>
        <v>953993</v>
      </c>
      <c r="K290" s="309">
        <f t="shared" si="246"/>
        <v>953993</v>
      </c>
      <c r="L290" s="309">
        <f t="shared" si="246"/>
        <v>0</v>
      </c>
      <c r="M290" s="309">
        <f t="shared" si="246"/>
        <v>0</v>
      </c>
      <c r="N290" s="309">
        <f t="shared" si="246"/>
        <v>0</v>
      </c>
      <c r="O290" s="309">
        <f t="shared" si="246"/>
        <v>953993</v>
      </c>
      <c r="P290" s="309">
        <f t="shared" si="246"/>
        <v>386663542</v>
      </c>
      <c r="Q290" s="20"/>
      <c r="R290" s="50"/>
    </row>
    <row r="291" spans="1:18" ht="93" thickTop="1" thickBot="1" x14ac:dyDescent="0.25">
      <c r="A291" s="326" t="s">
        <v>800</v>
      </c>
      <c r="B291" s="326" t="s">
        <v>791</v>
      </c>
      <c r="C291" s="326"/>
      <c r="D291" s="326" t="s">
        <v>792</v>
      </c>
      <c r="E291" s="462">
        <f>SUM(E292:E294)</f>
        <v>75550000</v>
      </c>
      <c r="F291" s="462">
        <f t="shared" ref="F291:P291" si="247">SUM(F292:F294)</f>
        <v>75550000</v>
      </c>
      <c r="G291" s="462">
        <f t="shared" si="247"/>
        <v>0</v>
      </c>
      <c r="H291" s="462">
        <f t="shared" si="247"/>
        <v>0</v>
      </c>
      <c r="I291" s="462">
        <f t="shared" si="247"/>
        <v>0</v>
      </c>
      <c r="J291" s="462">
        <f t="shared" si="247"/>
        <v>953993</v>
      </c>
      <c r="K291" s="462">
        <f t="shared" si="247"/>
        <v>953993</v>
      </c>
      <c r="L291" s="462">
        <f t="shared" si="247"/>
        <v>0</v>
      </c>
      <c r="M291" s="462">
        <f t="shared" si="247"/>
        <v>0</v>
      </c>
      <c r="N291" s="462">
        <f t="shared" si="247"/>
        <v>0</v>
      </c>
      <c r="O291" s="462">
        <f t="shared" si="247"/>
        <v>953993</v>
      </c>
      <c r="P291" s="462">
        <f t="shared" si="247"/>
        <v>76503993</v>
      </c>
      <c r="Q291" s="20"/>
      <c r="R291" s="50"/>
    </row>
    <row r="292" spans="1:18" ht="93" thickTop="1" thickBot="1" x14ac:dyDescent="0.25">
      <c r="A292" s="101" t="s">
        <v>544</v>
      </c>
      <c r="B292" s="101" t="s">
        <v>376</v>
      </c>
      <c r="C292" s="101" t="s">
        <v>283</v>
      </c>
      <c r="D292" s="101" t="s">
        <v>377</v>
      </c>
      <c r="E292" s="309">
        <f t="shared" ref="E292:E306" si="248">F292</f>
        <v>50000000</v>
      </c>
      <c r="F292" s="323">
        <f>((20000000)+20000000)+10000000</f>
        <v>50000000</v>
      </c>
      <c r="G292" s="323"/>
      <c r="H292" s="323"/>
      <c r="I292" s="323"/>
      <c r="J292" s="325">
        <f t="shared" si="242"/>
        <v>0</v>
      </c>
      <c r="K292" s="323"/>
      <c r="L292" s="454"/>
      <c r="M292" s="454"/>
      <c r="N292" s="454"/>
      <c r="O292" s="455">
        <f t="shared" si="244"/>
        <v>0</v>
      </c>
      <c r="P292" s="325">
        <f t="shared" si="245"/>
        <v>50000000</v>
      </c>
      <c r="Q292" s="20"/>
      <c r="R292" s="50"/>
    </row>
    <row r="293" spans="1:18" ht="48" thickTop="1" thickBot="1" x14ac:dyDescent="0.25">
      <c r="A293" s="101" t="s">
        <v>545</v>
      </c>
      <c r="B293" s="101" t="s">
        <v>286</v>
      </c>
      <c r="C293" s="101" t="s">
        <v>283</v>
      </c>
      <c r="D293" s="101" t="s">
        <v>287</v>
      </c>
      <c r="E293" s="309">
        <f t="shared" si="248"/>
        <v>25550000</v>
      </c>
      <c r="F293" s="323">
        <f>(10550000)+15000000</f>
        <v>25550000</v>
      </c>
      <c r="G293" s="127"/>
      <c r="H293" s="127"/>
      <c r="I293" s="127"/>
      <c r="J293" s="325">
        <f t="shared" si="242"/>
        <v>953993</v>
      </c>
      <c r="K293" s="323">
        <f>(185707)+768286</f>
        <v>953993</v>
      </c>
      <c r="L293" s="454"/>
      <c r="M293" s="454"/>
      <c r="N293" s="454"/>
      <c r="O293" s="455">
        <f t="shared" si="244"/>
        <v>953993</v>
      </c>
      <c r="P293" s="325">
        <f t="shared" si="245"/>
        <v>26503993</v>
      </c>
      <c r="Q293" s="20"/>
      <c r="R293" s="50"/>
    </row>
    <row r="294" spans="1:18" ht="93" hidden="1" thickTop="1" thickBot="1" x14ac:dyDescent="0.25">
      <c r="A294" s="126" t="s">
        <v>1409</v>
      </c>
      <c r="B294" s="126" t="s">
        <v>1410</v>
      </c>
      <c r="C294" s="126" t="s">
        <v>283</v>
      </c>
      <c r="D294" s="126" t="s">
        <v>1411</v>
      </c>
      <c r="E294" s="150">
        <f t="shared" si="248"/>
        <v>0</v>
      </c>
      <c r="F294" s="127">
        <v>0</v>
      </c>
      <c r="G294" s="127"/>
      <c r="H294" s="127"/>
      <c r="I294" s="127"/>
      <c r="J294" s="325">
        <f t="shared" si="242"/>
        <v>0</v>
      </c>
      <c r="K294" s="323"/>
      <c r="L294" s="454"/>
      <c r="M294" s="454"/>
      <c r="N294" s="454"/>
      <c r="O294" s="455">
        <f t="shared" si="244"/>
        <v>0</v>
      </c>
      <c r="P294" s="325">
        <f t="shared" si="245"/>
        <v>0</v>
      </c>
      <c r="Q294" s="20"/>
      <c r="R294" s="50"/>
    </row>
    <row r="295" spans="1:18" ht="93" thickTop="1" thickBot="1" x14ac:dyDescent="0.25">
      <c r="A295" s="101" t="s">
        <v>546</v>
      </c>
      <c r="B295" s="101" t="s">
        <v>297</v>
      </c>
      <c r="C295" s="101" t="s">
        <v>283</v>
      </c>
      <c r="D295" s="101" t="s">
        <v>298</v>
      </c>
      <c r="E295" s="309">
        <f t="shared" si="248"/>
        <v>3337600</v>
      </c>
      <c r="F295" s="323">
        <f>((700000)+650000)+1987600</f>
        <v>3337600</v>
      </c>
      <c r="G295" s="127"/>
      <c r="H295" s="127"/>
      <c r="I295" s="127"/>
      <c r="J295" s="325">
        <f t="shared" si="242"/>
        <v>0</v>
      </c>
      <c r="K295" s="458"/>
      <c r="L295" s="323"/>
      <c r="M295" s="323"/>
      <c r="N295" s="323"/>
      <c r="O295" s="455">
        <f t="shared" si="244"/>
        <v>0</v>
      </c>
      <c r="P295" s="325">
        <f t="shared" ref="P295:P300" si="249">E295+J295</f>
        <v>3337600</v>
      </c>
      <c r="Q295" s="20"/>
      <c r="R295" s="50"/>
    </row>
    <row r="296" spans="1:18" ht="48" thickTop="1" thickBot="1" x14ac:dyDescent="0.25">
      <c r="A296" s="101" t="s">
        <v>547</v>
      </c>
      <c r="B296" s="101" t="s">
        <v>289</v>
      </c>
      <c r="C296" s="101" t="s">
        <v>283</v>
      </c>
      <c r="D296" s="101" t="s">
        <v>290</v>
      </c>
      <c r="E296" s="309">
        <f t="shared" si="248"/>
        <v>306563149</v>
      </c>
      <c r="F296" s="323">
        <f>((273808011-650000-8450000)+25359960)+18495178-2000000</f>
        <v>306563149</v>
      </c>
      <c r="G296" s="127"/>
      <c r="H296" s="323">
        <v>5000</v>
      </c>
      <c r="I296" s="127"/>
      <c r="J296" s="325">
        <f t="shared" si="242"/>
        <v>0</v>
      </c>
      <c r="K296" s="458">
        <v>0</v>
      </c>
      <c r="L296" s="323"/>
      <c r="M296" s="323"/>
      <c r="N296" s="323"/>
      <c r="O296" s="455">
        <f t="shared" si="244"/>
        <v>0</v>
      </c>
      <c r="P296" s="325">
        <f t="shared" si="249"/>
        <v>306563149</v>
      </c>
      <c r="Q296" s="20"/>
      <c r="R296" s="45"/>
    </row>
    <row r="297" spans="1:18" ht="48" thickTop="1" thickBot="1" x14ac:dyDescent="0.25">
      <c r="A297" s="101" t="s">
        <v>1148</v>
      </c>
      <c r="B297" s="101" t="s">
        <v>1149</v>
      </c>
      <c r="C297" s="101" t="s">
        <v>1150</v>
      </c>
      <c r="D297" s="101" t="s">
        <v>1147</v>
      </c>
      <c r="E297" s="309">
        <f t="shared" si="248"/>
        <v>258800</v>
      </c>
      <c r="F297" s="323">
        <v>258800</v>
      </c>
      <c r="G297" s="323"/>
      <c r="H297" s="323"/>
      <c r="I297" s="323"/>
      <c r="J297" s="325">
        <f t="shared" si="242"/>
        <v>0</v>
      </c>
      <c r="K297" s="458"/>
      <c r="L297" s="323"/>
      <c r="M297" s="323"/>
      <c r="N297" s="323"/>
      <c r="O297" s="455">
        <f t="shared" si="244"/>
        <v>0</v>
      </c>
      <c r="P297" s="325">
        <f t="shared" si="249"/>
        <v>258800</v>
      </c>
      <c r="Q297" s="20"/>
      <c r="R297" s="45"/>
    </row>
    <row r="298" spans="1:18" ht="47.25" thickTop="1" thickBot="1" x14ac:dyDescent="0.25">
      <c r="A298" s="308" t="s">
        <v>801</v>
      </c>
      <c r="B298" s="308" t="s">
        <v>748</v>
      </c>
      <c r="C298" s="308"/>
      <c r="D298" s="308" t="s">
        <v>749</v>
      </c>
      <c r="E298" s="309">
        <f>E299+E301+E304</f>
        <v>0</v>
      </c>
      <c r="F298" s="309">
        <f t="shared" ref="F298:P298" si="250">F299+F301+F304</f>
        <v>0</v>
      </c>
      <c r="G298" s="309">
        <f t="shared" si="250"/>
        <v>0</v>
      </c>
      <c r="H298" s="309">
        <f t="shared" si="250"/>
        <v>0</v>
      </c>
      <c r="I298" s="309">
        <f t="shared" si="250"/>
        <v>0</v>
      </c>
      <c r="J298" s="309">
        <f>J299+J301+J304</f>
        <v>29718166</v>
      </c>
      <c r="K298" s="309">
        <f t="shared" si="250"/>
        <v>29718166</v>
      </c>
      <c r="L298" s="309">
        <f t="shared" si="250"/>
        <v>0</v>
      </c>
      <c r="M298" s="309">
        <f t="shared" si="250"/>
        <v>0</v>
      </c>
      <c r="N298" s="309">
        <f t="shared" si="250"/>
        <v>0</v>
      </c>
      <c r="O298" s="309">
        <f t="shared" si="250"/>
        <v>29718166</v>
      </c>
      <c r="P298" s="309">
        <f t="shared" si="250"/>
        <v>29718166</v>
      </c>
      <c r="Q298" s="20"/>
      <c r="R298" s="50"/>
    </row>
    <row r="299" spans="1:18" ht="47.25" thickTop="1" thickBot="1" x14ac:dyDescent="0.25">
      <c r="A299" s="310" t="s">
        <v>802</v>
      </c>
      <c r="B299" s="310" t="s">
        <v>803</v>
      </c>
      <c r="C299" s="310"/>
      <c r="D299" s="310" t="s">
        <v>804</v>
      </c>
      <c r="E299" s="311">
        <f>E300</f>
        <v>0</v>
      </c>
      <c r="F299" s="311">
        <f t="shared" ref="F299:P299" si="251">F300</f>
        <v>0</v>
      </c>
      <c r="G299" s="311">
        <f t="shared" si="251"/>
        <v>0</v>
      </c>
      <c r="H299" s="311">
        <f t="shared" si="251"/>
        <v>0</v>
      </c>
      <c r="I299" s="311">
        <f t="shared" si="251"/>
        <v>0</v>
      </c>
      <c r="J299" s="311">
        <f t="shared" si="251"/>
        <v>1200000</v>
      </c>
      <c r="K299" s="311">
        <f t="shared" si="251"/>
        <v>1200000</v>
      </c>
      <c r="L299" s="311">
        <f t="shared" si="251"/>
        <v>0</v>
      </c>
      <c r="M299" s="311">
        <f t="shared" si="251"/>
        <v>0</v>
      </c>
      <c r="N299" s="311">
        <f t="shared" si="251"/>
        <v>0</v>
      </c>
      <c r="O299" s="311">
        <f t="shared" si="251"/>
        <v>1200000</v>
      </c>
      <c r="P299" s="311">
        <f t="shared" si="251"/>
        <v>1200000</v>
      </c>
      <c r="Q299" s="20"/>
      <c r="R299" s="50"/>
    </row>
    <row r="300" spans="1:18" ht="54" thickTop="1" thickBot="1" x14ac:dyDescent="0.25">
      <c r="A300" s="101" t="s">
        <v>548</v>
      </c>
      <c r="B300" s="101" t="s">
        <v>305</v>
      </c>
      <c r="C300" s="101" t="s">
        <v>304</v>
      </c>
      <c r="D300" s="101" t="s">
        <v>1497</v>
      </c>
      <c r="E300" s="309">
        <f t="shared" si="248"/>
        <v>0</v>
      </c>
      <c r="F300" s="323"/>
      <c r="G300" s="323"/>
      <c r="H300" s="323"/>
      <c r="I300" s="323"/>
      <c r="J300" s="325">
        <f>L300+O300</f>
        <v>1200000</v>
      </c>
      <c r="K300" s="458">
        <f>((131720)-131720)+1200000</f>
        <v>1200000</v>
      </c>
      <c r="L300" s="323"/>
      <c r="M300" s="323"/>
      <c r="N300" s="323"/>
      <c r="O300" s="455">
        <f>K300</f>
        <v>1200000</v>
      </c>
      <c r="P300" s="325">
        <f t="shared" si="249"/>
        <v>1200000</v>
      </c>
      <c r="Q300" s="20"/>
      <c r="R300" s="45"/>
    </row>
    <row r="301" spans="1:18" ht="47.25" thickTop="1" thickBot="1" x14ac:dyDescent="0.25">
      <c r="A301" s="310" t="s">
        <v>805</v>
      </c>
      <c r="B301" s="310" t="s">
        <v>806</v>
      </c>
      <c r="C301" s="310"/>
      <c r="D301" s="310" t="s">
        <v>807</v>
      </c>
      <c r="E301" s="311">
        <f t="shared" ref="E301:P302" si="252">E302</f>
        <v>0</v>
      </c>
      <c r="F301" s="311">
        <f t="shared" si="252"/>
        <v>0</v>
      </c>
      <c r="G301" s="311">
        <f t="shared" si="252"/>
        <v>0</v>
      </c>
      <c r="H301" s="311">
        <f t="shared" si="252"/>
        <v>0</v>
      </c>
      <c r="I301" s="311">
        <f t="shared" si="252"/>
        <v>0</v>
      </c>
      <c r="J301" s="311">
        <f t="shared" si="252"/>
        <v>2935752</v>
      </c>
      <c r="K301" s="311">
        <f t="shared" si="252"/>
        <v>2935752</v>
      </c>
      <c r="L301" s="311">
        <f t="shared" si="252"/>
        <v>0</v>
      </c>
      <c r="M301" s="311">
        <f t="shared" si="252"/>
        <v>0</v>
      </c>
      <c r="N301" s="311">
        <f t="shared" si="252"/>
        <v>0</v>
      </c>
      <c r="O301" s="311">
        <f t="shared" si="252"/>
        <v>2935752</v>
      </c>
      <c r="P301" s="311">
        <f t="shared" si="252"/>
        <v>2935752</v>
      </c>
      <c r="Q301" s="20"/>
      <c r="R301" s="50"/>
    </row>
    <row r="302" spans="1:18" ht="93" thickTop="1" thickBot="1" x14ac:dyDescent="0.25">
      <c r="A302" s="101" t="s">
        <v>957</v>
      </c>
      <c r="B302" s="326" t="s">
        <v>958</v>
      </c>
      <c r="C302" s="310"/>
      <c r="D302" s="326" t="s">
        <v>959</v>
      </c>
      <c r="E302" s="462">
        <f t="shared" si="252"/>
        <v>0</v>
      </c>
      <c r="F302" s="462">
        <f t="shared" si="252"/>
        <v>0</v>
      </c>
      <c r="G302" s="462">
        <f t="shared" si="252"/>
        <v>0</v>
      </c>
      <c r="H302" s="462">
        <f t="shared" si="252"/>
        <v>0</v>
      </c>
      <c r="I302" s="462">
        <f t="shared" si="252"/>
        <v>0</v>
      </c>
      <c r="J302" s="462">
        <f t="shared" si="252"/>
        <v>2935752</v>
      </c>
      <c r="K302" s="462">
        <f t="shared" si="252"/>
        <v>2935752</v>
      </c>
      <c r="L302" s="462">
        <f t="shared" si="252"/>
        <v>0</v>
      </c>
      <c r="M302" s="462">
        <f t="shared" si="252"/>
        <v>0</v>
      </c>
      <c r="N302" s="462">
        <f t="shared" si="252"/>
        <v>0</v>
      </c>
      <c r="O302" s="462">
        <f t="shared" si="252"/>
        <v>2935752</v>
      </c>
      <c r="P302" s="462">
        <f t="shared" si="252"/>
        <v>2935752</v>
      </c>
      <c r="Q302" s="20"/>
      <c r="R302" s="50"/>
    </row>
    <row r="303" spans="1:18" ht="93" thickTop="1" thickBot="1" x14ac:dyDescent="0.25">
      <c r="A303" s="101" t="s">
        <v>549</v>
      </c>
      <c r="B303" s="101" t="s">
        <v>293</v>
      </c>
      <c r="C303" s="101" t="s">
        <v>295</v>
      </c>
      <c r="D303" s="101" t="s">
        <v>294</v>
      </c>
      <c r="E303" s="309">
        <f t="shared" si="248"/>
        <v>0</v>
      </c>
      <c r="F303" s="323">
        <f>(18000000-3000000-3000000)-12000000</f>
        <v>0</v>
      </c>
      <c r="G303" s="323"/>
      <c r="H303" s="323"/>
      <c r="I303" s="323"/>
      <c r="J303" s="325">
        <f t="shared" si="242"/>
        <v>2935752</v>
      </c>
      <c r="K303" s="323">
        <f>(2000000)+935752</f>
        <v>2935752</v>
      </c>
      <c r="L303" s="454"/>
      <c r="M303" s="454"/>
      <c r="N303" s="454"/>
      <c r="O303" s="455">
        <f>K303</f>
        <v>2935752</v>
      </c>
      <c r="P303" s="325">
        <f>+J303+E303</f>
        <v>2935752</v>
      </c>
      <c r="Q303" s="20"/>
      <c r="R303" s="45"/>
    </row>
    <row r="304" spans="1:18" ht="47.25" thickTop="1" thickBot="1" x14ac:dyDescent="0.25">
      <c r="A304" s="310" t="s">
        <v>808</v>
      </c>
      <c r="B304" s="310" t="s">
        <v>691</v>
      </c>
      <c r="C304" s="310"/>
      <c r="D304" s="310" t="s">
        <v>689</v>
      </c>
      <c r="E304" s="311">
        <f>SUM(E305:E310)-E307</f>
        <v>0</v>
      </c>
      <c r="F304" s="311">
        <f t="shared" ref="F304:P304" si="253">SUM(F305:F310)-F307</f>
        <v>0</v>
      </c>
      <c r="G304" s="311">
        <f t="shared" si="253"/>
        <v>0</v>
      </c>
      <c r="H304" s="311">
        <f t="shared" si="253"/>
        <v>0</v>
      </c>
      <c r="I304" s="311">
        <f t="shared" si="253"/>
        <v>0</v>
      </c>
      <c r="J304" s="311">
        <f t="shared" si="253"/>
        <v>25582414</v>
      </c>
      <c r="K304" s="311">
        <f t="shared" si="253"/>
        <v>25582414</v>
      </c>
      <c r="L304" s="311">
        <f t="shared" si="253"/>
        <v>0</v>
      </c>
      <c r="M304" s="311">
        <f t="shared" si="253"/>
        <v>0</v>
      </c>
      <c r="N304" s="311">
        <f t="shared" si="253"/>
        <v>0</v>
      </c>
      <c r="O304" s="311">
        <f t="shared" si="253"/>
        <v>25582414</v>
      </c>
      <c r="P304" s="311">
        <f t="shared" si="253"/>
        <v>25582414</v>
      </c>
      <c r="Q304" s="20"/>
      <c r="R304" s="45"/>
    </row>
    <row r="305" spans="1:18" ht="48" thickTop="1" thickBot="1" x14ac:dyDescent="0.25">
      <c r="A305" s="101" t="s">
        <v>550</v>
      </c>
      <c r="B305" s="101" t="s">
        <v>212</v>
      </c>
      <c r="C305" s="101" t="s">
        <v>213</v>
      </c>
      <c r="D305" s="101" t="s">
        <v>41</v>
      </c>
      <c r="E305" s="309">
        <f t="shared" si="248"/>
        <v>0</v>
      </c>
      <c r="F305" s="323"/>
      <c r="G305" s="323"/>
      <c r="H305" s="323"/>
      <c r="I305" s="323"/>
      <c r="J305" s="325">
        <f t="shared" si="242"/>
        <v>15563884</v>
      </c>
      <c r="K305" s="458">
        <f>(9760000)+5803884</f>
        <v>15563884</v>
      </c>
      <c r="L305" s="323"/>
      <c r="M305" s="323"/>
      <c r="N305" s="323"/>
      <c r="O305" s="455">
        <f t="shared" si="244"/>
        <v>15563884</v>
      </c>
      <c r="P305" s="325">
        <f>E305+J305</f>
        <v>15563884</v>
      </c>
      <c r="Q305" s="20"/>
      <c r="R305" s="45"/>
    </row>
    <row r="306" spans="1:18" ht="48" thickTop="1" thickBot="1" x14ac:dyDescent="0.25">
      <c r="A306" s="101" t="s">
        <v>551</v>
      </c>
      <c r="B306" s="101" t="s">
        <v>197</v>
      </c>
      <c r="C306" s="101" t="s">
        <v>170</v>
      </c>
      <c r="D306" s="101" t="s">
        <v>34</v>
      </c>
      <c r="E306" s="309">
        <f t="shared" si="248"/>
        <v>0</v>
      </c>
      <c r="F306" s="323"/>
      <c r="G306" s="323"/>
      <c r="H306" s="323"/>
      <c r="I306" s="323"/>
      <c r="J306" s="325">
        <f t="shared" si="242"/>
        <v>10018530</v>
      </c>
      <c r="K306" s="458">
        <f>((96120)+6291666)+4438322-807578</f>
        <v>10018530</v>
      </c>
      <c r="L306" s="323"/>
      <c r="M306" s="323"/>
      <c r="N306" s="323"/>
      <c r="O306" s="455">
        <f t="shared" si="244"/>
        <v>10018530</v>
      </c>
      <c r="P306" s="325">
        <f>E306+J306</f>
        <v>10018530</v>
      </c>
      <c r="Q306" s="20"/>
      <c r="R306" s="45"/>
    </row>
    <row r="307" spans="1:18" ht="48" hidden="1" thickTop="1" thickBot="1" x14ac:dyDescent="0.25">
      <c r="A307" s="326" t="s">
        <v>809</v>
      </c>
      <c r="B307" s="326" t="s">
        <v>694</v>
      </c>
      <c r="C307" s="138"/>
      <c r="D307" s="138" t="s">
        <v>797</v>
      </c>
      <c r="E307" s="156">
        <f t="shared" ref="E307:P307" si="254">E308+E310</f>
        <v>0</v>
      </c>
      <c r="F307" s="156">
        <f t="shared" si="254"/>
        <v>0</v>
      </c>
      <c r="G307" s="156">
        <f t="shared" si="254"/>
        <v>0</v>
      </c>
      <c r="H307" s="156">
        <f t="shared" si="254"/>
        <v>0</v>
      </c>
      <c r="I307" s="156">
        <f t="shared" si="254"/>
        <v>0</v>
      </c>
      <c r="J307" s="156">
        <f t="shared" si="254"/>
        <v>0</v>
      </c>
      <c r="K307" s="156">
        <f t="shared" si="254"/>
        <v>0</v>
      </c>
      <c r="L307" s="156">
        <f t="shared" si="254"/>
        <v>0</v>
      </c>
      <c r="M307" s="156">
        <f t="shared" si="254"/>
        <v>0</v>
      </c>
      <c r="N307" s="156">
        <f t="shared" si="254"/>
        <v>0</v>
      </c>
      <c r="O307" s="156">
        <f t="shared" si="254"/>
        <v>0</v>
      </c>
      <c r="P307" s="156">
        <f t="shared" si="254"/>
        <v>0</v>
      </c>
      <c r="Q307" s="20"/>
      <c r="R307" s="50"/>
    </row>
    <row r="308" spans="1:18" ht="211.5" hidden="1" customHeight="1" thickTop="1" thickBot="1" x14ac:dyDescent="0.7">
      <c r="A308" s="748" t="s">
        <v>552</v>
      </c>
      <c r="B308" s="748" t="s">
        <v>338</v>
      </c>
      <c r="C308" s="768" t="s">
        <v>170</v>
      </c>
      <c r="D308" s="153" t="s">
        <v>440</v>
      </c>
      <c r="E308" s="746"/>
      <c r="F308" s="747"/>
      <c r="G308" s="747"/>
      <c r="H308" s="747"/>
      <c r="I308" s="747"/>
      <c r="J308" s="746">
        <f t="shared" si="242"/>
        <v>0</v>
      </c>
      <c r="K308" s="747"/>
      <c r="L308" s="747">
        <v>0</v>
      </c>
      <c r="M308" s="747"/>
      <c r="N308" s="747"/>
      <c r="O308" s="766"/>
      <c r="P308" s="781">
        <f>E308+J308</f>
        <v>0</v>
      </c>
      <c r="Q308" s="20"/>
      <c r="R308" s="50"/>
    </row>
    <row r="309" spans="1:18" ht="130.5" hidden="1" customHeight="1" thickTop="1" thickBot="1" x14ac:dyDescent="0.25">
      <c r="A309" s="748"/>
      <c r="B309" s="748"/>
      <c r="C309" s="768"/>
      <c r="D309" s="154" t="s">
        <v>441</v>
      </c>
      <c r="E309" s="746"/>
      <c r="F309" s="747"/>
      <c r="G309" s="747"/>
      <c r="H309" s="747"/>
      <c r="I309" s="747"/>
      <c r="J309" s="746"/>
      <c r="K309" s="747"/>
      <c r="L309" s="747"/>
      <c r="M309" s="747"/>
      <c r="N309" s="747"/>
      <c r="O309" s="766"/>
      <c r="P309" s="781"/>
      <c r="Q309" s="20"/>
      <c r="R309" s="50"/>
    </row>
    <row r="310" spans="1:18" ht="39" hidden="1" customHeight="1" thickTop="1" thickBot="1" x14ac:dyDescent="0.25">
      <c r="A310" s="101" t="s">
        <v>1183</v>
      </c>
      <c r="B310" s="101" t="s">
        <v>257</v>
      </c>
      <c r="C310" s="126" t="s">
        <v>170</v>
      </c>
      <c r="D310" s="154" t="s">
        <v>255</v>
      </c>
      <c r="E310" s="150">
        <f t="shared" ref="E310" si="255">F310</f>
        <v>0</v>
      </c>
      <c r="F310" s="127"/>
      <c r="G310" s="127"/>
      <c r="H310" s="127"/>
      <c r="I310" s="127"/>
      <c r="J310" s="125">
        <f t="shared" ref="J310" si="256">L310+O310</f>
        <v>0</v>
      </c>
      <c r="K310" s="132"/>
      <c r="L310" s="127"/>
      <c r="M310" s="127"/>
      <c r="N310" s="127"/>
      <c r="O310" s="130">
        <f t="shared" ref="O310" si="257">K310</f>
        <v>0</v>
      </c>
      <c r="P310" s="125">
        <f>E310+J310</f>
        <v>0</v>
      </c>
      <c r="Q310" s="20"/>
      <c r="R310" s="50"/>
    </row>
    <row r="311" spans="1:18" ht="47.25" thickTop="1" thickBot="1" x14ac:dyDescent="0.25">
      <c r="A311" s="308" t="s">
        <v>810</v>
      </c>
      <c r="B311" s="308" t="s">
        <v>696</v>
      </c>
      <c r="C311" s="308"/>
      <c r="D311" s="467" t="s">
        <v>697</v>
      </c>
      <c r="E311" s="325">
        <f>E312</f>
        <v>4515145</v>
      </c>
      <c r="F311" s="325">
        <f t="shared" ref="F311:P311" si="258">F312</f>
        <v>4515145</v>
      </c>
      <c r="G311" s="325">
        <f t="shared" si="258"/>
        <v>1953964</v>
      </c>
      <c r="H311" s="325">
        <f t="shared" si="258"/>
        <v>53880</v>
      </c>
      <c r="I311" s="325">
        <f t="shared" si="258"/>
        <v>0</v>
      </c>
      <c r="J311" s="325">
        <f t="shared" si="258"/>
        <v>0</v>
      </c>
      <c r="K311" s="325">
        <f t="shared" si="258"/>
        <v>0</v>
      </c>
      <c r="L311" s="325">
        <f t="shared" si="258"/>
        <v>0</v>
      </c>
      <c r="M311" s="325">
        <f t="shared" si="258"/>
        <v>0</v>
      </c>
      <c r="N311" s="325">
        <f t="shared" si="258"/>
        <v>0</v>
      </c>
      <c r="O311" s="325">
        <f t="shared" si="258"/>
        <v>0</v>
      </c>
      <c r="P311" s="325">
        <f t="shared" si="258"/>
        <v>4515145</v>
      </c>
      <c r="Q311" s="20"/>
      <c r="R311" s="50"/>
    </row>
    <row r="312" spans="1:18" ht="47.25" thickTop="1" thickBot="1" x14ac:dyDescent="0.25">
      <c r="A312" s="310" t="s">
        <v>811</v>
      </c>
      <c r="B312" s="310" t="s">
        <v>812</v>
      </c>
      <c r="C312" s="310"/>
      <c r="D312" s="353" t="s">
        <v>1280</v>
      </c>
      <c r="E312" s="312">
        <f>SUM(E313:E315)</f>
        <v>4515145</v>
      </c>
      <c r="F312" s="312">
        <f t="shared" ref="F312:P312" si="259">SUM(F313:F315)</f>
        <v>4515145</v>
      </c>
      <c r="G312" s="312">
        <f t="shared" si="259"/>
        <v>1953964</v>
      </c>
      <c r="H312" s="312">
        <f t="shared" si="259"/>
        <v>53880</v>
      </c>
      <c r="I312" s="312">
        <f t="shared" si="259"/>
        <v>0</v>
      </c>
      <c r="J312" s="312">
        <f t="shared" si="259"/>
        <v>0</v>
      </c>
      <c r="K312" s="312">
        <f t="shared" si="259"/>
        <v>0</v>
      </c>
      <c r="L312" s="312">
        <f t="shared" si="259"/>
        <v>0</v>
      </c>
      <c r="M312" s="312">
        <f t="shared" si="259"/>
        <v>0</v>
      </c>
      <c r="N312" s="312">
        <f t="shared" si="259"/>
        <v>0</v>
      </c>
      <c r="O312" s="312">
        <f t="shared" si="259"/>
        <v>0</v>
      </c>
      <c r="P312" s="312">
        <f t="shared" si="259"/>
        <v>4515145</v>
      </c>
      <c r="Q312" s="20"/>
      <c r="R312" s="50"/>
    </row>
    <row r="313" spans="1:18" ht="93" thickTop="1" thickBot="1" x14ac:dyDescent="0.25">
      <c r="A313" s="101" t="s">
        <v>553</v>
      </c>
      <c r="B313" s="101" t="s">
        <v>518</v>
      </c>
      <c r="C313" s="101" t="s">
        <v>251</v>
      </c>
      <c r="D313" s="101" t="s">
        <v>519</v>
      </c>
      <c r="E313" s="309">
        <f>F313</f>
        <v>2000000</v>
      </c>
      <c r="F313" s="323">
        <v>2000000</v>
      </c>
      <c r="G313" s="323"/>
      <c r="H313" s="323"/>
      <c r="I313" s="323"/>
      <c r="J313" s="325">
        <f>L313+O313</f>
        <v>0</v>
      </c>
      <c r="K313" s="458">
        <v>0</v>
      </c>
      <c r="L313" s="323"/>
      <c r="M313" s="323"/>
      <c r="N313" s="323"/>
      <c r="O313" s="455">
        <f>K313</f>
        <v>0</v>
      </c>
      <c r="P313" s="325">
        <f>E313+J313</f>
        <v>2000000</v>
      </c>
      <c r="Q313" s="20"/>
      <c r="R313" s="50"/>
    </row>
    <row r="314" spans="1:18" ht="48" thickTop="1" thickBot="1" x14ac:dyDescent="0.25">
      <c r="A314" s="101" t="s">
        <v>554</v>
      </c>
      <c r="B314" s="101" t="s">
        <v>250</v>
      </c>
      <c r="C314" s="101" t="s">
        <v>251</v>
      </c>
      <c r="D314" s="101" t="s">
        <v>249</v>
      </c>
      <c r="E314" s="309">
        <f t="shared" ref="E314:E315" si="260">F314</f>
        <v>2515145</v>
      </c>
      <c r="F314" s="323">
        <v>2515145</v>
      </c>
      <c r="G314" s="323">
        <v>1953964</v>
      </c>
      <c r="H314" s="323">
        <f>2500+35000+16380</f>
        <v>53880</v>
      </c>
      <c r="I314" s="323"/>
      <c r="J314" s="325">
        <f>L314+O314</f>
        <v>0</v>
      </c>
      <c r="K314" s="458">
        <v>0</v>
      </c>
      <c r="L314" s="323"/>
      <c r="M314" s="323"/>
      <c r="N314" s="323"/>
      <c r="O314" s="455">
        <f>K314</f>
        <v>0</v>
      </c>
      <c r="P314" s="325">
        <f>E314+J314</f>
        <v>2515145</v>
      </c>
      <c r="Q314" s="20"/>
      <c r="R314" s="46"/>
    </row>
    <row r="315" spans="1:18" ht="48" hidden="1" thickTop="1" thickBot="1" x14ac:dyDescent="0.25">
      <c r="A315" s="41" t="s">
        <v>555</v>
      </c>
      <c r="B315" s="41" t="s">
        <v>556</v>
      </c>
      <c r="C315" s="41" t="s">
        <v>251</v>
      </c>
      <c r="D315" s="41" t="s">
        <v>557</v>
      </c>
      <c r="E315" s="158">
        <f t="shared" si="260"/>
        <v>0</v>
      </c>
      <c r="F315" s="159">
        <f>(1219000)-1219000</f>
        <v>0</v>
      </c>
      <c r="G315" s="159">
        <f>(354000+540000)-894000</f>
        <v>0</v>
      </c>
      <c r="H315" s="159">
        <f>(6000+3000)-9000</f>
        <v>0</v>
      </c>
      <c r="I315" s="159"/>
      <c r="J315" s="42">
        <f>L315+O315</f>
        <v>0</v>
      </c>
      <c r="K315" s="43"/>
      <c r="L315" s="159"/>
      <c r="M315" s="159"/>
      <c r="N315" s="159"/>
      <c r="O315" s="44">
        <f>K315</f>
        <v>0</v>
      </c>
      <c r="P315" s="42">
        <f>E315+J315</f>
        <v>0</v>
      </c>
      <c r="Q315" s="20"/>
      <c r="R315" s="50"/>
    </row>
    <row r="316" spans="1:18" ht="47.25" hidden="1" thickTop="1" thickBot="1" x14ac:dyDescent="0.25">
      <c r="A316" s="123" t="s">
        <v>1481</v>
      </c>
      <c r="B316" s="123" t="s">
        <v>702</v>
      </c>
      <c r="C316" s="123"/>
      <c r="D316" s="123" t="s">
        <v>703</v>
      </c>
      <c r="E316" s="125">
        <f>E317</f>
        <v>0</v>
      </c>
      <c r="F316" s="125">
        <f t="shared" ref="F316:P317" si="261">F317</f>
        <v>0</v>
      </c>
      <c r="G316" s="125">
        <f t="shared" si="261"/>
        <v>0</v>
      </c>
      <c r="H316" s="125">
        <f t="shared" si="261"/>
        <v>0</v>
      </c>
      <c r="I316" s="125">
        <f t="shared" si="261"/>
        <v>0</v>
      </c>
      <c r="J316" s="125">
        <f t="shared" si="261"/>
        <v>0</v>
      </c>
      <c r="K316" s="125">
        <f t="shared" si="261"/>
        <v>0</v>
      </c>
      <c r="L316" s="125">
        <f t="shared" si="261"/>
        <v>0</v>
      </c>
      <c r="M316" s="125">
        <f t="shared" si="261"/>
        <v>0</v>
      </c>
      <c r="N316" s="125">
        <f t="shared" si="261"/>
        <v>0</v>
      </c>
      <c r="O316" s="125">
        <f t="shared" si="261"/>
        <v>0</v>
      </c>
      <c r="P316" s="125">
        <f t="shared" si="261"/>
        <v>0</v>
      </c>
      <c r="Q316" s="20"/>
      <c r="R316" s="50"/>
    </row>
    <row r="317" spans="1:18" ht="91.5" hidden="1" thickTop="1" thickBot="1" x14ac:dyDescent="0.25">
      <c r="A317" s="134" t="s">
        <v>1482</v>
      </c>
      <c r="B317" s="134" t="s">
        <v>705</v>
      </c>
      <c r="C317" s="134"/>
      <c r="D317" s="134" t="s">
        <v>706</v>
      </c>
      <c r="E317" s="135">
        <f>E318</f>
        <v>0</v>
      </c>
      <c r="F317" s="135">
        <f t="shared" si="261"/>
        <v>0</v>
      </c>
      <c r="G317" s="135">
        <f t="shared" si="261"/>
        <v>0</v>
      </c>
      <c r="H317" s="135">
        <f t="shared" si="261"/>
        <v>0</v>
      </c>
      <c r="I317" s="135">
        <f t="shared" si="261"/>
        <v>0</v>
      </c>
      <c r="J317" s="135">
        <f t="shared" si="261"/>
        <v>0</v>
      </c>
      <c r="K317" s="135">
        <f t="shared" si="261"/>
        <v>0</v>
      </c>
      <c r="L317" s="135">
        <f t="shared" si="261"/>
        <v>0</v>
      </c>
      <c r="M317" s="135">
        <f t="shared" si="261"/>
        <v>0</v>
      </c>
      <c r="N317" s="135">
        <f t="shared" si="261"/>
        <v>0</v>
      </c>
      <c r="O317" s="135">
        <f t="shared" si="261"/>
        <v>0</v>
      </c>
      <c r="P317" s="135">
        <f t="shared" si="261"/>
        <v>0</v>
      </c>
      <c r="Q317" s="20"/>
      <c r="R317" s="50"/>
    </row>
    <row r="318" spans="1:18" ht="48" hidden="1" thickTop="1" thickBot="1" x14ac:dyDescent="0.25">
      <c r="A318" s="126" t="s">
        <v>1483</v>
      </c>
      <c r="B318" s="126" t="s">
        <v>363</v>
      </c>
      <c r="C318" s="126" t="s">
        <v>43</v>
      </c>
      <c r="D318" s="126" t="s">
        <v>364</v>
      </c>
      <c r="E318" s="125">
        <f t="shared" ref="E318" si="262">F318</f>
        <v>0</v>
      </c>
      <c r="F318" s="132"/>
      <c r="G318" s="132"/>
      <c r="H318" s="132"/>
      <c r="I318" s="132"/>
      <c r="J318" s="125">
        <f>L318+O318</f>
        <v>0</v>
      </c>
      <c r="K318" s="132">
        <v>0</v>
      </c>
      <c r="L318" s="132"/>
      <c r="M318" s="132"/>
      <c r="N318" s="132"/>
      <c r="O318" s="130">
        <f>K318</f>
        <v>0</v>
      </c>
      <c r="P318" s="125">
        <f>E318+J318</f>
        <v>0</v>
      </c>
      <c r="Q318" s="20"/>
      <c r="R318" s="50"/>
    </row>
    <row r="319" spans="1:18" ht="120" customHeight="1" thickTop="1" thickBot="1" x14ac:dyDescent="0.25">
      <c r="A319" s="645" t="s">
        <v>25</v>
      </c>
      <c r="B319" s="645"/>
      <c r="C319" s="645"/>
      <c r="D319" s="646" t="s">
        <v>1346</v>
      </c>
      <c r="E319" s="647">
        <f>E320</f>
        <v>3767165</v>
      </c>
      <c r="F319" s="648">
        <f t="shared" ref="F319:G319" si="263">F320</f>
        <v>3767165</v>
      </c>
      <c r="G319" s="648">
        <f t="shared" si="263"/>
        <v>2744545</v>
      </c>
      <c r="H319" s="648">
        <f>H320</f>
        <v>129800</v>
      </c>
      <c r="I319" s="648">
        <f t="shared" ref="I319" si="264">I320</f>
        <v>0</v>
      </c>
      <c r="J319" s="647">
        <f>J320</f>
        <v>64204457.939999998</v>
      </c>
      <c r="K319" s="648">
        <f>K320</f>
        <v>64204457.939999998</v>
      </c>
      <c r="L319" s="648">
        <f>L320</f>
        <v>0</v>
      </c>
      <c r="M319" s="648">
        <f t="shared" ref="M319" si="265">M320</f>
        <v>0</v>
      </c>
      <c r="N319" s="648">
        <f>N320</f>
        <v>0</v>
      </c>
      <c r="O319" s="647">
        <f>O320</f>
        <v>64204457.939999998</v>
      </c>
      <c r="P319" s="648">
        <f t="shared" ref="P319" si="266">P320</f>
        <v>67971622.939999998</v>
      </c>
      <c r="Q319" s="20"/>
    </row>
    <row r="320" spans="1:18" ht="120" customHeight="1" thickTop="1" thickBot="1" x14ac:dyDescent="0.25">
      <c r="A320" s="642" t="s">
        <v>26</v>
      </c>
      <c r="B320" s="642"/>
      <c r="C320" s="642"/>
      <c r="D320" s="643" t="s">
        <v>892</v>
      </c>
      <c r="E320" s="644">
        <f>E321+E327+E330+E325</f>
        <v>3767165</v>
      </c>
      <c r="F320" s="644">
        <f>F321+F327+F330+F325</f>
        <v>3767165</v>
      </c>
      <c r="G320" s="644">
        <f>G321+G327+G330+G325</f>
        <v>2744545</v>
      </c>
      <c r="H320" s="644">
        <f>H321+H327+H330+H325</f>
        <v>129800</v>
      </c>
      <c r="I320" s="644">
        <f>I321+I327+I330+I325</f>
        <v>0</v>
      </c>
      <c r="J320" s="644">
        <f>L320+O320</f>
        <v>64204457.939999998</v>
      </c>
      <c r="K320" s="644">
        <f>K321+K327+K330+K325</f>
        <v>64204457.939999998</v>
      </c>
      <c r="L320" s="644">
        <f>L321+L327+L330+L325</f>
        <v>0</v>
      </c>
      <c r="M320" s="644">
        <f>M321+M327+M330+M325</f>
        <v>0</v>
      </c>
      <c r="N320" s="644">
        <f>N321+N327+N330+N325</f>
        <v>0</v>
      </c>
      <c r="O320" s="644">
        <f>O321+O327+O330+O325</f>
        <v>64204457.939999998</v>
      </c>
      <c r="P320" s="644">
        <f>E320+J320</f>
        <v>67971622.939999998</v>
      </c>
      <c r="Q320" s="492" t="b">
        <f>P320=P322+P334+P337+P326</f>
        <v>0</v>
      </c>
      <c r="R320" s="46"/>
    </row>
    <row r="321" spans="1:18" ht="47.25" thickTop="1" thickBot="1" x14ac:dyDescent="0.25">
      <c r="A321" s="308" t="s">
        <v>813</v>
      </c>
      <c r="B321" s="308" t="s">
        <v>684</v>
      </c>
      <c r="C321" s="308"/>
      <c r="D321" s="308" t="s">
        <v>685</v>
      </c>
      <c r="E321" s="325">
        <f t="shared" ref="E321:P321" si="267">SUM(E322:E324)</f>
        <v>3767165</v>
      </c>
      <c r="F321" s="325">
        <f t="shared" si="267"/>
        <v>3767165</v>
      </c>
      <c r="G321" s="325">
        <f t="shared" si="267"/>
        <v>2744545</v>
      </c>
      <c r="H321" s="325">
        <f t="shared" si="267"/>
        <v>129800</v>
      </c>
      <c r="I321" s="325">
        <f t="shared" si="267"/>
        <v>0</v>
      </c>
      <c r="J321" s="325">
        <f t="shared" si="267"/>
        <v>0</v>
      </c>
      <c r="K321" s="325">
        <f t="shared" si="267"/>
        <v>0</v>
      </c>
      <c r="L321" s="325">
        <f t="shared" si="267"/>
        <v>0</v>
      </c>
      <c r="M321" s="325">
        <f t="shared" si="267"/>
        <v>0</v>
      </c>
      <c r="N321" s="325">
        <f t="shared" si="267"/>
        <v>0</v>
      </c>
      <c r="O321" s="325">
        <f t="shared" si="267"/>
        <v>0</v>
      </c>
      <c r="P321" s="325">
        <f t="shared" si="267"/>
        <v>3767165</v>
      </c>
      <c r="Q321" s="47"/>
      <c r="R321" s="46"/>
    </row>
    <row r="322" spans="1:18" ht="93" thickTop="1" thickBot="1" x14ac:dyDescent="0.25">
      <c r="A322" s="101" t="s">
        <v>417</v>
      </c>
      <c r="B322" s="101" t="s">
        <v>236</v>
      </c>
      <c r="C322" s="101" t="s">
        <v>234</v>
      </c>
      <c r="D322" s="101" t="s">
        <v>235</v>
      </c>
      <c r="E322" s="325">
        <f>F322</f>
        <v>3767165</v>
      </c>
      <c r="F322" s="458">
        <v>3767165</v>
      </c>
      <c r="G322" s="458">
        <v>2744545</v>
      </c>
      <c r="H322" s="458">
        <v>129800</v>
      </c>
      <c r="I322" s="458"/>
      <c r="J322" s="325">
        <f t="shared" ref="J322:J338" si="268">L322+O322</f>
        <v>0</v>
      </c>
      <c r="K322" s="458"/>
      <c r="L322" s="458"/>
      <c r="M322" s="458"/>
      <c r="N322" s="458"/>
      <c r="O322" s="455">
        <f>K322</f>
        <v>0</v>
      </c>
      <c r="P322" s="325">
        <f t="shared" ref="P322:P338" si="269">E322+J322</f>
        <v>3767165</v>
      </c>
      <c r="Q322" s="47"/>
      <c r="R322" s="50"/>
    </row>
    <row r="323" spans="1:18" ht="93" hidden="1" thickTop="1" thickBot="1" x14ac:dyDescent="0.25">
      <c r="A323" s="126" t="s">
        <v>630</v>
      </c>
      <c r="B323" s="126" t="s">
        <v>362</v>
      </c>
      <c r="C323" s="126" t="s">
        <v>625</v>
      </c>
      <c r="D323" s="126" t="s">
        <v>626</v>
      </c>
      <c r="E323" s="150">
        <f>F323</f>
        <v>0</v>
      </c>
      <c r="F323" s="127">
        <v>0</v>
      </c>
      <c r="G323" s="127"/>
      <c r="H323" s="127"/>
      <c r="I323" s="127"/>
      <c r="J323" s="125">
        <f t="shared" si="268"/>
        <v>0</v>
      </c>
      <c r="K323" s="127"/>
      <c r="L323" s="128"/>
      <c r="M323" s="128"/>
      <c r="N323" s="128"/>
      <c r="O323" s="130">
        <f t="shared" ref="O323:O324" si="270">K323</f>
        <v>0</v>
      </c>
      <c r="P323" s="125">
        <f t="shared" ref="P323:P324" si="271">+J323+E323</f>
        <v>0</v>
      </c>
      <c r="Q323" s="47"/>
      <c r="R323" s="50"/>
    </row>
    <row r="324" spans="1:18" ht="48" hidden="1" thickTop="1" thickBot="1" x14ac:dyDescent="0.25">
      <c r="A324" s="126" t="s">
        <v>928</v>
      </c>
      <c r="B324" s="126" t="s">
        <v>43</v>
      </c>
      <c r="C324" s="126" t="s">
        <v>42</v>
      </c>
      <c r="D324" s="126" t="s">
        <v>248</v>
      </c>
      <c r="E324" s="125">
        <f>F324</f>
        <v>0</v>
      </c>
      <c r="F324" s="132">
        <v>0</v>
      </c>
      <c r="G324" s="132"/>
      <c r="H324" s="132"/>
      <c r="I324" s="132"/>
      <c r="J324" s="125">
        <f t="shared" si="268"/>
        <v>0</v>
      </c>
      <c r="K324" s="127"/>
      <c r="L324" s="128"/>
      <c r="M324" s="128"/>
      <c r="N324" s="128"/>
      <c r="O324" s="130">
        <f t="shared" si="270"/>
        <v>0</v>
      </c>
      <c r="P324" s="125">
        <f t="shared" si="271"/>
        <v>0</v>
      </c>
      <c r="Q324" s="47"/>
      <c r="R324" s="50"/>
    </row>
    <row r="325" spans="1:18" ht="47.25" thickTop="1" thickBot="1" x14ac:dyDescent="0.25">
      <c r="A325" s="308" t="s">
        <v>1235</v>
      </c>
      <c r="B325" s="308" t="s">
        <v>711</v>
      </c>
      <c r="C325" s="308"/>
      <c r="D325" s="308" t="s">
        <v>712</v>
      </c>
      <c r="E325" s="325">
        <f t="shared" ref="E325:P325" si="272">SUM(E326:E326)</f>
        <v>0</v>
      </c>
      <c r="F325" s="325">
        <f t="shared" si="272"/>
        <v>0</v>
      </c>
      <c r="G325" s="325">
        <f t="shared" si="272"/>
        <v>0</v>
      </c>
      <c r="H325" s="325">
        <f t="shared" si="272"/>
        <v>0</v>
      </c>
      <c r="I325" s="325">
        <f t="shared" si="272"/>
        <v>0</v>
      </c>
      <c r="J325" s="325">
        <f t="shared" si="272"/>
        <v>8052064</v>
      </c>
      <c r="K325" s="325">
        <f t="shared" si="272"/>
        <v>8052064</v>
      </c>
      <c r="L325" s="325">
        <f t="shared" si="272"/>
        <v>0</v>
      </c>
      <c r="M325" s="325">
        <f t="shared" si="272"/>
        <v>0</v>
      </c>
      <c r="N325" s="325">
        <f t="shared" si="272"/>
        <v>0</v>
      </c>
      <c r="O325" s="325">
        <f t="shared" si="272"/>
        <v>8052064</v>
      </c>
      <c r="P325" s="325">
        <f t="shared" si="272"/>
        <v>8052064</v>
      </c>
      <c r="Q325" s="47"/>
      <c r="R325" s="50"/>
    </row>
    <row r="326" spans="1:18" ht="93" thickTop="1" thickBot="1" x14ac:dyDescent="0.25">
      <c r="A326" s="101" t="s">
        <v>1236</v>
      </c>
      <c r="B326" s="101" t="s">
        <v>1200</v>
      </c>
      <c r="C326" s="101" t="s">
        <v>206</v>
      </c>
      <c r="D326" s="466" t="s">
        <v>1201</v>
      </c>
      <c r="E326" s="325">
        <f t="shared" ref="E326" si="273">F326</f>
        <v>0</v>
      </c>
      <c r="F326" s="458">
        <v>0</v>
      </c>
      <c r="G326" s="458"/>
      <c r="H326" s="458"/>
      <c r="I326" s="458"/>
      <c r="J326" s="325">
        <f>L326+O326</f>
        <v>8052064</v>
      </c>
      <c r="K326" s="458">
        <f>((0)+2000000-100000)+6152064</f>
        <v>8052064</v>
      </c>
      <c r="L326" s="458"/>
      <c r="M326" s="458"/>
      <c r="N326" s="458"/>
      <c r="O326" s="455">
        <f>K326</f>
        <v>8052064</v>
      </c>
      <c r="P326" s="325">
        <f>E326+J326</f>
        <v>8052064</v>
      </c>
      <c r="Q326" s="47"/>
      <c r="R326" s="50"/>
    </row>
    <row r="327" spans="1:18" ht="47.25" hidden="1" thickTop="1" thickBot="1" x14ac:dyDescent="0.25">
      <c r="A327" s="123" t="s">
        <v>814</v>
      </c>
      <c r="B327" s="123" t="s">
        <v>770</v>
      </c>
      <c r="C327" s="126"/>
      <c r="D327" s="123" t="s">
        <v>771</v>
      </c>
      <c r="E327" s="150">
        <f>E328</f>
        <v>0</v>
      </c>
      <c r="F327" s="150">
        <f t="shared" ref="F327:P328" si="274">F328</f>
        <v>0</v>
      </c>
      <c r="G327" s="150">
        <f t="shared" si="274"/>
        <v>0</v>
      </c>
      <c r="H327" s="150">
        <f t="shared" si="274"/>
        <v>0</v>
      </c>
      <c r="I327" s="150">
        <f t="shared" si="274"/>
        <v>0</v>
      </c>
      <c r="J327" s="150">
        <f t="shared" si="274"/>
        <v>0</v>
      </c>
      <c r="K327" s="150">
        <f t="shared" si="274"/>
        <v>0</v>
      </c>
      <c r="L327" s="150">
        <f t="shared" si="274"/>
        <v>0</v>
      </c>
      <c r="M327" s="150">
        <f t="shared" si="274"/>
        <v>0</v>
      </c>
      <c r="N327" s="150">
        <f t="shared" si="274"/>
        <v>0</v>
      </c>
      <c r="O327" s="150">
        <f t="shared" si="274"/>
        <v>0</v>
      </c>
      <c r="P327" s="150">
        <f t="shared" si="274"/>
        <v>0</v>
      </c>
      <c r="Q327" s="47"/>
      <c r="R327" s="50"/>
    </row>
    <row r="328" spans="1:18" ht="48" hidden="1" thickTop="1" thickBot="1" x14ac:dyDescent="0.25">
      <c r="A328" s="138" t="s">
        <v>815</v>
      </c>
      <c r="B328" s="138" t="s">
        <v>816</v>
      </c>
      <c r="C328" s="138"/>
      <c r="D328" s="138" t="s">
        <v>817</v>
      </c>
      <c r="E328" s="156">
        <f>E329</f>
        <v>0</v>
      </c>
      <c r="F328" s="156">
        <f t="shared" si="274"/>
        <v>0</v>
      </c>
      <c r="G328" s="156">
        <f t="shared" si="274"/>
        <v>0</v>
      </c>
      <c r="H328" s="156">
        <f t="shared" si="274"/>
        <v>0</v>
      </c>
      <c r="I328" s="156">
        <f t="shared" si="274"/>
        <v>0</v>
      </c>
      <c r="J328" s="156">
        <f t="shared" si="274"/>
        <v>0</v>
      </c>
      <c r="K328" s="156">
        <f t="shared" si="274"/>
        <v>0</v>
      </c>
      <c r="L328" s="156">
        <f t="shared" si="274"/>
        <v>0</v>
      </c>
      <c r="M328" s="156">
        <f t="shared" si="274"/>
        <v>0</v>
      </c>
      <c r="N328" s="156">
        <f t="shared" si="274"/>
        <v>0</v>
      </c>
      <c r="O328" s="156">
        <f t="shared" si="274"/>
        <v>0</v>
      </c>
      <c r="P328" s="156">
        <f t="shared" si="274"/>
        <v>0</v>
      </c>
      <c r="Q328" s="47"/>
      <c r="R328" s="50"/>
    </row>
    <row r="329" spans="1:18" ht="184.5" hidden="1" thickTop="1" thickBot="1" x14ac:dyDescent="0.25">
      <c r="A329" s="126" t="s">
        <v>433</v>
      </c>
      <c r="B329" s="126" t="s">
        <v>434</v>
      </c>
      <c r="C329" s="126" t="s">
        <v>195</v>
      </c>
      <c r="D329" s="126" t="s">
        <v>1178</v>
      </c>
      <c r="E329" s="125">
        <f t="shared" ref="E329:E336" si="275">F329</f>
        <v>0</v>
      </c>
      <c r="F329" s="132"/>
      <c r="G329" s="132"/>
      <c r="H329" s="132"/>
      <c r="I329" s="132"/>
      <c r="J329" s="125">
        <f t="shared" si="268"/>
        <v>0</v>
      </c>
      <c r="K329" s="132">
        <v>0</v>
      </c>
      <c r="L329" s="132"/>
      <c r="M329" s="132"/>
      <c r="N329" s="132"/>
      <c r="O329" s="130">
        <f t="shared" ref="O329" si="276">K329</f>
        <v>0</v>
      </c>
      <c r="P329" s="125">
        <f t="shared" si="269"/>
        <v>0</v>
      </c>
      <c r="Q329" s="47"/>
      <c r="R329" s="46"/>
    </row>
    <row r="330" spans="1:18" ht="47.25" thickTop="1" thickBot="1" x14ac:dyDescent="0.25">
      <c r="A330" s="308" t="s">
        <v>818</v>
      </c>
      <c r="B330" s="308" t="s">
        <v>748</v>
      </c>
      <c r="C330" s="101"/>
      <c r="D330" s="308" t="s">
        <v>794</v>
      </c>
      <c r="E330" s="325">
        <f>E331+E339</f>
        <v>0</v>
      </c>
      <c r="F330" s="325">
        <f t="shared" ref="F330:P330" si="277">F331+F339</f>
        <v>0</v>
      </c>
      <c r="G330" s="325">
        <f t="shared" si="277"/>
        <v>0</v>
      </c>
      <c r="H330" s="325">
        <f t="shared" si="277"/>
        <v>0</v>
      </c>
      <c r="I330" s="325">
        <f t="shared" si="277"/>
        <v>0</v>
      </c>
      <c r="J330" s="325">
        <f t="shared" si="277"/>
        <v>56152393.939999998</v>
      </c>
      <c r="K330" s="325">
        <f t="shared" si="277"/>
        <v>56152393.939999998</v>
      </c>
      <c r="L330" s="325">
        <f t="shared" si="277"/>
        <v>0</v>
      </c>
      <c r="M330" s="325">
        <f t="shared" si="277"/>
        <v>0</v>
      </c>
      <c r="N330" s="325">
        <f t="shared" si="277"/>
        <v>0</v>
      </c>
      <c r="O330" s="325">
        <f t="shared" si="277"/>
        <v>56152393.939999998</v>
      </c>
      <c r="P330" s="325">
        <f t="shared" si="277"/>
        <v>56152393.939999998</v>
      </c>
      <c r="Q330" s="45"/>
      <c r="R330" s="46"/>
    </row>
    <row r="331" spans="1:18" ht="47.25" thickTop="1" thickBot="1" x14ac:dyDescent="0.25">
      <c r="A331" s="310" t="s">
        <v>819</v>
      </c>
      <c r="B331" s="310" t="s">
        <v>803</v>
      </c>
      <c r="C331" s="310"/>
      <c r="D331" s="310" t="s">
        <v>804</v>
      </c>
      <c r="E331" s="312">
        <f t="shared" ref="E331:P331" si="278">SUM(E332:E338)-E333</f>
        <v>0</v>
      </c>
      <c r="F331" s="312">
        <f t="shared" si="278"/>
        <v>0</v>
      </c>
      <c r="G331" s="312">
        <f t="shared" si="278"/>
        <v>0</v>
      </c>
      <c r="H331" s="312">
        <f t="shared" si="278"/>
        <v>0</v>
      </c>
      <c r="I331" s="312">
        <f t="shared" si="278"/>
        <v>0</v>
      </c>
      <c r="J331" s="312">
        <f t="shared" si="278"/>
        <v>56152393.939999998</v>
      </c>
      <c r="K331" s="312">
        <f t="shared" si="278"/>
        <v>56152393.939999998</v>
      </c>
      <c r="L331" s="312">
        <f t="shared" si="278"/>
        <v>0</v>
      </c>
      <c r="M331" s="312">
        <f t="shared" si="278"/>
        <v>0</v>
      </c>
      <c r="N331" s="312">
        <f t="shared" si="278"/>
        <v>0</v>
      </c>
      <c r="O331" s="312">
        <f t="shared" si="278"/>
        <v>56152393.939999998</v>
      </c>
      <c r="P331" s="312">
        <f t="shared" si="278"/>
        <v>56152393.939999998</v>
      </c>
      <c r="Q331" s="45"/>
      <c r="R331" s="46"/>
    </row>
    <row r="332" spans="1:18" ht="54" hidden="1" thickTop="1" thickBot="1" x14ac:dyDescent="0.25">
      <c r="A332" s="101" t="s">
        <v>927</v>
      </c>
      <c r="B332" s="101" t="s">
        <v>305</v>
      </c>
      <c r="C332" s="101" t="s">
        <v>304</v>
      </c>
      <c r="D332" s="101" t="s">
        <v>1497</v>
      </c>
      <c r="E332" s="325">
        <f t="shared" ref="E332" si="279">F332</f>
        <v>0</v>
      </c>
      <c r="F332" s="458"/>
      <c r="G332" s="458"/>
      <c r="H332" s="458"/>
      <c r="I332" s="458"/>
      <c r="J332" s="325">
        <f t="shared" ref="J332" si="280">L332+O332</f>
        <v>0</v>
      </c>
      <c r="K332" s="458">
        <v>0</v>
      </c>
      <c r="L332" s="458"/>
      <c r="M332" s="458"/>
      <c r="N332" s="458"/>
      <c r="O332" s="455">
        <f>K332</f>
        <v>0</v>
      </c>
      <c r="P332" s="325">
        <f t="shared" ref="P332" si="281">E332+J332</f>
        <v>0</v>
      </c>
      <c r="Q332" s="45"/>
      <c r="R332" s="46"/>
    </row>
    <row r="333" spans="1:18" ht="54.75" thickTop="1" thickBot="1" x14ac:dyDescent="0.25">
      <c r="A333" s="326" t="s">
        <v>820</v>
      </c>
      <c r="B333" s="326" t="s">
        <v>821</v>
      </c>
      <c r="C333" s="326"/>
      <c r="D333" s="326" t="s">
        <v>1503</v>
      </c>
      <c r="E333" s="322">
        <f>SUM(E334:E335)</f>
        <v>0</v>
      </c>
      <c r="F333" s="322">
        <f t="shared" ref="F333:P333" si="282">SUM(F334:F335)</f>
        <v>0</v>
      </c>
      <c r="G333" s="322">
        <f t="shared" si="282"/>
        <v>0</v>
      </c>
      <c r="H333" s="322">
        <f t="shared" si="282"/>
        <v>0</v>
      </c>
      <c r="I333" s="322">
        <f t="shared" si="282"/>
        <v>0</v>
      </c>
      <c r="J333" s="322">
        <f t="shared" si="282"/>
        <v>50425815.939999998</v>
      </c>
      <c r="K333" s="322">
        <f t="shared" si="282"/>
        <v>50425815.939999998</v>
      </c>
      <c r="L333" s="322">
        <f t="shared" si="282"/>
        <v>0</v>
      </c>
      <c r="M333" s="322">
        <f t="shared" si="282"/>
        <v>0</v>
      </c>
      <c r="N333" s="322">
        <f t="shared" si="282"/>
        <v>0</v>
      </c>
      <c r="O333" s="322">
        <f t="shared" si="282"/>
        <v>50425815.939999998</v>
      </c>
      <c r="P333" s="322">
        <f t="shared" si="282"/>
        <v>50425815.939999998</v>
      </c>
      <c r="Q333" s="45"/>
      <c r="R333" s="46"/>
    </row>
    <row r="334" spans="1:18" ht="54" thickTop="1" thickBot="1" x14ac:dyDescent="0.25">
      <c r="A334" s="101" t="s">
        <v>310</v>
      </c>
      <c r="B334" s="101" t="s">
        <v>311</v>
      </c>
      <c r="C334" s="101" t="s">
        <v>304</v>
      </c>
      <c r="D334" s="101" t="s">
        <v>1499</v>
      </c>
      <c r="E334" s="325">
        <f t="shared" si="275"/>
        <v>0</v>
      </c>
      <c r="F334" s="458"/>
      <c r="G334" s="458"/>
      <c r="H334" s="458"/>
      <c r="I334" s="458"/>
      <c r="J334" s="325">
        <f t="shared" si="268"/>
        <v>49425815.939999998</v>
      </c>
      <c r="K334" s="458">
        <f>((13000000)+27425815.94)+9000000</f>
        <v>49425815.939999998</v>
      </c>
      <c r="L334" s="458"/>
      <c r="M334" s="458"/>
      <c r="N334" s="458"/>
      <c r="O334" s="455">
        <f>K334</f>
        <v>49425815.939999998</v>
      </c>
      <c r="P334" s="325">
        <f t="shared" si="269"/>
        <v>49425815.939999998</v>
      </c>
      <c r="Q334" s="473"/>
      <c r="R334" s="46"/>
    </row>
    <row r="335" spans="1:18" ht="54" thickTop="1" thickBot="1" x14ac:dyDescent="0.25">
      <c r="A335" s="101" t="s">
        <v>516</v>
      </c>
      <c r="B335" s="101" t="s">
        <v>517</v>
      </c>
      <c r="C335" s="101" t="s">
        <v>304</v>
      </c>
      <c r="D335" s="101" t="s">
        <v>1504</v>
      </c>
      <c r="E335" s="325">
        <f t="shared" si="275"/>
        <v>0</v>
      </c>
      <c r="F335" s="458"/>
      <c r="G335" s="458"/>
      <c r="H335" s="458"/>
      <c r="I335" s="458"/>
      <c r="J335" s="325">
        <f t="shared" si="268"/>
        <v>1000000</v>
      </c>
      <c r="K335" s="458">
        <f>(0)+1000000</f>
        <v>1000000</v>
      </c>
      <c r="L335" s="458"/>
      <c r="M335" s="458"/>
      <c r="N335" s="458"/>
      <c r="O335" s="455">
        <f>K335</f>
        <v>1000000</v>
      </c>
      <c r="P335" s="325">
        <f t="shared" si="269"/>
        <v>1000000</v>
      </c>
      <c r="Q335" s="124"/>
      <c r="R335" s="46"/>
    </row>
    <row r="336" spans="1:18" ht="54" hidden="1" thickTop="1" thickBot="1" x14ac:dyDescent="0.25">
      <c r="A336" s="101" t="s">
        <v>312</v>
      </c>
      <c r="B336" s="101" t="s">
        <v>313</v>
      </c>
      <c r="C336" s="101" t="s">
        <v>304</v>
      </c>
      <c r="D336" s="101" t="s">
        <v>1505</v>
      </c>
      <c r="E336" s="325">
        <f t="shared" si="275"/>
        <v>0</v>
      </c>
      <c r="F336" s="458"/>
      <c r="G336" s="458"/>
      <c r="H336" s="458"/>
      <c r="I336" s="458"/>
      <c r="J336" s="325">
        <f t="shared" si="268"/>
        <v>0</v>
      </c>
      <c r="K336" s="458"/>
      <c r="L336" s="458"/>
      <c r="M336" s="458"/>
      <c r="N336" s="458"/>
      <c r="O336" s="455">
        <f>K336</f>
        <v>0</v>
      </c>
      <c r="P336" s="325">
        <f t="shared" si="269"/>
        <v>0</v>
      </c>
      <c r="Q336" s="124"/>
    </row>
    <row r="337" spans="1:18" ht="54" thickTop="1" thickBot="1" x14ac:dyDescent="0.3">
      <c r="A337" s="101" t="s">
        <v>314</v>
      </c>
      <c r="B337" s="101" t="s">
        <v>315</v>
      </c>
      <c r="C337" s="101" t="s">
        <v>304</v>
      </c>
      <c r="D337" s="101" t="s">
        <v>1500</v>
      </c>
      <c r="E337" s="325">
        <f>F337</f>
        <v>0</v>
      </c>
      <c r="F337" s="458"/>
      <c r="G337" s="458"/>
      <c r="H337" s="458"/>
      <c r="I337" s="458"/>
      <c r="J337" s="325">
        <f t="shared" si="268"/>
        <v>5726578</v>
      </c>
      <c r="K337" s="458">
        <f>(((3000000)+100000)+26578)+2600000</f>
        <v>5726578</v>
      </c>
      <c r="L337" s="458"/>
      <c r="M337" s="458"/>
      <c r="N337" s="458"/>
      <c r="O337" s="455">
        <f>K337</f>
        <v>5726578</v>
      </c>
      <c r="P337" s="325">
        <f t="shared" si="269"/>
        <v>5726578</v>
      </c>
      <c r="Q337" s="160"/>
      <c r="R337" s="46"/>
    </row>
    <row r="338" spans="1:18" ht="48" hidden="1" thickTop="1" thickBot="1" x14ac:dyDescent="0.25">
      <c r="A338" s="41" t="s">
        <v>437</v>
      </c>
      <c r="B338" s="41" t="s">
        <v>350</v>
      </c>
      <c r="C338" s="41" t="s">
        <v>170</v>
      </c>
      <c r="D338" s="41" t="s">
        <v>262</v>
      </c>
      <c r="E338" s="42">
        <f>F338</f>
        <v>0</v>
      </c>
      <c r="F338" s="43"/>
      <c r="G338" s="43"/>
      <c r="H338" s="43"/>
      <c r="I338" s="43"/>
      <c r="J338" s="42">
        <f t="shared" si="268"/>
        <v>0</v>
      </c>
      <c r="K338" s="43">
        <v>0</v>
      </c>
      <c r="L338" s="43"/>
      <c r="M338" s="43"/>
      <c r="N338" s="43"/>
      <c r="O338" s="44">
        <f>K338</f>
        <v>0</v>
      </c>
      <c r="P338" s="42">
        <f t="shared" si="269"/>
        <v>0</v>
      </c>
      <c r="Q338" s="20"/>
      <c r="R338" s="46"/>
    </row>
    <row r="339" spans="1:18" ht="47.25" hidden="1" thickTop="1" thickBot="1" x14ac:dyDescent="0.25">
      <c r="A339" s="134" t="s">
        <v>989</v>
      </c>
      <c r="B339" s="134" t="s">
        <v>691</v>
      </c>
      <c r="C339" s="134"/>
      <c r="D339" s="134" t="s">
        <v>689</v>
      </c>
      <c r="E339" s="157">
        <f>E340</f>
        <v>0</v>
      </c>
      <c r="F339" s="157">
        <f>F340</f>
        <v>0</v>
      </c>
      <c r="G339" s="157">
        <f>G340</f>
        <v>0</v>
      </c>
      <c r="H339" s="157">
        <f>H340</f>
        <v>0</v>
      </c>
      <c r="I339" s="157">
        <f>I340</f>
        <v>0</v>
      </c>
      <c r="J339" s="157">
        <f t="shared" ref="J339:O339" si="283">J340</f>
        <v>0</v>
      </c>
      <c r="K339" s="157">
        <f t="shared" si="283"/>
        <v>0</v>
      </c>
      <c r="L339" s="157">
        <f t="shared" si="283"/>
        <v>0</v>
      </c>
      <c r="M339" s="157">
        <f t="shared" si="283"/>
        <v>0</v>
      </c>
      <c r="N339" s="157">
        <f t="shared" si="283"/>
        <v>0</v>
      </c>
      <c r="O339" s="157">
        <f t="shared" si="283"/>
        <v>0</v>
      </c>
      <c r="P339" s="157">
        <f>P340</f>
        <v>0</v>
      </c>
      <c r="Q339" s="20"/>
      <c r="R339" s="46"/>
    </row>
    <row r="340" spans="1:18" ht="48" hidden="1" thickTop="1" thickBot="1" x14ac:dyDescent="0.25">
      <c r="A340" s="138" t="s">
        <v>990</v>
      </c>
      <c r="B340" s="138" t="s">
        <v>694</v>
      </c>
      <c r="C340" s="138"/>
      <c r="D340" s="138" t="s">
        <v>797</v>
      </c>
      <c r="E340" s="156">
        <f>E341+E343</f>
        <v>0</v>
      </c>
      <c r="F340" s="156">
        <f t="shared" ref="F340:P340" si="284">F341+F343</f>
        <v>0</v>
      </c>
      <c r="G340" s="156">
        <f t="shared" si="284"/>
        <v>0</v>
      </c>
      <c r="H340" s="156">
        <f t="shared" si="284"/>
        <v>0</v>
      </c>
      <c r="I340" s="156">
        <f t="shared" si="284"/>
        <v>0</v>
      </c>
      <c r="J340" s="156">
        <f t="shared" si="284"/>
        <v>0</v>
      </c>
      <c r="K340" s="156">
        <f t="shared" si="284"/>
        <v>0</v>
      </c>
      <c r="L340" s="156">
        <f t="shared" si="284"/>
        <v>0</v>
      </c>
      <c r="M340" s="156">
        <f t="shared" si="284"/>
        <v>0</v>
      </c>
      <c r="N340" s="156">
        <f t="shared" si="284"/>
        <v>0</v>
      </c>
      <c r="O340" s="156">
        <f t="shared" si="284"/>
        <v>0</v>
      </c>
      <c r="P340" s="156">
        <f t="shared" si="284"/>
        <v>0</v>
      </c>
      <c r="Q340" s="20"/>
      <c r="R340" s="46"/>
    </row>
    <row r="341" spans="1:18" ht="184.5" hidden="1" thickTop="1" thickBot="1" x14ac:dyDescent="0.7">
      <c r="A341" s="788" t="s">
        <v>991</v>
      </c>
      <c r="B341" s="788" t="s">
        <v>338</v>
      </c>
      <c r="C341" s="788" t="s">
        <v>170</v>
      </c>
      <c r="D341" s="161" t="s">
        <v>440</v>
      </c>
      <c r="E341" s="789">
        <f t="shared" ref="E341" si="285">F341</f>
        <v>0</v>
      </c>
      <c r="F341" s="782"/>
      <c r="G341" s="782"/>
      <c r="H341" s="782"/>
      <c r="I341" s="782"/>
      <c r="J341" s="789">
        <f t="shared" ref="J341" si="286">L341+O341</f>
        <v>0</v>
      </c>
      <c r="K341" s="782"/>
      <c r="L341" s="782"/>
      <c r="M341" s="782"/>
      <c r="N341" s="782"/>
      <c r="O341" s="783">
        <f>K341</f>
        <v>0</v>
      </c>
      <c r="P341" s="785">
        <f>E341+J341</f>
        <v>0</v>
      </c>
      <c r="Q341" s="20"/>
      <c r="R341" s="46"/>
    </row>
    <row r="342" spans="1:18" ht="93" hidden="1" thickTop="1" thickBot="1" x14ac:dyDescent="0.25">
      <c r="A342" s="788"/>
      <c r="B342" s="788"/>
      <c r="C342" s="788"/>
      <c r="D342" s="162" t="s">
        <v>441</v>
      </c>
      <c r="E342" s="789"/>
      <c r="F342" s="782"/>
      <c r="G342" s="782"/>
      <c r="H342" s="782"/>
      <c r="I342" s="782"/>
      <c r="J342" s="789"/>
      <c r="K342" s="782"/>
      <c r="L342" s="782"/>
      <c r="M342" s="782"/>
      <c r="N342" s="782"/>
      <c r="O342" s="783"/>
      <c r="P342" s="785"/>
      <c r="Q342" s="20"/>
      <c r="R342" s="46"/>
    </row>
    <row r="343" spans="1:18" ht="48" hidden="1" thickTop="1" thickBot="1" x14ac:dyDescent="0.25">
      <c r="A343" s="126" t="s">
        <v>1193</v>
      </c>
      <c r="B343" s="126" t="s">
        <v>257</v>
      </c>
      <c r="C343" s="126" t="s">
        <v>170</v>
      </c>
      <c r="D343" s="154" t="s">
        <v>255</v>
      </c>
      <c r="E343" s="125">
        <f>F343</f>
        <v>0</v>
      </c>
      <c r="F343" s="132"/>
      <c r="G343" s="132"/>
      <c r="H343" s="132"/>
      <c r="I343" s="132"/>
      <c r="J343" s="125">
        <f t="shared" ref="J343" si="287">L343+O343</f>
        <v>0</v>
      </c>
      <c r="K343" s="132"/>
      <c r="L343" s="132"/>
      <c r="M343" s="132"/>
      <c r="N343" s="132"/>
      <c r="O343" s="130">
        <f>K343</f>
        <v>0</v>
      </c>
      <c r="P343" s="125">
        <f t="shared" ref="P343" si="288">E343+J343</f>
        <v>0</v>
      </c>
      <c r="Q343" s="20"/>
      <c r="R343" s="46"/>
    </row>
    <row r="344" spans="1:18" ht="120" customHeight="1" thickTop="1" thickBot="1" x14ac:dyDescent="0.25">
      <c r="A344" s="645" t="s">
        <v>160</v>
      </c>
      <c r="B344" s="645"/>
      <c r="C344" s="645"/>
      <c r="D344" s="646" t="s">
        <v>893</v>
      </c>
      <c r="E344" s="647">
        <f>E345</f>
        <v>8309836</v>
      </c>
      <c r="F344" s="648">
        <f t="shared" ref="F344:G344" si="289">F345</f>
        <v>8309836</v>
      </c>
      <c r="G344" s="648">
        <f t="shared" si="289"/>
        <v>6132550</v>
      </c>
      <c r="H344" s="648">
        <f>H345</f>
        <v>245635</v>
      </c>
      <c r="I344" s="648">
        <f t="shared" ref="I344" si="290">I345</f>
        <v>0</v>
      </c>
      <c r="J344" s="647">
        <f>J345</f>
        <v>0</v>
      </c>
      <c r="K344" s="648">
        <f>K345</f>
        <v>0</v>
      </c>
      <c r="L344" s="648">
        <f>L345</f>
        <v>0</v>
      </c>
      <c r="M344" s="648">
        <f t="shared" ref="M344" si="291">M345</f>
        <v>0</v>
      </c>
      <c r="N344" s="648">
        <f>N345</f>
        <v>0</v>
      </c>
      <c r="O344" s="647">
        <f>O345</f>
        <v>0</v>
      </c>
      <c r="P344" s="648">
        <f t="shared" ref="P344" si="292">P345</f>
        <v>8309836</v>
      </c>
      <c r="Q344" s="20"/>
    </row>
    <row r="345" spans="1:18" ht="120" customHeight="1" thickTop="1" thickBot="1" x14ac:dyDescent="0.25">
      <c r="A345" s="642" t="s">
        <v>161</v>
      </c>
      <c r="B345" s="642"/>
      <c r="C345" s="642"/>
      <c r="D345" s="643" t="s">
        <v>894</v>
      </c>
      <c r="E345" s="644">
        <f>E346+E350</f>
        <v>8309836</v>
      </c>
      <c r="F345" s="644">
        <f>F346+F350</f>
        <v>8309836</v>
      </c>
      <c r="G345" s="644">
        <f>G346+G350</f>
        <v>6132550</v>
      </c>
      <c r="H345" s="644">
        <f>H346+H350</f>
        <v>245635</v>
      </c>
      <c r="I345" s="644">
        <f>I346+I350</f>
        <v>0</v>
      </c>
      <c r="J345" s="644">
        <f>L345+O345</f>
        <v>0</v>
      </c>
      <c r="K345" s="644">
        <f>K346+K350</f>
        <v>0</v>
      </c>
      <c r="L345" s="644">
        <f>L346+L350</f>
        <v>0</v>
      </c>
      <c r="M345" s="644">
        <f>M346+M350</f>
        <v>0</v>
      </c>
      <c r="N345" s="644">
        <f>N346+N350</f>
        <v>0</v>
      </c>
      <c r="O345" s="644">
        <f>O346+O350</f>
        <v>0</v>
      </c>
      <c r="P345" s="644">
        <f>E345+J345</f>
        <v>8309836</v>
      </c>
      <c r="Q345" s="492" t="b">
        <f>P345=P347+P349</f>
        <v>1</v>
      </c>
      <c r="R345" s="46"/>
    </row>
    <row r="346" spans="1:18" ht="47.25" thickTop="1" thickBot="1" x14ac:dyDescent="0.25">
      <c r="A346" s="308" t="s">
        <v>822</v>
      </c>
      <c r="B346" s="308" t="s">
        <v>684</v>
      </c>
      <c r="C346" s="308"/>
      <c r="D346" s="308" t="s">
        <v>685</v>
      </c>
      <c r="E346" s="325">
        <f>SUM(E347:E349)</f>
        <v>8309836</v>
      </c>
      <c r="F346" s="325">
        <f t="shared" ref="F346:N346" si="293">SUM(F347:F349)</f>
        <v>8309836</v>
      </c>
      <c r="G346" s="325">
        <f t="shared" si="293"/>
        <v>6132550</v>
      </c>
      <c r="H346" s="325">
        <f t="shared" si="293"/>
        <v>245635</v>
      </c>
      <c r="I346" s="325">
        <f t="shared" si="293"/>
        <v>0</v>
      </c>
      <c r="J346" s="325">
        <f t="shared" si="293"/>
        <v>0</v>
      </c>
      <c r="K346" s="325">
        <f t="shared" si="293"/>
        <v>0</v>
      </c>
      <c r="L346" s="325">
        <f t="shared" si="293"/>
        <v>0</v>
      </c>
      <c r="M346" s="325">
        <f t="shared" si="293"/>
        <v>0</v>
      </c>
      <c r="N346" s="325">
        <f t="shared" si="293"/>
        <v>0</v>
      </c>
      <c r="O346" s="325">
        <f>SUM(O347:O349)</f>
        <v>0</v>
      </c>
      <c r="P346" s="325">
        <f>SUM(P347:P349)</f>
        <v>8309836</v>
      </c>
      <c r="Q346" s="47"/>
      <c r="R346" s="46"/>
    </row>
    <row r="347" spans="1:18" ht="93" thickTop="1" thickBot="1" x14ac:dyDescent="0.25">
      <c r="A347" s="101" t="s">
        <v>419</v>
      </c>
      <c r="B347" s="101" t="s">
        <v>236</v>
      </c>
      <c r="C347" s="101" t="s">
        <v>234</v>
      </c>
      <c r="D347" s="101" t="s">
        <v>235</v>
      </c>
      <c r="E347" s="325">
        <f>F347</f>
        <v>8209936</v>
      </c>
      <c r="F347" s="458">
        <v>8209936</v>
      </c>
      <c r="G347" s="458">
        <v>6132550</v>
      </c>
      <c r="H347" s="458">
        <v>245635</v>
      </c>
      <c r="I347" s="458"/>
      <c r="J347" s="325">
        <f>L347+O347</f>
        <v>0</v>
      </c>
      <c r="K347" s="458">
        <v>0</v>
      </c>
      <c r="L347" s="458"/>
      <c r="M347" s="458"/>
      <c r="N347" s="458"/>
      <c r="O347" s="455">
        <f>K347</f>
        <v>0</v>
      </c>
      <c r="P347" s="325">
        <f>E347+J347</f>
        <v>8209936</v>
      </c>
      <c r="Q347" s="47"/>
      <c r="R347" s="46"/>
    </row>
    <row r="348" spans="1:18" ht="93" hidden="1" thickTop="1" thickBot="1" x14ac:dyDescent="0.25">
      <c r="A348" s="126" t="s">
        <v>631</v>
      </c>
      <c r="B348" s="126" t="s">
        <v>362</v>
      </c>
      <c r="C348" s="126" t="s">
        <v>625</v>
      </c>
      <c r="D348" s="126" t="s">
        <v>626</v>
      </c>
      <c r="E348" s="150">
        <f>F348</f>
        <v>0</v>
      </c>
      <c r="F348" s="127">
        <v>0</v>
      </c>
      <c r="G348" s="127"/>
      <c r="H348" s="127"/>
      <c r="I348" s="127"/>
      <c r="J348" s="125">
        <f t="shared" ref="J348:J349" si="294">L348+O348</f>
        <v>0</v>
      </c>
      <c r="K348" s="127"/>
      <c r="L348" s="128"/>
      <c r="M348" s="128"/>
      <c r="N348" s="128"/>
      <c r="O348" s="130">
        <f t="shared" ref="O348:O349" si="295">K348</f>
        <v>0</v>
      </c>
      <c r="P348" s="125">
        <f t="shared" ref="P348" si="296">+J348+E348</f>
        <v>0</v>
      </c>
      <c r="Q348" s="47"/>
      <c r="R348" s="46"/>
    </row>
    <row r="349" spans="1:18" ht="69.75" customHeight="1" thickTop="1" thickBot="1" x14ac:dyDescent="0.25">
      <c r="A349" s="101" t="s">
        <v>1260</v>
      </c>
      <c r="B349" s="101" t="s">
        <v>43</v>
      </c>
      <c r="C349" s="101" t="s">
        <v>42</v>
      </c>
      <c r="D349" s="101" t="s">
        <v>248</v>
      </c>
      <c r="E349" s="325">
        <f t="shared" ref="E349" si="297">F349</f>
        <v>99900</v>
      </c>
      <c r="F349" s="458">
        <f>(0)+99900</f>
        <v>99900</v>
      </c>
      <c r="G349" s="458"/>
      <c r="H349" s="458"/>
      <c r="I349" s="458"/>
      <c r="J349" s="325">
        <f t="shared" si="294"/>
        <v>0</v>
      </c>
      <c r="K349" s="458"/>
      <c r="L349" s="458"/>
      <c r="M349" s="458"/>
      <c r="N349" s="458"/>
      <c r="O349" s="455">
        <f t="shared" si="295"/>
        <v>0</v>
      </c>
      <c r="P349" s="325">
        <f>E349+J349</f>
        <v>99900</v>
      </c>
      <c r="Q349" s="47"/>
      <c r="R349" s="46"/>
    </row>
    <row r="350" spans="1:18" ht="47.25" hidden="1" thickTop="1" thickBot="1" x14ac:dyDescent="0.25">
      <c r="A350" s="123" t="s">
        <v>909</v>
      </c>
      <c r="B350" s="123" t="s">
        <v>748</v>
      </c>
      <c r="C350" s="126"/>
      <c r="D350" s="123" t="s">
        <v>794</v>
      </c>
      <c r="E350" s="125">
        <f>E351</f>
        <v>0</v>
      </c>
      <c r="F350" s="125">
        <f t="shared" ref="F350:P351" si="298">F351</f>
        <v>0</v>
      </c>
      <c r="G350" s="125">
        <f t="shared" si="298"/>
        <v>0</v>
      </c>
      <c r="H350" s="125">
        <f t="shared" si="298"/>
        <v>0</v>
      </c>
      <c r="I350" s="125">
        <f t="shared" si="298"/>
        <v>0</v>
      </c>
      <c r="J350" s="125">
        <f t="shared" si="298"/>
        <v>0</v>
      </c>
      <c r="K350" s="125">
        <f t="shared" si="298"/>
        <v>0</v>
      </c>
      <c r="L350" s="125">
        <f t="shared" si="298"/>
        <v>0</v>
      </c>
      <c r="M350" s="125">
        <f t="shared" si="298"/>
        <v>0</v>
      </c>
      <c r="N350" s="125">
        <f t="shared" si="298"/>
        <v>0</v>
      </c>
      <c r="O350" s="125">
        <f t="shared" si="298"/>
        <v>0</v>
      </c>
      <c r="P350" s="125">
        <f t="shared" si="298"/>
        <v>0</v>
      </c>
      <c r="Q350" s="47"/>
      <c r="R350" s="46"/>
    </row>
    <row r="351" spans="1:18" ht="47.25" hidden="1" thickTop="1" thickBot="1" x14ac:dyDescent="0.25">
      <c r="A351" s="134" t="s">
        <v>910</v>
      </c>
      <c r="B351" s="134" t="s">
        <v>803</v>
      </c>
      <c r="C351" s="134"/>
      <c r="D351" s="134" t="s">
        <v>804</v>
      </c>
      <c r="E351" s="135">
        <f>E352</f>
        <v>0</v>
      </c>
      <c r="F351" s="135">
        <f t="shared" si="298"/>
        <v>0</v>
      </c>
      <c r="G351" s="135">
        <f t="shared" si="298"/>
        <v>0</v>
      </c>
      <c r="H351" s="135">
        <f t="shared" si="298"/>
        <v>0</v>
      </c>
      <c r="I351" s="135">
        <f t="shared" si="298"/>
        <v>0</v>
      </c>
      <c r="J351" s="135">
        <f t="shared" si="298"/>
        <v>0</v>
      </c>
      <c r="K351" s="135">
        <f t="shared" si="298"/>
        <v>0</v>
      </c>
      <c r="L351" s="135">
        <f t="shared" si="298"/>
        <v>0</v>
      </c>
      <c r="M351" s="135">
        <f t="shared" si="298"/>
        <v>0</v>
      </c>
      <c r="N351" s="135">
        <f t="shared" si="298"/>
        <v>0</v>
      </c>
      <c r="O351" s="135">
        <f t="shared" si="298"/>
        <v>0</v>
      </c>
      <c r="P351" s="135">
        <f t="shared" si="298"/>
        <v>0</v>
      </c>
      <c r="Q351" s="47"/>
      <c r="R351" s="46"/>
    </row>
    <row r="352" spans="1:18" ht="93" hidden="1" thickTop="1" thickBot="1" x14ac:dyDescent="0.25">
      <c r="A352" s="126" t="s">
        <v>911</v>
      </c>
      <c r="B352" s="126" t="s">
        <v>912</v>
      </c>
      <c r="C352" s="126" t="s">
        <v>304</v>
      </c>
      <c r="D352" s="126" t="s">
        <v>913</v>
      </c>
      <c r="E352" s="150">
        <f>F352</f>
        <v>0</v>
      </c>
      <c r="F352" s="127"/>
      <c r="G352" s="127"/>
      <c r="H352" s="127"/>
      <c r="I352" s="127"/>
      <c r="J352" s="125">
        <f t="shared" ref="J352" si="299">L352+O352</f>
        <v>0</v>
      </c>
      <c r="K352" s="127">
        <v>0</v>
      </c>
      <c r="L352" s="128"/>
      <c r="M352" s="128"/>
      <c r="N352" s="128"/>
      <c r="O352" s="130">
        <f t="shared" ref="O352" si="300">K352</f>
        <v>0</v>
      </c>
      <c r="P352" s="125">
        <f t="shared" ref="P352" si="301">+J352+E352</f>
        <v>0</v>
      </c>
      <c r="Q352" s="47"/>
      <c r="R352" s="46"/>
    </row>
    <row r="353" spans="1:18" ht="120" customHeight="1" thickTop="1" thickBot="1" x14ac:dyDescent="0.25">
      <c r="A353" s="645" t="s">
        <v>444</v>
      </c>
      <c r="B353" s="645"/>
      <c r="C353" s="645"/>
      <c r="D353" s="646" t="s">
        <v>446</v>
      </c>
      <c r="E353" s="647">
        <f>E354</f>
        <v>170804882</v>
      </c>
      <c r="F353" s="648">
        <f t="shared" ref="F353:G353" si="302">F354</f>
        <v>170804882</v>
      </c>
      <c r="G353" s="648">
        <f t="shared" si="302"/>
        <v>4332271</v>
      </c>
      <c r="H353" s="648">
        <f>H354</f>
        <v>189628</v>
      </c>
      <c r="I353" s="648">
        <f t="shared" ref="I353" si="303">I354</f>
        <v>0</v>
      </c>
      <c r="J353" s="647">
        <f>J354</f>
        <v>156500</v>
      </c>
      <c r="K353" s="648">
        <f>K354</f>
        <v>156500</v>
      </c>
      <c r="L353" s="648">
        <f>L354</f>
        <v>0</v>
      </c>
      <c r="M353" s="648">
        <f t="shared" ref="M353" si="304">M354</f>
        <v>0</v>
      </c>
      <c r="N353" s="648">
        <f>N354</f>
        <v>0</v>
      </c>
      <c r="O353" s="647">
        <f>O354</f>
        <v>156500</v>
      </c>
      <c r="P353" s="648">
        <f t="shared" ref="P353" si="305">P354</f>
        <v>170961382</v>
      </c>
      <c r="Q353" s="20"/>
    </row>
    <row r="354" spans="1:18" ht="120" customHeight="1" thickTop="1" thickBot="1" x14ac:dyDescent="0.25">
      <c r="A354" s="642" t="s">
        <v>445</v>
      </c>
      <c r="B354" s="642"/>
      <c r="C354" s="642"/>
      <c r="D354" s="643" t="s">
        <v>447</v>
      </c>
      <c r="E354" s="644">
        <f t="shared" ref="E354:O354" si="306">E355+E358+E367+E370</f>
        <v>170804882</v>
      </c>
      <c r="F354" s="644">
        <f t="shared" si="306"/>
        <v>170804882</v>
      </c>
      <c r="G354" s="644">
        <f t="shared" si="306"/>
        <v>4332271</v>
      </c>
      <c r="H354" s="644">
        <f t="shared" si="306"/>
        <v>189628</v>
      </c>
      <c r="I354" s="644">
        <f t="shared" si="306"/>
        <v>0</v>
      </c>
      <c r="J354" s="644">
        <f t="shared" si="306"/>
        <v>156500</v>
      </c>
      <c r="K354" s="644">
        <f t="shared" si="306"/>
        <v>156500</v>
      </c>
      <c r="L354" s="644">
        <f t="shared" si="306"/>
        <v>0</v>
      </c>
      <c r="M354" s="644">
        <f t="shared" si="306"/>
        <v>0</v>
      </c>
      <c r="N354" s="644">
        <f t="shared" si="306"/>
        <v>0</v>
      </c>
      <c r="O354" s="644">
        <f t="shared" si="306"/>
        <v>156500</v>
      </c>
      <c r="P354" s="644">
        <f>E354+J354</f>
        <v>170961382</v>
      </c>
      <c r="Q354" s="492" t="b">
        <f>P354=P356+P361+P363+P369+P366</f>
        <v>1</v>
      </c>
      <c r="R354" s="46"/>
    </row>
    <row r="355" spans="1:18" ht="47.25" thickTop="1" thickBot="1" x14ac:dyDescent="0.25">
      <c r="A355" s="308" t="s">
        <v>823</v>
      </c>
      <c r="B355" s="308" t="s">
        <v>684</v>
      </c>
      <c r="C355" s="308"/>
      <c r="D355" s="308" t="s">
        <v>685</v>
      </c>
      <c r="E355" s="325">
        <f>SUM(E356:E357)</f>
        <v>9955335</v>
      </c>
      <c r="F355" s="325">
        <f t="shared" ref="F355:P355" si="307">SUM(F356:F357)</f>
        <v>9955335</v>
      </c>
      <c r="G355" s="325">
        <f t="shared" si="307"/>
        <v>4332271</v>
      </c>
      <c r="H355" s="325">
        <f t="shared" si="307"/>
        <v>189628</v>
      </c>
      <c r="I355" s="325">
        <f t="shared" si="307"/>
        <v>0</v>
      </c>
      <c r="J355" s="325">
        <f t="shared" si="307"/>
        <v>0</v>
      </c>
      <c r="K355" s="325">
        <f t="shared" si="307"/>
        <v>0</v>
      </c>
      <c r="L355" s="325">
        <f t="shared" si="307"/>
        <v>0</v>
      </c>
      <c r="M355" s="325">
        <f t="shared" si="307"/>
        <v>0</v>
      </c>
      <c r="N355" s="325">
        <f t="shared" si="307"/>
        <v>0</v>
      </c>
      <c r="O355" s="325">
        <f t="shared" si="307"/>
        <v>0</v>
      </c>
      <c r="P355" s="325">
        <f t="shared" si="307"/>
        <v>9955335</v>
      </c>
      <c r="Q355" s="47"/>
      <c r="R355" s="46"/>
    </row>
    <row r="356" spans="1:18" ht="93" thickTop="1" thickBot="1" x14ac:dyDescent="0.25">
      <c r="A356" s="101" t="s">
        <v>448</v>
      </c>
      <c r="B356" s="101" t="s">
        <v>236</v>
      </c>
      <c r="C356" s="101" t="s">
        <v>234</v>
      </c>
      <c r="D356" s="101" t="s">
        <v>235</v>
      </c>
      <c r="E356" s="325">
        <f>F356</f>
        <v>9955335</v>
      </c>
      <c r="F356" s="458">
        <v>9955335</v>
      </c>
      <c r="G356" s="458">
        <v>4332271</v>
      </c>
      <c r="H356" s="458">
        <v>189628</v>
      </c>
      <c r="I356" s="458"/>
      <c r="J356" s="325">
        <f>L356+O356</f>
        <v>0</v>
      </c>
      <c r="K356" s="458">
        <v>0</v>
      </c>
      <c r="L356" s="458"/>
      <c r="M356" s="458"/>
      <c r="N356" s="458"/>
      <c r="O356" s="455">
        <f>K356</f>
        <v>0</v>
      </c>
      <c r="P356" s="325">
        <f>E356+J356</f>
        <v>9955335</v>
      </c>
      <c r="Q356" s="47"/>
      <c r="R356" s="46"/>
    </row>
    <row r="357" spans="1:18" ht="93" hidden="1" thickTop="1" thickBot="1" x14ac:dyDescent="0.25">
      <c r="A357" s="126" t="s">
        <v>632</v>
      </c>
      <c r="B357" s="126" t="s">
        <v>362</v>
      </c>
      <c r="C357" s="126" t="s">
        <v>625</v>
      </c>
      <c r="D357" s="126" t="s">
        <v>626</v>
      </c>
      <c r="E357" s="125">
        <f>F357</f>
        <v>0</v>
      </c>
      <c r="F357" s="132">
        <v>0</v>
      </c>
      <c r="G357" s="132"/>
      <c r="H357" s="132"/>
      <c r="I357" s="132"/>
      <c r="J357" s="125">
        <f t="shared" ref="J357" si="308">L357+O357</f>
        <v>0</v>
      </c>
      <c r="K357" s="132"/>
      <c r="L357" s="132"/>
      <c r="M357" s="132"/>
      <c r="N357" s="132"/>
      <c r="O357" s="130">
        <f t="shared" ref="O357" si="309">K357</f>
        <v>0</v>
      </c>
      <c r="P357" s="125">
        <f t="shared" ref="P357" si="310">+J357+E357</f>
        <v>0</v>
      </c>
      <c r="Q357" s="47"/>
      <c r="R357" s="46"/>
    </row>
    <row r="358" spans="1:18" ht="47.25" thickTop="1" thickBot="1" x14ac:dyDescent="0.25">
      <c r="A358" s="308" t="s">
        <v>824</v>
      </c>
      <c r="B358" s="308" t="s">
        <v>748</v>
      </c>
      <c r="C358" s="101"/>
      <c r="D358" s="308" t="s">
        <v>794</v>
      </c>
      <c r="E358" s="325">
        <f>E359+E365</f>
        <v>158910533</v>
      </c>
      <c r="F358" s="325">
        <f t="shared" ref="F358:P358" si="311">F359+F365</f>
        <v>158910533</v>
      </c>
      <c r="G358" s="325">
        <f t="shared" si="311"/>
        <v>0</v>
      </c>
      <c r="H358" s="325">
        <f t="shared" si="311"/>
        <v>0</v>
      </c>
      <c r="I358" s="325">
        <f t="shared" si="311"/>
        <v>0</v>
      </c>
      <c r="J358" s="325">
        <f t="shared" si="311"/>
        <v>156500</v>
      </c>
      <c r="K358" s="325">
        <f t="shared" si="311"/>
        <v>156500</v>
      </c>
      <c r="L358" s="325">
        <f t="shared" si="311"/>
        <v>0</v>
      </c>
      <c r="M358" s="325">
        <f t="shared" si="311"/>
        <v>0</v>
      </c>
      <c r="N358" s="325">
        <f t="shared" si="311"/>
        <v>0</v>
      </c>
      <c r="O358" s="325">
        <f t="shared" si="311"/>
        <v>156500</v>
      </c>
      <c r="P358" s="325">
        <f t="shared" si="311"/>
        <v>159067033</v>
      </c>
      <c r="Q358" s="47"/>
      <c r="R358" s="50"/>
    </row>
    <row r="359" spans="1:18" ht="47.25" thickTop="1" thickBot="1" x14ac:dyDescent="0.25">
      <c r="A359" s="310" t="s">
        <v>825</v>
      </c>
      <c r="B359" s="310" t="s">
        <v>806</v>
      </c>
      <c r="C359" s="310"/>
      <c r="D359" s="310" t="s">
        <v>807</v>
      </c>
      <c r="E359" s="312">
        <f>E362+E364+E360</f>
        <v>158910533</v>
      </c>
      <c r="F359" s="312">
        <f t="shared" ref="F359:P359" si="312">F362+F364+F360</f>
        <v>158910533</v>
      </c>
      <c r="G359" s="312">
        <f t="shared" si="312"/>
        <v>0</v>
      </c>
      <c r="H359" s="312">
        <f t="shared" si="312"/>
        <v>0</v>
      </c>
      <c r="I359" s="312">
        <f t="shared" si="312"/>
        <v>0</v>
      </c>
      <c r="J359" s="312">
        <f t="shared" si="312"/>
        <v>0</v>
      </c>
      <c r="K359" s="312">
        <f t="shared" si="312"/>
        <v>0</v>
      </c>
      <c r="L359" s="312">
        <f t="shared" si="312"/>
        <v>0</v>
      </c>
      <c r="M359" s="312">
        <f t="shared" si="312"/>
        <v>0</v>
      </c>
      <c r="N359" s="312">
        <f t="shared" si="312"/>
        <v>0</v>
      </c>
      <c r="O359" s="312">
        <f t="shared" si="312"/>
        <v>0</v>
      </c>
      <c r="P359" s="312">
        <f t="shared" si="312"/>
        <v>158910533</v>
      </c>
      <c r="Q359" s="47"/>
      <c r="R359" s="50"/>
    </row>
    <row r="360" spans="1:18" ht="93" thickTop="1" thickBot="1" x14ac:dyDescent="0.25">
      <c r="A360" s="326" t="s">
        <v>1015</v>
      </c>
      <c r="B360" s="326" t="s">
        <v>1016</v>
      </c>
      <c r="C360" s="326"/>
      <c r="D360" s="326" t="s">
        <v>1014</v>
      </c>
      <c r="E360" s="322">
        <f>E361</f>
        <v>550000</v>
      </c>
      <c r="F360" s="322">
        <f t="shared" ref="F360:P362" si="313">F361</f>
        <v>550000</v>
      </c>
      <c r="G360" s="322">
        <f t="shared" si="313"/>
        <v>0</v>
      </c>
      <c r="H360" s="322">
        <f t="shared" si="313"/>
        <v>0</v>
      </c>
      <c r="I360" s="322">
        <f t="shared" si="313"/>
        <v>0</v>
      </c>
      <c r="J360" s="322">
        <f t="shared" si="313"/>
        <v>0</v>
      </c>
      <c r="K360" s="322">
        <f t="shared" si="313"/>
        <v>0</v>
      </c>
      <c r="L360" s="322">
        <f t="shared" si="313"/>
        <v>0</v>
      </c>
      <c r="M360" s="322">
        <f t="shared" si="313"/>
        <v>0</v>
      </c>
      <c r="N360" s="322">
        <f t="shared" si="313"/>
        <v>0</v>
      </c>
      <c r="O360" s="322">
        <f t="shared" si="313"/>
        <v>0</v>
      </c>
      <c r="P360" s="322">
        <f t="shared" si="313"/>
        <v>550000</v>
      </c>
      <c r="Q360" s="47"/>
      <c r="R360" s="50"/>
    </row>
    <row r="361" spans="1:18" ht="48" thickTop="1" thickBot="1" x14ac:dyDescent="0.25">
      <c r="A361" s="101" t="s">
        <v>467</v>
      </c>
      <c r="B361" s="101" t="s">
        <v>412</v>
      </c>
      <c r="C361" s="101" t="s">
        <v>413</v>
      </c>
      <c r="D361" s="101" t="s">
        <v>414</v>
      </c>
      <c r="E361" s="325">
        <f>F361</f>
        <v>550000</v>
      </c>
      <c r="F361" s="458">
        <f>(300000)+250000</f>
        <v>550000</v>
      </c>
      <c r="G361" s="458"/>
      <c r="H361" s="458"/>
      <c r="I361" s="458"/>
      <c r="J361" s="325">
        <f>L361+O361</f>
        <v>0</v>
      </c>
      <c r="K361" s="458"/>
      <c r="L361" s="458"/>
      <c r="M361" s="458"/>
      <c r="N361" s="458"/>
      <c r="O361" s="455">
        <f>K361</f>
        <v>0</v>
      </c>
      <c r="P361" s="325">
        <f>E361+J361</f>
        <v>550000</v>
      </c>
      <c r="Q361" s="47"/>
      <c r="R361" s="50"/>
    </row>
    <row r="362" spans="1:18" ht="93" thickTop="1" thickBot="1" x14ac:dyDescent="0.25">
      <c r="A362" s="326" t="s">
        <v>826</v>
      </c>
      <c r="B362" s="326" t="s">
        <v>827</v>
      </c>
      <c r="C362" s="326"/>
      <c r="D362" s="326" t="s">
        <v>828</v>
      </c>
      <c r="E362" s="322">
        <f>E363</f>
        <v>158360533</v>
      </c>
      <c r="F362" s="322">
        <f t="shared" si="313"/>
        <v>158360533</v>
      </c>
      <c r="G362" s="322">
        <f t="shared" si="313"/>
        <v>0</v>
      </c>
      <c r="H362" s="322">
        <f t="shared" si="313"/>
        <v>0</v>
      </c>
      <c r="I362" s="322">
        <f t="shared" si="313"/>
        <v>0</v>
      </c>
      <c r="J362" s="322">
        <f t="shared" si="313"/>
        <v>0</v>
      </c>
      <c r="K362" s="322">
        <f t="shared" si="313"/>
        <v>0</v>
      </c>
      <c r="L362" s="322">
        <f t="shared" si="313"/>
        <v>0</v>
      </c>
      <c r="M362" s="322">
        <f t="shared" si="313"/>
        <v>0</v>
      </c>
      <c r="N362" s="322">
        <f t="shared" si="313"/>
        <v>0</v>
      </c>
      <c r="O362" s="322">
        <f t="shared" si="313"/>
        <v>0</v>
      </c>
      <c r="P362" s="322">
        <f t="shared" si="313"/>
        <v>158360533</v>
      </c>
      <c r="Q362" s="47"/>
      <c r="R362" s="50"/>
    </row>
    <row r="363" spans="1:18" ht="48" thickTop="1" thickBot="1" x14ac:dyDescent="0.25">
      <c r="A363" s="101" t="s">
        <v>468</v>
      </c>
      <c r="B363" s="101" t="s">
        <v>291</v>
      </c>
      <c r="C363" s="101" t="s">
        <v>1366</v>
      </c>
      <c r="D363" s="101" t="s">
        <v>292</v>
      </c>
      <c r="E363" s="325">
        <f>F363</f>
        <v>158360533</v>
      </c>
      <c r="F363" s="458">
        <v>158360533</v>
      </c>
      <c r="G363" s="458"/>
      <c r="H363" s="458"/>
      <c r="I363" s="458"/>
      <c r="J363" s="325">
        <f>L363+O363</f>
        <v>0</v>
      </c>
      <c r="K363" s="458"/>
      <c r="L363" s="458"/>
      <c r="M363" s="458"/>
      <c r="N363" s="458"/>
      <c r="O363" s="455">
        <f>K363</f>
        <v>0</v>
      </c>
      <c r="P363" s="325">
        <f>E363+J363</f>
        <v>158360533</v>
      </c>
      <c r="Q363" s="47"/>
      <c r="R363" s="50"/>
    </row>
    <row r="364" spans="1:18" ht="48" hidden="1" thickTop="1" thickBot="1" x14ac:dyDescent="0.25">
      <c r="A364" s="126" t="s">
        <v>1097</v>
      </c>
      <c r="B364" s="126" t="s">
        <v>1098</v>
      </c>
      <c r="C364" s="126" t="s">
        <v>295</v>
      </c>
      <c r="D364" s="126" t="s">
        <v>1096</v>
      </c>
      <c r="E364" s="125">
        <f>F364</f>
        <v>0</v>
      </c>
      <c r="F364" s="132"/>
      <c r="G364" s="132"/>
      <c r="H364" s="132"/>
      <c r="I364" s="132"/>
      <c r="J364" s="125">
        <f>L364+O364</f>
        <v>0</v>
      </c>
      <c r="K364" s="132"/>
      <c r="L364" s="132"/>
      <c r="M364" s="132"/>
      <c r="N364" s="132"/>
      <c r="O364" s="130">
        <f>K364</f>
        <v>0</v>
      </c>
      <c r="P364" s="125">
        <f>E364+J364</f>
        <v>0</v>
      </c>
      <c r="Q364" s="47"/>
      <c r="R364" s="50"/>
    </row>
    <row r="365" spans="1:18" ht="47.25" thickTop="1" thickBot="1" x14ac:dyDescent="0.25">
      <c r="A365" s="310" t="s">
        <v>1173</v>
      </c>
      <c r="B365" s="310" t="s">
        <v>691</v>
      </c>
      <c r="C365" s="310"/>
      <c r="D365" s="310" t="s">
        <v>689</v>
      </c>
      <c r="E365" s="312">
        <f>E366</f>
        <v>0</v>
      </c>
      <c r="F365" s="312">
        <f t="shared" ref="F365:P365" si="314">F366</f>
        <v>0</v>
      </c>
      <c r="G365" s="312">
        <f t="shared" si="314"/>
        <v>0</v>
      </c>
      <c r="H365" s="312">
        <f t="shared" si="314"/>
        <v>0</v>
      </c>
      <c r="I365" s="312">
        <f t="shared" si="314"/>
        <v>0</v>
      </c>
      <c r="J365" s="312">
        <f t="shared" si="314"/>
        <v>156500</v>
      </c>
      <c r="K365" s="312">
        <f t="shared" si="314"/>
        <v>156500</v>
      </c>
      <c r="L365" s="312">
        <f t="shared" si="314"/>
        <v>0</v>
      </c>
      <c r="M365" s="312">
        <f t="shared" si="314"/>
        <v>0</v>
      </c>
      <c r="N365" s="312">
        <f t="shared" si="314"/>
        <v>0</v>
      </c>
      <c r="O365" s="312">
        <f t="shared" si="314"/>
        <v>156500</v>
      </c>
      <c r="P365" s="312">
        <f t="shared" si="314"/>
        <v>156500</v>
      </c>
      <c r="Q365" s="47"/>
      <c r="R365" s="50"/>
    </row>
    <row r="366" spans="1:18" ht="48" thickTop="1" thickBot="1" x14ac:dyDescent="0.25">
      <c r="A366" s="101" t="s">
        <v>1174</v>
      </c>
      <c r="B366" s="101" t="s">
        <v>197</v>
      </c>
      <c r="C366" s="101" t="s">
        <v>170</v>
      </c>
      <c r="D366" s="101" t="s">
        <v>1175</v>
      </c>
      <c r="E366" s="325">
        <f>F366</f>
        <v>0</v>
      </c>
      <c r="F366" s="458">
        <v>0</v>
      </c>
      <c r="G366" s="458"/>
      <c r="H366" s="458"/>
      <c r="I366" s="458"/>
      <c r="J366" s="325">
        <f>L366+O366</f>
        <v>156500</v>
      </c>
      <c r="K366" s="458">
        <f>(0)+156500</f>
        <v>156500</v>
      </c>
      <c r="L366" s="458"/>
      <c r="M366" s="458"/>
      <c r="N366" s="458"/>
      <c r="O366" s="455">
        <f>K366</f>
        <v>156500</v>
      </c>
      <c r="P366" s="325">
        <f>E366+J366</f>
        <v>156500</v>
      </c>
      <c r="Q366" s="47"/>
      <c r="R366" s="50"/>
    </row>
    <row r="367" spans="1:18" ht="47.25" thickTop="1" thickBot="1" x14ac:dyDescent="0.25">
      <c r="A367" s="308" t="s">
        <v>1219</v>
      </c>
      <c r="B367" s="308" t="s">
        <v>696</v>
      </c>
      <c r="C367" s="308"/>
      <c r="D367" s="308" t="s">
        <v>697</v>
      </c>
      <c r="E367" s="325">
        <f>E368</f>
        <v>1939014</v>
      </c>
      <c r="F367" s="325">
        <f t="shared" ref="F367:P368" si="315">F368</f>
        <v>1939014</v>
      </c>
      <c r="G367" s="325">
        <f t="shared" si="315"/>
        <v>0</v>
      </c>
      <c r="H367" s="325">
        <f t="shared" si="315"/>
        <v>0</v>
      </c>
      <c r="I367" s="325">
        <f t="shared" si="315"/>
        <v>0</v>
      </c>
      <c r="J367" s="325">
        <f t="shared" si="315"/>
        <v>0</v>
      </c>
      <c r="K367" s="325">
        <f t="shared" si="315"/>
        <v>0</v>
      </c>
      <c r="L367" s="325">
        <f t="shared" si="315"/>
        <v>0</v>
      </c>
      <c r="M367" s="325">
        <f t="shared" si="315"/>
        <v>0</v>
      </c>
      <c r="N367" s="325">
        <f t="shared" si="315"/>
        <v>0</v>
      </c>
      <c r="O367" s="325">
        <f t="shared" si="315"/>
        <v>0</v>
      </c>
      <c r="P367" s="325">
        <f t="shared" si="315"/>
        <v>1939014</v>
      </c>
      <c r="Q367" s="47"/>
      <c r="R367" s="50"/>
    </row>
    <row r="368" spans="1:18" ht="47.25" thickTop="1" thickBot="1" x14ac:dyDescent="0.25">
      <c r="A368" s="310" t="s">
        <v>1220</v>
      </c>
      <c r="B368" s="310" t="s">
        <v>1186</v>
      </c>
      <c r="C368" s="310"/>
      <c r="D368" s="310" t="s">
        <v>1184</v>
      </c>
      <c r="E368" s="312">
        <f>E369</f>
        <v>1939014</v>
      </c>
      <c r="F368" s="312">
        <f>F369</f>
        <v>1939014</v>
      </c>
      <c r="G368" s="312">
        <f t="shared" si="315"/>
        <v>0</v>
      </c>
      <c r="H368" s="312">
        <f t="shared" si="315"/>
        <v>0</v>
      </c>
      <c r="I368" s="312">
        <f t="shared" si="315"/>
        <v>0</v>
      </c>
      <c r="J368" s="312">
        <f t="shared" si="315"/>
        <v>0</v>
      </c>
      <c r="K368" s="312">
        <f t="shared" si="315"/>
        <v>0</v>
      </c>
      <c r="L368" s="312">
        <f t="shared" si="315"/>
        <v>0</v>
      </c>
      <c r="M368" s="312">
        <f t="shared" si="315"/>
        <v>0</v>
      </c>
      <c r="N368" s="312">
        <f t="shared" si="315"/>
        <v>0</v>
      </c>
      <c r="O368" s="312">
        <f t="shared" si="315"/>
        <v>0</v>
      </c>
      <c r="P368" s="312">
        <f>P369</f>
        <v>1939014</v>
      </c>
      <c r="Q368" s="47"/>
      <c r="R368" s="50"/>
    </row>
    <row r="369" spans="1:18" ht="48" thickTop="1" thickBot="1" x14ac:dyDescent="0.25">
      <c r="A369" s="101" t="s">
        <v>1221</v>
      </c>
      <c r="B369" s="101" t="s">
        <v>1222</v>
      </c>
      <c r="C369" s="101" t="s">
        <v>1188</v>
      </c>
      <c r="D369" s="101" t="s">
        <v>1223</v>
      </c>
      <c r="E369" s="325">
        <f>F369</f>
        <v>1939014</v>
      </c>
      <c r="F369" s="458">
        <f>(2189014)-250000</f>
        <v>1939014</v>
      </c>
      <c r="G369" s="458"/>
      <c r="H369" s="458"/>
      <c r="I369" s="458"/>
      <c r="J369" s="325">
        <f>L369+O369</f>
        <v>0</v>
      </c>
      <c r="K369" s="458"/>
      <c r="L369" s="458"/>
      <c r="M369" s="458"/>
      <c r="N369" s="458"/>
      <c r="O369" s="455">
        <f>K369</f>
        <v>0</v>
      </c>
      <c r="P369" s="325">
        <f>E369+J369</f>
        <v>1939014</v>
      </c>
      <c r="Q369" s="47"/>
      <c r="R369" s="50"/>
    </row>
    <row r="370" spans="1:18" ht="47.25" hidden="1" thickTop="1" thickBot="1" x14ac:dyDescent="0.25">
      <c r="A370" s="123" t="s">
        <v>1333</v>
      </c>
      <c r="B370" s="123" t="s">
        <v>702</v>
      </c>
      <c r="C370" s="123"/>
      <c r="D370" s="123" t="s">
        <v>703</v>
      </c>
      <c r="E370" s="125">
        <f t="shared" ref="E370:P370" si="316">E371</f>
        <v>0</v>
      </c>
      <c r="F370" s="125">
        <f t="shared" si="316"/>
        <v>0</v>
      </c>
      <c r="G370" s="125">
        <f t="shared" si="316"/>
        <v>0</v>
      </c>
      <c r="H370" s="125">
        <f t="shared" si="316"/>
        <v>0</v>
      </c>
      <c r="I370" s="125">
        <f t="shared" si="316"/>
        <v>0</v>
      </c>
      <c r="J370" s="125">
        <f t="shared" si="316"/>
        <v>0</v>
      </c>
      <c r="K370" s="125">
        <f t="shared" si="316"/>
        <v>0</v>
      </c>
      <c r="L370" s="125">
        <f t="shared" si="316"/>
        <v>0</v>
      </c>
      <c r="M370" s="125">
        <f t="shared" si="316"/>
        <v>0</v>
      </c>
      <c r="N370" s="125">
        <f t="shared" si="316"/>
        <v>0</v>
      </c>
      <c r="O370" s="125">
        <f t="shared" si="316"/>
        <v>0</v>
      </c>
      <c r="P370" s="125">
        <f t="shared" si="316"/>
        <v>0</v>
      </c>
      <c r="Q370" s="47"/>
      <c r="R370" s="50"/>
    </row>
    <row r="371" spans="1:18" ht="91.5" hidden="1" thickTop="1" thickBot="1" x14ac:dyDescent="0.25">
      <c r="A371" s="134" t="s">
        <v>1334</v>
      </c>
      <c r="B371" s="134" t="s">
        <v>514</v>
      </c>
      <c r="C371" s="134" t="s">
        <v>43</v>
      </c>
      <c r="D371" s="134" t="s">
        <v>515</v>
      </c>
      <c r="E371" s="135">
        <f t="shared" ref="E371" si="317">F371</f>
        <v>0</v>
      </c>
      <c r="F371" s="135">
        <v>0</v>
      </c>
      <c r="G371" s="135"/>
      <c r="H371" s="135"/>
      <c r="I371" s="135"/>
      <c r="J371" s="135">
        <f>L371+O371</f>
        <v>0</v>
      </c>
      <c r="K371" s="132"/>
      <c r="L371" s="135"/>
      <c r="M371" s="135"/>
      <c r="N371" s="135"/>
      <c r="O371" s="135">
        <f>(K371+0)</f>
        <v>0</v>
      </c>
      <c r="P371" s="135">
        <f>E371+J371</f>
        <v>0</v>
      </c>
      <c r="Q371" s="47"/>
      <c r="R371" s="50"/>
    </row>
    <row r="372" spans="1:18" ht="120" customHeight="1" thickTop="1" thickBot="1" x14ac:dyDescent="0.25">
      <c r="A372" s="645" t="s">
        <v>166</v>
      </c>
      <c r="B372" s="645"/>
      <c r="C372" s="645"/>
      <c r="D372" s="646" t="s">
        <v>354</v>
      </c>
      <c r="E372" s="647">
        <f>E373</f>
        <v>10220842</v>
      </c>
      <c r="F372" s="648">
        <f t="shared" ref="F372:G372" si="318">F373</f>
        <v>10220842</v>
      </c>
      <c r="G372" s="648">
        <f t="shared" si="318"/>
        <v>0</v>
      </c>
      <c r="H372" s="648">
        <f>H373</f>
        <v>0</v>
      </c>
      <c r="I372" s="648">
        <f t="shared" ref="I372" si="319">I373</f>
        <v>0</v>
      </c>
      <c r="J372" s="647">
        <f>J373</f>
        <v>4469958</v>
      </c>
      <c r="K372" s="648">
        <f>K373</f>
        <v>4469958</v>
      </c>
      <c r="L372" s="648">
        <f>L373</f>
        <v>0</v>
      </c>
      <c r="M372" s="648">
        <f t="shared" ref="M372" si="320">M373</f>
        <v>0</v>
      </c>
      <c r="N372" s="648">
        <f>N373</f>
        <v>0</v>
      </c>
      <c r="O372" s="647">
        <f>O373</f>
        <v>4469958</v>
      </c>
      <c r="P372" s="648">
        <f t="shared" ref="P372" si="321">P373</f>
        <v>14690800</v>
      </c>
      <c r="Q372" s="20"/>
    </row>
    <row r="373" spans="1:18" ht="120" customHeight="1" thickTop="1" thickBot="1" x14ac:dyDescent="0.25">
      <c r="A373" s="642" t="s">
        <v>167</v>
      </c>
      <c r="B373" s="642"/>
      <c r="C373" s="642"/>
      <c r="D373" s="643" t="s">
        <v>355</v>
      </c>
      <c r="E373" s="644">
        <f>E377+E389+E386+E374</f>
        <v>10220842</v>
      </c>
      <c r="F373" s="644">
        <f>F377+F389+F386+F374</f>
        <v>10220842</v>
      </c>
      <c r="G373" s="644">
        <f>G377+G389+G386+G374</f>
        <v>0</v>
      </c>
      <c r="H373" s="644">
        <f>H377+H389+H386+H374</f>
        <v>0</v>
      </c>
      <c r="I373" s="644">
        <f>I377+I389+I386+I374</f>
        <v>0</v>
      </c>
      <c r="J373" s="644">
        <f>L373+O373</f>
        <v>4469958</v>
      </c>
      <c r="K373" s="644">
        <f>K377+K389+K386+K374</f>
        <v>4469958</v>
      </c>
      <c r="L373" s="644">
        <f>L377+L389+L386+L374</f>
        <v>0</v>
      </c>
      <c r="M373" s="644">
        <f>M377+M389+M386+M374</f>
        <v>0</v>
      </c>
      <c r="N373" s="644">
        <f>N377+N389+N386+N374</f>
        <v>0</v>
      </c>
      <c r="O373" s="644">
        <f>O377+O389+O386+O374</f>
        <v>4469958</v>
      </c>
      <c r="P373" s="644">
        <f>E373+J373</f>
        <v>14690800</v>
      </c>
      <c r="Q373" s="492" t="b">
        <f>P373=P379+P381+P382+P383+P375+P388+P376</f>
        <v>1</v>
      </c>
      <c r="R373" s="46"/>
    </row>
    <row r="374" spans="1:18" ht="47.25" thickTop="1" thickBot="1" x14ac:dyDescent="0.25">
      <c r="A374" s="308" t="s">
        <v>1307</v>
      </c>
      <c r="B374" s="308" t="s">
        <v>711</v>
      </c>
      <c r="C374" s="308"/>
      <c r="D374" s="308" t="s">
        <v>712</v>
      </c>
      <c r="E374" s="325">
        <f t="shared" ref="E374:P374" si="322">SUM(E375:E376)</f>
        <v>1004802</v>
      </c>
      <c r="F374" s="325">
        <f t="shared" si="322"/>
        <v>1004802</v>
      </c>
      <c r="G374" s="325">
        <f t="shared" si="322"/>
        <v>0</v>
      </c>
      <c r="H374" s="325">
        <f t="shared" si="322"/>
        <v>0</v>
      </c>
      <c r="I374" s="325">
        <f t="shared" si="322"/>
        <v>0</v>
      </c>
      <c r="J374" s="325">
        <f t="shared" si="322"/>
        <v>345998</v>
      </c>
      <c r="K374" s="325">
        <f t="shared" si="322"/>
        <v>345998</v>
      </c>
      <c r="L374" s="325">
        <f t="shared" si="322"/>
        <v>0</v>
      </c>
      <c r="M374" s="325">
        <f t="shared" si="322"/>
        <v>0</v>
      </c>
      <c r="N374" s="325">
        <f t="shared" si="322"/>
        <v>0</v>
      </c>
      <c r="O374" s="325">
        <f t="shared" si="322"/>
        <v>345998</v>
      </c>
      <c r="P374" s="325">
        <f t="shared" si="322"/>
        <v>1350800</v>
      </c>
      <c r="Q374" s="47"/>
      <c r="R374" s="46"/>
    </row>
    <row r="375" spans="1:18" ht="93" thickTop="1" thickBot="1" x14ac:dyDescent="0.25">
      <c r="A375" s="101" t="s">
        <v>1308</v>
      </c>
      <c r="B375" s="101" t="s">
        <v>1200</v>
      </c>
      <c r="C375" s="101" t="s">
        <v>206</v>
      </c>
      <c r="D375" s="466" t="s">
        <v>1201</v>
      </c>
      <c r="E375" s="325">
        <f t="shared" ref="E375:E376" si="323">F375</f>
        <v>376502</v>
      </c>
      <c r="F375" s="458">
        <f>(500000)+6668-130166</f>
        <v>376502</v>
      </c>
      <c r="G375" s="458"/>
      <c r="H375" s="458"/>
      <c r="I375" s="458"/>
      <c r="J375" s="325">
        <f>L375+O375</f>
        <v>122498</v>
      </c>
      <c r="K375" s="458">
        <f>(350000)-227502</f>
        <v>122498</v>
      </c>
      <c r="L375" s="458"/>
      <c r="M375" s="458"/>
      <c r="N375" s="458"/>
      <c r="O375" s="455">
        <f>K375</f>
        <v>122498</v>
      </c>
      <c r="P375" s="325">
        <f>E375+J375</f>
        <v>499000</v>
      </c>
      <c r="Q375" s="47"/>
      <c r="R375" s="46"/>
    </row>
    <row r="376" spans="1:18" ht="54" customHeight="1" thickTop="1" thickBot="1" x14ac:dyDescent="0.25">
      <c r="A376" s="101" t="s">
        <v>1620</v>
      </c>
      <c r="B376" s="101" t="s">
        <v>330</v>
      </c>
      <c r="C376" s="101" t="s">
        <v>191</v>
      </c>
      <c r="D376" s="466" t="s">
        <v>332</v>
      </c>
      <c r="E376" s="325">
        <f t="shared" si="323"/>
        <v>628300</v>
      </c>
      <c r="F376" s="458">
        <f>(0)+219180+409120</f>
        <v>628300</v>
      </c>
      <c r="G376" s="132"/>
      <c r="H376" s="132"/>
      <c r="I376" s="132"/>
      <c r="J376" s="325">
        <f t="shared" ref="J376" si="324">L376+O376</f>
        <v>223500</v>
      </c>
      <c r="K376" s="458">
        <f>(0)+223500</f>
        <v>223500</v>
      </c>
      <c r="L376" s="458"/>
      <c r="M376" s="458"/>
      <c r="N376" s="458"/>
      <c r="O376" s="455">
        <f t="shared" ref="O376" si="325">K376</f>
        <v>223500</v>
      </c>
      <c r="P376" s="325">
        <f t="shared" ref="P376" si="326">E376+J376</f>
        <v>851800</v>
      </c>
      <c r="Q376" s="47"/>
      <c r="R376" s="46"/>
    </row>
    <row r="377" spans="1:18" ht="44.25" customHeight="1" thickTop="1" thickBot="1" x14ac:dyDescent="0.25">
      <c r="A377" s="308" t="s">
        <v>829</v>
      </c>
      <c r="B377" s="308" t="s">
        <v>748</v>
      </c>
      <c r="C377" s="101"/>
      <c r="D377" s="308" t="s">
        <v>794</v>
      </c>
      <c r="E377" s="576">
        <f t="shared" ref="E377:P377" si="327">E380+E378</f>
        <v>8800000</v>
      </c>
      <c r="F377" s="576">
        <f t="shared" si="327"/>
        <v>8800000</v>
      </c>
      <c r="G377" s="576">
        <f t="shared" si="327"/>
        <v>0</v>
      </c>
      <c r="H377" s="576">
        <f t="shared" si="327"/>
        <v>0</v>
      </c>
      <c r="I377" s="576">
        <f t="shared" si="327"/>
        <v>0</v>
      </c>
      <c r="J377" s="576">
        <f t="shared" si="327"/>
        <v>4000000</v>
      </c>
      <c r="K377" s="576">
        <f t="shared" si="327"/>
        <v>4000000</v>
      </c>
      <c r="L377" s="576">
        <f t="shared" si="327"/>
        <v>0</v>
      </c>
      <c r="M377" s="576">
        <f t="shared" si="327"/>
        <v>0</v>
      </c>
      <c r="N377" s="576">
        <f t="shared" si="327"/>
        <v>0</v>
      </c>
      <c r="O377" s="576">
        <f t="shared" si="327"/>
        <v>4000000</v>
      </c>
      <c r="P377" s="576">
        <f t="shared" si="327"/>
        <v>12800000</v>
      </c>
      <c r="Q377" s="47"/>
      <c r="R377" s="46"/>
    </row>
    <row r="378" spans="1:18" ht="47.25" thickTop="1" thickBot="1" x14ac:dyDescent="0.25">
      <c r="A378" s="310" t="s">
        <v>1012</v>
      </c>
      <c r="B378" s="310" t="s">
        <v>803</v>
      </c>
      <c r="C378" s="310"/>
      <c r="D378" s="310" t="s">
        <v>804</v>
      </c>
      <c r="E378" s="575">
        <f>E379</f>
        <v>50000</v>
      </c>
      <c r="F378" s="575">
        <f>F379</f>
        <v>50000</v>
      </c>
      <c r="G378" s="575">
        <f t="shared" ref="G378:O378" si="328">G379</f>
        <v>0</v>
      </c>
      <c r="H378" s="575">
        <f t="shared" si="328"/>
        <v>0</v>
      </c>
      <c r="I378" s="575">
        <f t="shared" si="328"/>
        <v>0</v>
      </c>
      <c r="J378" s="575">
        <f t="shared" si="328"/>
        <v>4000000</v>
      </c>
      <c r="K378" s="575">
        <f t="shared" si="328"/>
        <v>4000000</v>
      </c>
      <c r="L378" s="575">
        <f t="shared" si="328"/>
        <v>0</v>
      </c>
      <c r="M378" s="575">
        <f t="shared" si="328"/>
        <v>0</v>
      </c>
      <c r="N378" s="575">
        <f t="shared" si="328"/>
        <v>0</v>
      </c>
      <c r="O378" s="575">
        <f t="shared" si="328"/>
        <v>4000000</v>
      </c>
      <c r="P378" s="575">
        <f>P379</f>
        <v>4050000</v>
      </c>
      <c r="Q378" s="47"/>
      <c r="R378" s="46"/>
    </row>
    <row r="379" spans="1:18" ht="48" thickTop="1" thickBot="1" x14ac:dyDescent="0.25">
      <c r="A379" s="101" t="s">
        <v>1013</v>
      </c>
      <c r="B379" s="101" t="s">
        <v>350</v>
      </c>
      <c r="C379" s="101" t="s">
        <v>170</v>
      </c>
      <c r="D379" s="101" t="s">
        <v>262</v>
      </c>
      <c r="E379" s="325">
        <f t="shared" ref="E379" si="329">F379</f>
        <v>50000</v>
      </c>
      <c r="F379" s="458">
        <f>(50000)</f>
        <v>50000</v>
      </c>
      <c r="G379" s="458"/>
      <c r="H379" s="458"/>
      <c r="I379" s="458"/>
      <c r="J379" s="325">
        <f t="shared" ref="J379" si="330">L379+O379</f>
        <v>4000000</v>
      </c>
      <c r="K379" s="458">
        <f>(0)+5000000-1000000</f>
        <v>4000000</v>
      </c>
      <c r="L379" s="458"/>
      <c r="M379" s="458"/>
      <c r="N379" s="458"/>
      <c r="O379" s="455">
        <f>K379</f>
        <v>4000000</v>
      </c>
      <c r="P379" s="325">
        <f t="shared" ref="P379" si="331">E379+J379</f>
        <v>4050000</v>
      </c>
      <c r="Q379" s="47"/>
      <c r="R379" s="46"/>
    </row>
    <row r="380" spans="1:18" ht="47.25" thickTop="1" thickBot="1" x14ac:dyDescent="0.25">
      <c r="A380" s="310" t="s">
        <v>830</v>
      </c>
      <c r="B380" s="310" t="s">
        <v>691</v>
      </c>
      <c r="C380" s="310"/>
      <c r="D380" s="310" t="s">
        <v>689</v>
      </c>
      <c r="E380" s="575">
        <f>SUM(E381:E385)-E384</f>
        <v>8750000</v>
      </c>
      <c r="F380" s="575">
        <f t="shared" ref="F380:P380" si="332">SUM(F381:F385)-F384</f>
        <v>8750000</v>
      </c>
      <c r="G380" s="575">
        <f t="shared" si="332"/>
        <v>0</v>
      </c>
      <c r="H380" s="575">
        <f t="shared" si="332"/>
        <v>0</v>
      </c>
      <c r="I380" s="575">
        <f t="shared" si="332"/>
        <v>0</v>
      </c>
      <c r="J380" s="575">
        <f>SUM(J381:J385)-J384</f>
        <v>0</v>
      </c>
      <c r="K380" s="575">
        <f t="shared" si="332"/>
        <v>0</v>
      </c>
      <c r="L380" s="575">
        <f t="shared" si="332"/>
        <v>0</v>
      </c>
      <c r="M380" s="575">
        <f t="shared" si="332"/>
        <v>0</v>
      </c>
      <c r="N380" s="575">
        <f t="shared" si="332"/>
        <v>0</v>
      </c>
      <c r="O380" s="575">
        <f t="shared" si="332"/>
        <v>0</v>
      </c>
      <c r="P380" s="575">
        <f t="shared" si="332"/>
        <v>8750000</v>
      </c>
      <c r="Q380" s="47"/>
      <c r="R380" s="46"/>
    </row>
    <row r="381" spans="1:18" ht="48" thickTop="1" thickBot="1" x14ac:dyDescent="0.25">
      <c r="A381" s="101" t="s">
        <v>260</v>
      </c>
      <c r="B381" s="101" t="s">
        <v>261</v>
      </c>
      <c r="C381" s="101" t="s">
        <v>259</v>
      </c>
      <c r="D381" s="101" t="s">
        <v>258</v>
      </c>
      <c r="E381" s="325">
        <f t="shared" ref="E381:E385" si="333">F381</f>
        <v>8245000</v>
      </c>
      <c r="F381" s="458">
        <f>(2045000)+6200000</f>
        <v>8245000</v>
      </c>
      <c r="G381" s="458"/>
      <c r="H381" s="458"/>
      <c r="I381" s="458"/>
      <c r="J381" s="325">
        <f t="shared" ref="J381:J385" si="334">L381+O381</f>
        <v>0</v>
      </c>
      <c r="K381" s="458"/>
      <c r="L381" s="458"/>
      <c r="M381" s="458"/>
      <c r="N381" s="458"/>
      <c r="O381" s="455">
        <f>K381</f>
        <v>0</v>
      </c>
      <c r="P381" s="325">
        <f t="shared" ref="P381:P385" si="335">E381+J381</f>
        <v>8245000</v>
      </c>
      <c r="Q381" s="20"/>
      <c r="R381" s="46"/>
    </row>
    <row r="382" spans="1:18" ht="48" thickTop="1" thickBot="1" x14ac:dyDescent="0.25">
      <c r="A382" s="101" t="s">
        <v>252</v>
      </c>
      <c r="B382" s="101" t="s">
        <v>254</v>
      </c>
      <c r="C382" s="101" t="s">
        <v>213</v>
      </c>
      <c r="D382" s="101" t="s">
        <v>253</v>
      </c>
      <c r="E382" s="325">
        <f t="shared" si="333"/>
        <v>505000</v>
      </c>
      <c r="F382" s="458">
        <v>505000</v>
      </c>
      <c r="G382" s="458"/>
      <c r="H382" s="458"/>
      <c r="I382" s="458"/>
      <c r="J382" s="325">
        <f t="shared" si="334"/>
        <v>0</v>
      </c>
      <c r="K382" s="458"/>
      <c r="L382" s="458"/>
      <c r="M382" s="458"/>
      <c r="N382" s="458"/>
      <c r="O382" s="455">
        <f>K382</f>
        <v>0</v>
      </c>
      <c r="P382" s="325">
        <f t="shared" si="335"/>
        <v>505000</v>
      </c>
      <c r="Q382" s="20"/>
      <c r="R382" s="46"/>
    </row>
    <row r="383" spans="1:18" ht="48" hidden="1" thickTop="1" thickBot="1" x14ac:dyDescent="0.25">
      <c r="A383" s="101" t="s">
        <v>1302</v>
      </c>
      <c r="B383" s="101" t="s">
        <v>212</v>
      </c>
      <c r="C383" s="101" t="s">
        <v>213</v>
      </c>
      <c r="D383" s="101" t="s">
        <v>41</v>
      </c>
      <c r="E383" s="325">
        <f t="shared" si="333"/>
        <v>0</v>
      </c>
      <c r="F383" s="458">
        <f>(200000)-200000</f>
        <v>0</v>
      </c>
      <c r="G383" s="458"/>
      <c r="H383" s="458"/>
      <c r="I383" s="458"/>
      <c r="J383" s="325">
        <f t="shared" si="334"/>
        <v>0</v>
      </c>
      <c r="K383" s="458">
        <f>(100000)-100000</f>
        <v>0</v>
      </c>
      <c r="L383" s="458"/>
      <c r="M383" s="458"/>
      <c r="N383" s="458"/>
      <c r="O383" s="455">
        <f>K383</f>
        <v>0</v>
      </c>
      <c r="P383" s="325">
        <f t="shared" si="335"/>
        <v>0</v>
      </c>
      <c r="Q383" s="20"/>
      <c r="R383" s="46"/>
    </row>
    <row r="384" spans="1:18" ht="48" hidden="1" thickTop="1" thickBot="1" x14ac:dyDescent="0.25">
      <c r="A384" s="138" t="s">
        <v>831</v>
      </c>
      <c r="B384" s="138" t="s">
        <v>694</v>
      </c>
      <c r="C384" s="138"/>
      <c r="D384" s="138" t="s">
        <v>692</v>
      </c>
      <c r="E384" s="139">
        <f>E385</f>
        <v>0</v>
      </c>
      <c r="F384" s="139">
        <f t="shared" ref="F384:P384" si="336">F385</f>
        <v>0</v>
      </c>
      <c r="G384" s="139">
        <f t="shared" si="336"/>
        <v>0</v>
      </c>
      <c r="H384" s="139">
        <f t="shared" si="336"/>
        <v>0</v>
      </c>
      <c r="I384" s="139">
        <f t="shared" si="336"/>
        <v>0</v>
      </c>
      <c r="J384" s="139">
        <f t="shared" si="336"/>
        <v>0</v>
      </c>
      <c r="K384" s="139">
        <f t="shared" si="336"/>
        <v>0</v>
      </c>
      <c r="L384" s="139">
        <f t="shared" si="336"/>
        <v>0</v>
      </c>
      <c r="M384" s="139">
        <f t="shared" si="336"/>
        <v>0</v>
      </c>
      <c r="N384" s="139">
        <f t="shared" si="336"/>
        <v>0</v>
      </c>
      <c r="O384" s="139">
        <f t="shared" si="336"/>
        <v>0</v>
      </c>
      <c r="P384" s="139">
        <f t="shared" si="336"/>
        <v>0</v>
      </c>
      <c r="Q384" s="20"/>
      <c r="R384" s="46"/>
    </row>
    <row r="385" spans="1:18" ht="48" hidden="1" thickTop="1" thickBot="1" x14ac:dyDescent="0.25">
      <c r="A385" s="126" t="s">
        <v>256</v>
      </c>
      <c r="B385" s="126" t="s">
        <v>257</v>
      </c>
      <c r="C385" s="126" t="s">
        <v>170</v>
      </c>
      <c r="D385" s="126" t="s">
        <v>255</v>
      </c>
      <c r="E385" s="125">
        <f t="shared" si="333"/>
        <v>0</v>
      </c>
      <c r="F385" s="132"/>
      <c r="G385" s="132"/>
      <c r="H385" s="132"/>
      <c r="I385" s="132"/>
      <c r="J385" s="125">
        <f t="shared" si="334"/>
        <v>0</v>
      </c>
      <c r="K385" s="132"/>
      <c r="L385" s="132"/>
      <c r="M385" s="132"/>
      <c r="N385" s="132"/>
      <c r="O385" s="130">
        <f>K385</f>
        <v>0</v>
      </c>
      <c r="P385" s="125">
        <f t="shared" si="335"/>
        <v>0</v>
      </c>
      <c r="Q385" s="20"/>
      <c r="R385" s="46"/>
    </row>
    <row r="386" spans="1:18" ht="47.25" thickTop="1" thickBot="1" x14ac:dyDescent="0.25">
      <c r="A386" s="308" t="s">
        <v>1304</v>
      </c>
      <c r="B386" s="308" t="s">
        <v>696</v>
      </c>
      <c r="C386" s="308"/>
      <c r="D386" s="308" t="s">
        <v>697</v>
      </c>
      <c r="E386" s="325">
        <f t="shared" ref="E386:P387" si="337">E387</f>
        <v>416040</v>
      </c>
      <c r="F386" s="325">
        <f t="shared" si="337"/>
        <v>416040</v>
      </c>
      <c r="G386" s="325">
        <f t="shared" si="337"/>
        <v>0</v>
      </c>
      <c r="H386" s="325">
        <f t="shared" si="337"/>
        <v>0</v>
      </c>
      <c r="I386" s="325">
        <f t="shared" si="337"/>
        <v>0</v>
      </c>
      <c r="J386" s="325">
        <f t="shared" si="337"/>
        <v>123960</v>
      </c>
      <c r="K386" s="325">
        <f t="shared" si="337"/>
        <v>123960</v>
      </c>
      <c r="L386" s="325">
        <f t="shared" si="337"/>
        <v>0</v>
      </c>
      <c r="M386" s="325">
        <f t="shared" si="337"/>
        <v>0</v>
      </c>
      <c r="N386" s="325">
        <f t="shared" si="337"/>
        <v>0</v>
      </c>
      <c r="O386" s="325">
        <f t="shared" si="337"/>
        <v>123960</v>
      </c>
      <c r="P386" s="325">
        <f t="shared" si="337"/>
        <v>540000</v>
      </c>
      <c r="Q386" s="20"/>
      <c r="R386" s="46"/>
    </row>
    <row r="387" spans="1:18" ht="47.25" thickTop="1" thickBot="1" x14ac:dyDescent="0.25">
      <c r="A387" s="310" t="s">
        <v>1305</v>
      </c>
      <c r="B387" s="310" t="s">
        <v>1186</v>
      </c>
      <c r="C387" s="310"/>
      <c r="D387" s="310" t="s">
        <v>1184</v>
      </c>
      <c r="E387" s="312">
        <f t="shared" si="337"/>
        <v>416040</v>
      </c>
      <c r="F387" s="312">
        <f t="shared" si="337"/>
        <v>416040</v>
      </c>
      <c r="G387" s="312">
        <f t="shared" si="337"/>
        <v>0</v>
      </c>
      <c r="H387" s="312">
        <f t="shared" si="337"/>
        <v>0</v>
      </c>
      <c r="I387" s="312">
        <f t="shared" si="337"/>
        <v>0</v>
      </c>
      <c r="J387" s="312">
        <f t="shared" si="337"/>
        <v>123960</v>
      </c>
      <c r="K387" s="312">
        <f t="shared" si="337"/>
        <v>123960</v>
      </c>
      <c r="L387" s="312">
        <f t="shared" si="337"/>
        <v>0</v>
      </c>
      <c r="M387" s="312">
        <f t="shared" si="337"/>
        <v>0</v>
      </c>
      <c r="N387" s="312">
        <f t="shared" si="337"/>
        <v>0</v>
      </c>
      <c r="O387" s="312">
        <f t="shared" si="337"/>
        <v>123960</v>
      </c>
      <c r="P387" s="312">
        <f t="shared" si="337"/>
        <v>540000</v>
      </c>
      <c r="Q387" s="20"/>
      <c r="R387" s="46"/>
    </row>
    <row r="388" spans="1:18" ht="48" thickTop="1" thickBot="1" x14ac:dyDescent="0.25">
      <c r="A388" s="101" t="s">
        <v>1306</v>
      </c>
      <c r="B388" s="101" t="s">
        <v>1190</v>
      </c>
      <c r="C388" s="101" t="s">
        <v>1188</v>
      </c>
      <c r="D388" s="101" t="s">
        <v>1187</v>
      </c>
      <c r="E388" s="325">
        <f>F388</f>
        <v>416040</v>
      </c>
      <c r="F388" s="458">
        <f>(500000)+150230-234190</f>
        <v>416040</v>
      </c>
      <c r="G388" s="458"/>
      <c r="H388" s="458"/>
      <c r="I388" s="458"/>
      <c r="J388" s="325">
        <f>L388+O388</f>
        <v>123960</v>
      </c>
      <c r="K388" s="458">
        <f>(350000)-226040</f>
        <v>123960</v>
      </c>
      <c r="L388" s="458"/>
      <c r="M388" s="458"/>
      <c r="N388" s="458"/>
      <c r="O388" s="455">
        <f>K388</f>
        <v>123960</v>
      </c>
      <c r="P388" s="325">
        <f>E388+J388</f>
        <v>540000</v>
      </c>
      <c r="Q388" s="20"/>
      <c r="R388" s="46"/>
    </row>
    <row r="389" spans="1:18" ht="47.25" hidden="1" thickTop="1" thickBot="1" x14ac:dyDescent="0.25">
      <c r="A389" s="123" t="s">
        <v>906</v>
      </c>
      <c r="B389" s="123" t="s">
        <v>702</v>
      </c>
      <c r="C389" s="123"/>
      <c r="D389" s="123" t="s">
        <v>703</v>
      </c>
      <c r="E389" s="125">
        <f>E390</f>
        <v>0</v>
      </c>
      <c r="F389" s="125">
        <f t="shared" ref="F389:P390" si="338">F390</f>
        <v>0</v>
      </c>
      <c r="G389" s="125">
        <f t="shared" si="338"/>
        <v>0</v>
      </c>
      <c r="H389" s="125">
        <f t="shared" si="338"/>
        <v>0</v>
      </c>
      <c r="I389" s="125">
        <f t="shared" si="338"/>
        <v>0</v>
      </c>
      <c r="J389" s="125">
        <f t="shared" si="338"/>
        <v>0</v>
      </c>
      <c r="K389" s="125">
        <f t="shared" si="338"/>
        <v>0</v>
      </c>
      <c r="L389" s="125">
        <f t="shared" si="338"/>
        <v>0</v>
      </c>
      <c r="M389" s="125">
        <f t="shared" si="338"/>
        <v>0</v>
      </c>
      <c r="N389" s="125">
        <f t="shared" si="338"/>
        <v>0</v>
      </c>
      <c r="O389" s="125">
        <f t="shared" si="338"/>
        <v>0</v>
      </c>
      <c r="P389" s="125">
        <f t="shared" si="338"/>
        <v>0</v>
      </c>
      <c r="Q389" s="20"/>
      <c r="R389" s="46"/>
    </row>
    <row r="390" spans="1:18" ht="91.5" hidden="1" thickTop="1" thickBot="1" x14ac:dyDescent="0.25">
      <c r="A390" s="134" t="s">
        <v>907</v>
      </c>
      <c r="B390" s="134" t="s">
        <v>705</v>
      </c>
      <c r="C390" s="134"/>
      <c r="D390" s="134" t="s">
        <v>706</v>
      </c>
      <c r="E390" s="135">
        <f>E391</f>
        <v>0</v>
      </c>
      <c r="F390" s="135">
        <f t="shared" si="338"/>
        <v>0</v>
      </c>
      <c r="G390" s="135">
        <f t="shared" si="338"/>
        <v>0</v>
      </c>
      <c r="H390" s="135">
        <f t="shared" si="338"/>
        <v>0</v>
      </c>
      <c r="I390" s="135">
        <f t="shared" si="338"/>
        <v>0</v>
      </c>
      <c r="J390" s="135">
        <f t="shared" si="338"/>
        <v>0</v>
      </c>
      <c r="K390" s="135">
        <f t="shared" si="338"/>
        <v>0</v>
      </c>
      <c r="L390" s="135">
        <f t="shared" si="338"/>
        <v>0</v>
      </c>
      <c r="M390" s="135">
        <f t="shared" si="338"/>
        <v>0</v>
      </c>
      <c r="N390" s="135">
        <f t="shared" si="338"/>
        <v>0</v>
      </c>
      <c r="O390" s="135">
        <f t="shared" si="338"/>
        <v>0</v>
      </c>
      <c r="P390" s="135">
        <f t="shared" si="338"/>
        <v>0</v>
      </c>
      <c r="Q390" s="20"/>
      <c r="R390" s="46"/>
    </row>
    <row r="391" spans="1:18" ht="48" hidden="1" thickTop="1" thickBot="1" x14ac:dyDescent="0.25">
      <c r="A391" s="126" t="s">
        <v>908</v>
      </c>
      <c r="B391" s="126" t="s">
        <v>363</v>
      </c>
      <c r="C391" s="126" t="s">
        <v>43</v>
      </c>
      <c r="D391" s="126" t="s">
        <v>364</v>
      </c>
      <c r="E391" s="125">
        <f t="shared" ref="E391" si="339">F391</f>
        <v>0</v>
      </c>
      <c r="F391" s="132"/>
      <c r="G391" s="132"/>
      <c r="H391" s="132"/>
      <c r="I391" s="132"/>
      <c r="J391" s="125">
        <f>L391+O391</f>
        <v>0</v>
      </c>
      <c r="K391" s="132"/>
      <c r="L391" s="132"/>
      <c r="M391" s="132"/>
      <c r="N391" s="132"/>
      <c r="O391" s="130">
        <f>K391</f>
        <v>0</v>
      </c>
      <c r="P391" s="125">
        <f>E391+J391</f>
        <v>0</v>
      </c>
      <c r="Q391" s="20"/>
      <c r="R391" s="46"/>
    </row>
    <row r="392" spans="1:18" ht="120" customHeight="1" thickTop="1" thickBot="1" x14ac:dyDescent="0.25">
      <c r="A392" s="645" t="s">
        <v>164</v>
      </c>
      <c r="B392" s="645"/>
      <c r="C392" s="645"/>
      <c r="D392" s="646" t="s">
        <v>887</v>
      </c>
      <c r="E392" s="647">
        <f>E393</f>
        <v>7070528</v>
      </c>
      <c r="F392" s="648">
        <f t="shared" ref="F392:G392" si="340">F393</f>
        <v>7070528</v>
      </c>
      <c r="G392" s="648">
        <f t="shared" si="340"/>
        <v>5498880</v>
      </c>
      <c r="H392" s="648">
        <f>H393</f>
        <v>121573</v>
      </c>
      <c r="I392" s="648">
        <f t="shared" ref="I392" si="341">I393</f>
        <v>0</v>
      </c>
      <c r="J392" s="647">
        <f>J393</f>
        <v>1200000</v>
      </c>
      <c r="K392" s="648">
        <f>K393</f>
        <v>0</v>
      </c>
      <c r="L392" s="648">
        <f>L393</f>
        <v>1200000</v>
      </c>
      <c r="M392" s="648">
        <f t="shared" ref="M392" si="342">M393</f>
        <v>0</v>
      </c>
      <c r="N392" s="648">
        <f>N393</f>
        <v>0</v>
      </c>
      <c r="O392" s="647">
        <f>O393</f>
        <v>0</v>
      </c>
      <c r="P392" s="648">
        <f t="shared" ref="P392" si="343">P393</f>
        <v>8270528</v>
      </c>
      <c r="Q392" s="20"/>
    </row>
    <row r="393" spans="1:18" ht="120" customHeight="1" thickTop="1" thickBot="1" x14ac:dyDescent="0.25">
      <c r="A393" s="642" t="s">
        <v>165</v>
      </c>
      <c r="B393" s="642"/>
      <c r="C393" s="642"/>
      <c r="D393" s="643" t="s">
        <v>886</v>
      </c>
      <c r="E393" s="644">
        <f>E394+E397+E400</f>
        <v>7070528</v>
      </c>
      <c r="F393" s="644">
        <f t="shared" ref="F393:P393" si="344">F394+F397+F400</f>
        <v>7070528</v>
      </c>
      <c r="G393" s="644">
        <f>G394+G397+G400</f>
        <v>5498880</v>
      </c>
      <c r="H393" s="644">
        <f t="shared" si="344"/>
        <v>121573</v>
      </c>
      <c r="I393" s="644">
        <f t="shared" si="344"/>
        <v>0</v>
      </c>
      <c r="J393" s="644">
        <f>J394+J397+J400</f>
        <v>1200000</v>
      </c>
      <c r="K393" s="644">
        <f t="shared" si="344"/>
        <v>0</v>
      </c>
      <c r="L393" s="644">
        <f>L394+L397+L400</f>
        <v>1200000</v>
      </c>
      <c r="M393" s="644">
        <f t="shared" si="344"/>
        <v>0</v>
      </c>
      <c r="N393" s="644">
        <f t="shared" si="344"/>
        <v>0</v>
      </c>
      <c r="O393" s="644">
        <f t="shared" si="344"/>
        <v>0</v>
      </c>
      <c r="P393" s="644">
        <f t="shared" si="344"/>
        <v>8270528</v>
      </c>
      <c r="Q393" s="492" t="b">
        <f>P393=P395+P399</f>
        <v>1</v>
      </c>
      <c r="R393" s="46"/>
    </row>
    <row r="394" spans="1:18" ht="47.25" thickTop="1" thickBot="1" x14ac:dyDescent="0.25">
      <c r="A394" s="308" t="s">
        <v>832</v>
      </c>
      <c r="B394" s="308" t="s">
        <v>684</v>
      </c>
      <c r="C394" s="308"/>
      <c r="D394" s="308" t="s">
        <v>685</v>
      </c>
      <c r="E394" s="325">
        <f>SUM(E395:E396)</f>
        <v>7070528</v>
      </c>
      <c r="F394" s="325">
        <f t="shared" ref="F394:N394" si="345">SUM(F395:F396)</f>
        <v>7070528</v>
      </c>
      <c r="G394" s="325">
        <f t="shared" si="345"/>
        <v>5498880</v>
      </c>
      <c r="H394" s="325">
        <f t="shared" si="345"/>
        <v>121573</v>
      </c>
      <c r="I394" s="325">
        <f t="shared" si="345"/>
        <v>0</v>
      </c>
      <c r="J394" s="325">
        <f t="shared" si="345"/>
        <v>0</v>
      </c>
      <c r="K394" s="325">
        <f t="shared" si="345"/>
        <v>0</v>
      </c>
      <c r="L394" s="325">
        <f t="shared" si="345"/>
        <v>0</v>
      </c>
      <c r="M394" s="325">
        <f t="shared" si="345"/>
        <v>0</v>
      </c>
      <c r="N394" s="325">
        <f t="shared" si="345"/>
        <v>0</v>
      </c>
      <c r="O394" s="325">
        <f>SUM(O395:O396)</f>
        <v>0</v>
      </c>
      <c r="P394" s="325">
        <f t="shared" ref="P394" si="346">SUM(P395:P396)</f>
        <v>7070528</v>
      </c>
      <c r="Q394" s="47"/>
      <c r="R394" s="46"/>
    </row>
    <row r="395" spans="1:18" ht="93" thickTop="1" thickBot="1" x14ac:dyDescent="0.25">
      <c r="A395" s="101" t="s">
        <v>422</v>
      </c>
      <c r="B395" s="101" t="s">
        <v>236</v>
      </c>
      <c r="C395" s="101" t="s">
        <v>234</v>
      </c>
      <c r="D395" s="101" t="s">
        <v>235</v>
      </c>
      <c r="E395" s="325">
        <f>F395</f>
        <v>7070528</v>
      </c>
      <c r="F395" s="458">
        <v>7070528</v>
      </c>
      <c r="G395" s="458">
        <v>5498880</v>
      </c>
      <c r="H395" s="458">
        <v>121573</v>
      </c>
      <c r="I395" s="458"/>
      <c r="J395" s="325">
        <f t="shared" ref="J395:J399" si="347">L395+O395</f>
        <v>0</v>
      </c>
      <c r="K395" s="458"/>
      <c r="L395" s="458"/>
      <c r="M395" s="458"/>
      <c r="N395" s="458"/>
      <c r="O395" s="455">
        <f>K395</f>
        <v>0</v>
      </c>
      <c r="P395" s="325">
        <f t="shared" ref="P395:P399" si="348">E395+J395</f>
        <v>7070528</v>
      </c>
      <c r="Q395" s="47"/>
      <c r="R395" s="46"/>
    </row>
    <row r="396" spans="1:18" ht="93" hidden="1" thickTop="1" thickBot="1" x14ac:dyDescent="0.25">
      <c r="A396" s="41" t="s">
        <v>633</v>
      </c>
      <c r="B396" s="41" t="s">
        <v>362</v>
      </c>
      <c r="C396" s="41" t="s">
        <v>625</v>
      </c>
      <c r="D396" s="41" t="s">
        <v>626</v>
      </c>
      <c r="E396" s="150">
        <f>F396</f>
        <v>0</v>
      </c>
      <c r="F396" s="127">
        <v>0</v>
      </c>
      <c r="G396" s="127"/>
      <c r="H396" s="127"/>
      <c r="I396" s="127"/>
      <c r="J396" s="125">
        <f t="shared" si="347"/>
        <v>0</v>
      </c>
      <c r="K396" s="127"/>
      <c r="L396" s="128"/>
      <c r="M396" s="128"/>
      <c r="N396" s="128"/>
      <c r="O396" s="130">
        <f t="shared" ref="O396" si="349">K396</f>
        <v>0</v>
      </c>
      <c r="P396" s="125">
        <f t="shared" ref="P396" si="350">+J396+E396</f>
        <v>0</v>
      </c>
      <c r="Q396" s="47"/>
      <c r="R396" s="46"/>
    </row>
    <row r="397" spans="1:18" ht="47.25" thickTop="1" thickBot="1" x14ac:dyDescent="0.25">
      <c r="A397" s="308" t="s">
        <v>833</v>
      </c>
      <c r="B397" s="308" t="s">
        <v>696</v>
      </c>
      <c r="C397" s="308"/>
      <c r="D397" s="308" t="s">
        <v>697</v>
      </c>
      <c r="E397" s="309">
        <f>E398</f>
        <v>0</v>
      </c>
      <c r="F397" s="309">
        <f t="shared" ref="F397:P398" si="351">F398</f>
        <v>0</v>
      </c>
      <c r="G397" s="309">
        <f t="shared" si="351"/>
        <v>0</v>
      </c>
      <c r="H397" s="309">
        <f t="shared" si="351"/>
        <v>0</v>
      </c>
      <c r="I397" s="309">
        <f t="shared" si="351"/>
        <v>0</v>
      </c>
      <c r="J397" s="309">
        <f t="shared" si="351"/>
        <v>1200000</v>
      </c>
      <c r="K397" s="309">
        <f t="shared" si="351"/>
        <v>0</v>
      </c>
      <c r="L397" s="309">
        <f t="shared" si="351"/>
        <v>1200000</v>
      </c>
      <c r="M397" s="309">
        <f t="shared" si="351"/>
        <v>0</v>
      </c>
      <c r="N397" s="309">
        <f t="shared" si="351"/>
        <v>0</v>
      </c>
      <c r="O397" s="309">
        <f t="shared" si="351"/>
        <v>0</v>
      </c>
      <c r="P397" s="309">
        <f t="shared" si="351"/>
        <v>1200000</v>
      </c>
      <c r="Q397" s="47"/>
      <c r="R397" s="46"/>
    </row>
    <row r="398" spans="1:18" ht="47.25" thickTop="1" thickBot="1" x14ac:dyDescent="0.25">
      <c r="A398" s="310" t="s">
        <v>834</v>
      </c>
      <c r="B398" s="310" t="s">
        <v>835</v>
      </c>
      <c r="C398" s="310"/>
      <c r="D398" s="310" t="s">
        <v>836</v>
      </c>
      <c r="E398" s="311">
        <f>E399</f>
        <v>0</v>
      </c>
      <c r="F398" s="311">
        <f t="shared" si="351"/>
        <v>0</v>
      </c>
      <c r="G398" s="311">
        <f t="shared" si="351"/>
        <v>0</v>
      </c>
      <c r="H398" s="311">
        <f t="shared" si="351"/>
        <v>0</v>
      </c>
      <c r="I398" s="311">
        <f t="shared" si="351"/>
        <v>0</v>
      </c>
      <c r="J398" s="311">
        <f t="shared" si="351"/>
        <v>1200000</v>
      </c>
      <c r="K398" s="311">
        <f t="shared" si="351"/>
        <v>0</v>
      </c>
      <c r="L398" s="311">
        <f t="shared" si="351"/>
        <v>1200000</v>
      </c>
      <c r="M398" s="311">
        <f t="shared" si="351"/>
        <v>0</v>
      </c>
      <c r="N398" s="311">
        <f t="shared" si="351"/>
        <v>0</v>
      </c>
      <c r="O398" s="311">
        <f t="shared" si="351"/>
        <v>0</v>
      </c>
      <c r="P398" s="311">
        <f t="shared" si="351"/>
        <v>1200000</v>
      </c>
      <c r="Q398" s="47"/>
      <c r="R398" s="46"/>
    </row>
    <row r="399" spans="1:18" ht="48" thickTop="1" thickBot="1" x14ac:dyDescent="0.25">
      <c r="A399" s="101" t="s">
        <v>1127</v>
      </c>
      <c r="B399" s="101" t="s">
        <v>1128</v>
      </c>
      <c r="C399" s="101" t="s">
        <v>51</v>
      </c>
      <c r="D399" s="101" t="s">
        <v>1129</v>
      </c>
      <c r="E399" s="325">
        <v>0</v>
      </c>
      <c r="F399" s="458"/>
      <c r="G399" s="458"/>
      <c r="H399" s="458"/>
      <c r="I399" s="458"/>
      <c r="J399" s="325">
        <f t="shared" si="347"/>
        <v>1200000</v>
      </c>
      <c r="K399" s="325"/>
      <c r="L399" s="458">
        <f>80000+60000+60000+80000+20000+100000+500000+300000</f>
        <v>1200000</v>
      </c>
      <c r="M399" s="458"/>
      <c r="N399" s="458"/>
      <c r="O399" s="455">
        <f>K399</f>
        <v>0</v>
      </c>
      <c r="P399" s="325">
        <f t="shared" si="348"/>
        <v>1200000</v>
      </c>
      <c r="Q399" s="492" t="b">
        <f>J399='d9'!F20</f>
        <v>1</v>
      </c>
    </row>
    <row r="400" spans="1:18" ht="47.25" hidden="1" thickTop="1" thickBot="1" x14ac:dyDescent="0.25">
      <c r="A400" s="123" t="s">
        <v>1249</v>
      </c>
      <c r="B400" s="123" t="s">
        <v>702</v>
      </c>
      <c r="C400" s="123"/>
      <c r="D400" s="123" t="s">
        <v>703</v>
      </c>
      <c r="E400" s="125">
        <f t="shared" ref="E400:P400" si="352">E401</f>
        <v>0</v>
      </c>
      <c r="F400" s="125">
        <f t="shared" si="352"/>
        <v>0</v>
      </c>
      <c r="G400" s="125">
        <f t="shared" si="352"/>
        <v>0</v>
      </c>
      <c r="H400" s="125">
        <f t="shared" si="352"/>
        <v>0</v>
      </c>
      <c r="I400" s="125">
        <f t="shared" si="352"/>
        <v>0</v>
      </c>
      <c r="J400" s="125">
        <f t="shared" si="352"/>
        <v>0</v>
      </c>
      <c r="K400" s="125">
        <f t="shared" si="352"/>
        <v>0</v>
      </c>
      <c r="L400" s="125">
        <f t="shared" si="352"/>
        <v>0</v>
      </c>
      <c r="M400" s="125">
        <f t="shared" si="352"/>
        <v>0</v>
      </c>
      <c r="N400" s="125">
        <f t="shared" si="352"/>
        <v>0</v>
      </c>
      <c r="O400" s="125">
        <f t="shared" si="352"/>
        <v>0</v>
      </c>
      <c r="P400" s="125">
        <f t="shared" si="352"/>
        <v>0</v>
      </c>
      <c r="Q400" s="47"/>
    </row>
    <row r="401" spans="1:19" ht="91.5" hidden="1" thickTop="1" thickBot="1" x14ac:dyDescent="0.25">
      <c r="A401" s="134" t="s">
        <v>1248</v>
      </c>
      <c r="B401" s="134" t="s">
        <v>514</v>
      </c>
      <c r="C401" s="134" t="s">
        <v>43</v>
      </c>
      <c r="D401" s="134" t="s">
        <v>515</v>
      </c>
      <c r="E401" s="135">
        <f t="shared" ref="E401" si="353">F401</f>
        <v>0</v>
      </c>
      <c r="F401" s="135">
        <v>0</v>
      </c>
      <c r="G401" s="135"/>
      <c r="H401" s="135"/>
      <c r="I401" s="135"/>
      <c r="J401" s="135">
        <f>L401+O401</f>
        <v>0</v>
      </c>
      <c r="K401" s="132">
        <v>0</v>
      </c>
      <c r="L401" s="135"/>
      <c r="M401" s="135"/>
      <c r="N401" s="135"/>
      <c r="O401" s="135">
        <f>(K401+0)</f>
        <v>0</v>
      </c>
      <c r="P401" s="135">
        <f>E401+J401</f>
        <v>0</v>
      </c>
      <c r="Q401" s="47"/>
    </row>
    <row r="402" spans="1:19" ht="120" customHeight="1" thickTop="1" thickBot="1" x14ac:dyDescent="0.25">
      <c r="A402" s="645" t="s">
        <v>162</v>
      </c>
      <c r="B402" s="645"/>
      <c r="C402" s="645"/>
      <c r="D402" s="646" t="s">
        <v>896</v>
      </c>
      <c r="E402" s="647">
        <f>E403</f>
        <v>10319624</v>
      </c>
      <c r="F402" s="648">
        <f t="shared" ref="F402:G402" si="354">F403</f>
        <v>10319624</v>
      </c>
      <c r="G402" s="648">
        <f t="shared" si="354"/>
        <v>7843804</v>
      </c>
      <c r="H402" s="648">
        <f>H403</f>
        <v>329783</v>
      </c>
      <c r="I402" s="648">
        <f t="shared" ref="I402" si="355">I403</f>
        <v>0</v>
      </c>
      <c r="J402" s="647">
        <f>J403</f>
        <v>65000</v>
      </c>
      <c r="K402" s="648">
        <f>K403</f>
        <v>65000</v>
      </c>
      <c r="L402" s="648">
        <f>L403</f>
        <v>0</v>
      </c>
      <c r="M402" s="648">
        <f t="shared" ref="M402" si="356">M403</f>
        <v>0</v>
      </c>
      <c r="N402" s="648">
        <f>N403</f>
        <v>0</v>
      </c>
      <c r="O402" s="647">
        <f>O403</f>
        <v>65000</v>
      </c>
      <c r="P402" s="648">
        <f t="shared" ref="P402" si="357">P403</f>
        <v>10384624</v>
      </c>
      <c r="Q402" s="20"/>
    </row>
    <row r="403" spans="1:19" ht="120" customHeight="1" thickTop="1" thickBot="1" x14ac:dyDescent="0.25">
      <c r="A403" s="642" t="s">
        <v>163</v>
      </c>
      <c r="B403" s="642"/>
      <c r="C403" s="642"/>
      <c r="D403" s="643" t="s">
        <v>895</v>
      </c>
      <c r="E403" s="644">
        <f>E404+E406</f>
        <v>10319624</v>
      </c>
      <c r="F403" s="644">
        <f t="shared" ref="F403:I403" si="358">F404+F406</f>
        <v>10319624</v>
      </c>
      <c r="G403" s="644">
        <f t="shared" si="358"/>
        <v>7843804</v>
      </c>
      <c r="H403" s="644">
        <f t="shared" si="358"/>
        <v>329783</v>
      </c>
      <c r="I403" s="644">
        <f t="shared" si="358"/>
        <v>0</v>
      </c>
      <c r="J403" s="644">
        <f>L403+O403</f>
        <v>65000</v>
      </c>
      <c r="K403" s="644">
        <f t="shared" ref="K403:O403" si="359">K404+K406</f>
        <v>65000</v>
      </c>
      <c r="L403" s="644">
        <f t="shared" si="359"/>
        <v>0</v>
      </c>
      <c r="M403" s="644">
        <f t="shared" si="359"/>
        <v>0</v>
      </c>
      <c r="N403" s="644">
        <f t="shared" si="359"/>
        <v>0</v>
      </c>
      <c r="O403" s="644">
        <f t="shared" si="359"/>
        <v>65000</v>
      </c>
      <c r="P403" s="644">
        <f>E403+J403</f>
        <v>10384624</v>
      </c>
      <c r="Q403" s="492" t="b">
        <f>P403=P405+P408+P410</f>
        <v>1</v>
      </c>
      <c r="R403" s="45"/>
    </row>
    <row r="404" spans="1:19" ht="47.25" thickTop="1" thickBot="1" x14ac:dyDescent="0.25">
      <c r="A404" s="308" t="s">
        <v>837</v>
      </c>
      <c r="B404" s="308" t="s">
        <v>684</v>
      </c>
      <c r="C404" s="308"/>
      <c r="D404" s="308" t="s">
        <v>685</v>
      </c>
      <c r="E404" s="325">
        <f>SUM(E405)</f>
        <v>10159624</v>
      </c>
      <c r="F404" s="325">
        <f t="shared" ref="F404:P404" si="360">SUM(F405)</f>
        <v>10159624</v>
      </c>
      <c r="G404" s="325">
        <f t="shared" si="360"/>
        <v>7843804</v>
      </c>
      <c r="H404" s="325">
        <f t="shared" si="360"/>
        <v>329783</v>
      </c>
      <c r="I404" s="325">
        <f t="shared" si="360"/>
        <v>0</v>
      </c>
      <c r="J404" s="325">
        <f t="shared" si="360"/>
        <v>0</v>
      </c>
      <c r="K404" s="325">
        <f t="shared" si="360"/>
        <v>0</v>
      </c>
      <c r="L404" s="325">
        <f t="shared" si="360"/>
        <v>0</v>
      </c>
      <c r="M404" s="325">
        <f t="shared" si="360"/>
        <v>0</v>
      </c>
      <c r="N404" s="325">
        <f t="shared" si="360"/>
        <v>0</v>
      </c>
      <c r="O404" s="325">
        <f t="shared" si="360"/>
        <v>0</v>
      </c>
      <c r="P404" s="325">
        <f t="shared" si="360"/>
        <v>10159624</v>
      </c>
      <c r="Q404" s="47"/>
      <c r="R404" s="45"/>
    </row>
    <row r="405" spans="1:19" ht="93" thickTop="1" thickBot="1" x14ac:dyDescent="0.25">
      <c r="A405" s="101" t="s">
        <v>418</v>
      </c>
      <c r="B405" s="101" t="s">
        <v>236</v>
      </c>
      <c r="C405" s="101" t="s">
        <v>234</v>
      </c>
      <c r="D405" s="101" t="s">
        <v>235</v>
      </c>
      <c r="E405" s="325">
        <f>F405</f>
        <v>10159624</v>
      </c>
      <c r="F405" s="458">
        <v>10159624</v>
      </c>
      <c r="G405" s="458">
        <v>7843804</v>
      </c>
      <c r="H405" s="458">
        <v>329783</v>
      </c>
      <c r="I405" s="458"/>
      <c r="J405" s="325">
        <f>L405+O405</f>
        <v>0</v>
      </c>
      <c r="K405" s="458">
        <v>0</v>
      </c>
      <c r="L405" s="458"/>
      <c r="M405" s="458"/>
      <c r="N405" s="458"/>
      <c r="O405" s="455">
        <f>K405</f>
        <v>0</v>
      </c>
      <c r="P405" s="325">
        <f>E405+J405</f>
        <v>10159624</v>
      </c>
      <c r="Q405" s="20"/>
      <c r="R405" s="45"/>
    </row>
    <row r="406" spans="1:19" ht="47.25" thickTop="1" thickBot="1" x14ac:dyDescent="0.25">
      <c r="A406" s="308" t="s">
        <v>838</v>
      </c>
      <c r="B406" s="308" t="s">
        <v>748</v>
      </c>
      <c r="C406" s="101"/>
      <c r="D406" s="308" t="s">
        <v>794</v>
      </c>
      <c r="E406" s="325">
        <f t="shared" ref="E406:P406" si="361">E407+E409</f>
        <v>160000</v>
      </c>
      <c r="F406" s="325">
        <f t="shared" si="361"/>
        <v>160000</v>
      </c>
      <c r="G406" s="325">
        <f t="shared" si="361"/>
        <v>0</v>
      </c>
      <c r="H406" s="325">
        <f t="shared" si="361"/>
        <v>0</v>
      </c>
      <c r="I406" s="325">
        <f t="shared" si="361"/>
        <v>0</v>
      </c>
      <c r="J406" s="325">
        <f t="shared" si="361"/>
        <v>65000</v>
      </c>
      <c r="K406" s="325">
        <f t="shared" si="361"/>
        <v>65000</v>
      </c>
      <c r="L406" s="325">
        <f t="shared" si="361"/>
        <v>0</v>
      </c>
      <c r="M406" s="325">
        <f t="shared" si="361"/>
        <v>0</v>
      </c>
      <c r="N406" s="325">
        <f t="shared" si="361"/>
        <v>0</v>
      </c>
      <c r="O406" s="325">
        <f t="shared" si="361"/>
        <v>65000</v>
      </c>
      <c r="P406" s="325">
        <f t="shared" si="361"/>
        <v>225000</v>
      </c>
      <c r="Q406" s="20"/>
      <c r="R406" s="47"/>
    </row>
    <row r="407" spans="1:19" ht="47.25" thickTop="1" thickBot="1" x14ac:dyDescent="0.25">
      <c r="A407" s="310" t="s">
        <v>839</v>
      </c>
      <c r="B407" s="310" t="s">
        <v>840</v>
      </c>
      <c r="C407" s="310"/>
      <c r="D407" s="310" t="s">
        <v>841</v>
      </c>
      <c r="E407" s="312">
        <f>SUM(E408)</f>
        <v>160000</v>
      </c>
      <c r="F407" s="312">
        <f t="shared" ref="F407:P407" si="362">SUM(F408)</f>
        <v>160000</v>
      </c>
      <c r="G407" s="312">
        <f t="shared" si="362"/>
        <v>0</v>
      </c>
      <c r="H407" s="312">
        <f t="shared" si="362"/>
        <v>0</v>
      </c>
      <c r="I407" s="312">
        <f t="shared" si="362"/>
        <v>0</v>
      </c>
      <c r="J407" s="312">
        <f t="shared" si="362"/>
        <v>0</v>
      </c>
      <c r="K407" s="312">
        <f t="shared" si="362"/>
        <v>0</v>
      </c>
      <c r="L407" s="312">
        <f t="shared" si="362"/>
        <v>0</v>
      </c>
      <c r="M407" s="312">
        <f t="shared" si="362"/>
        <v>0</v>
      </c>
      <c r="N407" s="312">
        <f t="shared" si="362"/>
        <v>0</v>
      </c>
      <c r="O407" s="312">
        <f t="shared" si="362"/>
        <v>0</v>
      </c>
      <c r="P407" s="312">
        <f t="shared" si="362"/>
        <v>160000</v>
      </c>
      <c r="Q407" s="20"/>
      <c r="R407" s="47"/>
    </row>
    <row r="408" spans="1:19" ht="48" thickTop="1" thickBot="1" x14ac:dyDescent="0.25">
      <c r="A408" s="101" t="s">
        <v>306</v>
      </c>
      <c r="B408" s="101" t="s">
        <v>307</v>
      </c>
      <c r="C408" s="101" t="s">
        <v>308</v>
      </c>
      <c r="D408" s="101" t="s">
        <v>461</v>
      </c>
      <c r="E408" s="325">
        <f>F408</f>
        <v>160000</v>
      </c>
      <c r="F408" s="458">
        <f>(30000)+80000+50000</f>
        <v>160000</v>
      </c>
      <c r="G408" s="458"/>
      <c r="H408" s="458"/>
      <c r="I408" s="458"/>
      <c r="J408" s="325">
        <f>L408+O408</f>
        <v>0</v>
      </c>
      <c r="K408" s="458">
        <f>(30000)-30000</f>
        <v>0</v>
      </c>
      <c r="L408" s="458"/>
      <c r="M408" s="458"/>
      <c r="N408" s="458"/>
      <c r="O408" s="455">
        <f>(K408)</f>
        <v>0</v>
      </c>
      <c r="P408" s="325">
        <f>E408+J408</f>
        <v>160000</v>
      </c>
      <c r="Q408" s="20"/>
      <c r="R408" s="45"/>
    </row>
    <row r="409" spans="1:19" ht="47.25" thickTop="1" thickBot="1" x14ac:dyDescent="0.25">
      <c r="A409" s="310" t="s">
        <v>842</v>
      </c>
      <c r="B409" s="310" t="s">
        <v>691</v>
      </c>
      <c r="C409" s="101"/>
      <c r="D409" s="310" t="s">
        <v>843</v>
      </c>
      <c r="E409" s="312">
        <f>SUM(E410)</f>
        <v>0</v>
      </c>
      <c r="F409" s="312">
        <f t="shared" ref="F409:P409" si="363">SUM(F410)</f>
        <v>0</v>
      </c>
      <c r="G409" s="312">
        <f t="shared" si="363"/>
        <v>0</v>
      </c>
      <c r="H409" s="312">
        <f t="shared" si="363"/>
        <v>0</v>
      </c>
      <c r="I409" s="312">
        <f t="shared" si="363"/>
        <v>0</v>
      </c>
      <c r="J409" s="312">
        <f t="shared" si="363"/>
        <v>65000</v>
      </c>
      <c r="K409" s="312">
        <f t="shared" si="363"/>
        <v>65000</v>
      </c>
      <c r="L409" s="312">
        <f t="shared" si="363"/>
        <v>0</v>
      </c>
      <c r="M409" s="312">
        <f t="shared" si="363"/>
        <v>0</v>
      </c>
      <c r="N409" s="312">
        <f t="shared" si="363"/>
        <v>0</v>
      </c>
      <c r="O409" s="312">
        <f t="shared" si="363"/>
        <v>65000</v>
      </c>
      <c r="P409" s="312">
        <f t="shared" si="363"/>
        <v>65000</v>
      </c>
      <c r="Q409" s="20"/>
    </row>
    <row r="410" spans="1:19" ht="48" thickTop="1" thickBot="1" x14ac:dyDescent="0.25">
      <c r="A410" s="101" t="s">
        <v>368</v>
      </c>
      <c r="B410" s="101" t="s">
        <v>369</v>
      </c>
      <c r="C410" s="101" t="s">
        <v>170</v>
      </c>
      <c r="D410" s="101" t="s">
        <v>370</v>
      </c>
      <c r="E410" s="325">
        <f>F410</f>
        <v>0</v>
      </c>
      <c r="F410" s="458"/>
      <c r="G410" s="458"/>
      <c r="H410" s="458"/>
      <c r="I410" s="458"/>
      <c r="J410" s="325">
        <f>L410+O410</f>
        <v>65000</v>
      </c>
      <c r="K410" s="458">
        <f>((5000)+10000)+50000</f>
        <v>65000</v>
      </c>
      <c r="L410" s="458"/>
      <c r="M410" s="458"/>
      <c r="N410" s="458"/>
      <c r="O410" s="455">
        <f>K410</f>
        <v>65000</v>
      </c>
      <c r="P410" s="325">
        <f>E410+J410</f>
        <v>65000</v>
      </c>
      <c r="Q410" s="20"/>
      <c r="R410" s="45"/>
    </row>
    <row r="411" spans="1:19" ht="120" customHeight="1" thickTop="1" thickBot="1" x14ac:dyDescent="0.25">
      <c r="A411" s="645" t="s">
        <v>168</v>
      </c>
      <c r="B411" s="645"/>
      <c r="C411" s="645"/>
      <c r="D411" s="646" t="s">
        <v>27</v>
      </c>
      <c r="E411" s="647">
        <f>E412</f>
        <v>20694679.010000002</v>
      </c>
      <c r="F411" s="648">
        <f t="shared" ref="F411:G411" si="364">F412</f>
        <v>20694679.010000002</v>
      </c>
      <c r="G411" s="648">
        <f t="shared" si="364"/>
        <v>8214383</v>
      </c>
      <c r="H411" s="648">
        <f>H412</f>
        <v>258373</v>
      </c>
      <c r="I411" s="648">
        <f t="shared" ref="I411" si="365">I412</f>
        <v>0</v>
      </c>
      <c r="J411" s="647">
        <f>J412</f>
        <v>0</v>
      </c>
      <c r="K411" s="648">
        <f>K412</f>
        <v>0</v>
      </c>
      <c r="L411" s="648">
        <f>L412</f>
        <v>0</v>
      </c>
      <c r="M411" s="648">
        <f t="shared" ref="M411" si="366">M412</f>
        <v>0</v>
      </c>
      <c r="N411" s="648">
        <f>N412</f>
        <v>0</v>
      </c>
      <c r="O411" s="647">
        <f>O412</f>
        <v>0</v>
      </c>
      <c r="P411" s="648">
        <f t="shared" ref="P411" si="367">P412</f>
        <v>20694679.010000002</v>
      </c>
      <c r="Q411" s="20"/>
    </row>
    <row r="412" spans="1:19" ht="120" customHeight="1" thickTop="1" thickBot="1" x14ac:dyDescent="0.25">
      <c r="A412" s="642" t="s">
        <v>169</v>
      </c>
      <c r="B412" s="642"/>
      <c r="C412" s="642"/>
      <c r="D412" s="643" t="s">
        <v>40</v>
      </c>
      <c r="E412" s="644">
        <f>E413+E419+E426+E416</f>
        <v>20694679.010000002</v>
      </c>
      <c r="F412" s="644">
        <f t="shared" ref="F412:P412" si="368">F413+F419+F426+F416</f>
        <v>20694679.010000002</v>
      </c>
      <c r="G412" s="644">
        <f t="shared" si="368"/>
        <v>8214383</v>
      </c>
      <c r="H412" s="644">
        <f t="shared" si="368"/>
        <v>258373</v>
      </c>
      <c r="I412" s="644">
        <f t="shared" si="368"/>
        <v>0</v>
      </c>
      <c r="J412" s="644">
        <f t="shared" si="368"/>
        <v>0</v>
      </c>
      <c r="K412" s="644">
        <f t="shared" si="368"/>
        <v>0</v>
      </c>
      <c r="L412" s="644">
        <f t="shared" si="368"/>
        <v>0</v>
      </c>
      <c r="M412" s="644">
        <f t="shared" si="368"/>
        <v>0</v>
      </c>
      <c r="N412" s="644">
        <f t="shared" si="368"/>
        <v>0</v>
      </c>
      <c r="O412" s="644">
        <f t="shared" si="368"/>
        <v>0</v>
      </c>
      <c r="P412" s="644">
        <f t="shared" si="368"/>
        <v>20694679.010000002</v>
      </c>
      <c r="Q412" s="492" t="b">
        <f>P412=P414+P420+P422</f>
        <v>1</v>
      </c>
      <c r="R412" s="45"/>
    </row>
    <row r="413" spans="1:19" ht="47.25" thickTop="1" thickBot="1" x14ac:dyDescent="0.25">
      <c r="A413" s="308" t="s">
        <v>844</v>
      </c>
      <c r="B413" s="308" t="s">
        <v>684</v>
      </c>
      <c r="C413" s="308"/>
      <c r="D413" s="308" t="s">
        <v>685</v>
      </c>
      <c r="E413" s="325">
        <f>SUM(E414:E415)</f>
        <v>10337342</v>
      </c>
      <c r="F413" s="325">
        <f t="shared" ref="F413:P413" si="369">SUM(F414:F415)</f>
        <v>10337342</v>
      </c>
      <c r="G413" s="325">
        <f t="shared" si="369"/>
        <v>8214383</v>
      </c>
      <c r="H413" s="325">
        <f t="shared" si="369"/>
        <v>258373</v>
      </c>
      <c r="I413" s="325">
        <f t="shared" si="369"/>
        <v>0</v>
      </c>
      <c r="J413" s="325">
        <f t="shared" si="369"/>
        <v>0</v>
      </c>
      <c r="K413" s="325">
        <f t="shared" si="369"/>
        <v>0</v>
      </c>
      <c r="L413" s="325">
        <f t="shared" si="369"/>
        <v>0</v>
      </c>
      <c r="M413" s="325">
        <f t="shared" si="369"/>
        <v>0</v>
      </c>
      <c r="N413" s="325">
        <f t="shared" si="369"/>
        <v>0</v>
      </c>
      <c r="O413" s="325">
        <f t="shared" si="369"/>
        <v>0</v>
      </c>
      <c r="P413" s="325">
        <f t="shared" si="369"/>
        <v>10337342</v>
      </c>
      <c r="Q413" s="47"/>
      <c r="R413" s="50"/>
    </row>
    <row r="414" spans="1:19" ht="93" thickTop="1" thickBot="1" x14ac:dyDescent="0.25">
      <c r="A414" s="101" t="s">
        <v>420</v>
      </c>
      <c r="B414" s="101" t="s">
        <v>236</v>
      </c>
      <c r="C414" s="101" t="s">
        <v>234</v>
      </c>
      <c r="D414" s="101" t="s">
        <v>235</v>
      </c>
      <c r="E414" s="325">
        <f>F414</f>
        <v>10337342</v>
      </c>
      <c r="F414" s="458">
        <v>10337342</v>
      </c>
      <c r="G414" s="458">
        <v>8214383</v>
      </c>
      <c r="H414" s="458">
        <v>258373</v>
      </c>
      <c r="I414" s="458"/>
      <c r="J414" s="325">
        <f>L414+O414</f>
        <v>0</v>
      </c>
      <c r="K414" s="458">
        <v>0</v>
      </c>
      <c r="L414" s="458"/>
      <c r="M414" s="458"/>
      <c r="N414" s="458"/>
      <c r="O414" s="455">
        <f>K414</f>
        <v>0</v>
      </c>
      <c r="P414" s="325">
        <f>E414+J414</f>
        <v>10337342</v>
      </c>
      <c r="Q414" s="47"/>
      <c r="R414" s="50"/>
      <c r="S414" s="47"/>
    </row>
    <row r="415" spans="1:19" ht="93" hidden="1" thickTop="1" thickBot="1" x14ac:dyDescent="0.25">
      <c r="A415" s="126" t="s">
        <v>634</v>
      </c>
      <c r="B415" s="126" t="s">
        <v>362</v>
      </c>
      <c r="C415" s="126" t="s">
        <v>625</v>
      </c>
      <c r="D415" s="126" t="s">
        <v>626</v>
      </c>
      <c r="E415" s="150">
        <f>F415</f>
        <v>0</v>
      </c>
      <c r="F415" s="127"/>
      <c r="G415" s="127"/>
      <c r="H415" s="127"/>
      <c r="I415" s="127"/>
      <c r="J415" s="125">
        <f t="shared" ref="J415" si="370">L415+O415</f>
        <v>0</v>
      </c>
      <c r="K415" s="127"/>
      <c r="L415" s="128"/>
      <c r="M415" s="128"/>
      <c r="N415" s="128"/>
      <c r="O415" s="130">
        <f t="shared" ref="O415" si="371">K415</f>
        <v>0</v>
      </c>
      <c r="P415" s="125">
        <f t="shared" ref="P415" si="372">+J415+E415</f>
        <v>0</v>
      </c>
      <c r="Q415" s="47"/>
      <c r="R415" s="50"/>
    </row>
    <row r="416" spans="1:19" ht="47.25" hidden="1" thickTop="1" thickBot="1" x14ac:dyDescent="0.25">
      <c r="A416" s="134" t="s">
        <v>1204</v>
      </c>
      <c r="B416" s="134" t="s">
        <v>691</v>
      </c>
      <c r="C416" s="134"/>
      <c r="D416" s="134" t="s">
        <v>689</v>
      </c>
      <c r="E416" s="163">
        <f>E417</f>
        <v>0</v>
      </c>
      <c r="F416" s="163">
        <f t="shared" ref="F416:P417" si="373">F417</f>
        <v>0</v>
      </c>
      <c r="G416" s="163">
        <f t="shared" si="373"/>
        <v>0</v>
      </c>
      <c r="H416" s="163">
        <f t="shared" si="373"/>
        <v>0</v>
      </c>
      <c r="I416" s="163">
        <f t="shared" si="373"/>
        <v>0</v>
      </c>
      <c r="J416" s="163">
        <f t="shared" si="373"/>
        <v>0</v>
      </c>
      <c r="K416" s="163">
        <f t="shared" si="373"/>
        <v>0</v>
      </c>
      <c r="L416" s="163">
        <f t="shared" si="373"/>
        <v>0</v>
      </c>
      <c r="M416" s="163">
        <f t="shared" si="373"/>
        <v>0</v>
      </c>
      <c r="N416" s="163">
        <f t="shared" si="373"/>
        <v>0</v>
      </c>
      <c r="O416" s="163">
        <f t="shared" si="373"/>
        <v>0</v>
      </c>
      <c r="P416" s="163">
        <f t="shared" si="373"/>
        <v>0</v>
      </c>
      <c r="Q416" s="47"/>
      <c r="R416" s="50"/>
    </row>
    <row r="417" spans="1:18" ht="48" hidden="1" thickTop="1" thickBot="1" x14ac:dyDescent="0.25">
      <c r="A417" s="138" t="s">
        <v>1205</v>
      </c>
      <c r="B417" s="138" t="s">
        <v>694</v>
      </c>
      <c r="C417" s="138"/>
      <c r="D417" s="138" t="s">
        <v>692</v>
      </c>
      <c r="E417" s="139">
        <f>E418</f>
        <v>0</v>
      </c>
      <c r="F417" s="139">
        <f t="shared" si="373"/>
        <v>0</v>
      </c>
      <c r="G417" s="139">
        <f t="shared" si="373"/>
        <v>0</v>
      </c>
      <c r="H417" s="139">
        <f t="shared" si="373"/>
        <v>0</v>
      </c>
      <c r="I417" s="139">
        <f t="shared" si="373"/>
        <v>0</v>
      </c>
      <c r="J417" s="139">
        <f t="shared" si="373"/>
        <v>0</v>
      </c>
      <c r="K417" s="139">
        <f t="shared" si="373"/>
        <v>0</v>
      </c>
      <c r="L417" s="139">
        <f t="shared" si="373"/>
        <v>0</v>
      </c>
      <c r="M417" s="139">
        <f t="shared" si="373"/>
        <v>0</v>
      </c>
      <c r="N417" s="139">
        <f t="shared" si="373"/>
        <v>0</v>
      </c>
      <c r="O417" s="139">
        <f t="shared" si="373"/>
        <v>0</v>
      </c>
      <c r="P417" s="139">
        <f t="shared" si="373"/>
        <v>0</v>
      </c>
      <c r="Q417" s="47"/>
      <c r="R417" s="50"/>
    </row>
    <row r="418" spans="1:18" ht="48" hidden="1" thickTop="1" thickBot="1" x14ac:dyDescent="0.25">
      <c r="A418" s="126" t="s">
        <v>1206</v>
      </c>
      <c r="B418" s="126" t="s">
        <v>257</v>
      </c>
      <c r="C418" s="126" t="s">
        <v>170</v>
      </c>
      <c r="D418" s="126" t="s">
        <v>255</v>
      </c>
      <c r="E418" s="125">
        <f t="shared" ref="E418" si="374">F418</f>
        <v>0</v>
      </c>
      <c r="F418" s="132"/>
      <c r="G418" s="132"/>
      <c r="H418" s="132"/>
      <c r="I418" s="132"/>
      <c r="J418" s="125">
        <f t="shared" ref="J418" si="375">L418+O418</f>
        <v>0</v>
      </c>
      <c r="K418" s="132"/>
      <c r="L418" s="132"/>
      <c r="M418" s="132"/>
      <c r="N418" s="132"/>
      <c r="O418" s="130">
        <f>K418</f>
        <v>0</v>
      </c>
      <c r="P418" s="125">
        <f t="shared" ref="P418" si="376">E418+J418</f>
        <v>0</v>
      </c>
      <c r="Q418" s="47"/>
      <c r="R418" s="50"/>
    </row>
    <row r="419" spans="1:18" ht="47.25" thickTop="1" thickBot="1" x14ac:dyDescent="0.25">
      <c r="A419" s="308" t="s">
        <v>845</v>
      </c>
      <c r="B419" s="308" t="s">
        <v>696</v>
      </c>
      <c r="C419" s="308"/>
      <c r="D419" s="308" t="s">
        <v>697</v>
      </c>
      <c r="E419" s="309">
        <f t="shared" ref="E419:P419" si="377">E420+E421+E423</f>
        <v>10357337.010000002</v>
      </c>
      <c r="F419" s="309">
        <f t="shared" si="377"/>
        <v>10357337.010000002</v>
      </c>
      <c r="G419" s="309">
        <f t="shared" si="377"/>
        <v>0</v>
      </c>
      <c r="H419" s="309">
        <f t="shared" si="377"/>
        <v>0</v>
      </c>
      <c r="I419" s="309">
        <f t="shared" si="377"/>
        <v>0</v>
      </c>
      <c r="J419" s="309">
        <f t="shared" si="377"/>
        <v>0</v>
      </c>
      <c r="K419" s="309">
        <f t="shared" si="377"/>
        <v>0</v>
      </c>
      <c r="L419" s="309">
        <f t="shared" si="377"/>
        <v>0</v>
      </c>
      <c r="M419" s="309">
        <f t="shared" si="377"/>
        <v>0</v>
      </c>
      <c r="N419" s="309">
        <f t="shared" si="377"/>
        <v>0</v>
      </c>
      <c r="O419" s="309">
        <f t="shared" si="377"/>
        <v>0</v>
      </c>
      <c r="P419" s="309">
        <f t="shared" si="377"/>
        <v>10357337.010000002</v>
      </c>
      <c r="Q419" s="47"/>
      <c r="R419" s="50"/>
    </row>
    <row r="420" spans="1:18" ht="47.25" thickTop="1" thickBot="1" x14ac:dyDescent="0.25">
      <c r="A420" s="515">
        <v>3718600</v>
      </c>
      <c r="B420" s="515">
        <v>8600</v>
      </c>
      <c r="C420" s="310" t="s">
        <v>362</v>
      </c>
      <c r="D420" s="515" t="s">
        <v>452</v>
      </c>
      <c r="E420" s="312">
        <f>F420</f>
        <v>525644</v>
      </c>
      <c r="F420" s="312">
        <v>525644</v>
      </c>
      <c r="G420" s="312"/>
      <c r="H420" s="312"/>
      <c r="I420" s="312"/>
      <c r="J420" s="312">
        <f>L420+O420</f>
        <v>0</v>
      </c>
      <c r="K420" s="312"/>
      <c r="L420" s="312"/>
      <c r="M420" s="312"/>
      <c r="N420" s="312"/>
      <c r="O420" s="516">
        <f>K420</f>
        <v>0</v>
      </c>
      <c r="P420" s="312">
        <f>E420+J420</f>
        <v>525644</v>
      </c>
      <c r="Q420" s="20"/>
    </row>
    <row r="421" spans="1:18" ht="47.25" thickTop="1" thickBot="1" x14ac:dyDescent="0.25">
      <c r="A421" s="515">
        <v>3718700</v>
      </c>
      <c r="B421" s="515">
        <v>8700</v>
      </c>
      <c r="C421" s="310"/>
      <c r="D421" s="515" t="s">
        <v>846</v>
      </c>
      <c r="E421" s="312">
        <f t="shared" ref="E421:P421" si="378">E422</f>
        <v>9831693.0100000016</v>
      </c>
      <c r="F421" s="312">
        <f t="shared" si="378"/>
        <v>9831693.0100000016</v>
      </c>
      <c r="G421" s="312">
        <f t="shared" si="378"/>
        <v>0</v>
      </c>
      <c r="H421" s="312">
        <f t="shared" si="378"/>
        <v>0</v>
      </c>
      <c r="I421" s="312">
        <f t="shared" si="378"/>
        <v>0</v>
      </c>
      <c r="J421" s="312">
        <f t="shared" si="378"/>
        <v>0</v>
      </c>
      <c r="K421" s="312">
        <f t="shared" si="378"/>
        <v>0</v>
      </c>
      <c r="L421" s="312">
        <f t="shared" si="378"/>
        <v>0</v>
      </c>
      <c r="M421" s="312">
        <f t="shared" si="378"/>
        <v>0</v>
      </c>
      <c r="N421" s="312">
        <f t="shared" si="378"/>
        <v>0</v>
      </c>
      <c r="O421" s="312">
        <f t="shared" si="378"/>
        <v>0</v>
      </c>
      <c r="P421" s="312">
        <f t="shared" si="378"/>
        <v>9831693.0100000016</v>
      </c>
      <c r="Q421" s="20"/>
    </row>
    <row r="422" spans="1:18" ht="69" customHeight="1" thickTop="1" thickBot="1" x14ac:dyDescent="0.25">
      <c r="A422" s="327">
        <v>3718710</v>
      </c>
      <c r="B422" s="327">
        <v>8710</v>
      </c>
      <c r="C422" s="101" t="s">
        <v>42</v>
      </c>
      <c r="D422" s="466" t="s">
        <v>640</v>
      </c>
      <c r="E422" s="325">
        <f>F422</f>
        <v>9831693.0100000016</v>
      </c>
      <c r="F422" s="458">
        <f>(50431231.78-20000000-8000000)-12299538.77-300000</f>
        <v>9831693.0100000016</v>
      </c>
      <c r="G422" s="458"/>
      <c r="H422" s="458"/>
      <c r="I422" s="458"/>
      <c r="J422" s="325">
        <f>L422+O422</f>
        <v>0</v>
      </c>
      <c r="K422" s="458"/>
      <c r="L422" s="458"/>
      <c r="M422" s="458"/>
      <c r="N422" s="458"/>
      <c r="O422" s="455">
        <f>K422</f>
        <v>0</v>
      </c>
      <c r="P422" s="325">
        <f>E422+J422</f>
        <v>9831693.0100000016</v>
      </c>
      <c r="Q422" s="20"/>
    </row>
    <row r="423" spans="1:18" ht="47.25" hidden="1" thickTop="1" thickBot="1" x14ac:dyDescent="0.25">
      <c r="A423" s="164">
        <v>3718800</v>
      </c>
      <c r="B423" s="164">
        <v>8800</v>
      </c>
      <c r="C423" s="134"/>
      <c r="D423" s="164" t="s">
        <v>854</v>
      </c>
      <c r="E423" s="135">
        <f>E424</f>
        <v>0</v>
      </c>
      <c r="F423" s="135">
        <f>F424</f>
        <v>0</v>
      </c>
      <c r="G423" s="135">
        <f t="shared" ref="G423:P424" si="379">G424</f>
        <v>0</v>
      </c>
      <c r="H423" s="135">
        <f t="shared" si="379"/>
        <v>0</v>
      </c>
      <c r="I423" s="135">
        <f t="shared" si="379"/>
        <v>0</v>
      </c>
      <c r="J423" s="135">
        <f t="shared" si="379"/>
        <v>0</v>
      </c>
      <c r="K423" s="135">
        <f t="shared" si="379"/>
        <v>0</v>
      </c>
      <c r="L423" s="135">
        <f t="shared" si="379"/>
        <v>0</v>
      </c>
      <c r="M423" s="135">
        <f t="shared" si="379"/>
        <v>0</v>
      </c>
      <c r="N423" s="135">
        <f t="shared" si="379"/>
        <v>0</v>
      </c>
      <c r="O423" s="135">
        <f t="shared" si="379"/>
        <v>0</v>
      </c>
      <c r="P423" s="135">
        <f t="shared" si="379"/>
        <v>0</v>
      </c>
      <c r="Q423" s="20"/>
    </row>
    <row r="424" spans="1:18" ht="93" hidden="1" thickTop="1" thickBot="1" x14ac:dyDescent="0.25">
      <c r="A424" s="165">
        <v>3718880</v>
      </c>
      <c r="B424" s="165">
        <v>8880</v>
      </c>
      <c r="C424" s="138"/>
      <c r="D424" s="151" t="s">
        <v>1154</v>
      </c>
      <c r="E424" s="139">
        <f>E425</f>
        <v>0</v>
      </c>
      <c r="F424" s="139">
        <f t="shared" ref="F424" si="380">F425</f>
        <v>0</v>
      </c>
      <c r="G424" s="139">
        <f t="shared" si="379"/>
        <v>0</v>
      </c>
      <c r="H424" s="139">
        <f t="shared" si="379"/>
        <v>0</v>
      </c>
      <c r="I424" s="139">
        <f t="shared" si="379"/>
        <v>0</v>
      </c>
      <c r="J424" s="139">
        <f t="shared" si="379"/>
        <v>0</v>
      </c>
      <c r="K424" s="139">
        <f t="shared" si="379"/>
        <v>0</v>
      </c>
      <c r="L424" s="139">
        <f t="shared" si="379"/>
        <v>0</v>
      </c>
      <c r="M424" s="139">
        <f t="shared" si="379"/>
        <v>0</v>
      </c>
      <c r="N424" s="139">
        <f t="shared" si="379"/>
        <v>0</v>
      </c>
      <c r="O424" s="139">
        <f t="shared" si="379"/>
        <v>0</v>
      </c>
      <c r="P424" s="139">
        <f t="shared" si="379"/>
        <v>0</v>
      </c>
      <c r="Q424" s="20"/>
    </row>
    <row r="425" spans="1:18" ht="93" hidden="1" thickTop="1" thickBot="1" x14ac:dyDescent="0.25">
      <c r="A425" s="126">
        <v>3718881</v>
      </c>
      <c r="B425" s="126">
        <v>8881</v>
      </c>
      <c r="C425" s="126" t="s">
        <v>170</v>
      </c>
      <c r="D425" s="126" t="s">
        <v>1155</v>
      </c>
      <c r="E425" s="150">
        <f>F425</f>
        <v>0</v>
      </c>
      <c r="F425" s="127">
        <f>(2500000)-2500000</f>
        <v>0</v>
      </c>
      <c r="G425" s="127"/>
      <c r="H425" s="127"/>
      <c r="I425" s="127"/>
      <c r="J425" s="125">
        <f t="shared" ref="J425" si="381">L425+O425</f>
        <v>0</v>
      </c>
      <c r="K425" s="127"/>
      <c r="L425" s="128"/>
      <c r="M425" s="128"/>
      <c r="N425" s="128"/>
      <c r="O425" s="130">
        <f t="shared" ref="O425" si="382">K425</f>
        <v>0</v>
      </c>
      <c r="P425" s="125">
        <f t="shared" ref="P425" si="383">+J425+E425</f>
        <v>0</v>
      </c>
      <c r="Q425" s="20"/>
    </row>
    <row r="426" spans="1:18" ht="47.25" hidden="1" thickTop="1" thickBot="1" x14ac:dyDescent="0.25">
      <c r="A426" s="123" t="s">
        <v>847</v>
      </c>
      <c r="B426" s="123" t="s">
        <v>702</v>
      </c>
      <c r="C426" s="123"/>
      <c r="D426" s="123" t="s">
        <v>703</v>
      </c>
      <c r="E426" s="125">
        <f>E427</f>
        <v>0</v>
      </c>
      <c r="F426" s="125">
        <f t="shared" ref="F426:P427" si="384">F427</f>
        <v>0</v>
      </c>
      <c r="G426" s="125">
        <f t="shared" si="384"/>
        <v>0</v>
      </c>
      <c r="H426" s="125">
        <f t="shared" si="384"/>
        <v>0</v>
      </c>
      <c r="I426" s="125">
        <f t="shared" si="384"/>
        <v>0</v>
      </c>
      <c r="J426" s="125">
        <f t="shared" si="384"/>
        <v>0</v>
      </c>
      <c r="K426" s="125">
        <f t="shared" si="384"/>
        <v>0</v>
      </c>
      <c r="L426" s="125">
        <f t="shared" si="384"/>
        <v>0</v>
      </c>
      <c r="M426" s="125">
        <f t="shared" si="384"/>
        <v>0</v>
      </c>
      <c r="N426" s="125">
        <f t="shared" si="384"/>
        <v>0</v>
      </c>
      <c r="O426" s="125">
        <f t="shared" si="384"/>
        <v>0</v>
      </c>
      <c r="P426" s="125">
        <f t="shared" si="384"/>
        <v>0</v>
      </c>
      <c r="Q426" s="20"/>
    </row>
    <row r="427" spans="1:18" ht="47.25" hidden="1" thickTop="1" thickBot="1" x14ac:dyDescent="0.25">
      <c r="A427" s="164">
        <v>3719100</v>
      </c>
      <c r="B427" s="134" t="s">
        <v>849</v>
      </c>
      <c r="C427" s="134"/>
      <c r="D427" s="134" t="s">
        <v>848</v>
      </c>
      <c r="E427" s="135">
        <f>E428</f>
        <v>0</v>
      </c>
      <c r="F427" s="135">
        <f t="shared" si="384"/>
        <v>0</v>
      </c>
      <c r="G427" s="135">
        <f t="shared" si="384"/>
        <v>0</v>
      </c>
      <c r="H427" s="135">
        <f t="shared" si="384"/>
        <v>0</v>
      </c>
      <c r="I427" s="135">
        <f t="shared" si="384"/>
        <v>0</v>
      </c>
      <c r="J427" s="135">
        <f t="shared" si="384"/>
        <v>0</v>
      </c>
      <c r="K427" s="135">
        <f t="shared" si="384"/>
        <v>0</v>
      </c>
      <c r="L427" s="135">
        <f t="shared" si="384"/>
        <v>0</v>
      </c>
      <c r="M427" s="135">
        <f t="shared" si="384"/>
        <v>0</v>
      </c>
      <c r="N427" s="135">
        <f t="shared" si="384"/>
        <v>0</v>
      </c>
      <c r="O427" s="135">
        <f t="shared" si="384"/>
        <v>0</v>
      </c>
      <c r="P427" s="135">
        <f t="shared" si="384"/>
        <v>0</v>
      </c>
      <c r="Q427" s="20"/>
    </row>
    <row r="428" spans="1:18" ht="51" hidden="1" customHeight="1" thickTop="1" thickBot="1" x14ac:dyDescent="0.25">
      <c r="A428" s="149">
        <v>3719110</v>
      </c>
      <c r="B428" s="149">
        <v>9110</v>
      </c>
      <c r="C428" s="126" t="s">
        <v>43</v>
      </c>
      <c r="D428" s="398" t="s">
        <v>451</v>
      </c>
      <c r="E428" s="125">
        <f>F428</f>
        <v>0</v>
      </c>
      <c r="F428" s="132">
        <v>0</v>
      </c>
      <c r="G428" s="132"/>
      <c r="H428" s="132"/>
      <c r="I428" s="132"/>
      <c r="J428" s="125">
        <f>L428+O428</f>
        <v>0</v>
      </c>
      <c r="K428" s="132"/>
      <c r="L428" s="132"/>
      <c r="M428" s="132"/>
      <c r="N428" s="132"/>
      <c r="O428" s="130">
        <f>K428</f>
        <v>0</v>
      </c>
      <c r="P428" s="125">
        <f>E428+J428</f>
        <v>0</v>
      </c>
      <c r="Q428" s="20"/>
    </row>
    <row r="429" spans="1:18" ht="111" customHeight="1" thickTop="1" thickBot="1" x14ac:dyDescent="0.25">
      <c r="A429" s="649" t="s">
        <v>381</v>
      </c>
      <c r="B429" s="649" t="s">
        <v>381</v>
      </c>
      <c r="C429" s="649" t="s">
        <v>381</v>
      </c>
      <c r="D429" s="649" t="s">
        <v>391</v>
      </c>
      <c r="E429" s="650">
        <f t="shared" ref="E429:P429" si="385">E16+E48+E221+E108+E140+E200++E320+E345+E412+E373+E393+E403+E354+E285+E257</f>
        <v>3956961823.77</v>
      </c>
      <c r="F429" s="650">
        <f t="shared" si="385"/>
        <v>3956961823.77</v>
      </c>
      <c r="G429" s="650">
        <f t="shared" si="385"/>
        <v>1928515611.3899999</v>
      </c>
      <c r="H429" s="650">
        <f t="shared" si="385"/>
        <v>197362393.78999999</v>
      </c>
      <c r="I429" s="650">
        <f t="shared" si="385"/>
        <v>0</v>
      </c>
      <c r="J429" s="650">
        <f t="shared" si="385"/>
        <v>919449281.61000013</v>
      </c>
      <c r="K429" s="650">
        <f t="shared" si="385"/>
        <v>675547529.46000004</v>
      </c>
      <c r="L429" s="650">
        <f t="shared" si="385"/>
        <v>230773460.15000001</v>
      </c>
      <c r="M429" s="650">
        <f t="shared" si="385"/>
        <v>65152330</v>
      </c>
      <c r="N429" s="650">
        <f t="shared" si="385"/>
        <v>18851671</v>
      </c>
      <c r="O429" s="650">
        <f t="shared" si="385"/>
        <v>688675821.46000004</v>
      </c>
      <c r="P429" s="650">
        <f t="shared" si="385"/>
        <v>4876411105.3800001</v>
      </c>
      <c r="Q429" s="79" t="b">
        <f>P429=J429+E429</f>
        <v>1</v>
      </c>
    </row>
    <row r="430" spans="1:18" ht="46.5" thickTop="1" x14ac:dyDescent="0.2">
      <c r="A430" s="737" t="s">
        <v>1515</v>
      </c>
      <c r="B430" s="738"/>
      <c r="C430" s="738"/>
      <c r="D430" s="738"/>
      <c r="E430" s="738"/>
      <c r="F430" s="738"/>
      <c r="G430" s="738"/>
      <c r="H430" s="738"/>
      <c r="I430" s="738"/>
      <c r="J430" s="738"/>
      <c r="K430" s="738"/>
      <c r="L430" s="738"/>
      <c r="M430" s="738"/>
      <c r="N430" s="738"/>
      <c r="O430" s="738"/>
      <c r="P430" s="738"/>
      <c r="Q430" s="56"/>
    </row>
    <row r="431" spans="1:18" ht="60.75" hidden="1" x14ac:dyDescent="0.2">
      <c r="A431" s="15"/>
      <c r="B431" s="16"/>
      <c r="C431" s="16"/>
      <c r="D431" s="16"/>
      <c r="E431" s="539">
        <f>F431</f>
        <v>3956961823.77</v>
      </c>
      <c r="F431" s="539">
        <f>((((3716414441.2)+222038975.97)+1158900+4436136.01)+21294370.59-600000-300000)-7761000+280000</f>
        <v>3956961823.77</v>
      </c>
      <c r="G431" s="539">
        <f>((95820900+1446614253+3269881+127110999+52092425+53854513+94248348+1953964)+45702476.39+3377320)+949920+3007261+436671+76680</f>
        <v>1928515611.3900001</v>
      </c>
      <c r="H431" s="539">
        <f>(((6241293+170645348+208800+8158262+4493410+2946945+4237921+58880)+92902.78)+140989.01)+137643</f>
        <v>197362393.78999999</v>
      </c>
      <c r="I431" s="539">
        <v>0</v>
      </c>
      <c r="J431" s="539">
        <f>((((480219450.8+'d2'!E42-'d4'!O29)+268859015.4)+7672111)+156908194.41+600000+300000)+7761000-280000</f>
        <v>918599271.61000001</v>
      </c>
      <c r="K431" s="539">
        <f>(((480219450.8+'d2'!F42-'d4'!P29-1200000-5215800-229145152)+268859015.4-4737.15-663952)+156908194.41+600000+300000)+7761000-280000</f>
        <v>675547529.46000004</v>
      </c>
      <c r="L431" s="539">
        <f>(((2604400+176000+570000+1000000)+206347210+6239260+10895910+1888442+1200000)+4737.15)-152499</f>
        <v>230773460.15000001</v>
      </c>
      <c r="M431" s="539">
        <f>(53944610+2604685+8032370+704165)-133500</f>
        <v>65152330</v>
      </c>
      <c r="N431" s="539">
        <f>17336870+705805+284620+524376</f>
        <v>18851671</v>
      </c>
      <c r="O431" s="539">
        <f>((((480219450.8+'d2'!F42-'d4'!O29-1200000-5215800-229145152+865400+3487390+24000+237940+25000)+268859015.4-4737.15)+7672111)+152499+156908194.41+600000+300000)+7761000-280000</f>
        <v>688675821.46000004</v>
      </c>
      <c r="P431" s="539">
        <f>(((4196633892+'d2'!C46-'d4'!Q29)+490897991.37)+7672111+4436136.01+1158900)+178202565</f>
        <v>4875561095.3800001</v>
      </c>
      <c r="Q431" s="79" t="b">
        <f>E431+J431=P431</f>
        <v>1</v>
      </c>
      <c r="R431" s="56"/>
    </row>
    <row r="432" spans="1:18" ht="45.75" hidden="1" x14ac:dyDescent="0.65">
      <c r="A432" s="15"/>
      <c r="B432" s="16"/>
      <c r="C432" s="16"/>
      <c r="D432" s="540" t="s">
        <v>1478</v>
      </c>
      <c r="E432" s="316"/>
      <c r="F432" s="316"/>
      <c r="G432" s="2"/>
      <c r="H432" s="3"/>
      <c r="I432" s="2"/>
      <c r="J432" s="3"/>
      <c r="K432" s="2" t="s">
        <v>1479</v>
      </c>
      <c r="L432" s="2"/>
      <c r="M432" s="2"/>
      <c r="N432" s="2"/>
      <c r="O432" s="2"/>
      <c r="P432" s="2"/>
      <c r="Q432" s="56"/>
    </row>
    <row r="433" spans="1:18" ht="45.75" x14ac:dyDescent="0.65">
      <c r="A433" s="166"/>
      <c r="B433" s="167"/>
      <c r="C433" s="167"/>
      <c r="D433" s="3" t="s">
        <v>1443</v>
      </c>
      <c r="E433" s="316"/>
      <c r="F433" s="316"/>
      <c r="G433" s="2"/>
      <c r="H433" s="3"/>
      <c r="I433" s="2"/>
      <c r="J433" s="3"/>
      <c r="K433" s="3" t="s">
        <v>1444</v>
      </c>
      <c r="L433" s="200"/>
      <c r="M433" s="200"/>
      <c r="N433" s="200"/>
      <c r="O433" s="200"/>
      <c r="P433" s="200"/>
      <c r="Q433" s="56"/>
    </row>
    <row r="434" spans="1:18" ht="26.25" customHeight="1" x14ac:dyDescent="0.65">
      <c r="A434" s="15"/>
      <c r="B434" s="16"/>
      <c r="C434" s="16"/>
      <c r="D434" s="780"/>
      <c r="E434" s="780"/>
      <c r="F434" s="780"/>
      <c r="G434" s="780"/>
      <c r="H434" s="780"/>
      <c r="I434" s="780"/>
      <c r="J434" s="780"/>
      <c r="K434" s="780"/>
      <c r="L434" s="780"/>
      <c r="M434" s="780"/>
      <c r="N434" s="780"/>
      <c r="O434" s="780"/>
      <c r="P434" s="780"/>
      <c r="Q434" s="83"/>
    </row>
    <row r="435" spans="1:18" ht="50.25" customHeight="1" thickBot="1" x14ac:dyDescent="0.7">
      <c r="A435" s="15"/>
      <c r="B435" s="16"/>
      <c r="C435" s="16"/>
      <c r="D435" s="794" t="s">
        <v>1627</v>
      </c>
      <c r="E435" s="795"/>
      <c r="F435" s="795"/>
      <c r="G435" s="358"/>
      <c r="H435" s="358"/>
      <c r="I435" s="2"/>
      <c r="J435" s="2"/>
      <c r="K435" s="3" t="s">
        <v>1628</v>
      </c>
      <c r="L435" s="2"/>
      <c r="M435" s="2"/>
      <c r="N435" s="2"/>
      <c r="O435" s="2"/>
      <c r="P435" s="2"/>
      <c r="Q435" s="83"/>
    </row>
    <row r="436" spans="1:18" ht="47.25" thickTop="1" thickBot="1" x14ac:dyDescent="0.7">
      <c r="A436" s="19"/>
      <c r="B436" s="19"/>
      <c r="C436" s="19"/>
      <c r="D436" s="739"/>
      <c r="E436" s="739"/>
      <c r="F436" s="739"/>
      <c r="G436" s="739"/>
      <c r="H436" s="739"/>
      <c r="I436" s="739"/>
      <c r="J436" s="739"/>
      <c r="K436" s="739"/>
      <c r="L436" s="739"/>
      <c r="M436" s="739"/>
      <c r="N436" s="739"/>
      <c r="O436" s="739"/>
      <c r="P436" s="739"/>
      <c r="Q436" s="84"/>
    </row>
    <row r="437" spans="1:18" ht="95.25" customHeight="1" thickTop="1" x14ac:dyDescent="0.55000000000000004">
      <c r="G437" s="58"/>
      <c r="H437" s="58"/>
      <c r="I437" s="91"/>
      <c r="J437" s="92"/>
      <c r="K437" s="92"/>
      <c r="L437" s="91"/>
      <c r="M437" s="91"/>
      <c r="N437" s="91"/>
      <c r="O437" s="91"/>
      <c r="P437" s="92"/>
      <c r="Q437" s="82"/>
    </row>
    <row r="438" spans="1:18" x14ac:dyDescent="0.2">
      <c r="E438" s="59"/>
      <c r="F438" s="60"/>
      <c r="G438" s="58"/>
      <c r="H438" s="58"/>
      <c r="I438" s="91"/>
      <c r="J438" s="93"/>
      <c r="K438" s="93"/>
      <c r="L438" s="91"/>
      <c r="M438" s="91"/>
      <c r="N438" s="91"/>
      <c r="O438" s="91"/>
      <c r="P438" s="92"/>
    </row>
    <row r="439" spans="1:18" x14ac:dyDescent="0.2">
      <c r="E439" s="59"/>
      <c r="F439" s="60"/>
      <c r="G439" s="58"/>
      <c r="H439" s="58"/>
      <c r="I439" s="91"/>
      <c r="J439" s="93"/>
      <c r="K439" s="93"/>
      <c r="L439" s="91"/>
      <c r="M439" s="91"/>
      <c r="N439" s="91"/>
      <c r="O439" s="91"/>
      <c r="P439" s="92"/>
    </row>
    <row r="440" spans="1:18" ht="60.75" x14ac:dyDescent="0.2">
      <c r="E440" s="672" t="b">
        <f>E431=E429</f>
        <v>1</v>
      </c>
      <c r="F440" s="672" t="b">
        <f>F431=F429</f>
        <v>1</v>
      </c>
      <c r="G440" s="672" t="b">
        <f>G431=G429</f>
        <v>1</v>
      </c>
      <c r="H440" s="672" t="b">
        <f t="shared" ref="H440:O440" si="386">H431=H429</f>
        <v>1</v>
      </c>
      <c r="I440" s="672" t="b">
        <f>I431=I429</f>
        <v>1</v>
      </c>
      <c r="J440" s="672" t="b">
        <f>J431=J429</f>
        <v>0</v>
      </c>
      <c r="K440" s="672" t="b">
        <f>K431=K429</f>
        <v>1</v>
      </c>
      <c r="L440" s="672" t="b">
        <f t="shared" si="386"/>
        <v>1</v>
      </c>
      <c r="M440" s="672" t="b">
        <f t="shared" si="386"/>
        <v>1</v>
      </c>
      <c r="N440" s="672" t="b">
        <f>N431=N429</f>
        <v>1</v>
      </c>
      <c r="O440" s="672" t="b">
        <f t="shared" si="386"/>
        <v>1</v>
      </c>
      <c r="P440" s="672" t="b">
        <f>P431=P429</f>
        <v>0</v>
      </c>
    </row>
    <row r="441" spans="1:18" ht="61.5" x14ac:dyDescent="0.2">
      <c r="E441" s="672" t="b">
        <f>E429=F429</f>
        <v>1</v>
      </c>
      <c r="F441" s="673">
        <f>F422/E429</f>
        <v>2.484657029274254E-3</v>
      </c>
      <c r="G441" s="86"/>
      <c r="H441" s="87"/>
      <c r="I441" s="88"/>
      <c r="J441" s="672" t="b">
        <f>J431=L431+O431</f>
        <v>0</v>
      </c>
      <c r="K441" s="94"/>
      <c r="L441" s="79"/>
      <c r="M441" s="88"/>
      <c r="N441" s="88"/>
      <c r="O441" s="79"/>
      <c r="P441" s="672" t="b">
        <f>E429+J429=P429</f>
        <v>1</v>
      </c>
    </row>
    <row r="442" spans="1:18" ht="60.75" x14ac:dyDescent="0.2">
      <c r="E442" s="89"/>
      <c r="F442" s="90"/>
      <c r="G442" s="89"/>
      <c r="H442" s="674">
        <f>H431-H429</f>
        <v>0</v>
      </c>
      <c r="I442" s="89"/>
      <c r="J442" s="59"/>
      <c r="K442" s="59"/>
    </row>
    <row r="443" spans="1:18" ht="61.5" x14ac:dyDescent="0.2">
      <c r="A443" s="21"/>
      <c r="B443" s="21"/>
      <c r="C443" s="21"/>
      <c r="D443" s="22"/>
      <c r="E443" s="37">
        <f>E429-E431</f>
        <v>0</v>
      </c>
      <c r="F443" s="673">
        <f>400000/E429</f>
        <v>1.0108765710023949E-4</v>
      </c>
      <c r="G443" s="86"/>
      <c r="H443" s="61"/>
      <c r="I443" s="22"/>
      <c r="J443" s="37">
        <f>J429-J431</f>
        <v>850010.00000011921</v>
      </c>
      <c r="K443" s="37">
        <f>K429-K431</f>
        <v>0</v>
      </c>
      <c r="L443" s="37"/>
      <c r="M443" s="37"/>
      <c r="N443" s="37"/>
      <c r="O443" s="37">
        <f>O429-O431</f>
        <v>0</v>
      </c>
      <c r="P443" s="37"/>
    </row>
    <row r="444" spans="1:18" ht="61.5" x14ac:dyDescent="0.2">
      <c r="D444" s="22"/>
      <c r="E444" s="37"/>
      <c r="F444" s="63"/>
      <c r="G444" s="55"/>
      <c r="H444" s="61"/>
      <c r="I444" s="22"/>
      <c r="J444" s="37"/>
      <c r="K444" s="37"/>
      <c r="L444" s="64"/>
      <c r="P444" s="55"/>
      <c r="Q444" s="85"/>
      <c r="R444" s="65"/>
    </row>
    <row r="445" spans="1:18" ht="60.75" x14ac:dyDescent="0.2">
      <c r="A445" s="21"/>
      <c r="B445" s="21"/>
      <c r="C445" s="21"/>
      <c r="D445" s="22"/>
      <c r="E445" s="26"/>
      <c r="F445" s="26"/>
      <c r="G445" s="26"/>
      <c r="H445" s="26"/>
      <c r="I445" s="66"/>
      <c r="J445" s="26"/>
      <c r="K445" s="26"/>
      <c r="L445" s="26"/>
      <c r="M445" s="26"/>
      <c r="N445" s="26"/>
      <c r="O445" s="26"/>
      <c r="P445" s="26"/>
      <c r="Q445" s="85"/>
      <c r="R445" s="65"/>
    </row>
    <row r="446" spans="1:18" ht="60.75" x14ac:dyDescent="0.2">
      <c r="D446" s="22"/>
      <c r="E446" s="37"/>
      <c r="F446" s="67"/>
      <c r="O446" s="55"/>
      <c r="P446" s="55"/>
    </row>
    <row r="447" spans="1:18" ht="60.75" x14ac:dyDescent="0.2">
      <c r="A447" s="21"/>
      <c r="B447" s="21"/>
      <c r="C447" s="21"/>
      <c r="D447" s="22"/>
      <c r="E447" s="37"/>
      <c r="F447" s="62"/>
      <c r="G447" s="64"/>
      <c r="I447" s="68"/>
      <c r="J447" s="59"/>
      <c r="K447" s="59"/>
      <c r="L447" s="21"/>
      <c r="M447" s="21"/>
      <c r="N447" s="21"/>
      <c r="O447" s="21"/>
      <c r="P447" s="55"/>
    </row>
    <row r="448" spans="1:18" ht="62.25" x14ac:dyDescent="0.8">
      <c r="A448" s="21"/>
      <c r="B448" s="21"/>
      <c r="C448" s="21"/>
      <c r="D448" s="21"/>
      <c r="E448" s="69"/>
      <c r="F448" s="62"/>
      <c r="J448" s="59"/>
      <c r="K448" s="59"/>
      <c r="L448" s="21"/>
      <c r="M448" s="21"/>
      <c r="N448" s="21"/>
      <c r="O448" s="21"/>
      <c r="P448" s="70"/>
    </row>
    <row r="449" spans="1:16" ht="45.75" x14ac:dyDescent="0.2">
      <c r="E449" s="71"/>
      <c r="F449" s="67"/>
    </row>
    <row r="450" spans="1:16" ht="45.75" x14ac:dyDescent="0.2">
      <c r="A450" s="21"/>
      <c r="B450" s="21"/>
      <c r="C450" s="21"/>
      <c r="D450" s="21"/>
      <c r="E450" s="69"/>
      <c r="F450" s="62"/>
      <c r="L450" s="21"/>
      <c r="M450" s="21"/>
      <c r="N450" s="21"/>
      <c r="O450" s="21"/>
      <c r="P450" s="21"/>
    </row>
    <row r="451" spans="1:16" ht="45.75" x14ac:dyDescent="0.2">
      <c r="E451" s="72"/>
      <c r="F451" s="67"/>
    </row>
    <row r="452" spans="1:16" ht="45.75" x14ac:dyDescent="0.2">
      <c r="E452" s="72"/>
      <c r="F452" s="67"/>
    </row>
    <row r="453" spans="1:16" ht="45.75" x14ac:dyDescent="0.2">
      <c r="E453" s="72"/>
      <c r="F453" s="67"/>
    </row>
    <row r="454" spans="1:16" ht="45.75" x14ac:dyDescent="0.2">
      <c r="A454" s="21"/>
      <c r="B454" s="21"/>
      <c r="C454" s="21"/>
      <c r="D454" s="21"/>
      <c r="E454" s="72"/>
      <c r="F454" s="67"/>
      <c r="G454" s="21"/>
      <c r="H454" s="21"/>
      <c r="I454" s="21"/>
      <c r="J454" s="21"/>
      <c r="K454" s="21"/>
      <c r="L454" s="21"/>
      <c r="M454" s="21"/>
      <c r="N454" s="21"/>
      <c r="O454" s="21"/>
      <c r="P454" s="21"/>
    </row>
    <row r="455" spans="1:16" ht="45.75" x14ac:dyDescent="0.2">
      <c r="A455" s="21"/>
      <c r="B455" s="21"/>
      <c r="C455" s="21"/>
      <c r="D455" s="21"/>
      <c r="E455" s="72"/>
      <c r="F455" s="67"/>
      <c r="G455" s="21"/>
      <c r="H455" s="21"/>
      <c r="I455" s="21"/>
      <c r="J455" s="21"/>
      <c r="K455" s="21"/>
      <c r="L455" s="21"/>
      <c r="M455" s="21"/>
      <c r="N455" s="21"/>
      <c r="O455" s="21"/>
      <c r="P455" s="21"/>
    </row>
    <row r="456" spans="1:16" ht="45.75" x14ac:dyDescent="0.2">
      <c r="A456" s="21"/>
      <c r="B456" s="21"/>
      <c r="C456" s="21"/>
      <c r="D456" s="21"/>
      <c r="E456" s="72"/>
      <c r="F456" s="67"/>
      <c r="G456" s="21"/>
      <c r="H456" s="21"/>
      <c r="I456" s="21"/>
      <c r="J456" s="21"/>
      <c r="K456" s="21"/>
      <c r="L456" s="21"/>
      <c r="M456" s="21"/>
      <c r="N456" s="21"/>
      <c r="O456" s="21"/>
      <c r="P456" s="21"/>
    </row>
    <row r="457" spans="1:16" ht="45.75" x14ac:dyDescent="0.2">
      <c r="A457" s="21"/>
      <c r="B457" s="21"/>
      <c r="C457" s="21"/>
      <c r="D457" s="21"/>
      <c r="E457" s="72"/>
      <c r="F457" s="67"/>
      <c r="G457" s="21"/>
      <c r="H457" s="21"/>
      <c r="I457" s="21"/>
      <c r="J457" s="21"/>
      <c r="K457" s="21"/>
      <c r="L457" s="21"/>
      <c r="M457" s="21"/>
      <c r="N457" s="21"/>
      <c r="O457" s="21"/>
      <c r="P457" s="21"/>
    </row>
  </sheetData>
  <mergeCells count="183">
    <mergeCell ref="A430:P430"/>
    <mergeCell ref="D434:P434"/>
    <mergeCell ref="D435:F435"/>
    <mergeCell ref="D436:P436"/>
    <mergeCell ref="J341:J342"/>
    <mergeCell ref="K341:K342"/>
    <mergeCell ref="L341:L342"/>
    <mergeCell ref="M341:M342"/>
    <mergeCell ref="N341:N342"/>
    <mergeCell ref="O341:O342"/>
    <mergeCell ref="O308:O309"/>
    <mergeCell ref="P308:P309"/>
    <mergeCell ref="A341:A342"/>
    <mergeCell ref="B341:B342"/>
    <mergeCell ref="C341:C342"/>
    <mergeCell ref="E341:E342"/>
    <mergeCell ref="F341:F342"/>
    <mergeCell ref="G341:G342"/>
    <mergeCell ref="H341:H342"/>
    <mergeCell ref="I341:I342"/>
    <mergeCell ref="I308:I309"/>
    <mergeCell ref="J308:J309"/>
    <mergeCell ref="K308:K309"/>
    <mergeCell ref="L308:L309"/>
    <mergeCell ref="M308:M309"/>
    <mergeCell ref="N308:N309"/>
    <mergeCell ref="P341:P342"/>
    <mergeCell ref="A308:A309"/>
    <mergeCell ref="B308:B309"/>
    <mergeCell ref="C308:C309"/>
    <mergeCell ref="E308:E309"/>
    <mergeCell ref="F308:F309"/>
    <mergeCell ref="G308:G309"/>
    <mergeCell ref="H308:H309"/>
    <mergeCell ref="N197:N198"/>
    <mergeCell ref="O197:O198"/>
    <mergeCell ref="P197:P198"/>
    <mergeCell ref="A277:A278"/>
    <mergeCell ref="B277:B278"/>
    <mergeCell ref="C277:C278"/>
    <mergeCell ref="E277:E278"/>
    <mergeCell ref="F277:F278"/>
    <mergeCell ref="G277:G278"/>
    <mergeCell ref="G197:G198"/>
    <mergeCell ref="H197:H198"/>
    <mergeCell ref="I197:I198"/>
    <mergeCell ref="J197:J198"/>
    <mergeCell ref="K197:K198"/>
    <mergeCell ref="L197:L198"/>
    <mergeCell ref="N277:N278"/>
    <mergeCell ref="O277:O278"/>
    <mergeCell ref="P277:P278"/>
    <mergeCell ref="J277:J278"/>
    <mergeCell ref="K277:K278"/>
    <mergeCell ref="L277:L278"/>
    <mergeCell ref="M277:M278"/>
    <mergeCell ref="A197:A198"/>
    <mergeCell ref="B197:B198"/>
    <mergeCell ref="C197:C198"/>
    <mergeCell ref="E197:E198"/>
    <mergeCell ref="F197:F198"/>
    <mergeCell ref="G179:G181"/>
    <mergeCell ref="H179:H181"/>
    <mergeCell ref="I179:I181"/>
    <mergeCell ref="J179:J181"/>
    <mergeCell ref="H277:H278"/>
    <mergeCell ref="I277:I278"/>
    <mergeCell ref="M197:M198"/>
    <mergeCell ref="R176:R178"/>
    <mergeCell ref="A179:A181"/>
    <mergeCell ref="B179:B181"/>
    <mergeCell ref="C179:C181"/>
    <mergeCell ref="E179:E181"/>
    <mergeCell ref="F179:F181"/>
    <mergeCell ref="G176:G178"/>
    <mergeCell ref="H176:H178"/>
    <mergeCell ref="I176:I178"/>
    <mergeCell ref="J176:J178"/>
    <mergeCell ref="K176:K178"/>
    <mergeCell ref="L176:L178"/>
    <mergeCell ref="M179:M181"/>
    <mergeCell ref="N179:N181"/>
    <mergeCell ref="O179:O181"/>
    <mergeCell ref="P179:P181"/>
    <mergeCell ref="R179:R181"/>
    <mergeCell ref="K179:K181"/>
    <mergeCell ref="L179:L181"/>
    <mergeCell ref="A176:A178"/>
    <mergeCell ref="B176:B178"/>
    <mergeCell ref="C176:C178"/>
    <mergeCell ref="E176:E178"/>
    <mergeCell ref="F176:F178"/>
    <mergeCell ref="G172:G175"/>
    <mergeCell ref="H172:H175"/>
    <mergeCell ref="I172:I175"/>
    <mergeCell ref="J172:J175"/>
    <mergeCell ref="P168:P171"/>
    <mergeCell ref="M176:M178"/>
    <mergeCell ref="N176:N178"/>
    <mergeCell ref="O176:O178"/>
    <mergeCell ref="P176:P178"/>
    <mergeCell ref="Q168:Q171"/>
    <mergeCell ref="R168:R171"/>
    <mergeCell ref="A172:A175"/>
    <mergeCell ref="B172:B175"/>
    <mergeCell ref="C172:C175"/>
    <mergeCell ref="E172:E175"/>
    <mergeCell ref="F172:F175"/>
    <mergeCell ref="H168:H171"/>
    <mergeCell ref="I168:I171"/>
    <mergeCell ref="J168:J171"/>
    <mergeCell ref="K168:K171"/>
    <mergeCell ref="L168:L171"/>
    <mergeCell ref="M168:M171"/>
    <mergeCell ref="M172:M175"/>
    <mergeCell ref="N172:N175"/>
    <mergeCell ref="O172:O175"/>
    <mergeCell ref="P172:P175"/>
    <mergeCell ref="R172:R175"/>
    <mergeCell ref="K172:K175"/>
    <mergeCell ref="L172:L175"/>
    <mergeCell ref="M76:M77"/>
    <mergeCell ref="N76:N77"/>
    <mergeCell ref="O76:O77"/>
    <mergeCell ref="P76:P77"/>
    <mergeCell ref="A168:A171"/>
    <mergeCell ref="B168:B171"/>
    <mergeCell ref="C168:C171"/>
    <mergeCell ref="E168:E171"/>
    <mergeCell ref="F168:F171"/>
    <mergeCell ref="G168:G171"/>
    <mergeCell ref="G76:G77"/>
    <mergeCell ref="H76:H77"/>
    <mergeCell ref="I76:I77"/>
    <mergeCell ref="J76:J77"/>
    <mergeCell ref="K76:K77"/>
    <mergeCell ref="L76:L77"/>
    <mergeCell ref="A76:A77"/>
    <mergeCell ref="B76:B77"/>
    <mergeCell ref="C76:C77"/>
    <mergeCell ref="D76:D77"/>
    <mergeCell ref="E76:E77"/>
    <mergeCell ref="F76:F77"/>
    <mergeCell ref="N168:N171"/>
    <mergeCell ref="O168:O171"/>
    <mergeCell ref="K33:K34"/>
    <mergeCell ref="L33:L34"/>
    <mergeCell ref="M33:M34"/>
    <mergeCell ref="N33:N34"/>
    <mergeCell ref="O33:O34"/>
    <mergeCell ref="P33:P34"/>
    <mergeCell ref="O12:O13"/>
    <mergeCell ref="A33:A34"/>
    <mergeCell ref="B33:B34"/>
    <mergeCell ref="C33:C34"/>
    <mergeCell ref="E33:E34"/>
    <mergeCell ref="F33:F34"/>
    <mergeCell ref="G33:G34"/>
    <mergeCell ref="H33:H34"/>
    <mergeCell ref="I33:I34"/>
    <mergeCell ref="J33:J34"/>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s>
  <conditionalFormatting sqref="Q345:Q352">
    <cfRule type="iconSet" priority="17">
      <iconSet iconSet="3Arrows">
        <cfvo type="percent" val="0"/>
        <cfvo type="percent" val="33"/>
        <cfvo type="percent" val="67"/>
      </iconSet>
    </cfRule>
  </conditionalFormatting>
  <conditionalFormatting sqref="Q354:Q355">
    <cfRule type="iconSet" priority="13">
      <iconSet iconSet="3Arrows">
        <cfvo type="percent" val="0"/>
        <cfvo type="percent" val="33"/>
        <cfvo type="percent" val="67"/>
      </iconSet>
    </cfRule>
  </conditionalFormatting>
  <conditionalFormatting sqref="Q356:Q371">
    <cfRule type="iconSet" priority="21">
      <iconSet iconSet="3Arrows">
        <cfvo type="percent" val="0"/>
        <cfvo type="percent" val="33"/>
        <cfvo type="percent" val="67"/>
      </iconSet>
    </cfRule>
  </conditionalFormatting>
  <conditionalFormatting sqref="Q393:Q398">
    <cfRule type="iconSet" priority="20">
      <iconSet iconSet="3Arrows">
        <cfvo type="percent" val="0"/>
        <cfvo type="percent" val="33"/>
        <cfvo type="percent" val="67"/>
      </iconSet>
    </cfRule>
  </conditionalFormatting>
  <conditionalFormatting sqref="Q399">
    <cfRule type="iconSet" priority="2">
      <iconSet iconSet="3Arrows">
        <cfvo type="percent" val="0"/>
        <cfvo type="percent" val="33"/>
        <cfvo type="percent" val="67"/>
      </iconSet>
    </cfRule>
  </conditionalFormatting>
  <conditionalFormatting sqref="Q400:Q401">
    <cfRule type="iconSet" priority="8">
      <iconSet iconSet="3Arrows">
        <cfvo type="percent" val="0"/>
        <cfvo type="percent" val="33"/>
        <cfvo type="percent" val="67"/>
      </iconSet>
    </cfRule>
  </conditionalFormatting>
  <conditionalFormatting sqref="Q403">
    <cfRule type="iconSet" priority="3">
      <iconSet iconSet="3Arrows">
        <cfvo type="percent" val="0"/>
        <cfvo type="percent" val="33"/>
        <cfvo type="percent" val="67"/>
      </iconSet>
    </cfRule>
  </conditionalFormatting>
  <conditionalFormatting sqref="Q412">
    <cfRule type="iconSet" priority="1">
      <iconSet iconSet="3Arrows">
        <cfvo type="percent" val="0"/>
        <cfvo type="percent" val="33"/>
        <cfvo type="percent" val="67"/>
      </iconSet>
    </cfRule>
  </conditionalFormatting>
  <conditionalFormatting sqref="Q413 Q415:R419 R414:S414">
    <cfRule type="iconSet" priority="16">
      <iconSet iconSet="3Arrows">
        <cfvo type="percent" val="0"/>
        <cfvo type="percent" val="33"/>
        <cfvo type="percent" val="67"/>
      </iconSet>
    </cfRule>
  </conditionalFormatting>
  <conditionalFormatting sqref="Q414">
    <cfRule type="iconSet" priority="7">
      <iconSet iconSet="3Arrows">
        <cfvo type="percent" val="0"/>
        <cfvo type="percent" val="33"/>
        <cfvo type="percent" val="67"/>
      </iconSet>
    </cfRule>
  </conditionalFormatting>
  <conditionalFormatting sqref="Q373:R380">
    <cfRule type="iconSet" priority="23">
      <iconSet iconSet="3Arrows">
        <cfvo type="percent" val="0"/>
        <cfvo type="percent" val="33"/>
        <cfvo type="percent" val="67"/>
      </iconSet>
    </cfRule>
  </conditionalFormatting>
  <conditionalFormatting sqref="R345:R346">
    <cfRule type="iconSet" priority="11">
      <iconSet iconSet="3Arrows">
        <cfvo type="percent" val="0"/>
        <cfvo type="percent" val="33"/>
        <cfvo type="percent" val="67"/>
      </iconSet>
    </cfRule>
  </conditionalFormatting>
  <conditionalFormatting sqref="R347:R352">
    <cfRule type="iconSet" priority="10">
      <iconSet iconSet="3Arrows">
        <cfvo type="percent" val="0"/>
        <cfvo type="percent" val="33"/>
        <cfvo type="percent" val="67"/>
      </iconSet>
    </cfRule>
  </conditionalFormatting>
  <conditionalFormatting sqref="R354:R355">
    <cfRule type="iconSet" priority="12">
      <iconSet iconSet="3Arrows">
        <cfvo type="percent" val="0"/>
        <cfvo type="percent" val="33"/>
        <cfvo type="percent" val="67"/>
      </iconSet>
    </cfRule>
  </conditionalFormatting>
  <conditionalFormatting sqref="R356:R371">
    <cfRule type="iconSet" priority="22">
      <iconSet iconSet="3Arrows">
        <cfvo type="percent" val="0"/>
        <cfvo type="percent" val="33"/>
        <cfvo type="percent" val="67"/>
      </iconSet>
    </cfRule>
  </conditionalFormatting>
  <conditionalFormatting sqref="R381:R391">
    <cfRule type="iconSet" priority="18">
      <iconSet iconSet="3Arrows">
        <cfvo type="percent" val="0"/>
        <cfvo type="percent" val="33"/>
        <cfvo type="percent" val="67"/>
      </iconSet>
    </cfRule>
  </conditionalFormatting>
  <conditionalFormatting sqref="R393:R394">
    <cfRule type="iconSet" priority="9">
      <iconSet iconSet="3Arrows">
        <cfvo type="percent" val="0"/>
        <cfvo type="percent" val="33"/>
        <cfvo type="percent" val="67"/>
      </iconSet>
    </cfRule>
  </conditionalFormatting>
  <conditionalFormatting sqref="R395:R398">
    <cfRule type="iconSet" priority="19">
      <iconSet iconSet="3Arrows">
        <cfvo type="percent" val="0"/>
        <cfvo type="percent" val="33"/>
        <cfvo type="percent" val="67"/>
      </iconSet>
    </cfRule>
  </conditionalFormatting>
  <conditionalFormatting sqref="R405:R407 Q404:R404 R403">
    <cfRule type="iconSet" priority="15">
      <iconSet iconSet="3Arrows">
        <cfvo type="percent" val="0"/>
        <cfvo type="percent" val="33"/>
        <cfvo type="percent" val="67"/>
      </iconSet>
    </cfRule>
  </conditionalFormatting>
  <conditionalFormatting sqref="R408">
    <cfRule type="iconSet" priority="5">
      <iconSet iconSet="3Arrows">
        <cfvo type="percent" val="0"/>
        <cfvo type="percent" val="33"/>
        <cfvo type="percent" val="67"/>
      </iconSet>
    </cfRule>
  </conditionalFormatting>
  <conditionalFormatting sqref="R410">
    <cfRule type="iconSet" priority="4">
      <iconSet iconSet="3Arrows">
        <cfvo type="percent" val="0"/>
        <cfvo type="percent" val="33"/>
        <cfvo type="percent" val="67"/>
      </iconSet>
    </cfRule>
  </conditionalFormatting>
  <conditionalFormatting sqref="R412">
    <cfRule type="iconSet" priority="6">
      <iconSet iconSet="3Arrows">
        <cfvo type="percent" val="0"/>
        <cfvo type="percent" val="33"/>
        <cfvo type="percent" val="67"/>
      </iconSet>
    </cfRule>
  </conditionalFormatting>
  <conditionalFormatting sqref="R413">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183" max="15" man="1"/>
    <brk id="265"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T458"/>
  <sheetViews>
    <sheetView view="pageBreakPreview" zoomScale="24" zoomScaleNormal="25" zoomScaleSheetLayoutView="24" zoomScalePageLayoutView="10" workbookViewId="0">
      <pane ySplit="14" topLeftCell="A412" activePane="bottomLeft" state="frozen"/>
      <selection activeCell="D167" sqref="D167"/>
      <selection pane="bottomLeft" activeCell="E374" sqref="E374"/>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53" t="s">
        <v>493</v>
      </c>
      <c r="O1" s="754"/>
      <c r="P1" s="754"/>
      <c r="Q1" s="754"/>
    </row>
    <row r="2" spans="1:18" ht="45.75" x14ac:dyDescent="0.2">
      <c r="A2" s="76"/>
      <c r="B2" s="76"/>
      <c r="C2" s="76"/>
      <c r="D2" s="76"/>
      <c r="E2" s="77"/>
      <c r="F2" s="78"/>
      <c r="G2" s="77"/>
      <c r="H2" s="77"/>
      <c r="I2" s="77"/>
      <c r="J2" s="77"/>
      <c r="K2" s="77"/>
      <c r="L2" s="77"/>
      <c r="M2" s="77"/>
      <c r="N2" s="753" t="s">
        <v>1577</v>
      </c>
      <c r="O2" s="755"/>
      <c r="P2" s="755"/>
      <c r="Q2" s="755"/>
    </row>
    <row r="3" spans="1:18" ht="40.700000000000003" customHeight="1" x14ac:dyDescent="0.2">
      <c r="A3" s="76"/>
      <c r="B3" s="76"/>
      <c r="C3" s="76"/>
      <c r="D3" s="76"/>
      <c r="E3" s="77"/>
      <c r="F3" s="78"/>
      <c r="G3" s="77"/>
      <c r="H3" s="77"/>
      <c r="I3" s="77"/>
      <c r="J3" s="77"/>
      <c r="K3" s="77"/>
      <c r="L3" s="77"/>
      <c r="M3" s="77"/>
      <c r="N3" s="77"/>
      <c r="O3" s="753"/>
      <c r="P3" s="756"/>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57" t="s">
        <v>1637</v>
      </c>
      <c r="B5" s="757"/>
      <c r="C5" s="757"/>
      <c r="D5" s="757"/>
      <c r="E5" s="757"/>
      <c r="F5" s="757"/>
      <c r="G5" s="757"/>
      <c r="H5" s="757"/>
      <c r="I5" s="757"/>
      <c r="J5" s="757"/>
      <c r="K5" s="757"/>
      <c r="L5" s="757"/>
      <c r="M5" s="757"/>
      <c r="N5" s="757"/>
      <c r="O5" s="757"/>
      <c r="P5" s="757"/>
      <c r="Q5" s="80"/>
    </row>
    <row r="6" spans="1:18" ht="45" x14ac:dyDescent="0.2">
      <c r="A6" s="757" t="s">
        <v>1493</v>
      </c>
      <c r="B6" s="757"/>
      <c r="C6" s="757"/>
      <c r="D6" s="757"/>
      <c r="E6" s="757"/>
      <c r="F6" s="757"/>
      <c r="G6" s="757"/>
      <c r="H6" s="757"/>
      <c r="I6" s="757"/>
      <c r="J6" s="757"/>
      <c r="K6" s="757"/>
      <c r="L6" s="757"/>
      <c r="M6" s="757"/>
      <c r="N6" s="757"/>
      <c r="O6" s="757"/>
      <c r="P6" s="757"/>
      <c r="Q6" s="80"/>
    </row>
    <row r="7" spans="1:18" ht="45" x14ac:dyDescent="0.2">
      <c r="A7" s="77"/>
      <c r="B7" s="77"/>
      <c r="C7" s="77"/>
      <c r="D7" s="77"/>
      <c r="E7" s="77"/>
      <c r="F7" s="77"/>
      <c r="G7" s="77"/>
      <c r="H7" s="77"/>
      <c r="I7" s="77"/>
      <c r="J7" s="77"/>
      <c r="K7" s="77"/>
      <c r="L7" s="77"/>
      <c r="M7" s="77"/>
      <c r="N7" s="77"/>
      <c r="O7" s="77"/>
      <c r="P7" s="77"/>
      <c r="Q7" s="80"/>
    </row>
    <row r="8" spans="1:18" ht="45.75" x14ac:dyDescent="0.65">
      <c r="A8" s="758">
        <v>2256400000</v>
      </c>
      <c r="B8" s="759"/>
      <c r="C8" s="77"/>
      <c r="D8" s="394"/>
      <c r="E8" s="394"/>
      <c r="F8" s="394"/>
      <c r="G8" s="394"/>
      <c r="H8" s="394"/>
      <c r="I8" s="394"/>
      <c r="J8" s="394"/>
      <c r="K8" s="394"/>
      <c r="L8" s="394"/>
      <c r="M8" s="394"/>
      <c r="N8" s="394"/>
      <c r="O8" s="394"/>
      <c r="P8" s="394"/>
      <c r="Q8" s="13"/>
    </row>
    <row r="9" spans="1:18" ht="45.75" x14ac:dyDescent="0.2">
      <c r="A9" s="763" t="s">
        <v>490</v>
      </c>
      <c r="B9" s="764"/>
      <c r="C9" s="77"/>
      <c r="D9" s="394"/>
      <c r="E9" s="394"/>
      <c r="F9" s="394"/>
      <c r="G9" s="394"/>
      <c r="H9" s="394"/>
      <c r="I9" s="394"/>
      <c r="J9" s="394"/>
      <c r="K9" s="394"/>
      <c r="L9" s="394"/>
      <c r="M9" s="394"/>
      <c r="N9" s="394"/>
      <c r="O9" s="394"/>
      <c r="P9" s="394"/>
      <c r="Q9" s="13"/>
    </row>
    <row r="10" spans="1:18" ht="53.45" customHeight="1" thickBot="1" x14ac:dyDescent="0.25">
      <c r="A10" s="77"/>
      <c r="B10" s="77"/>
      <c r="C10" s="77"/>
      <c r="D10" s="394"/>
      <c r="E10" s="394"/>
      <c r="F10" s="395"/>
      <c r="G10" s="394"/>
      <c r="H10" s="394"/>
      <c r="I10" s="394"/>
      <c r="J10" s="394"/>
      <c r="K10" s="394"/>
      <c r="L10" s="394"/>
      <c r="M10" s="394"/>
      <c r="N10" s="394"/>
      <c r="O10" s="394"/>
      <c r="P10" s="313" t="s">
        <v>404</v>
      </c>
      <c r="Q10" s="13"/>
    </row>
    <row r="11" spans="1:18" ht="62.45" customHeight="1" thickTop="1" thickBot="1" x14ac:dyDescent="0.25">
      <c r="A11" s="762" t="s">
        <v>491</v>
      </c>
      <c r="B11" s="762" t="s">
        <v>492</v>
      </c>
      <c r="C11" s="762" t="s">
        <v>390</v>
      </c>
      <c r="D11" s="762" t="s">
        <v>573</v>
      </c>
      <c r="E11" s="760" t="s">
        <v>12</v>
      </c>
      <c r="F11" s="760"/>
      <c r="G11" s="760"/>
      <c r="H11" s="760"/>
      <c r="I11" s="760"/>
      <c r="J11" s="760" t="s">
        <v>52</v>
      </c>
      <c r="K11" s="760"/>
      <c r="L11" s="760"/>
      <c r="M11" s="760"/>
      <c r="N11" s="760"/>
      <c r="O11" s="761"/>
      <c r="P11" s="760" t="s">
        <v>11</v>
      </c>
      <c r="Q11" s="20"/>
    </row>
    <row r="12" spans="1:18" ht="96" customHeight="1" thickTop="1" thickBot="1" x14ac:dyDescent="0.25">
      <c r="A12" s="760"/>
      <c r="B12" s="765"/>
      <c r="C12" s="765"/>
      <c r="D12" s="760"/>
      <c r="E12" s="762" t="s">
        <v>384</v>
      </c>
      <c r="F12" s="762" t="s">
        <v>53</v>
      </c>
      <c r="G12" s="762" t="s">
        <v>13</v>
      </c>
      <c r="H12" s="762"/>
      <c r="I12" s="762" t="s">
        <v>55</v>
      </c>
      <c r="J12" s="762" t="s">
        <v>384</v>
      </c>
      <c r="K12" s="762" t="s">
        <v>385</v>
      </c>
      <c r="L12" s="762" t="s">
        <v>53</v>
      </c>
      <c r="M12" s="762" t="s">
        <v>13</v>
      </c>
      <c r="N12" s="762"/>
      <c r="O12" s="762" t="s">
        <v>55</v>
      </c>
      <c r="P12" s="760"/>
      <c r="Q12" s="20"/>
    </row>
    <row r="13" spans="1:18" ht="328.7" customHeight="1" thickTop="1" thickBot="1" x14ac:dyDescent="0.25">
      <c r="A13" s="765"/>
      <c r="B13" s="765"/>
      <c r="C13" s="765"/>
      <c r="D13" s="765"/>
      <c r="E13" s="762"/>
      <c r="F13" s="762"/>
      <c r="G13" s="314" t="s">
        <v>54</v>
      </c>
      <c r="H13" s="314" t="s">
        <v>15</v>
      </c>
      <c r="I13" s="762"/>
      <c r="J13" s="762"/>
      <c r="K13" s="762"/>
      <c r="L13" s="762"/>
      <c r="M13" s="314" t="s">
        <v>54</v>
      </c>
      <c r="N13" s="314" t="s">
        <v>15</v>
      </c>
      <c r="O13" s="762"/>
      <c r="P13" s="760"/>
      <c r="Q13" s="20"/>
    </row>
    <row r="14" spans="1:18" s="24" customFormat="1" ht="47.25" thickTop="1" thickBot="1" x14ac:dyDescent="0.25">
      <c r="A14" s="308" t="s">
        <v>2</v>
      </c>
      <c r="B14" s="308" t="s">
        <v>3</v>
      </c>
      <c r="C14" s="308" t="s">
        <v>14</v>
      </c>
      <c r="D14" s="308" t="s">
        <v>5</v>
      </c>
      <c r="E14" s="308" t="s">
        <v>392</v>
      </c>
      <c r="F14" s="308" t="s">
        <v>393</v>
      </c>
      <c r="G14" s="308" t="s">
        <v>394</v>
      </c>
      <c r="H14" s="308" t="s">
        <v>395</v>
      </c>
      <c r="I14" s="308" t="s">
        <v>396</v>
      </c>
      <c r="J14" s="308" t="s">
        <v>397</v>
      </c>
      <c r="K14" s="308" t="s">
        <v>398</v>
      </c>
      <c r="L14" s="308" t="s">
        <v>399</v>
      </c>
      <c r="M14" s="308" t="s">
        <v>400</v>
      </c>
      <c r="N14" s="308" t="s">
        <v>401</v>
      </c>
      <c r="O14" s="308" t="s">
        <v>402</v>
      </c>
      <c r="P14" s="308" t="s">
        <v>403</v>
      </c>
      <c r="Q14" s="124"/>
      <c r="R14" s="23"/>
    </row>
    <row r="15" spans="1:18" s="24" customFormat="1" ht="120" customHeight="1" thickTop="1" thickBot="1" x14ac:dyDescent="0.25">
      <c r="A15" s="645" t="s">
        <v>148</v>
      </c>
      <c r="B15" s="645"/>
      <c r="C15" s="645"/>
      <c r="D15" s="646" t="s">
        <v>150</v>
      </c>
      <c r="E15" s="647">
        <f>E16</f>
        <v>23790200.5</v>
      </c>
      <c r="F15" s="648">
        <f t="shared" ref="F15:N15" si="0">F16</f>
        <v>23790200.5</v>
      </c>
      <c r="G15" s="648">
        <f t="shared" si="0"/>
        <v>3000000</v>
      </c>
      <c r="H15" s="648">
        <f t="shared" si="0"/>
        <v>0</v>
      </c>
      <c r="I15" s="648">
        <f t="shared" si="0"/>
        <v>0</v>
      </c>
      <c r="J15" s="647">
        <f t="shared" si="0"/>
        <v>29883018.5</v>
      </c>
      <c r="K15" s="648">
        <f t="shared" si="0"/>
        <v>28583018.5</v>
      </c>
      <c r="L15" s="648">
        <f t="shared" si="0"/>
        <v>1800000</v>
      </c>
      <c r="M15" s="648">
        <f t="shared" si="0"/>
        <v>0</v>
      </c>
      <c r="N15" s="648">
        <f t="shared" si="0"/>
        <v>0</v>
      </c>
      <c r="O15" s="647">
        <f>O16</f>
        <v>28083018.5</v>
      </c>
      <c r="P15" s="648">
        <f t="shared" ref="P15" si="1">P16</f>
        <v>53673219</v>
      </c>
      <c r="Q15" s="25"/>
      <c r="R15" s="25"/>
    </row>
    <row r="16" spans="1:18" s="24" customFormat="1" ht="120" customHeight="1" thickTop="1" thickBot="1" x14ac:dyDescent="0.25">
      <c r="A16" s="642" t="s">
        <v>149</v>
      </c>
      <c r="B16" s="642"/>
      <c r="C16" s="642"/>
      <c r="D16" s="643" t="s">
        <v>151</v>
      </c>
      <c r="E16" s="644">
        <f>E17+E25+E36+E42+E22</f>
        <v>23790200.5</v>
      </c>
      <c r="F16" s="644">
        <f>F17+F25+F36+F42+F22</f>
        <v>23790200.5</v>
      </c>
      <c r="G16" s="644">
        <f>G17+G25+G36+G42+G22</f>
        <v>3000000</v>
      </c>
      <c r="H16" s="644">
        <f>H17+H25+H36+H42+H22</f>
        <v>0</v>
      </c>
      <c r="I16" s="644">
        <f>I17+I25+I36+I42+I22</f>
        <v>0</v>
      </c>
      <c r="J16" s="644">
        <f>L16+O16</f>
        <v>29883018.5</v>
      </c>
      <c r="K16" s="644">
        <f>K17+K25+K36+K42+K22</f>
        <v>28583018.5</v>
      </c>
      <c r="L16" s="644">
        <f>L17+L25+L36+L42+L22</f>
        <v>1800000</v>
      </c>
      <c r="M16" s="644">
        <f>M17+M25+M36+M42+M22</f>
        <v>0</v>
      </c>
      <c r="N16" s="644">
        <f>N17+N25+N36+N42+N22</f>
        <v>0</v>
      </c>
      <c r="O16" s="644">
        <f>O17+O25+O36+O42+O22</f>
        <v>28083018.5</v>
      </c>
      <c r="P16" s="644">
        <f>E16+J16</f>
        <v>53673219</v>
      </c>
      <c r="Q16" s="554" t="b">
        <f>P16=P18+P21+P27+P31+P33+P35+P38+P39+P41+P44+P45+P46+P24</f>
        <v>1</v>
      </c>
      <c r="R16" s="26"/>
    </row>
    <row r="17" spans="1:18" s="28" customFormat="1" ht="47.25" thickTop="1" thickBot="1" x14ac:dyDescent="0.25">
      <c r="A17" s="308" t="s">
        <v>683</v>
      </c>
      <c r="B17" s="308" t="s">
        <v>684</v>
      </c>
      <c r="C17" s="308"/>
      <c r="D17" s="308" t="s">
        <v>685</v>
      </c>
      <c r="E17" s="325">
        <f>'d3'!E17-d3П!E17</f>
        <v>-4909940</v>
      </c>
      <c r="F17" s="325">
        <f>'d3'!F17-d3П!F17</f>
        <v>-4909940</v>
      </c>
      <c r="G17" s="325">
        <f>'d3'!G17-d3П!G17</f>
        <v>3000000</v>
      </c>
      <c r="H17" s="325">
        <f>'d3'!H17-d3П!H17</f>
        <v>0</v>
      </c>
      <c r="I17" s="325">
        <f>'d3'!I17-d3П!I17</f>
        <v>0</v>
      </c>
      <c r="J17" s="325">
        <f>'d3'!J17-d3П!J17</f>
        <v>0</v>
      </c>
      <c r="K17" s="325">
        <f>'d3'!K17-d3П!K17</f>
        <v>0</v>
      </c>
      <c r="L17" s="325">
        <f>'d3'!L17-d3П!L17</f>
        <v>0</v>
      </c>
      <c r="M17" s="325">
        <f>'d3'!M17-d3П!M17</f>
        <v>0</v>
      </c>
      <c r="N17" s="325">
        <f>'d3'!N17-d3П!N17</f>
        <v>0</v>
      </c>
      <c r="O17" s="325">
        <f>'d3'!O17-d3П!O17</f>
        <v>0</v>
      </c>
      <c r="P17" s="325">
        <f>'d3'!P17-d3П!P17</f>
        <v>-4909940</v>
      </c>
      <c r="Q17" s="31"/>
      <c r="R17" s="27"/>
    </row>
    <row r="18" spans="1:18" ht="173.25" customHeight="1" thickTop="1" thickBot="1" x14ac:dyDescent="0.25">
      <c r="A18" s="101" t="s">
        <v>232</v>
      </c>
      <c r="B18" s="101" t="s">
        <v>233</v>
      </c>
      <c r="C18" s="101" t="s">
        <v>234</v>
      </c>
      <c r="D18" s="101" t="s">
        <v>231</v>
      </c>
      <c r="E18" s="325">
        <f>'d3'!E18-d3П!E18</f>
        <v>2607740</v>
      </c>
      <c r="F18" s="325">
        <f>'d3'!F18-d3П!F18</f>
        <v>2607740</v>
      </c>
      <c r="G18" s="325">
        <f>'d3'!G18-d3П!G18</f>
        <v>3000000</v>
      </c>
      <c r="H18" s="325">
        <f>'d3'!H18-d3П!H18</f>
        <v>0</v>
      </c>
      <c r="I18" s="325">
        <f>'d3'!I18-d3П!I18</f>
        <v>0</v>
      </c>
      <c r="J18" s="325">
        <f>'d3'!J18-d3П!J18</f>
        <v>0</v>
      </c>
      <c r="K18" s="325">
        <f>'d3'!K18-d3П!K18</f>
        <v>0</v>
      </c>
      <c r="L18" s="325">
        <f>'d3'!L18-d3П!L18</f>
        <v>0</v>
      </c>
      <c r="M18" s="325">
        <f>'d3'!M18-d3П!M18</f>
        <v>0</v>
      </c>
      <c r="N18" s="325">
        <f>'d3'!N18-d3П!N18</f>
        <v>0</v>
      </c>
      <c r="O18" s="325">
        <f>'d3'!O18-d3П!O18</f>
        <v>0</v>
      </c>
      <c r="P18" s="325">
        <f>'d3'!P18-d3П!P18</f>
        <v>2607740</v>
      </c>
      <c r="Q18" s="131"/>
      <c r="R18" s="29"/>
    </row>
    <row r="19" spans="1:18" ht="93" hidden="1" thickTop="1" thickBot="1" x14ac:dyDescent="0.25">
      <c r="A19" s="126" t="s">
        <v>584</v>
      </c>
      <c r="B19" s="126" t="s">
        <v>236</v>
      </c>
      <c r="C19" s="126" t="s">
        <v>234</v>
      </c>
      <c r="D19" s="126" t="s">
        <v>235</v>
      </c>
      <c r="E19" s="125"/>
      <c r="F19" s="127"/>
      <c r="G19" s="127"/>
      <c r="H19" s="127"/>
      <c r="I19" s="127"/>
      <c r="J19" s="125"/>
      <c r="K19" s="127"/>
      <c r="L19" s="128"/>
      <c r="M19" s="129"/>
      <c r="N19" s="129"/>
      <c r="O19" s="130"/>
      <c r="P19" s="125"/>
      <c r="Q19" s="131"/>
      <c r="R19" s="29"/>
    </row>
    <row r="20" spans="1:18" ht="93" hidden="1" thickTop="1" thickBot="1" x14ac:dyDescent="0.25">
      <c r="A20" s="126" t="s">
        <v>624</v>
      </c>
      <c r="B20" s="126" t="s">
        <v>362</v>
      </c>
      <c r="C20" s="126" t="s">
        <v>625</v>
      </c>
      <c r="D20" s="126" t="s">
        <v>626</v>
      </c>
      <c r="E20" s="125"/>
      <c r="F20" s="127"/>
      <c r="G20" s="127"/>
      <c r="H20" s="127"/>
      <c r="I20" s="127"/>
      <c r="J20" s="125"/>
      <c r="K20" s="127"/>
      <c r="L20" s="128"/>
      <c r="M20" s="129"/>
      <c r="N20" s="129"/>
      <c r="O20" s="130"/>
      <c r="P20" s="125"/>
      <c r="Q20" s="131"/>
      <c r="R20" s="30"/>
    </row>
    <row r="21" spans="1:18" ht="47.25" thickTop="1" thickBot="1" x14ac:dyDescent="0.25">
      <c r="A21" s="101" t="s">
        <v>247</v>
      </c>
      <c r="B21" s="101" t="s">
        <v>43</v>
      </c>
      <c r="C21" s="101" t="s">
        <v>42</v>
      </c>
      <c r="D21" s="101" t="s">
        <v>248</v>
      </c>
      <c r="E21" s="325">
        <f>'d3'!E21-d3П!E21</f>
        <v>-7517680</v>
      </c>
      <c r="F21" s="325">
        <f>'d3'!F21-d3П!F21</f>
        <v>-7517680</v>
      </c>
      <c r="G21" s="325">
        <f>'d3'!G21-d3П!G21</f>
        <v>0</v>
      </c>
      <c r="H21" s="325">
        <f>'d3'!H21-d3П!H21</f>
        <v>0</v>
      </c>
      <c r="I21" s="325">
        <f>'d3'!I21-d3П!I21</f>
        <v>0</v>
      </c>
      <c r="J21" s="325">
        <f>'d3'!J21-d3П!J21</f>
        <v>0</v>
      </c>
      <c r="K21" s="325">
        <f>'d3'!K21-d3П!K21</f>
        <v>0</v>
      </c>
      <c r="L21" s="325">
        <f>'d3'!L21-d3П!L21</f>
        <v>0</v>
      </c>
      <c r="M21" s="325">
        <f>'d3'!M21-d3П!M21</f>
        <v>0</v>
      </c>
      <c r="N21" s="325">
        <f>'d3'!N21-d3П!N21</f>
        <v>0</v>
      </c>
      <c r="O21" s="325">
        <f>'d3'!O21-d3П!O21</f>
        <v>0</v>
      </c>
      <c r="P21" s="325">
        <f>'d3'!P21-d3П!P21</f>
        <v>-7517680</v>
      </c>
      <c r="Q21" s="131"/>
      <c r="R21" s="30"/>
    </row>
    <row r="22" spans="1:18" ht="47.25" thickTop="1" thickBot="1" x14ac:dyDescent="0.25">
      <c r="A22" s="308" t="s">
        <v>1623</v>
      </c>
      <c r="B22" s="308" t="s">
        <v>711</v>
      </c>
      <c r="C22" s="308"/>
      <c r="D22" s="308" t="s">
        <v>712</v>
      </c>
      <c r="E22" s="325">
        <f>'d3'!E22-d3П!E22</f>
        <v>900000</v>
      </c>
      <c r="F22" s="325">
        <f>'d3'!F22-d3П!F22</f>
        <v>900000</v>
      </c>
      <c r="G22" s="325">
        <f>'d3'!G22-d3П!G22</f>
        <v>0</v>
      </c>
      <c r="H22" s="325">
        <f>'d3'!H22-d3П!H22</f>
        <v>0</v>
      </c>
      <c r="I22" s="325">
        <f>'d3'!I22-d3П!I22</f>
        <v>0</v>
      </c>
      <c r="J22" s="325">
        <f>'d3'!J22-d3П!J22</f>
        <v>0</v>
      </c>
      <c r="K22" s="325">
        <f>'d3'!K22-d3П!K22</f>
        <v>0</v>
      </c>
      <c r="L22" s="325">
        <f>'d3'!L22-d3П!L22</f>
        <v>0</v>
      </c>
      <c r="M22" s="325">
        <f>'d3'!M22-d3П!M22</f>
        <v>0</v>
      </c>
      <c r="N22" s="325">
        <f>'d3'!N22-d3П!N22</f>
        <v>0</v>
      </c>
      <c r="O22" s="325">
        <f>'d3'!O22-d3П!O22</f>
        <v>0</v>
      </c>
      <c r="P22" s="325">
        <f>'d3'!P22-d3П!P22</f>
        <v>900000</v>
      </c>
      <c r="Q22" s="131"/>
      <c r="R22" s="30"/>
    </row>
    <row r="23" spans="1:18" ht="47.25" thickTop="1" thickBot="1" x14ac:dyDescent="0.25">
      <c r="A23" s="326" t="s">
        <v>1624</v>
      </c>
      <c r="B23" s="326" t="s">
        <v>739</v>
      </c>
      <c r="C23" s="326"/>
      <c r="D23" s="326" t="s">
        <v>740</v>
      </c>
      <c r="E23" s="325">
        <f>'d3'!E23-d3П!E23</f>
        <v>900000</v>
      </c>
      <c r="F23" s="325">
        <f>'d3'!F23-d3П!F23</f>
        <v>900000</v>
      </c>
      <c r="G23" s="325">
        <f>'d3'!G23-d3П!G23</f>
        <v>0</v>
      </c>
      <c r="H23" s="325">
        <f>'d3'!H23-d3П!H23</f>
        <v>0</v>
      </c>
      <c r="I23" s="325">
        <f>'d3'!I23-d3П!I23</f>
        <v>0</v>
      </c>
      <c r="J23" s="325">
        <f>'d3'!J23-d3П!J23</f>
        <v>0</v>
      </c>
      <c r="K23" s="325">
        <f>'d3'!K23-d3П!K23</f>
        <v>0</v>
      </c>
      <c r="L23" s="325">
        <f>'d3'!L23-d3П!L23</f>
        <v>0</v>
      </c>
      <c r="M23" s="325">
        <f>'d3'!M23-d3П!M23</f>
        <v>0</v>
      </c>
      <c r="N23" s="325">
        <f>'d3'!N23-d3П!N23</f>
        <v>0</v>
      </c>
      <c r="O23" s="325">
        <f>'d3'!O23-d3П!O23</f>
        <v>0</v>
      </c>
      <c r="P23" s="325">
        <f>'d3'!P23-d3П!P23</f>
        <v>900000</v>
      </c>
      <c r="Q23" s="131"/>
      <c r="R23" s="30"/>
    </row>
    <row r="24" spans="1:18" ht="93" thickTop="1" thickBot="1" x14ac:dyDescent="0.25">
      <c r="A24" s="101" t="s">
        <v>1625</v>
      </c>
      <c r="B24" s="101" t="s">
        <v>329</v>
      </c>
      <c r="C24" s="101" t="s">
        <v>191</v>
      </c>
      <c r="D24" s="466" t="s">
        <v>331</v>
      </c>
      <c r="E24" s="325">
        <f>'d3'!E24-d3П!E24</f>
        <v>900000</v>
      </c>
      <c r="F24" s="325">
        <f>'d3'!F24-d3П!F24</f>
        <v>900000</v>
      </c>
      <c r="G24" s="325">
        <f>'d3'!G24-d3П!G24</f>
        <v>0</v>
      </c>
      <c r="H24" s="325">
        <f>'d3'!H24-d3П!H24</f>
        <v>0</v>
      </c>
      <c r="I24" s="325">
        <f>'d3'!I24-d3П!I24</f>
        <v>0</v>
      </c>
      <c r="J24" s="325">
        <f>'d3'!J24-d3П!J24</f>
        <v>0</v>
      </c>
      <c r="K24" s="325">
        <f>'d3'!K24-d3П!K24</f>
        <v>0</v>
      </c>
      <c r="L24" s="325">
        <f>'d3'!L24-d3П!L24</f>
        <v>0</v>
      </c>
      <c r="M24" s="325">
        <f>'d3'!M24-d3П!M24</f>
        <v>0</v>
      </c>
      <c r="N24" s="325">
        <f>'d3'!N24-d3П!N24</f>
        <v>0</v>
      </c>
      <c r="O24" s="325">
        <f>'d3'!O24-d3П!O24</f>
        <v>0</v>
      </c>
      <c r="P24" s="325">
        <f>'d3'!P24-d3П!P24</f>
        <v>900000</v>
      </c>
      <c r="Q24" s="131"/>
      <c r="R24" s="30"/>
    </row>
    <row r="25" spans="1:18" s="28" customFormat="1" ht="47.25" thickTop="1" thickBot="1" x14ac:dyDescent="0.3">
      <c r="A25" s="308" t="s">
        <v>747</v>
      </c>
      <c r="B25" s="308" t="s">
        <v>748</v>
      </c>
      <c r="C25" s="308"/>
      <c r="D25" s="308" t="s">
        <v>749</v>
      </c>
      <c r="E25" s="325">
        <f>'d3'!E25-d3П!E25</f>
        <v>0</v>
      </c>
      <c r="F25" s="325">
        <f>'d3'!F25-d3П!F25</f>
        <v>0</v>
      </c>
      <c r="G25" s="325">
        <f>'d3'!G25-d3П!G25</f>
        <v>0</v>
      </c>
      <c r="H25" s="325">
        <f>'d3'!H25-d3П!H25</f>
        <v>0</v>
      </c>
      <c r="I25" s="325">
        <f>'d3'!I25-d3П!I25</f>
        <v>0</v>
      </c>
      <c r="J25" s="325">
        <f>'d3'!J25-d3П!J25</f>
        <v>1300000</v>
      </c>
      <c r="K25" s="325">
        <f>'d3'!K25-d3П!K25</f>
        <v>0</v>
      </c>
      <c r="L25" s="325">
        <f>'d3'!L25-d3П!L25</f>
        <v>1800000</v>
      </c>
      <c r="M25" s="325">
        <f>'d3'!M25-d3П!M25</f>
        <v>0</v>
      </c>
      <c r="N25" s="325">
        <f>'d3'!N25-d3П!N25</f>
        <v>0</v>
      </c>
      <c r="O25" s="325">
        <f>'d3'!O25-d3П!O25</f>
        <v>-500000</v>
      </c>
      <c r="P25" s="325">
        <f>'d3'!P25-d3П!P25</f>
        <v>1300000</v>
      </c>
      <c r="Q25" s="133"/>
      <c r="R25" s="31"/>
    </row>
    <row r="26" spans="1:18" s="33" customFormat="1" ht="47.25" thickTop="1" thickBot="1" x14ac:dyDescent="0.25">
      <c r="A26" s="310" t="s">
        <v>686</v>
      </c>
      <c r="B26" s="310" t="s">
        <v>687</v>
      </c>
      <c r="C26" s="310"/>
      <c r="D26" s="310" t="s">
        <v>688</v>
      </c>
      <c r="E26" s="325">
        <f>'d3'!E26-d3П!E26</f>
        <v>0</v>
      </c>
      <c r="F26" s="325">
        <f>'d3'!F26-d3П!F26</f>
        <v>0</v>
      </c>
      <c r="G26" s="325">
        <f>'d3'!G26-d3П!G26</f>
        <v>0</v>
      </c>
      <c r="H26" s="325">
        <f>'d3'!H26-d3П!H26</f>
        <v>0</v>
      </c>
      <c r="I26" s="325">
        <f>'d3'!I26-d3П!I26</f>
        <v>0</v>
      </c>
      <c r="J26" s="325">
        <f>'d3'!J26-d3П!J26</f>
        <v>0</v>
      </c>
      <c r="K26" s="325">
        <f>'d3'!K26-d3П!K26</f>
        <v>0</v>
      </c>
      <c r="L26" s="325">
        <f>'d3'!L26-d3П!L26</f>
        <v>0</v>
      </c>
      <c r="M26" s="325">
        <f>'d3'!M26-d3П!M26</f>
        <v>0</v>
      </c>
      <c r="N26" s="325">
        <f>'d3'!N26-d3П!N26</f>
        <v>0</v>
      </c>
      <c r="O26" s="325">
        <f>'d3'!O26-d3П!O26</f>
        <v>0</v>
      </c>
      <c r="P26" s="325">
        <f>'d3'!P26-d3П!P26</f>
        <v>0</v>
      </c>
      <c r="Q26" s="136"/>
      <c r="R26" s="32"/>
    </row>
    <row r="27" spans="1:18" ht="47.25" thickTop="1" thickBot="1" x14ac:dyDescent="0.25">
      <c r="A27" s="101" t="s">
        <v>238</v>
      </c>
      <c r="B27" s="101" t="s">
        <v>239</v>
      </c>
      <c r="C27" s="101" t="s">
        <v>240</v>
      </c>
      <c r="D27" s="101" t="s">
        <v>237</v>
      </c>
      <c r="E27" s="325">
        <f>'d3'!E27-d3П!E27</f>
        <v>0</v>
      </c>
      <c r="F27" s="325">
        <f>'d3'!F27-d3П!F27</f>
        <v>0</v>
      </c>
      <c r="G27" s="325">
        <f>'d3'!G27-d3П!G27</f>
        <v>0</v>
      </c>
      <c r="H27" s="325">
        <f>'d3'!H27-d3П!H27</f>
        <v>0</v>
      </c>
      <c r="I27" s="325">
        <f>'d3'!I27-d3П!I27</f>
        <v>0</v>
      </c>
      <c r="J27" s="325">
        <f>'d3'!J27-d3П!J27</f>
        <v>0</v>
      </c>
      <c r="K27" s="325">
        <f>'d3'!K27-d3П!K27</f>
        <v>0</v>
      </c>
      <c r="L27" s="325">
        <f>'d3'!L27-d3П!L27</f>
        <v>0</v>
      </c>
      <c r="M27" s="325">
        <f>'d3'!M27-d3П!M27</f>
        <v>0</v>
      </c>
      <c r="N27" s="325">
        <f>'d3'!N27-d3П!N27</f>
        <v>0</v>
      </c>
      <c r="O27" s="325">
        <f>'d3'!O27-d3П!O27</f>
        <v>0</v>
      </c>
      <c r="P27" s="325">
        <f>'d3'!P27-d3П!P27</f>
        <v>0</v>
      </c>
      <c r="Q27" s="131"/>
      <c r="R27" s="29"/>
    </row>
    <row r="28" spans="1:18" ht="93" hidden="1" customHeight="1" thickTop="1" thickBot="1" x14ac:dyDescent="0.25">
      <c r="A28" s="41" t="s">
        <v>977</v>
      </c>
      <c r="B28" s="41" t="s">
        <v>978</v>
      </c>
      <c r="C28" s="41" t="s">
        <v>240</v>
      </c>
      <c r="D28" s="41" t="s">
        <v>979</v>
      </c>
      <c r="E28" s="325">
        <f>'d3'!E28-d3П!E28</f>
        <v>0</v>
      </c>
      <c r="F28" s="325">
        <f>'d3'!F28-d3П!F28</f>
        <v>0</v>
      </c>
      <c r="G28" s="325">
        <f>'d3'!G28-d3П!G28</f>
        <v>0</v>
      </c>
      <c r="H28" s="325">
        <f>'d3'!H28-d3П!H28</f>
        <v>0</v>
      </c>
      <c r="I28" s="325">
        <f>'d3'!I28-d3П!I28</f>
        <v>0</v>
      </c>
      <c r="J28" s="325">
        <f>'d3'!J28-d3П!J28</f>
        <v>0</v>
      </c>
      <c r="K28" s="325">
        <f>'d3'!K28-d3П!K28</f>
        <v>0</v>
      </c>
      <c r="L28" s="325">
        <f>'d3'!L28-d3П!L28</f>
        <v>0</v>
      </c>
      <c r="M28" s="325">
        <f>'d3'!M28-d3П!M28</f>
        <v>0</v>
      </c>
      <c r="N28" s="325">
        <f>'d3'!N28-d3П!N28</f>
        <v>0</v>
      </c>
      <c r="O28" s="325">
        <f>'d3'!O28-d3П!O28</f>
        <v>0</v>
      </c>
      <c r="P28" s="325">
        <f>'d3'!P28-d3П!P28</f>
        <v>0</v>
      </c>
      <c r="Q28" s="131"/>
      <c r="R28" s="29"/>
    </row>
    <row r="29" spans="1:18" ht="47.25" thickTop="1" thickBot="1" x14ac:dyDescent="0.25">
      <c r="A29" s="310" t="s">
        <v>690</v>
      </c>
      <c r="B29" s="310" t="s">
        <v>691</v>
      </c>
      <c r="C29" s="310"/>
      <c r="D29" s="310" t="s">
        <v>689</v>
      </c>
      <c r="E29" s="325">
        <f>'d3'!E29-d3П!E29</f>
        <v>0</v>
      </c>
      <c r="F29" s="325">
        <f>'d3'!F29-d3П!F29</f>
        <v>0</v>
      </c>
      <c r="G29" s="325">
        <f>'d3'!G29-d3П!G29</f>
        <v>0</v>
      </c>
      <c r="H29" s="325">
        <f>'d3'!H29-d3П!H29</f>
        <v>0</v>
      </c>
      <c r="I29" s="325">
        <f>'d3'!I29-d3П!I29</f>
        <v>0</v>
      </c>
      <c r="J29" s="325">
        <f>'d3'!J29-d3П!J29</f>
        <v>1300000</v>
      </c>
      <c r="K29" s="325">
        <f>'d3'!K29-d3П!K29</f>
        <v>0</v>
      </c>
      <c r="L29" s="325">
        <f>'d3'!L29-d3П!L29</f>
        <v>1800000</v>
      </c>
      <c r="M29" s="325">
        <f>'d3'!M29-d3П!M29</f>
        <v>0</v>
      </c>
      <c r="N29" s="325">
        <f>'d3'!N29-d3П!N29</f>
        <v>0</v>
      </c>
      <c r="O29" s="325">
        <f>'d3'!O29-d3П!O29</f>
        <v>-500000</v>
      </c>
      <c r="P29" s="325">
        <f>'d3'!P29-d3П!P29</f>
        <v>1300000</v>
      </c>
      <c r="Q29" s="137"/>
      <c r="R29" s="34"/>
    </row>
    <row r="30" spans="1:18" ht="48" hidden="1" customHeight="1" thickTop="1" thickBot="1" x14ac:dyDescent="0.25">
      <c r="A30" s="101" t="s">
        <v>1403</v>
      </c>
      <c r="B30" s="101" t="s">
        <v>212</v>
      </c>
      <c r="C30" s="101" t="s">
        <v>213</v>
      </c>
      <c r="D30" s="101" t="s">
        <v>41</v>
      </c>
      <c r="E30" s="325">
        <f>'d3'!E30-d3П!E30</f>
        <v>0</v>
      </c>
      <c r="F30" s="325">
        <f>'d3'!F30-d3П!F30</f>
        <v>0</v>
      </c>
      <c r="G30" s="325">
        <f>'d3'!G30-d3П!G30</f>
        <v>0</v>
      </c>
      <c r="H30" s="325">
        <f>'d3'!H30-d3П!H30</f>
        <v>0</v>
      </c>
      <c r="I30" s="325">
        <f>'d3'!I30-d3П!I30</f>
        <v>0</v>
      </c>
      <c r="J30" s="325">
        <f>'d3'!J30-d3П!J30</f>
        <v>0</v>
      </c>
      <c r="K30" s="325">
        <f>'d3'!K30-d3П!K30</f>
        <v>0</v>
      </c>
      <c r="L30" s="325">
        <f>'d3'!L30-d3П!L30</f>
        <v>0</v>
      </c>
      <c r="M30" s="325">
        <f>'d3'!M30-d3П!M30</f>
        <v>0</v>
      </c>
      <c r="N30" s="325">
        <f>'d3'!N30-d3П!N30</f>
        <v>0</v>
      </c>
      <c r="O30" s="325">
        <f>'d3'!O30-d3П!O30</f>
        <v>0</v>
      </c>
      <c r="P30" s="325">
        <f>'d3'!P30-d3П!P30</f>
        <v>0</v>
      </c>
      <c r="Q30" s="137"/>
      <c r="R30" s="34"/>
    </row>
    <row r="31" spans="1:18" ht="47.25" thickTop="1" thickBot="1" x14ac:dyDescent="0.25">
      <c r="A31" s="101" t="s">
        <v>299</v>
      </c>
      <c r="B31" s="101" t="s">
        <v>300</v>
      </c>
      <c r="C31" s="101" t="s">
        <v>170</v>
      </c>
      <c r="D31" s="101" t="s">
        <v>442</v>
      </c>
      <c r="E31" s="325">
        <f>'d3'!E31-d3П!E31</f>
        <v>0</v>
      </c>
      <c r="F31" s="325">
        <f>'d3'!F31-d3П!F31</f>
        <v>0</v>
      </c>
      <c r="G31" s="325">
        <f>'d3'!G31-d3П!G31</f>
        <v>0</v>
      </c>
      <c r="H31" s="325">
        <f>'d3'!H31-d3П!H31</f>
        <v>0</v>
      </c>
      <c r="I31" s="325">
        <f>'d3'!I31-d3П!I31</f>
        <v>0</v>
      </c>
      <c r="J31" s="325">
        <f>'d3'!J31-d3П!J31</f>
        <v>0</v>
      </c>
      <c r="K31" s="325">
        <f>'d3'!K31-d3П!K31</f>
        <v>0</v>
      </c>
      <c r="L31" s="325">
        <f>'d3'!L31-d3П!L31</f>
        <v>0</v>
      </c>
      <c r="M31" s="325">
        <f>'d3'!M31-d3П!M31</f>
        <v>0</v>
      </c>
      <c r="N31" s="325">
        <f>'d3'!N31-d3П!N31</f>
        <v>0</v>
      </c>
      <c r="O31" s="325">
        <f>'d3'!O31-d3П!O31</f>
        <v>0</v>
      </c>
      <c r="P31" s="325">
        <f>'d3'!P31-d3П!P31</f>
        <v>0</v>
      </c>
      <c r="Q31" s="131"/>
      <c r="R31" s="30"/>
    </row>
    <row r="32" spans="1:18" ht="47.25" thickTop="1" thickBot="1" x14ac:dyDescent="0.25">
      <c r="A32" s="326" t="s">
        <v>693</v>
      </c>
      <c r="B32" s="326" t="s">
        <v>694</v>
      </c>
      <c r="C32" s="326"/>
      <c r="D32" s="555" t="s">
        <v>692</v>
      </c>
      <c r="E32" s="325">
        <f>'d3'!E32-d3П!E32</f>
        <v>0</v>
      </c>
      <c r="F32" s="325">
        <f>'d3'!F32-d3П!F32</f>
        <v>0</v>
      </c>
      <c r="G32" s="325">
        <f>'d3'!G32-d3П!G32</f>
        <v>0</v>
      </c>
      <c r="H32" s="325">
        <f>'d3'!H32-d3П!H32</f>
        <v>0</v>
      </c>
      <c r="I32" s="325">
        <f>'d3'!I32-d3П!I32</f>
        <v>0</v>
      </c>
      <c r="J32" s="325">
        <f>'d3'!J32-d3П!J32</f>
        <v>1300000</v>
      </c>
      <c r="K32" s="325">
        <f>'d3'!K32-d3П!K32</f>
        <v>0</v>
      </c>
      <c r="L32" s="325">
        <f>'d3'!L32-d3П!L32</f>
        <v>1800000</v>
      </c>
      <c r="M32" s="325">
        <f>'d3'!M32-d3П!M32</f>
        <v>0</v>
      </c>
      <c r="N32" s="325">
        <f>'d3'!N32-d3П!N32</f>
        <v>0</v>
      </c>
      <c r="O32" s="325">
        <f>'d3'!O32-d3П!O32</f>
        <v>-500000</v>
      </c>
      <c r="P32" s="325">
        <f>'d3'!P32-d3П!P32</f>
        <v>1300000</v>
      </c>
      <c r="Q32" s="137"/>
      <c r="R32" s="35"/>
    </row>
    <row r="33" spans="1:18" s="33" customFormat="1" ht="156.75" customHeight="1" thickTop="1" thickBot="1" x14ac:dyDescent="0.7">
      <c r="A33" s="748" t="s">
        <v>339</v>
      </c>
      <c r="B33" s="748" t="s">
        <v>338</v>
      </c>
      <c r="C33" s="748" t="s">
        <v>170</v>
      </c>
      <c r="D33" s="556" t="s">
        <v>440</v>
      </c>
      <c r="E33" s="751">
        <f>'d3'!E33-d3П!E33</f>
        <v>0</v>
      </c>
      <c r="F33" s="751">
        <f>'d3'!F33-d3П!F33</f>
        <v>0</v>
      </c>
      <c r="G33" s="751">
        <f>'d3'!G33-d3П!G33</f>
        <v>0</v>
      </c>
      <c r="H33" s="751">
        <f>'d3'!H33-d3П!H33</f>
        <v>0</v>
      </c>
      <c r="I33" s="751">
        <f>'d3'!I33-d3П!I33</f>
        <v>0</v>
      </c>
      <c r="J33" s="751">
        <f>'d3'!J33-d3П!J33</f>
        <v>1300000</v>
      </c>
      <c r="K33" s="751">
        <f>'d3'!K33-d3П!K33</f>
        <v>0</v>
      </c>
      <c r="L33" s="751">
        <f>'d3'!L33-d3П!L33</f>
        <v>1800000</v>
      </c>
      <c r="M33" s="751">
        <f>'d3'!M33-d3П!M33</f>
        <v>0</v>
      </c>
      <c r="N33" s="751">
        <f>'d3'!N33-d3П!N33</f>
        <v>0</v>
      </c>
      <c r="O33" s="751">
        <f>'d3'!O33-d3П!O33</f>
        <v>-500000</v>
      </c>
      <c r="P33" s="751">
        <f>'d3'!P33-d3П!P33</f>
        <v>1300000</v>
      </c>
      <c r="Q33" s="140"/>
      <c r="R33" s="36"/>
    </row>
    <row r="34" spans="1:18" s="33" customFormat="1" ht="120.75" customHeight="1" thickTop="1" thickBot="1" x14ac:dyDescent="0.25">
      <c r="A34" s="749"/>
      <c r="B34" s="777"/>
      <c r="C34" s="749"/>
      <c r="D34" s="557" t="s">
        <v>441</v>
      </c>
      <c r="E34" s="752"/>
      <c r="F34" s="752"/>
      <c r="G34" s="752"/>
      <c r="H34" s="752"/>
      <c r="I34" s="752"/>
      <c r="J34" s="752"/>
      <c r="K34" s="752"/>
      <c r="L34" s="752"/>
      <c r="M34" s="752"/>
      <c r="N34" s="752"/>
      <c r="O34" s="752"/>
      <c r="P34" s="752"/>
      <c r="Q34" s="36"/>
      <c r="R34" s="36"/>
    </row>
    <row r="35" spans="1:18" s="33" customFormat="1" ht="47.25" thickTop="1" thickBot="1" x14ac:dyDescent="0.25">
      <c r="A35" s="101" t="s">
        <v>914</v>
      </c>
      <c r="B35" s="101" t="s">
        <v>257</v>
      </c>
      <c r="C35" s="101" t="s">
        <v>170</v>
      </c>
      <c r="D35" s="101" t="s">
        <v>255</v>
      </c>
      <c r="E35" s="325">
        <f>'d3'!E35-d3П!E35</f>
        <v>0</v>
      </c>
      <c r="F35" s="325">
        <f>'d3'!F35-d3П!F35</f>
        <v>0</v>
      </c>
      <c r="G35" s="325">
        <f>'d3'!G35-d3П!G35</f>
        <v>0</v>
      </c>
      <c r="H35" s="325">
        <f>'d3'!H35-d3П!H35</f>
        <v>0</v>
      </c>
      <c r="I35" s="325">
        <f>'d3'!I35-d3П!I35</f>
        <v>0</v>
      </c>
      <c r="J35" s="325">
        <f>'d3'!J35-d3П!J35</f>
        <v>0</v>
      </c>
      <c r="K35" s="325">
        <f>'d3'!K35-d3П!K35</f>
        <v>0</v>
      </c>
      <c r="L35" s="325">
        <f>'d3'!L35-d3П!L35</f>
        <v>0</v>
      </c>
      <c r="M35" s="325">
        <f>'d3'!M35-d3П!M35</f>
        <v>0</v>
      </c>
      <c r="N35" s="325">
        <f>'d3'!N35-d3П!N35</f>
        <v>0</v>
      </c>
      <c r="O35" s="325">
        <f>'d3'!O35-d3П!O35</f>
        <v>0</v>
      </c>
      <c r="P35" s="325">
        <f>'d3'!P35-d3П!P35</f>
        <v>0</v>
      </c>
      <c r="Q35" s="36"/>
      <c r="R35" s="36"/>
    </row>
    <row r="36" spans="1:18" s="33" customFormat="1" ht="46.5" customHeight="1" thickTop="1" thickBot="1" x14ac:dyDescent="0.25">
      <c r="A36" s="308" t="s">
        <v>695</v>
      </c>
      <c r="B36" s="308" t="s">
        <v>696</v>
      </c>
      <c r="C36" s="308"/>
      <c r="D36" s="308" t="s">
        <v>697</v>
      </c>
      <c r="E36" s="325">
        <f>'d3'!E36-d3П!E36</f>
        <v>10304105.5</v>
      </c>
      <c r="F36" s="325">
        <f>'d3'!F36-d3П!F36</f>
        <v>10304105.5</v>
      </c>
      <c r="G36" s="325">
        <f>'d3'!G36-d3П!G36</f>
        <v>0</v>
      </c>
      <c r="H36" s="325">
        <f>'d3'!H36-d3П!H36</f>
        <v>0</v>
      </c>
      <c r="I36" s="325">
        <f>'d3'!I36-d3П!I36</f>
        <v>0</v>
      </c>
      <c r="J36" s="325">
        <f>'d3'!J36-d3П!J36</f>
        <v>14695894.5</v>
      </c>
      <c r="K36" s="325">
        <f>'d3'!K36-d3П!K36</f>
        <v>14695894.5</v>
      </c>
      <c r="L36" s="325">
        <f>'d3'!L36-d3П!L36</f>
        <v>0</v>
      </c>
      <c r="M36" s="325">
        <f>'d3'!M36-d3П!M36</f>
        <v>0</v>
      </c>
      <c r="N36" s="325">
        <f>'d3'!N36-d3П!N36</f>
        <v>0</v>
      </c>
      <c r="O36" s="325">
        <f>'d3'!O36-d3П!O36</f>
        <v>14695894.5</v>
      </c>
      <c r="P36" s="325">
        <f>'d3'!P36-d3П!P36</f>
        <v>25000000</v>
      </c>
      <c r="Q36" s="36"/>
      <c r="R36" s="36"/>
    </row>
    <row r="37" spans="1:18" s="33" customFormat="1" ht="47.25" thickTop="1" thickBot="1" x14ac:dyDescent="0.25">
      <c r="A37" s="310" t="s">
        <v>1185</v>
      </c>
      <c r="B37" s="310" t="s">
        <v>1186</v>
      </c>
      <c r="C37" s="310"/>
      <c r="D37" s="310" t="s">
        <v>1184</v>
      </c>
      <c r="E37" s="325">
        <f>'d3'!E37-d3П!E37</f>
        <v>10304105.5</v>
      </c>
      <c r="F37" s="325">
        <f>'d3'!F37-d3П!F37</f>
        <v>10304105.5</v>
      </c>
      <c r="G37" s="325">
        <f>'d3'!G37-d3П!G37</f>
        <v>0</v>
      </c>
      <c r="H37" s="325">
        <f>'d3'!H37-d3П!H37</f>
        <v>0</v>
      </c>
      <c r="I37" s="325">
        <f>'d3'!I37-d3П!I37</f>
        <v>0</v>
      </c>
      <c r="J37" s="325">
        <f>'d3'!J37-d3П!J37</f>
        <v>14695894.5</v>
      </c>
      <c r="K37" s="325">
        <f>'d3'!K37-d3П!K37</f>
        <v>14695894.5</v>
      </c>
      <c r="L37" s="325">
        <f>'d3'!L37-d3П!L37</f>
        <v>0</v>
      </c>
      <c r="M37" s="325">
        <f>'d3'!M37-d3П!M37</f>
        <v>0</v>
      </c>
      <c r="N37" s="325">
        <f>'d3'!N37-d3П!N37</f>
        <v>0</v>
      </c>
      <c r="O37" s="325">
        <f>'d3'!O37-d3П!O37</f>
        <v>14695894.5</v>
      </c>
      <c r="P37" s="325">
        <f>'d3'!P37-d3П!P37</f>
        <v>25000000</v>
      </c>
      <c r="Q37" s="36"/>
      <c r="R37" s="36"/>
    </row>
    <row r="38" spans="1:18" s="33" customFormat="1" ht="47.25" thickTop="1" thickBot="1" x14ac:dyDescent="0.25">
      <c r="A38" s="101" t="s">
        <v>1212</v>
      </c>
      <c r="B38" s="101" t="s">
        <v>1213</v>
      </c>
      <c r="C38" s="101" t="s">
        <v>1188</v>
      </c>
      <c r="D38" s="101" t="s">
        <v>1214</v>
      </c>
      <c r="E38" s="325">
        <f>'d3'!E38-d3П!E38</f>
        <v>10074105.5</v>
      </c>
      <c r="F38" s="325">
        <f>'d3'!F38-d3П!F38</f>
        <v>10074105.5</v>
      </c>
      <c r="G38" s="325">
        <f>'d3'!G38-d3П!G38</f>
        <v>0</v>
      </c>
      <c r="H38" s="325">
        <f>'d3'!H38-d3П!H38</f>
        <v>0</v>
      </c>
      <c r="I38" s="325">
        <f>'d3'!I38-d3П!I38</f>
        <v>0</v>
      </c>
      <c r="J38" s="325">
        <f>'d3'!J38-d3П!J38</f>
        <v>14925894.5</v>
      </c>
      <c r="K38" s="325">
        <f>'d3'!K38-d3П!K38</f>
        <v>14925894.5</v>
      </c>
      <c r="L38" s="325">
        <f>'d3'!L38-d3П!L38</f>
        <v>0</v>
      </c>
      <c r="M38" s="325">
        <f>'d3'!M38-d3П!M38</f>
        <v>0</v>
      </c>
      <c r="N38" s="325">
        <f>'d3'!N38-d3П!N38</f>
        <v>0</v>
      </c>
      <c r="O38" s="325">
        <f>'d3'!O38-d3П!O38</f>
        <v>14925894.5</v>
      </c>
      <c r="P38" s="325">
        <f>'d3'!P38-d3П!P38</f>
        <v>25000000</v>
      </c>
      <c r="Q38" s="36"/>
      <c r="R38" s="36"/>
    </row>
    <row r="39" spans="1:18" s="33" customFormat="1" ht="47.25" thickTop="1" thickBot="1" x14ac:dyDescent="0.25">
      <c r="A39" s="101" t="s">
        <v>1189</v>
      </c>
      <c r="B39" s="101" t="s">
        <v>1190</v>
      </c>
      <c r="C39" s="101" t="s">
        <v>1188</v>
      </c>
      <c r="D39" s="101" t="s">
        <v>1187</v>
      </c>
      <c r="E39" s="325">
        <f>'d3'!E39-d3П!E39</f>
        <v>230000</v>
      </c>
      <c r="F39" s="325">
        <f>'d3'!F39-d3П!F39</f>
        <v>230000</v>
      </c>
      <c r="G39" s="325">
        <f>'d3'!G39-d3П!G39</f>
        <v>0</v>
      </c>
      <c r="H39" s="325">
        <f>'d3'!H39-d3П!H39</f>
        <v>0</v>
      </c>
      <c r="I39" s="325">
        <f>'d3'!I39-d3П!I39</f>
        <v>0</v>
      </c>
      <c r="J39" s="325">
        <f>'d3'!J39-d3П!J39</f>
        <v>-230000</v>
      </c>
      <c r="K39" s="325">
        <f>'d3'!K39-d3П!K39</f>
        <v>-230000</v>
      </c>
      <c r="L39" s="325">
        <f>'d3'!L39-d3П!L39</f>
        <v>0</v>
      </c>
      <c r="M39" s="325">
        <f>'d3'!M39-d3П!M39</f>
        <v>0</v>
      </c>
      <c r="N39" s="325">
        <f>'d3'!N39-d3П!N39</f>
        <v>0</v>
      </c>
      <c r="O39" s="325">
        <f>'d3'!O39-d3П!O39</f>
        <v>-230000</v>
      </c>
      <c r="P39" s="325">
        <f>'d3'!P39-d3П!P39</f>
        <v>0</v>
      </c>
      <c r="Q39" s="36"/>
      <c r="R39" s="36"/>
    </row>
    <row r="40" spans="1:18" s="33" customFormat="1" ht="47.25" thickTop="1" thickBot="1" x14ac:dyDescent="0.25">
      <c r="A40" s="310" t="s">
        <v>698</v>
      </c>
      <c r="B40" s="310" t="s">
        <v>699</v>
      </c>
      <c r="C40" s="310"/>
      <c r="D40" s="310" t="s">
        <v>700</v>
      </c>
      <c r="E40" s="325">
        <f>'d3'!E40-d3П!E40</f>
        <v>0</v>
      </c>
      <c r="F40" s="325">
        <f>'d3'!F40-d3П!F40</f>
        <v>0</v>
      </c>
      <c r="G40" s="325">
        <f>'d3'!G40-d3П!G40</f>
        <v>0</v>
      </c>
      <c r="H40" s="325">
        <f>'d3'!H40-d3П!H40</f>
        <v>0</v>
      </c>
      <c r="I40" s="325">
        <f>'d3'!I40-d3П!I40</f>
        <v>0</v>
      </c>
      <c r="J40" s="325">
        <f>'d3'!J40-d3П!J40</f>
        <v>0</v>
      </c>
      <c r="K40" s="325">
        <f>'d3'!K40-d3П!K40</f>
        <v>0</v>
      </c>
      <c r="L40" s="325">
        <f>'d3'!L40-d3П!L40</f>
        <v>0</v>
      </c>
      <c r="M40" s="325">
        <f>'d3'!M40-d3П!M40</f>
        <v>0</v>
      </c>
      <c r="N40" s="325">
        <f>'d3'!N40-d3П!N40</f>
        <v>0</v>
      </c>
      <c r="O40" s="325">
        <f>'d3'!O40-d3П!O40</f>
        <v>0</v>
      </c>
      <c r="P40" s="325">
        <f>'d3'!P40-d3П!P40</f>
        <v>0</v>
      </c>
      <c r="Q40" s="36"/>
    </row>
    <row r="41" spans="1:18" ht="47.25" thickTop="1" thickBot="1" x14ac:dyDescent="0.25">
      <c r="A41" s="101" t="s">
        <v>241</v>
      </c>
      <c r="B41" s="101" t="s">
        <v>242</v>
      </c>
      <c r="C41" s="101" t="s">
        <v>243</v>
      </c>
      <c r="D41" s="101" t="s">
        <v>244</v>
      </c>
      <c r="E41" s="325">
        <f>'d3'!E41-d3П!E41</f>
        <v>0</v>
      </c>
      <c r="F41" s="325">
        <f>'d3'!F41-d3П!F41</f>
        <v>0</v>
      </c>
      <c r="G41" s="325">
        <f>'d3'!G41-d3П!G41</f>
        <v>0</v>
      </c>
      <c r="H41" s="325">
        <f>'d3'!H41-d3П!H41</f>
        <v>0</v>
      </c>
      <c r="I41" s="325">
        <f>'d3'!I41-d3П!I41</f>
        <v>0</v>
      </c>
      <c r="J41" s="325">
        <f>'d3'!J41-d3П!J41</f>
        <v>0</v>
      </c>
      <c r="K41" s="325">
        <f>'d3'!K41-d3П!K41</f>
        <v>0</v>
      </c>
      <c r="L41" s="325">
        <f>'d3'!L41-d3П!L41</f>
        <v>0</v>
      </c>
      <c r="M41" s="325">
        <f>'d3'!M41-d3П!M41</f>
        <v>0</v>
      </c>
      <c r="N41" s="325">
        <f>'d3'!N41-d3П!N41</f>
        <v>0</v>
      </c>
      <c r="O41" s="325">
        <f>'d3'!O41-d3П!O41</f>
        <v>0</v>
      </c>
      <c r="P41" s="325">
        <f>'d3'!P41-d3П!P41</f>
        <v>0</v>
      </c>
      <c r="Q41" s="20"/>
    </row>
    <row r="42" spans="1:18" ht="47.25" thickTop="1" thickBot="1" x14ac:dyDescent="0.25">
      <c r="A42" s="308" t="s">
        <v>701</v>
      </c>
      <c r="B42" s="308" t="s">
        <v>702</v>
      </c>
      <c r="C42" s="308"/>
      <c r="D42" s="308" t="s">
        <v>703</v>
      </c>
      <c r="E42" s="325">
        <f>'d3'!E42-d3П!E42</f>
        <v>17496035</v>
      </c>
      <c r="F42" s="325">
        <f>'d3'!F42-d3П!F42</f>
        <v>17496035</v>
      </c>
      <c r="G42" s="325">
        <f>'d3'!G42-d3П!G42</f>
        <v>0</v>
      </c>
      <c r="H42" s="325">
        <f>'d3'!H42-d3П!H42</f>
        <v>0</v>
      </c>
      <c r="I42" s="325">
        <f>'d3'!I42-d3П!I42</f>
        <v>0</v>
      </c>
      <c r="J42" s="325">
        <f>'d3'!J42-d3П!J42</f>
        <v>13887124</v>
      </c>
      <c r="K42" s="325">
        <f>'d3'!K42-d3П!K42</f>
        <v>13887124</v>
      </c>
      <c r="L42" s="325">
        <f>'d3'!L42-d3П!L42</f>
        <v>0</v>
      </c>
      <c r="M42" s="325">
        <f>'d3'!M42-d3П!M42</f>
        <v>0</v>
      </c>
      <c r="N42" s="325">
        <f>'d3'!N42-d3П!N42</f>
        <v>0</v>
      </c>
      <c r="O42" s="325">
        <f>'d3'!O42-d3П!O42</f>
        <v>13887124</v>
      </c>
      <c r="P42" s="325">
        <f>'d3'!P42-d3П!P42</f>
        <v>31383159</v>
      </c>
      <c r="Q42" s="20"/>
    </row>
    <row r="43" spans="1:18" s="33" customFormat="1" ht="91.5" thickTop="1" thickBot="1" x14ac:dyDescent="0.25">
      <c r="A43" s="310" t="s">
        <v>704</v>
      </c>
      <c r="B43" s="310" t="s">
        <v>705</v>
      </c>
      <c r="C43" s="310"/>
      <c r="D43" s="310" t="s">
        <v>706</v>
      </c>
      <c r="E43" s="325">
        <f>'d3'!E43-d3П!E43</f>
        <v>0</v>
      </c>
      <c r="F43" s="325">
        <f>'d3'!F43-d3П!F43</f>
        <v>0</v>
      </c>
      <c r="G43" s="325">
        <f>'d3'!G43-d3П!G43</f>
        <v>0</v>
      </c>
      <c r="H43" s="325">
        <f>'d3'!H43-d3П!H43</f>
        <v>0</v>
      </c>
      <c r="I43" s="325">
        <f>'d3'!I43-d3П!I43</f>
        <v>0</v>
      </c>
      <c r="J43" s="325">
        <f>'d3'!J43-d3П!J43</f>
        <v>0</v>
      </c>
      <c r="K43" s="325">
        <f>'d3'!K43-d3П!K43</f>
        <v>0</v>
      </c>
      <c r="L43" s="325">
        <f>'d3'!L43-d3П!L43</f>
        <v>0</v>
      </c>
      <c r="M43" s="325">
        <f>'d3'!M43-d3П!M43</f>
        <v>0</v>
      </c>
      <c r="N43" s="325">
        <f>'d3'!N43-d3П!N43</f>
        <v>0</v>
      </c>
      <c r="O43" s="325">
        <f>'d3'!O43-d3П!O43</f>
        <v>0</v>
      </c>
      <c r="P43" s="325">
        <f>'d3'!P43-d3П!P43</f>
        <v>0</v>
      </c>
      <c r="Q43" s="36"/>
      <c r="R43" s="36"/>
    </row>
    <row r="44" spans="1:18" ht="138.75" thickTop="1" thickBot="1" x14ac:dyDescent="0.25">
      <c r="A44" s="101" t="s">
        <v>245</v>
      </c>
      <c r="B44" s="101" t="s">
        <v>246</v>
      </c>
      <c r="C44" s="101" t="s">
        <v>43</v>
      </c>
      <c r="D44" s="101" t="s">
        <v>443</v>
      </c>
      <c r="E44" s="325">
        <f>'d3'!E44-d3П!E44</f>
        <v>0</v>
      </c>
      <c r="F44" s="325">
        <f>'d3'!F44-d3П!F44</f>
        <v>0</v>
      </c>
      <c r="G44" s="325">
        <f>'d3'!G44-d3П!G44</f>
        <v>0</v>
      </c>
      <c r="H44" s="325">
        <f>'d3'!H44-d3П!H44</f>
        <v>0</v>
      </c>
      <c r="I44" s="325">
        <f>'d3'!I44-d3П!I44</f>
        <v>0</v>
      </c>
      <c r="J44" s="325">
        <f>'d3'!J44-d3П!J44</f>
        <v>0</v>
      </c>
      <c r="K44" s="325">
        <f>'d3'!K44-d3П!K44</f>
        <v>0</v>
      </c>
      <c r="L44" s="325">
        <f>'d3'!L44-d3П!L44</f>
        <v>0</v>
      </c>
      <c r="M44" s="325">
        <f>'d3'!M44-d3П!M44</f>
        <v>0</v>
      </c>
      <c r="N44" s="325">
        <f>'d3'!N44-d3П!N44</f>
        <v>0</v>
      </c>
      <c r="O44" s="325">
        <f>'d3'!O44-d3П!O44</f>
        <v>0</v>
      </c>
      <c r="P44" s="325">
        <f>'d3'!P44-d3П!P44</f>
        <v>0</v>
      </c>
      <c r="Q44" s="20"/>
    </row>
    <row r="45" spans="1:18" ht="47.25" thickTop="1" thickBot="1" x14ac:dyDescent="0.25">
      <c r="A45" s="101" t="s">
        <v>575</v>
      </c>
      <c r="B45" s="101" t="s">
        <v>363</v>
      </c>
      <c r="C45" s="101" t="s">
        <v>43</v>
      </c>
      <c r="D45" s="101" t="s">
        <v>364</v>
      </c>
      <c r="E45" s="325">
        <f>'d3'!E45-d3П!E45</f>
        <v>0</v>
      </c>
      <c r="F45" s="325">
        <f>'d3'!F45-d3П!F45</f>
        <v>0</v>
      </c>
      <c r="G45" s="325">
        <f>'d3'!G45-d3П!G45</f>
        <v>0</v>
      </c>
      <c r="H45" s="325">
        <f>'d3'!H45-d3П!H45</f>
        <v>0</v>
      </c>
      <c r="I45" s="325">
        <f>'d3'!I45-d3П!I45</f>
        <v>0</v>
      </c>
      <c r="J45" s="325">
        <f>'d3'!J45-d3П!J45</f>
        <v>0</v>
      </c>
      <c r="K45" s="325">
        <f>'d3'!K45-d3П!K45</f>
        <v>0</v>
      </c>
      <c r="L45" s="325">
        <f>'d3'!L45-d3П!L45</f>
        <v>0</v>
      </c>
      <c r="M45" s="325">
        <f>'d3'!M45-d3П!M45</f>
        <v>0</v>
      </c>
      <c r="N45" s="325">
        <f>'d3'!N45-d3П!N45</f>
        <v>0</v>
      </c>
      <c r="O45" s="325">
        <f>'d3'!O45-d3П!O45</f>
        <v>0</v>
      </c>
      <c r="P45" s="325">
        <f>'d3'!P45-d3П!P45</f>
        <v>0</v>
      </c>
      <c r="Q45" s="20"/>
    </row>
    <row r="46" spans="1:18" ht="91.5" thickTop="1" thickBot="1" x14ac:dyDescent="0.25">
      <c r="A46" s="310" t="s">
        <v>513</v>
      </c>
      <c r="B46" s="310" t="s">
        <v>514</v>
      </c>
      <c r="C46" s="310" t="s">
        <v>43</v>
      </c>
      <c r="D46" s="310" t="s">
        <v>515</v>
      </c>
      <c r="E46" s="325">
        <f>'d3'!E46-d3П!E46</f>
        <v>17496035</v>
      </c>
      <c r="F46" s="325">
        <f>'d3'!F46-d3П!F46</f>
        <v>17496035</v>
      </c>
      <c r="G46" s="325">
        <f>'d3'!G46-d3П!G46</f>
        <v>0</v>
      </c>
      <c r="H46" s="325">
        <f>'d3'!H46-d3П!H46</f>
        <v>0</v>
      </c>
      <c r="I46" s="325">
        <f>'d3'!I46-d3П!I46</f>
        <v>0</v>
      </c>
      <c r="J46" s="325">
        <f>'d3'!J46-d3П!J46</f>
        <v>13887124</v>
      </c>
      <c r="K46" s="325">
        <f>'d3'!K46-d3П!K46</f>
        <v>13887124</v>
      </c>
      <c r="L46" s="325">
        <f>'d3'!L46-d3П!L46</f>
        <v>0</v>
      </c>
      <c r="M46" s="325">
        <f>'d3'!M46-d3П!M46</f>
        <v>0</v>
      </c>
      <c r="N46" s="325">
        <f>'d3'!N46-d3П!N46</f>
        <v>0</v>
      </c>
      <c r="O46" s="325">
        <f>'d3'!O46-d3П!O46</f>
        <v>13887124</v>
      </c>
      <c r="P46" s="325">
        <f>'d3'!P46-d3П!P46</f>
        <v>31383159</v>
      </c>
      <c r="Q46" s="20"/>
      <c r="R46" s="26"/>
    </row>
    <row r="47" spans="1:18" ht="120" customHeight="1" thickTop="1" thickBot="1" x14ac:dyDescent="0.25">
      <c r="A47" s="645" t="s">
        <v>152</v>
      </c>
      <c r="B47" s="645"/>
      <c r="C47" s="645"/>
      <c r="D47" s="646" t="s">
        <v>0</v>
      </c>
      <c r="E47" s="647">
        <f>E48</f>
        <v>-35933715.710000038</v>
      </c>
      <c r="F47" s="648">
        <f t="shared" ref="F47" si="2">F48</f>
        <v>-35933715.710000038</v>
      </c>
      <c r="G47" s="648">
        <f>G48</f>
        <v>-39440527.659999847</v>
      </c>
      <c r="H47" s="648">
        <f>H48</f>
        <v>-425676.37999999523</v>
      </c>
      <c r="I47" s="648">
        <f t="shared" ref="I47" si="3">I48</f>
        <v>0</v>
      </c>
      <c r="J47" s="647">
        <f>J48</f>
        <v>4223602.2000000104</v>
      </c>
      <c r="K47" s="648">
        <f>K48</f>
        <v>4223602.2000000179</v>
      </c>
      <c r="L47" s="648">
        <f>L48</f>
        <v>-411508</v>
      </c>
      <c r="M47" s="648">
        <f t="shared" ref="M47" si="4">M48</f>
        <v>-380297</v>
      </c>
      <c r="N47" s="648">
        <f>N48</f>
        <v>370850</v>
      </c>
      <c r="O47" s="647">
        <f>O48</f>
        <v>4635110.2000000104</v>
      </c>
      <c r="P47" s="648">
        <f t="shared" ref="P47" si="5">P48</f>
        <v>-31710113.510000028</v>
      </c>
      <c r="Q47" s="20"/>
    </row>
    <row r="48" spans="1:18" ht="120" customHeight="1" thickTop="1" thickBot="1" x14ac:dyDescent="0.25">
      <c r="A48" s="642" t="s">
        <v>153</v>
      </c>
      <c r="B48" s="642"/>
      <c r="C48" s="642"/>
      <c r="D48" s="643" t="s">
        <v>1</v>
      </c>
      <c r="E48" s="644">
        <f>E49+E92+E104+E95+E101</f>
        <v>-35933715.710000038</v>
      </c>
      <c r="F48" s="644">
        <f>F49+F92+F104+F95+F101</f>
        <v>-35933715.710000038</v>
      </c>
      <c r="G48" s="644">
        <f>G49+G92+G104+G95+G101</f>
        <v>-39440527.659999847</v>
      </c>
      <c r="H48" s="644">
        <f>H49+H92+H104+H95+H101</f>
        <v>-425676.37999999523</v>
      </c>
      <c r="I48" s="644">
        <f>I49+I92+I104+I95+I101</f>
        <v>0</v>
      </c>
      <c r="J48" s="644">
        <f>L48+O48</f>
        <v>4223602.2000000104</v>
      </c>
      <c r="K48" s="644">
        <f>K49+K92+K104+K95+K101</f>
        <v>4223602.2000000179</v>
      </c>
      <c r="L48" s="644">
        <f>L49+L92+L104+L95+L101</f>
        <v>-411508</v>
      </c>
      <c r="M48" s="644">
        <f>M49+M92+M104+M95+M101</f>
        <v>-380297</v>
      </c>
      <c r="N48" s="644">
        <f>N49+N92+N104+N95+N101</f>
        <v>370850</v>
      </c>
      <c r="O48" s="644">
        <f>O49+O92+O104+O95+O101</f>
        <v>4635110.2000000104</v>
      </c>
      <c r="P48" s="644">
        <f>E48+J48</f>
        <v>-31710113.510000028</v>
      </c>
      <c r="Q48" s="554" t="b">
        <f>P48=P50+P52+P53+P54+P56+P57+P60+P62+P63+P65+P66+P68+P69+P70+P84+P93+P94+P98+P100+P59+P90+P91+P78+P79+P81+P82</f>
        <v>1</v>
      </c>
      <c r="R48" s="26"/>
    </row>
    <row r="49" spans="1:20" ht="47.25" thickTop="1" thickBot="1" x14ac:dyDescent="0.25">
      <c r="A49" s="308" t="s">
        <v>707</v>
      </c>
      <c r="B49" s="308" t="s">
        <v>708</v>
      </c>
      <c r="C49" s="308"/>
      <c r="D49" s="308" t="s">
        <v>709</v>
      </c>
      <c r="E49" s="325">
        <f>'d3'!E49-d3П!E49</f>
        <v>-35933715.710000038</v>
      </c>
      <c r="F49" s="325">
        <f>'d3'!F49-d3П!F49</f>
        <v>-35933715.710000038</v>
      </c>
      <c r="G49" s="325">
        <f>'d3'!G49-d3П!G49</f>
        <v>-39440527.659999847</v>
      </c>
      <c r="H49" s="325">
        <f>'d3'!H49-d3П!H49</f>
        <v>-425676.37999999523</v>
      </c>
      <c r="I49" s="325">
        <f>'d3'!I49-d3П!I49</f>
        <v>0</v>
      </c>
      <c r="J49" s="325">
        <f>'d3'!J49-d3П!J49</f>
        <v>-7884932.3700000048</v>
      </c>
      <c r="K49" s="325">
        <f>'d3'!K49-d3П!K49</f>
        <v>-7884932.3699999973</v>
      </c>
      <c r="L49" s="325">
        <f>'d3'!L49-d3П!L49</f>
        <v>-411508</v>
      </c>
      <c r="M49" s="325">
        <f>'d3'!M49-d3П!M49</f>
        <v>-380297</v>
      </c>
      <c r="N49" s="325">
        <f>'d3'!N49-d3П!N49</f>
        <v>370850</v>
      </c>
      <c r="O49" s="325">
        <f>'d3'!O49-d3П!O49</f>
        <v>-7473424.3700000048</v>
      </c>
      <c r="P49" s="325">
        <f>'d3'!P49-d3П!P49</f>
        <v>-43818648.079999447</v>
      </c>
      <c r="Q49" s="30"/>
      <c r="R49" s="26"/>
    </row>
    <row r="50" spans="1:20" ht="47.25" thickTop="1" thickBot="1" x14ac:dyDescent="0.6">
      <c r="A50" s="101" t="s">
        <v>198</v>
      </c>
      <c r="B50" s="101" t="s">
        <v>199</v>
      </c>
      <c r="C50" s="101" t="s">
        <v>201</v>
      </c>
      <c r="D50" s="101" t="s">
        <v>202</v>
      </c>
      <c r="E50" s="325">
        <f>'d3'!E50-d3П!E50</f>
        <v>1254274</v>
      </c>
      <c r="F50" s="325">
        <f>'d3'!F50-d3П!F50</f>
        <v>1254274</v>
      </c>
      <c r="G50" s="325">
        <f>'d3'!G50-d3П!G50</f>
        <v>0</v>
      </c>
      <c r="H50" s="325">
        <f>'d3'!H50-d3П!H50</f>
        <v>0</v>
      </c>
      <c r="I50" s="325">
        <f>'d3'!I50-d3П!I50</f>
        <v>0</v>
      </c>
      <c r="J50" s="325">
        <f>'d3'!J50-d3П!J50</f>
        <v>114768</v>
      </c>
      <c r="K50" s="325">
        <f>'d3'!K50-d3П!K50</f>
        <v>114768</v>
      </c>
      <c r="L50" s="325">
        <f>'d3'!L50-d3П!L50</f>
        <v>-200270</v>
      </c>
      <c r="M50" s="325">
        <f>'d3'!M50-d3П!M50</f>
        <v>-257700</v>
      </c>
      <c r="N50" s="325">
        <f>'d3'!N50-d3П!N50</f>
        <v>8000</v>
      </c>
      <c r="O50" s="325">
        <f>'d3'!O50-d3П!O50</f>
        <v>315038</v>
      </c>
      <c r="P50" s="325">
        <f>'d3'!P50-d3П!P50</f>
        <v>1369042</v>
      </c>
      <c r="Q50" s="141"/>
      <c r="R50" s="26"/>
    </row>
    <row r="51" spans="1:20" ht="47.25" thickTop="1" thickBot="1" x14ac:dyDescent="0.6">
      <c r="A51" s="326" t="s">
        <v>203</v>
      </c>
      <c r="B51" s="326" t="s">
        <v>200</v>
      </c>
      <c r="C51" s="326"/>
      <c r="D51" s="326" t="s">
        <v>643</v>
      </c>
      <c r="E51" s="325">
        <f>'d3'!E51-d3П!E51</f>
        <v>-37714768.659999967</v>
      </c>
      <c r="F51" s="325">
        <f>'d3'!F51-d3П!F51</f>
        <v>-37714768.659999967</v>
      </c>
      <c r="G51" s="325">
        <f>'d3'!G51-d3П!G51</f>
        <v>-39440527.659999967</v>
      </c>
      <c r="H51" s="325">
        <f>'d3'!H51-d3П!H51</f>
        <v>0</v>
      </c>
      <c r="I51" s="325">
        <f>'d3'!I51-d3П!I51</f>
        <v>0</v>
      </c>
      <c r="J51" s="325">
        <f>'d3'!J51-d3П!J51</f>
        <v>514891.5</v>
      </c>
      <c r="K51" s="325">
        <f>'d3'!K51-d3П!K51</f>
        <v>514891.5</v>
      </c>
      <c r="L51" s="325">
        <f>'d3'!L51-d3П!L51</f>
        <v>-211238</v>
      </c>
      <c r="M51" s="325">
        <f>'d3'!M51-d3П!M51</f>
        <v>-122597</v>
      </c>
      <c r="N51" s="325">
        <f>'d3'!N51-d3П!N51</f>
        <v>56850</v>
      </c>
      <c r="O51" s="325">
        <f>'d3'!O51-d3П!O51</f>
        <v>726129.5</v>
      </c>
      <c r="P51" s="325">
        <f>'d3'!P51-d3П!P51</f>
        <v>-37199877.159999967</v>
      </c>
      <c r="Q51" s="141"/>
      <c r="R51" s="37"/>
    </row>
    <row r="52" spans="1:20" ht="93" thickTop="1" thickBot="1" x14ac:dyDescent="0.6">
      <c r="A52" s="101" t="s">
        <v>641</v>
      </c>
      <c r="B52" s="101" t="s">
        <v>642</v>
      </c>
      <c r="C52" s="101" t="s">
        <v>204</v>
      </c>
      <c r="D52" s="101" t="s">
        <v>1275</v>
      </c>
      <c r="E52" s="325">
        <f>'d3'!E52-d3П!E52</f>
        <v>-37821038.659999967</v>
      </c>
      <c r="F52" s="325">
        <f>'d3'!F52-d3П!F52</f>
        <v>-37821038.659999967</v>
      </c>
      <c r="G52" s="325">
        <f>'d3'!G52-d3П!G52</f>
        <v>-39440527.659999996</v>
      </c>
      <c r="H52" s="325">
        <f>'d3'!H52-d3П!H52</f>
        <v>0</v>
      </c>
      <c r="I52" s="325">
        <f>'d3'!I52-d3П!I52</f>
        <v>0</v>
      </c>
      <c r="J52" s="325">
        <f>'d3'!J52-d3П!J52</f>
        <v>514891.5</v>
      </c>
      <c r="K52" s="325">
        <f>'d3'!K52-d3П!K52</f>
        <v>514891.5</v>
      </c>
      <c r="L52" s="325">
        <f>'d3'!L52-d3П!L52</f>
        <v>-211238</v>
      </c>
      <c r="M52" s="325">
        <f>'d3'!M52-d3П!M52</f>
        <v>-122597</v>
      </c>
      <c r="N52" s="325">
        <f>'d3'!N52-d3П!N52</f>
        <v>56850</v>
      </c>
      <c r="O52" s="325">
        <f>'d3'!O52-d3П!O52</f>
        <v>726129.5</v>
      </c>
      <c r="P52" s="325">
        <f>'d3'!P52-d3П!P52</f>
        <v>-37306147.159999967</v>
      </c>
      <c r="Q52" s="141"/>
      <c r="R52" s="26"/>
      <c r="T52" s="38"/>
    </row>
    <row r="53" spans="1:20" ht="138.75" thickTop="1" thickBot="1" x14ac:dyDescent="0.25">
      <c r="A53" s="101" t="s">
        <v>650</v>
      </c>
      <c r="B53" s="101" t="s">
        <v>651</v>
      </c>
      <c r="C53" s="101" t="s">
        <v>207</v>
      </c>
      <c r="D53" s="101" t="s">
        <v>1276</v>
      </c>
      <c r="E53" s="325">
        <f>'d3'!E53-d3П!E53</f>
        <v>6270</v>
      </c>
      <c r="F53" s="325">
        <f>'d3'!F53-d3П!F53</f>
        <v>6270</v>
      </c>
      <c r="G53" s="325">
        <f>'d3'!G53-d3П!G53</f>
        <v>0</v>
      </c>
      <c r="H53" s="325">
        <f>'d3'!H53-d3П!H53</f>
        <v>0</v>
      </c>
      <c r="I53" s="325">
        <f>'d3'!I53-d3П!I53</f>
        <v>0</v>
      </c>
      <c r="J53" s="325">
        <f>'d3'!J53-d3П!J53</f>
        <v>0</v>
      </c>
      <c r="K53" s="325">
        <f>'d3'!K53-d3П!K53</f>
        <v>0</v>
      </c>
      <c r="L53" s="325">
        <f>'d3'!L53-d3П!L53</f>
        <v>0</v>
      </c>
      <c r="M53" s="325">
        <f>'d3'!M53-d3П!M53</f>
        <v>0</v>
      </c>
      <c r="N53" s="325">
        <f>'d3'!N53-d3П!N53</f>
        <v>0</v>
      </c>
      <c r="O53" s="325">
        <f>'d3'!O53-d3П!O53</f>
        <v>0</v>
      </c>
      <c r="P53" s="325">
        <f>'d3'!P53-d3П!P53</f>
        <v>6270</v>
      </c>
      <c r="Q53" s="20"/>
      <c r="R53" s="27"/>
    </row>
    <row r="54" spans="1:20" ht="93" thickTop="1" thickBot="1" x14ac:dyDescent="0.25">
      <c r="A54" s="101" t="s">
        <v>997</v>
      </c>
      <c r="B54" s="101" t="s">
        <v>998</v>
      </c>
      <c r="C54" s="101" t="s">
        <v>207</v>
      </c>
      <c r="D54" s="101" t="s">
        <v>1277</v>
      </c>
      <c r="E54" s="325">
        <f>'d3'!E54-d3П!E54</f>
        <v>100000</v>
      </c>
      <c r="F54" s="325">
        <f>'d3'!F54-d3П!F54</f>
        <v>100000</v>
      </c>
      <c r="G54" s="325">
        <f>'d3'!G54-d3П!G54</f>
        <v>0</v>
      </c>
      <c r="H54" s="325">
        <f>'d3'!H54-d3П!H54</f>
        <v>0</v>
      </c>
      <c r="I54" s="325">
        <f>'d3'!I54-d3П!I54</f>
        <v>0</v>
      </c>
      <c r="J54" s="325">
        <f>'d3'!J54-d3П!J54</f>
        <v>0</v>
      </c>
      <c r="K54" s="325">
        <f>'d3'!K54-d3П!K54</f>
        <v>0</v>
      </c>
      <c r="L54" s="325">
        <f>'d3'!L54-d3П!L54</f>
        <v>0</v>
      </c>
      <c r="M54" s="325">
        <f>'d3'!M54-d3П!M54</f>
        <v>0</v>
      </c>
      <c r="N54" s="325">
        <f>'d3'!N54-d3П!N54</f>
        <v>0</v>
      </c>
      <c r="O54" s="325">
        <f>'d3'!O54-d3П!O54</f>
        <v>0</v>
      </c>
      <c r="P54" s="325">
        <f>'d3'!P54-d3П!P54</f>
        <v>100000</v>
      </c>
      <c r="Q54" s="20"/>
      <c r="R54" s="27"/>
    </row>
    <row r="55" spans="1:20" ht="47.25" thickTop="1" thickBot="1" x14ac:dyDescent="0.25">
      <c r="A55" s="326" t="s">
        <v>498</v>
      </c>
      <c r="B55" s="326" t="s">
        <v>205</v>
      </c>
      <c r="C55" s="326"/>
      <c r="D55" s="326" t="s">
        <v>658</v>
      </c>
      <c r="E55" s="325">
        <f>'d3'!E55-d3П!E55</f>
        <v>0</v>
      </c>
      <c r="F55" s="325">
        <f>'d3'!F55-d3П!F55</f>
        <v>0</v>
      </c>
      <c r="G55" s="325">
        <f>'d3'!G55-d3П!G55</f>
        <v>0</v>
      </c>
      <c r="H55" s="325">
        <f>'d3'!H55-d3П!H55</f>
        <v>0</v>
      </c>
      <c r="I55" s="325">
        <f>'d3'!I55-d3П!I55</f>
        <v>0</v>
      </c>
      <c r="J55" s="325">
        <f>'d3'!J55-d3П!J55</f>
        <v>0</v>
      </c>
      <c r="K55" s="325">
        <f>'d3'!K55-d3П!K55</f>
        <v>0</v>
      </c>
      <c r="L55" s="325">
        <f>'d3'!L55-d3П!L55</f>
        <v>0</v>
      </c>
      <c r="M55" s="325">
        <f>'d3'!M55-d3П!M55</f>
        <v>0</v>
      </c>
      <c r="N55" s="325">
        <f>'d3'!N55-d3П!N55</f>
        <v>0</v>
      </c>
      <c r="O55" s="325">
        <f>'d3'!O55-d3П!O55</f>
        <v>0</v>
      </c>
      <c r="P55" s="325">
        <f>'d3'!P55-d3П!P55</f>
        <v>0</v>
      </c>
      <c r="Q55" s="20"/>
      <c r="R55" s="35"/>
    </row>
    <row r="56" spans="1:20" ht="93" thickTop="1" thickBot="1" x14ac:dyDescent="0.25">
      <c r="A56" s="101" t="s">
        <v>659</v>
      </c>
      <c r="B56" s="101" t="s">
        <v>660</v>
      </c>
      <c r="C56" s="101" t="s">
        <v>204</v>
      </c>
      <c r="D56" s="101" t="s">
        <v>1278</v>
      </c>
      <c r="E56" s="325">
        <f>'d3'!E56-d3П!E56</f>
        <v>0</v>
      </c>
      <c r="F56" s="325">
        <f>'d3'!F56-d3П!F56</f>
        <v>0</v>
      </c>
      <c r="G56" s="325">
        <f>'d3'!G56-d3П!G56</f>
        <v>0</v>
      </c>
      <c r="H56" s="325">
        <f>'d3'!H56-d3П!H56</f>
        <v>0</v>
      </c>
      <c r="I56" s="325">
        <f>'d3'!I56-d3П!I56</f>
        <v>0</v>
      </c>
      <c r="J56" s="325">
        <f>'d3'!J56-d3П!J56</f>
        <v>0</v>
      </c>
      <c r="K56" s="325">
        <f>'d3'!K56-d3П!K56</f>
        <v>0</v>
      </c>
      <c r="L56" s="325">
        <f>'d3'!L56-d3П!L56</f>
        <v>0</v>
      </c>
      <c r="M56" s="325">
        <f>'d3'!M56-d3П!M56</f>
        <v>0</v>
      </c>
      <c r="N56" s="325">
        <f>'d3'!N56-d3П!N56</f>
        <v>0</v>
      </c>
      <c r="O56" s="325">
        <f>'d3'!O56-d3П!O56</f>
        <v>0</v>
      </c>
      <c r="P56" s="325">
        <f>'d3'!P56-d3П!P56</f>
        <v>0</v>
      </c>
      <c r="Q56" s="20"/>
      <c r="R56" s="30"/>
    </row>
    <row r="57" spans="1:20" ht="93" thickTop="1" thickBot="1" x14ac:dyDescent="0.25">
      <c r="A57" s="101" t="s">
        <v>1130</v>
      </c>
      <c r="B57" s="340" t="s">
        <v>1131</v>
      </c>
      <c r="C57" s="101" t="s">
        <v>207</v>
      </c>
      <c r="D57" s="101" t="s">
        <v>1279</v>
      </c>
      <c r="E57" s="325">
        <f>'d3'!E57-d3П!E57</f>
        <v>0</v>
      </c>
      <c r="F57" s="325">
        <f>'d3'!F57-d3П!F57</f>
        <v>0</v>
      </c>
      <c r="G57" s="325">
        <f>'d3'!G57-d3П!G57</f>
        <v>0</v>
      </c>
      <c r="H57" s="325">
        <f>'d3'!H57-d3П!H57</f>
        <v>0</v>
      </c>
      <c r="I57" s="325">
        <f>'d3'!I57-d3П!I57</f>
        <v>0</v>
      </c>
      <c r="J57" s="325">
        <f>'d3'!J57-d3П!J57</f>
        <v>0</v>
      </c>
      <c r="K57" s="325">
        <f>'d3'!K57-d3П!K57</f>
        <v>0</v>
      </c>
      <c r="L57" s="325">
        <f>'d3'!L57-d3П!L57</f>
        <v>0</v>
      </c>
      <c r="M57" s="325">
        <f>'d3'!M57-d3П!M57</f>
        <v>0</v>
      </c>
      <c r="N57" s="325">
        <f>'d3'!N57-d3П!N57</f>
        <v>0</v>
      </c>
      <c r="O57" s="325">
        <f>'d3'!O57-d3П!O57</f>
        <v>0</v>
      </c>
      <c r="P57" s="325">
        <f>'d3'!P57-d3П!P57</f>
        <v>0</v>
      </c>
      <c r="Q57" s="20"/>
      <c r="R57" s="30"/>
    </row>
    <row r="58" spans="1:20" ht="276" thickTop="1" thickBot="1" x14ac:dyDescent="0.25">
      <c r="A58" s="555" t="s">
        <v>930</v>
      </c>
      <c r="B58" s="555" t="s">
        <v>50</v>
      </c>
      <c r="C58" s="555"/>
      <c r="D58" s="640" t="s">
        <v>1558</v>
      </c>
      <c r="E58" s="325">
        <f>'d3'!E58-d3П!E58</f>
        <v>0</v>
      </c>
      <c r="F58" s="325">
        <f>'d3'!F58-d3П!F58</f>
        <v>0</v>
      </c>
      <c r="G58" s="325">
        <f>'d3'!G58-d3П!G58</f>
        <v>0</v>
      </c>
      <c r="H58" s="325">
        <f>'d3'!H58-d3П!H58</f>
        <v>0</v>
      </c>
      <c r="I58" s="325">
        <f>'d3'!I58-d3П!I58</f>
        <v>0</v>
      </c>
      <c r="J58" s="325">
        <f>'d3'!J58-d3П!J58</f>
        <v>0</v>
      </c>
      <c r="K58" s="325">
        <f>'d3'!K58-d3П!K58</f>
        <v>0</v>
      </c>
      <c r="L58" s="325">
        <f>'d3'!L58-d3П!L58</f>
        <v>0</v>
      </c>
      <c r="M58" s="325">
        <f>'d3'!M58-d3П!M58</f>
        <v>0</v>
      </c>
      <c r="N58" s="325">
        <f>'d3'!N58-d3П!N58</f>
        <v>0</v>
      </c>
      <c r="O58" s="325">
        <f>'d3'!O58-d3П!O58</f>
        <v>0</v>
      </c>
      <c r="P58" s="325">
        <f>'d3'!P58-d3П!P58</f>
        <v>0</v>
      </c>
      <c r="Q58" s="20"/>
      <c r="R58" s="30"/>
    </row>
    <row r="59" spans="1:20" ht="310.5" customHeight="1" thickTop="1" thickBot="1" x14ac:dyDescent="0.25">
      <c r="A59" s="101" t="s">
        <v>931</v>
      </c>
      <c r="B59" s="101" t="s">
        <v>932</v>
      </c>
      <c r="C59" s="101" t="s">
        <v>204</v>
      </c>
      <c r="D59" s="101" t="s">
        <v>1559</v>
      </c>
      <c r="E59" s="325">
        <f>'d3'!E59-d3П!E59</f>
        <v>0</v>
      </c>
      <c r="F59" s="325">
        <f>'d3'!F59-d3П!F59</f>
        <v>0</v>
      </c>
      <c r="G59" s="325">
        <f>'d3'!G59-d3П!G59</f>
        <v>0</v>
      </c>
      <c r="H59" s="325">
        <f>'d3'!H59-d3П!H59</f>
        <v>0</v>
      </c>
      <c r="I59" s="325">
        <f>'d3'!I59-d3П!I59</f>
        <v>0</v>
      </c>
      <c r="J59" s="325">
        <f>'d3'!J59-d3П!J59</f>
        <v>0</v>
      </c>
      <c r="K59" s="325">
        <f>'d3'!K59-d3П!K59</f>
        <v>0</v>
      </c>
      <c r="L59" s="325">
        <f>'d3'!L59-d3П!L59</f>
        <v>0</v>
      </c>
      <c r="M59" s="325">
        <f>'d3'!M59-d3П!M59</f>
        <v>0</v>
      </c>
      <c r="N59" s="325">
        <f>'d3'!N59-d3П!N59</f>
        <v>0</v>
      </c>
      <c r="O59" s="325">
        <f>'d3'!O59-d3П!O59</f>
        <v>0</v>
      </c>
      <c r="P59" s="325">
        <f>'d3'!P59-d3П!P59</f>
        <v>0</v>
      </c>
      <c r="Q59" s="20"/>
      <c r="R59" s="26"/>
    </row>
    <row r="60" spans="1:20" ht="93" thickTop="1" thickBot="1" x14ac:dyDescent="0.25">
      <c r="A60" s="101" t="s">
        <v>661</v>
      </c>
      <c r="B60" s="101" t="s">
        <v>206</v>
      </c>
      <c r="C60" s="101" t="s">
        <v>181</v>
      </c>
      <c r="D60" s="101" t="s">
        <v>499</v>
      </c>
      <c r="E60" s="325">
        <f>'d3'!E60-d3П!E60</f>
        <v>489324</v>
      </c>
      <c r="F60" s="325">
        <f>'d3'!F60-d3П!F60</f>
        <v>489324</v>
      </c>
      <c r="G60" s="325">
        <f>'d3'!G60-d3П!G60</f>
        <v>0</v>
      </c>
      <c r="H60" s="325">
        <f>'d3'!H60-d3П!H60</f>
        <v>0</v>
      </c>
      <c r="I60" s="325">
        <f>'d3'!I60-d3П!I60</f>
        <v>0</v>
      </c>
      <c r="J60" s="325">
        <f>'d3'!J60-d3П!J60</f>
        <v>75834</v>
      </c>
      <c r="K60" s="325">
        <f>'d3'!K60-d3П!K60</f>
        <v>75834</v>
      </c>
      <c r="L60" s="325">
        <f>'d3'!L60-d3П!L60</f>
        <v>0</v>
      </c>
      <c r="M60" s="325">
        <f>'d3'!M60-d3П!M60</f>
        <v>0</v>
      </c>
      <c r="N60" s="325">
        <f>'d3'!N60-d3П!N60</f>
        <v>0</v>
      </c>
      <c r="O60" s="325">
        <f>'d3'!O60-d3П!O60</f>
        <v>75834</v>
      </c>
      <c r="P60" s="325">
        <f>'d3'!P60-d3П!P60</f>
        <v>565158</v>
      </c>
      <c r="Q60" s="20"/>
      <c r="R60" s="26"/>
    </row>
    <row r="61" spans="1:20" ht="93" thickTop="1" thickBot="1" x14ac:dyDescent="0.25">
      <c r="A61" s="326" t="s">
        <v>208</v>
      </c>
      <c r="B61" s="326" t="s">
        <v>191</v>
      </c>
      <c r="C61" s="326"/>
      <c r="D61" s="326" t="s">
        <v>500</v>
      </c>
      <c r="E61" s="325">
        <f>'d3'!E61-d3П!E61</f>
        <v>-348715.05000001192</v>
      </c>
      <c r="F61" s="325">
        <f>'d3'!F61-d3П!F61</f>
        <v>-348715.05000001192</v>
      </c>
      <c r="G61" s="325">
        <f>'d3'!G61-d3П!G61</f>
        <v>0</v>
      </c>
      <c r="H61" s="325">
        <f>'d3'!H61-d3П!H61</f>
        <v>-641676.37999999523</v>
      </c>
      <c r="I61" s="325">
        <f>'d3'!I61-d3П!I61</f>
        <v>0</v>
      </c>
      <c r="J61" s="325">
        <f>'d3'!J61-d3П!J61</f>
        <v>1282818</v>
      </c>
      <c r="K61" s="325">
        <f>'d3'!K61-d3П!K61</f>
        <v>1282818</v>
      </c>
      <c r="L61" s="325">
        <f>'d3'!L61-d3П!L61</f>
        <v>0</v>
      </c>
      <c r="M61" s="325">
        <f>'d3'!M61-d3П!M61</f>
        <v>0</v>
      </c>
      <c r="N61" s="325">
        <f>'d3'!N61-d3П!N61</f>
        <v>306000</v>
      </c>
      <c r="O61" s="325">
        <f>'d3'!O61-d3П!O61</f>
        <v>1282818</v>
      </c>
      <c r="P61" s="325">
        <f>'d3'!P61-d3П!P61</f>
        <v>934102.94999998808</v>
      </c>
      <c r="Q61" s="20"/>
      <c r="R61" s="35"/>
    </row>
    <row r="62" spans="1:20" ht="93" thickTop="1" thickBot="1" x14ac:dyDescent="0.25">
      <c r="A62" s="101" t="s">
        <v>662</v>
      </c>
      <c r="B62" s="101" t="s">
        <v>663</v>
      </c>
      <c r="C62" s="101" t="s">
        <v>209</v>
      </c>
      <c r="D62" s="101" t="s">
        <v>664</v>
      </c>
      <c r="E62" s="325">
        <f>'d3'!E62-d3П!E62</f>
        <v>-348715.05000001192</v>
      </c>
      <c r="F62" s="325">
        <f>'d3'!F62-d3П!F62</f>
        <v>-348715.05000001192</v>
      </c>
      <c r="G62" s="325">
        <f>'d3'!G62-d3П!G62</f>
        <v>0</v>
      </c>
      <c r="H62" s="325">
        <f>'d3'!H62-d3П!H62</f>
        <v>-641676.37999999523</v>
      </c>
      <c r="I62" s="325">
        <f>'d3'!I62-d3П!I62</f>
        <v>0</v>
      </c>
      <c r="J62" s="325">
        <f>'d3'!J62-d3П!J62</f>
        <v>1282818</v>
      </c>
      <c r="K62" s="325">
        <f>'d3'!K62-d3П!K62</f>
        <v>1282818</v>
      </c>
      <c r="L62" s="325">
        <f>'d3'!L62-d3П!L62</f>
        <v>0</v>
      </c>
      <c r="M62" s="325">
        <f>'d3'!M62-d3П!M62</f>
        <v>0</v>
      </c>
      <c r="N62" s="325">
        <f>'d3'!N62-d3П!N62</f>
        <v>306000</v>
      </c>
      <c r="O62" s="325">
        <f>'d3'!O62-d3П!O62</f>
        <v>1282818</v>
      </c>
      <c r="P62" s="325">
        <f>'d3'!P62-d3П!P62</f>
        <v>934102.94999998808</v>
      </c>
      <c r="Q62" s="20"/>
      <c r="R62" s="26"/>
    </row>
    <row r="63" spans="1:20" ht="93" thickTop="1" thickBot="1" x14ac:dyDescent="0.25">
      <c r="A63" s="101" t="s">
        <v>666</v>
      </c>
      <c r="B63" s="101" t="s">
        <v>665</v>
      </c>
      <c r="C63" s="101" t="s">
        <v>209</v>
      </c>
      <c r="D63" s="101" t="s">
        <v>667</v>
      </c>
      <c r="E63" s="325">
        <f>'d3'!E63-d3П!E63</f>
        <v>0</v>
      </c>
      <c r="F63" s="325">
        <f>'d3'!F63-d3П!F63</f>
        <v>0</v>
      </c>
      <c r="G63" s="325">
        <f>'d3'!G63-d3П!G63</f>
        <v>0</v>
      </c>
      <c r="H63" s="325">
        <f>'d3'!H63-d3П!H63</f>
        <v>0</v>
      </c>
      <c r="I63" s="325">
        <f>'d3'!I63-d3П!I63</f>
        <v>0</v>
      </c>
      <c r="J63" s="325">
        <f>'d3'!J63-d3П!J63</f>
        <v>0</v>
      </c>
      <c r="K63" s="325">
        <f>'d3'!K63-d3П!K63</f>
        <v>0</v>
      </c>
      <c r="L63" s="325">
        <f>'d3'!L63-d3П!L63</f>
        <v>0</v>
      </c>
      <c r="M63" s="325">
        <f>'d3'!M63-d3П!M63</f>
        <v>0</v>
      </c>
      <c r="N63" s="325">
        <f>'d3'!N63-d3П!N63</f>
        <v>0</v>
      </c>
      <c r="O63" s="325">
        <f>'d3'!O63-d3П!O63</f>
        <v>0</v>
      </c>
      <c r="P63" s="325">
        <f>'d3'!P63-d3П!P63</f>
        <v>0</v>
      </c>
      <c r="Q63" s="20"/>
      <c r="R63" s="30"/>
    </row>
    <row r="64" spans="1:20" ht="47.25" thickTop="1" thickBot="1" x14ac:dyDescent="0.25">
      <c r="A64" s="326" t="s">
        <v>669</v>
      </c>
      <c r="B64" s="326" t="s">
        <v>668</v>
      </c>
      <c r="C64" s="326"/>
      <c r="D64" s="326" t="s">
        <v>670</v>
      </c>
      <c r="E64" s="325">
        <f>'d3'!E64-d3П!E64</f>
        <v>170170</v>
      </c>
      <c r="F64" s="325">
        <f>'d3'!F64-d3П!F64</f>
        <v>170170</v>
      </c>
      <c r="G64" s="325">
        <f>'d3'!G64-d3П!G64</f>
        <v>0</v>
      </c>
      <c r="H64" s="325">
        <f>'d3'!H64-d3П!H64</f>
        <v>0</v>
      </c>
      <c r="I64" s="325">
        <f>'d3'!I64-d3П!I64</f>
        <v>0</v>
      </c>
      <c r="J64" s="325">
        <f>'d3'!J64-d3П!J64</f>
        <v>126756.13</v>
      </c>
      <c r="K64" s="325">
        <f>'d3'!K64-d3П!K64</f>
        <v>126756.13</v>
      </c>
      <c r="L64" s="325">
        <f>'d3'!L64-d3П!L64</f>
        <v>0</v>
      </c>
      <c r="M64" s="325">
        <f>'d3'!M64-d3П!M64</f>
        <v>0</v>
      </c>
      <c r="N64" s="325">
        <f>'d3'!N64-d3П!N64</f>
        <v>0</v>
      </c>
      <c r="O64" s="325">
        <f>'d3'!O64-d3П!O64</f>
        <v>126756.13</v>
      </c>
      <c r="P64" s="325">
        <f>'d3'!P64-d3П!P64</f>
        <v>296926.12999999896</v>
      </c>
      <c r="Q64" s="20"/>
      <c r="R64" s="35"/>
    </row>
    <row r="65" spans="1:18" ht="47.25" thickTop="1" thickBot="1" x14ac:dyDescent="0.25">
      <c r="A65" s="101" t="s">
        <v>671</v>
      </c>
      <c r="B65" s="101" t="s">
        <v>672</v>
      </c>
      <c r="C65" s="101" t="s">
        <v>210</v>
      </c>
      <c r="D65" s="101" t="s">
        <v>501</v>
      </c>
      <c r="E65" s="325">
        <f>'d3'!E65-d3П!E65</f>
        <v>52170</v>
      </c>
      <c r="F65" s="325">
        <f>'d3'!F65-d3П!F65</f>
        <v>52170</v>
      </c>
      <c r="G65" s="325">
        <f>'d3'!G65-d3П!G65</f>
        <v>0</v>
      </c>
      <c r="H65" s="325">
        <f>'d3'!H65-d3П!H65</f>
        <v>0</v>
      </c>
      <c r="I65" s="325">
        <f>'d3'!I65-d3П!I65</f>
        <v>0</v>
      </c>
      <c r="J65" s="325">
        <f>'d3'!J65-d3П!J65</f>
        <v>126756.13</v>
      </c>
      <c r="K65" s="325">
        <f>'d3'!K65-d3П!K65</f>
        <v>126756.13</v>
      </c>
      <c r="L65" s="325">
        <f>'d3'!L65-d3П!L65</f>
        <v>0</v>
      </c>
      <c r="M65" s="325">
        <f>'d3'!M65-d3П!M65</f>
        <v>0</v>
      </c>
      <c r="N65" s="325">
        <f>'d3'!N65-d3П!N65</f>
        <v>0</v>
      </c>
      <c r="O65" s="325">
        <f>'d3'!O65-d3П!O65</f>
        <v>126756.13</v>
      </c>
      <c r="P65" s="325">
        <f>'d3'!P65-d3П!P65</f>
        <v>178926.12999999896</v>
      </c>
      <c r="Q65" s="20"/>
      <c r="R65" s="30"/>
    </row>
    <row r="66" spans="1:18" ht="47.25" thickTop="1" thickBot="1" x14ac:dyDescent="0.25">
      <c r="A66" s="101" t="s">
        <v>673</v>
      </c>
      <c r="B66" s="101" t="s">
        <v>674</v>
      </c>
      <c r="C66" s="101" t="s">
        <v>210</v>
      </c>
      <c r="D66" s="101" t="s">
        <v>337</v>
      </c>
      <c r="E66" s="325">
        <f>'d3'!E66-d3П!E66</f>
        <v>118000</v>
      </c>
      <c r="F66" s="325">
        <f>'d3'!F66-d3П!F66</f>
        <v>118000</v>
      </c>
      <c r="G66" s="325">
        <f>'d3'!G66-d3П!G66</f>
        <v>0</v>
      </c>
      <c r="H66" s="325">
        <f>'d3'!H66-d3П!H66</f>
        <v>0</v>
      </c>
      <c r="I66" s="325">
        <f>'d3'!I66-d3П!I66</f>
        <v>0</v>
      </c>
      <c r="J66" s="325">
        <f>'d3'!J66-d3П!J66</f>
        <v>0</v>
      </c>
      <c r="K66" s="325">
        <f>'d3'!K66-d3П!K66</f>
        <v>0</v>
      </c>
      <c r="L66" s="325">
        <f>'d3'!L66-d3П!L66</f>
        <v>0</v>
      </c>
      <c r="M66" s="325">
        <f>'d3'!M66-d3П!M66</f>
        <v>0</v>
      </c>
      <c r="N66" s="325">
        <f>'d3'!N66-d3П!N66</f>
        <v>0</v>
      </c>
      <c r="O66" s="325">
        <f>'d3'!O66-d3П!O66</f>
        <v>0</v>
      </c>
      <c r="P66" s="325">
        <f>'d3'!P66-d3П!P66</f>
        <v>118000</v>
      </c>
      <c r="Q66" s="20"/>
      <c r="R66" s="30"/>
    </row>
    <row r="67" spans="1:18" ht="47.25" thickTop="1" thickBot="1" x14ac:dyDescent="0.25">
      <c r="A67" s="326" t="s">
        <v>675</v>
      </c>
      <c r="B67" s="326" t="s">
        <v>676</v>
      </c>
      <c r="C67" s="326"/>
      <c r="D67" s="326" t="s">
        <v>429</v>
      </c>
      <c r="E67" s="325">
        <f>'d3'!E67-d3П!E67</f>
        <v>216000</v>
      </c>
      <c r="F67" s="325">
        <f>'d3'!F67-d3П!F67</f>
        <v>216000</v>
      </c>
      <c r="G67" s="325">
        <f>'d3'!G67-d3П!G67</f>
        <v>0</v>
      </c>
      <c r="H67" s="325">
        <f>'d3'!H67-d3П!H67</f>
        <v>216000</v>
      </c>
      <c r="I67" s="325">
        <f>'d3'!I67-d3П!I67</f>
        <v>0</v>
      </c>
      <c r="J67" s="325">
        <f>'d3'!J67-d3П!J67</f>
        <v>0</v>
      </c>
      <c r="K67" s="325">
        <f>'d3'!K67-d3П!K67</f>
        <v>0</v>
      </c>
      <c r="L67" s="325">
        <f>'d3'!L67-d3П!L67</f>
        <v>0</v>
      </c>
      <c r="M67" s="325">
        <f>'d3'!M67-d3П!M67</f>
        <v>0</v>
      </c>
      <c r="N67" s="325">
        <f>'d3'!N67-d3П!N67</f>
        <v>0</v>
      </c>
      <c r="O67" s="325">
        <f>'d3'!O67-d3П!O67</f>
        <v>0</v>
      </c>
      <c r="P67" s="325">
        <f>'d3'!P67-d3П!P67</f>
        <v>216000</v>
      </c>
      <c r="Q67" s="20"/>
      <c r="R67" s="35"/>
    </row>
    <row r="68" spans="1:18" ht="93" thickTop="1" thickBot="1" x14ac:dyDescent="0.25">
      <c r="A68" s="101" t="s">
        <v>677</v>
      </c>
      <c r="B68" s="101" t="s">
        <v>678</v>
      </c>
      <c r="C68" s="101" t="s">
        <v>210</v>
      </c>
      <c r="D68" s="101" t="s">
        <v>679</v>
      </c>
      <c r="E68" s="325">
        <f>'d3'!E68-d3П!E68</f>
        <v>216000</v>
      </c>
      <c r="F68" s="325">
        <f>'d3'!F68-d3П!F68</f>
        <v>216000</v>
      </c>
      <c r="G68" s="325">
        <f>'d3'!G68-d3П!G68</f>
        <v>0</v>
      </c>
      <c r="H68" s="325">
        <f>'d3'!H68-d3П!H68</f>
        <v>216000</v>
      </c>
      <c r="I68" s="325">
        <f>'d3'!I68-d3П!I68</f>
        <v>0</v>
      </c>
      <c r="J68" s="325">
        <f>'d3'!J68-d3П!J68</f>
        <v>0</v>
      </c>
      <c r="K68" s="325">
        <f>'d3'!K68-d3П!K68</f>
        <v>0</v>
      </c>
      <c r="L68" s="325">
        <f>'d3'!L68-d3П!L68</f>
        <v>0</v>
      </c>
      <c r="M68" s="325">
        <f>'d3'!M68-d3П!M68</f>
        <v>0</v>
      </c>
      <c r="N68" s="325">
        <f>'d3'!N68-d3П!N68</f>
        <v>0</v>
      </c>
      <c r="O68" s="325">
        <f>'d3'!O68-d3П!O68</f>
        <v>0</v>
      </c>
      <c r="P68" s="325">
        <f>'d3'!P68-d3П!P68</f>
        <v>216000</v>
      </c>
      <c r="Q68" s="20"/>
      <c r="R68" s="26"/>
    </row>
    <row r="69" spans="1:18" ht="93" thickTop="1" thickBot="1" x14ac:dyDescent="0.25">
      <c r="A69" s="101" t="s">
        <v>680</v>
      </c>
      <c r="B69" s="101" t="s">
        <v>681</v>
      </c>
      <c r="C69" s="101" t="s">
        <v>210</v>
      </c>
      <c r="D69" s="101" t="s">
        <v>682</v>
      </c>
      <c r="E69" s="325">
        <f>'d3'!E69-d3П!E69</f>
        <v>0</v>
      </c>
      <c r="F69" s="325">
        <f>'d3'!F69-d3П!F69</f>
        <v>0</v>
      </c>
      <c r="G69" s="325">
        <f>'d3'!G69-d3П!G69</f>
        <v>0</v>
      </c>
      <c r="H69" s="325">
        <f>'d3'!H69-d3П!H69</f>
        <v>0</v>
      </c>
      <c r="I69" s="325">
        <f>'d3'!I69-d3П!I69</f>
        <v>0</v>
      </c>
      <c r="J69" s="325">
        <f>'d3'!J69-d3П!J69</f>
        <v>0</v>
      </c>
      <c r="K69" s="325">
        <f>'d3'!K69-d3П!K69</f>
        <v>0</v>
      </c>
      <c r="L69" s="325">
        <f>'d3'!L69-d3П!L69</f>
        <v>0</v>
      </c>
      <c r="M69" s="325">
        <f>'d3'!M69-d3П!M69</f>
        <v>0</v>
      </c>
      <c r="N69" s="325">
        <f>'d3'!N69-d3П!N69</f>
        <v>0</v>
      </c>
      <c r="O69" s="325">
        <f>'d3'!O69-d3П!O69</f>
        <v>0</v>
      </c>
      <c r="P69" s="325">
        <f>'d3'!P69-d3П!P69</f>
        <v>0</v>
      </c>
      <c r="Q69" s="20"/>
      <c r="R69" s="30"/>
    </row>
    <row r="70" spans="1:18" ht="93" thickTop="1" thickBot="1" x14ac:dyDescent="0.25">
      <c r="A70" s="101" t="s">
        <v>647</v>
      </c>
      <c r="B70" s="101" t="s">
        <v>648</v>
      </c>
      <c r="C70" s="101" t="s">
        <v>210</v>
      </c>
      <c r="D70" s="101" t="s">
        <v>649</v>
      </c>
      <c r="E70" s="325">
        <f>'d3'!E70-d3П!E70</f>
        <v>0</v>
      </c>
      <c r="F70" s="325">
        <f>'d3'!F70-d3П!F70</f>
        <v>0</v>
      </c>
      <c r="G70" s="325">
        <f>'d3'!G70-d3П!G70</f>
        <v>0</v>
      </c>
      <c r="H70" s="325">
        <f>'d3'!H70-d3П!H70</f>
        <v>0</v>
      </c>
      <c r="I70" s="325">
        <f>'d3'!I70-d3П!I70</f>
        <v>0</v>
      </c>
      <c r="J70" s="325">
        <f>'d3'!J70-d3П!J70</f>
        <v>0</v>
      </c>
      <c r="K70" s="325">
        <f>'d3'!K70-d3П!K70</f>
        <v>0</v>
      </c>
      <c r="L70" s="325">
        <f>'d3'!L70-d3П!L70</f>
        <v>0</v>
      </c>
      <c r="M70" s="325">
        <f>'d3'!M70-d3П!M70</f>
        <v>0</v>
      </c>
      <c r="N70" s="325">
        <f>'d3'!N70-d3П!N70</f>
        <v>0</v>
      </c>
      <c r="O70" s="325">
        <f>'d3'!O70-d3П!O70</f>
        <v>0</v>
      </c>
      <c r="P70" s="325">
        <f>'d3'!P70-d3П!P70</f>
        <v>0</v>
      </c>
      <c r="Q70" s="20"/>
      <c r="R70" s="26"/>
    </row>
    <row r="71" spans="1:18" s="33" customFormat="1" ht="93" hidden="1" customHeight="1" thickTop="1" thickBot="1" x14ac:dyDescent="0.25">
      <c r="A71" s="142" t="s">
        <v>652</v>
      </c>
      <c r="B71" s="142" t="s">
        <v>653</v>
      </c>
      <c r="C71" s="142"/>
      <c r="D71" s="142" t="s">
        <v>654</v>
      </c>
      <c r="E71" s="325">
        <f>'d3'!E71-d3П!E71</f>
        <v>0</v>
      </c>
      <c r="F71" s="325">
        <f>'d3'!F71-d3П!F71</f>
        <v>0</v>
      </c>
      <c r="G71" s="325">
        <f>'d3'!G71-d3П!G71</f>
        <v>0</v>
      </c>
      <c r="H71" s="325">
        <f>'d3'!H71-d3П!H71</f>
        <v>0</v>
      </c>
      <c r="I71" s="325">
        <f>'d3'!I71-d3П!I71</f>
        <v>0</v>
      </c>
      <c r="J71" s="325">
        <f>'d3'!J71-d3П!J71</f>
        <v>0</v>
      </c>
      <c r="K71" s="325">
        <f>'d3'!K71-d3П!K71</f>
        <v>0</v>
      </c>
      <c r="L71" s="325">
        <f>'d3'!L71-d3П!L71</f>
        <v>0</v>
      </c>
      <c r="M71" s="325">
        <f>'d3'!M71-d3П!M71</f>
        <v>0</v>
      </c>
      <c r="N71" s="325">
        <f>'d3'!N71-d3П!N71</f>
        <v>0</v>
      </c>
      <c r="O71" s="325">
        <f>'d3'!O71-d3П!O71</f>
        <v>0</v>
      </c>
      <c r="P71" s="325">
        <f>'d3'!P71-d3П!P71</f>
        <v>0</v>
      </c>
      <c r="Q71" s="36"/>
      <c r="R71" s="37"/>
    </row>
    <row r="72" spans="1:18" s="33" customFormat="1" ht="138.75" hidden="1" customHeight="1" thickTop="1" thickBot="1" x14ac:dyDescent="0.25">
      <c r="A72" s="41" t="s">
        <v>655</v>
      </c>
      <c r="B72" s="41" t="s">
        <v>656</v>
      </c>
      <c r="C72" s="41" t="s">
        <v>210</v>
      </c>
      <c r="D72" s="41" t="s">
        <v>657</v>
      </c>
      <c r="E72" s="325">
        <f>'d3'!E72-d3П!E72</f>
        <v>0</v>
      </c>
      <c r="F72" s="325">
        <f>'d3'!F72-d3П!F72</f>
        <v>0</v>
      </c>
      <c r="G72" s="325">
        <f>'d3'!G72-d3П!G72</f>
        <v>0</v>
      </c>
      <c r="H72" s="325">
        <f>'d3'!H72-d3П!H72</f>
        <v>0</v>
      </c>
      <c r="I72" s="325">
        <f>'d3'!I72-d3П!I72</f>
        <v>0</v>
      </c>
      <c r="J72" s="325">
        <f>'d3'!J72-d3П!J72</f>
        <v>0</v>
      </c>
      <c r="K72" s="325">
        <f>'d3'!K72-d3П!K72</f>
        <v>0</v>
      </c>
      <c r="L72" s="325">
        <f>'d3'!L72-d3П!L72</f>
        <v>0</v>
      </c>
      <c r="M72" s="325">
        <f>'d3'!M72-d3П!M72</f>
        <v>0</v>
      </c>
      <c r="N72" s="325">
        <f>'d3'!N72-d3П!N72</f>
        <v>0</v>
      </c>
      <c r="O72" s="325">
        <f>'d3'!O72-d3П!O72</f>
        <v>0</v>
      </c>
      <c r="P72" s="325">
        <f>'d3'!P72-d3П!P72</f>
        <v>0</v>
      </c>
      <c r="Q72" s="36"/>
      <c r="R72" s="26"/>
    </row>
    <row r="73" spans="1:18" s="33" customFormat="1" ht="138.75" hidden="1" customHeight="1" thickTop="1" thickBot="1" x14ac:dyDescent="0.25">
      <c r="A73" s="41" t="s">
        <v>980</v>
      </c>
      <c r="B73" s="41" t="s">
        <v>981</v>
      </c>
      <c r="C73" s="41" t="s">
        <v>210</v>
      </c>
      <c r="D73" s="41" t="s">
        <v>982</v>
      </c>
      <c r="E73" s="325">
        <f>'d3'!E73-d3П!E73</f>
        <v>0</v>
      </c>
      <c r="F73" s="325">
        <f>'d3'!F73-d3П!F73</f>
        <v>0</v>
      </c>
      <c r="G73" s="325">
        <f>'d3'!G73-d3П!G73</f>
        <v>0</v>
      </c>
      <c r="H73" s="325">
        <f>'d3'!H73-d3П!H73</f>
        <v>0</v>
      </c>
      <c r="I73" s="325">
        <f>'d3'!I73-d3П!I73</f>
        <v>0</v>
      </c>
      <c r="J73" s="325">
        <f>'d3'!J73-d3П!J73</f>
        <v>0</v>
      </c>
      <c r="K73" s="325">
        <f>'d3'!K73-d3П!K73</f>
        <v>0</v>
      </c>
      <c r="L73" s="325">
        <f>'d3'!L73-d3П!L73</f>
        <v>0</v>
      </c>
      <c r="M73" s="325">
        <f>'d3'!M73-d3П!M73</f>
        <v>0</v>
      </c>
      <c r="N73" s="325">
        <f>'d3'!N73-d3П!N73</f>
        <v>0</v>
      </c>
      <c r="O73" s="325">
        <f>'d3'!O73-d3П!O73</f>
        <v>0</v>
      </c>
      <c r="P73" s="325">
        <f>'d3'!P73-d3П!P73</f>
        <v>0</v>
      </c>
      <c r="Q73" s="36"/>
      <c r="R73" s="26"/>
    </row>
    <row r="74" spans="1:18" s="33" customFormat="1" ht="184.5" hidden="1" customHeight="1" thickTop="1" thickBot="1" x14ac:dyDescent="0.25">
      <c r="A74" s="142" t="s">
        <v>999</v>
      </c>
      <c r="B74" s="142" t="s">
        <v>1001</v>
      </c>
      <c r="C74" s="142"/>
      <c r="D74" s="142" t="s">
        <v>1003</v>
      </c>
      <c r="E74" s="325">
        <f>'d3'!E74-d3П!E74</f>
        <v>0</v>
      </c>
      <c r="F74" s="325">
        <f>'d3'!F74-d3П!F74</f>
        <v>0</v>
      </c>
      <c r="G74" s="325">
        <f>'d3'!G74-d3П!G74</f>
        <v>0</v>
      </c>
      <c r="H74" s="325">
        <f>'d3'!H74-d3П!H74</f>
        <v>0</v>
      </c>
      <c r="I74" s="325">
        <f>'d3'!I74-d3П!I74</f>
        <v>0</v>
      </c>
      <c r="J74" s="325">
        <f>'d3'!J74-d3П!J74</f>
        <v>0</v>
      </c>
      <c r="K74" s="325">
        <f>'d3'!K74-d3П!K74</f>
        <v>0</v>
      </c>
      <c r="L74" s="325">
        <f>'d3'!L74-d3П!L74</f>
        <v>0</v>
      </c>
      <c r="M74" s="325">
        <f>'d3'!M74-d3П!M74</f>
        <v>0</v>
      </c>
      <c r="N74" s="325">
        <f>'d3'!N74-d3П!N74</f>
        <v>0</v>
      </c>
      <c r="O74" s="325">
        <f>'d3'!O74-d3П!O74</f>
        <v>0</v>
      </c>
      <c r="P74" s="325">
        <f>'d3'!P74-d3П!P74</f>
        <v>0</v>
      </c>
      <c r="Q74" s="36"/>
      <c r="R74" s="26"/>
    </row>
    <row r="75" spans="1:18" s="33" customFormat="1" ht="230.25" hidden="1" customHeight="1" thickTop="1" thickBot="1" x14ac:dyDescent="0.25">
      <c r="A75" s="41" t="s">
        <v>1000</v>
      </c>
      <c r="B75" s="41" t="s">
        <v>1002</v>
      </c>
      <c r="C75" s="41" t="s">
        <v>210</v>
      </c>
      <c r="D75" s="41" t="s">
        <v>1004</v>
      </c>
      <c r="E75" s="325">
        <f>'d3'!E75-d3П!E75</f>
        <v>0</v>
      </c>
      <c r="F75" s="325">
        <f>'d3'!F75-d3П!F75</f>
        <v>0</v>
      </c>
      <c r="G75" s="325">
        <f>'d3'!G75-d3П!G75</f>
        <v>0</v>
      </c>
      <c r="H75" s="325">
        <f>'d3'!H75-d3П!H75</f>
        <v>0</v>
      </c>
      <c r="I75" s="325">
        <f>'d3'!I75-d3П!I75</f>
        <v>0</v>
      </c>
      <c r="J75" s="325">
        <f>'d3'!J75-d3П!J75</f>
        <v>0</v>
      </c>
      <c r="K75" s="325">
        <f>'d3'!K75-d3П!K75</f>
        <v>0</v>
      </c>
      <c r="L75" s="325">
        <f>'d3'!L75-d3П!L75</f>
        <v>0</v>
      </c>
      <c r="M75" s="325">
        <f>'d3'!M75-d3П!M75</f>
        <v>0</v>
      </c>
      <c r="N75" s="325">
        <f>'d3'!N75-d3П!N75</f>
        <v>0</v>
      </c>
      <c r="O75" s="325">
        <f>'d3'!O75-d3П!O75</f>
        <v>0</v>
      </c>
      <c r="P75" s="325">
        <f>'d3'!P75-d3П!P75</f>
        <v>0</v>
      </c>
      <c r="Q75" s="36"/>
      <c r="R75" s="26"/>
    </row>
    <row r="76" spans="1:18" s="33" customFormat="1" ht="46.5" hidden="1" customHeight="1" thickTop="1" thickBot="1" x14ac:dyDescent="0.25">
      <c r="A76" s="770" t="s">
        <v>1018</v>
      </c>
      <c r="B76" s="770" t="s">
        <v>1019</v>
      </c>
      <c r="C76" s="770" t="s">
        <v>210</v>
      </c>
      <c r="D76" s="770" t="s">
        <v>1020</v>
      </c>
      <c r="E76" s="325">
        <f>'d3'!E76-d3П!E76</f>
        <v>0</v>
      </c>
      <c r="F76" s="325">
        <f>'d3'!F76-d3П!F76</f>
        <v>0</v>
      </c>
      <c r="G76" s="325">
        <f>'d3'!G76-d3П!G76</f>
        <v>0</v>
      </c>
      <c r="H76" s="325">
        <f>'d3'!H76-d3П!H76</f>
        <v>0</v>
      </c>
      <c r="I76" s="325">
        <f>'d3'!I76-d3П!I76</f>
        <v>0</v>
      </c>
      <c r="J76" s="325">
        <f>'d3'!J76-d3П!J76</f>
        <v>0</v>
      </c>
      <c r="K76" s="325">
        <f>'d3'!K76-d3П!K76</f>
        <v>0</v>
      </c>
      <c r="L76" s="325">
        <f>'d3'!L76-d3П!L76</f>
        <v>0</v>
      </c>
      <c r="M76" s="325">
        <f>'d3'!M76-d3П!M76</f>
        <v>0</v>
      </c>
      <c r="N76" s="325">
        <f>'d3'!N76-d3П!N76</f>
        <v>0</v>
      </c>
      <c r="O76" s="325">
        <f>'d3'!O76-d3П!O76</f>
        <v>0</v>
      </c>
      <c r="P76" s="325">
        <f>'d3'!P76-d3П!P76</f>
        <v>0</v>
      </c>
      <c r="Q76" s="36"/>
      <c r="R76" s="26"/>
    </row>
    <row r="77" spans="1:18" s="33" customFormat="1" ht="46.5" hidden="1" customHeight="1" thickTop="1" thickBot="1" x14ac:dyDescent="0.25">
      <c r="A77" s="771"/>
      <c r="B77" s="771"/>
      <c r="C77" s="771"/>
      <c r="D77" s="771"/>
      <c r="E77" s="325">
        <f>'d3'!E77-d3П!E77</f>
        <v>0</v>
      </c>
      <c r="F77" s="325">
        <f>'d3'!F77-d3П!F77</f>
        <v>0</v>
      </c>
      <c r="G77" s="325">
        <f>'d3'!G77-d3П!G77</f>
        <v>0</v>
      </c>
      <c r="H77" s="325">
        <f>'d3'!H77-d3П!H77</f>
        <v>0</v>
      </c>
      <c r="I77" s="325">
        <f>'d3'!I77-d3П!I77</f>
        <v>0</v>
      </c>
      <c r="J77" s="325">
        <f>'d3'!J77-d3П!J77</f>
        <v>0</v>
      </c>
      <c r="K77" s="325">
        <f>'d3'!K77-d3П!K77</f>
        <v>0</v>
      </c>
      <c r="L77" s="325">
        <f>'d3'!L77-d3П!L77</f>
        <v>0</v>
      </c>
      <c r="M77" s="325">
        <f>'d3'!M77-d3П!M77</f>
        <v>0</v>
      </c>
      <c r="N77" s="325">
        <f>'d3'!N77-d3П!N77</f>
        <v>0</v>
      </c>
      <c r="O77" s="325">
        <f>'d3'!O77-d3П!O77</f>
        <v>0</v>
      </c>
      <c r="P77" s="325">
        <f>'d3'!P77-d3П!P77</f>
        <v>0</v>
      </c>
      <c r="Q77" s="36"/>
      <c r="R77" s="26"/>
    </row>
    <row r="78" spans="1:18" s="33" customFormat="1" ht="138.75" thickTop="1" thickBot="1" x14ac:dyDescent="0.25">
      <c r="A78" s="101" t="s">
        <v>644</v>
      </c>
      <c r="B78" s="101" t="s">
        <v>645</v>
      </c>
      <c r="C78" s="101" t="s">
        <v>210</v>
      </c>
      <c r="D78" s="101" t="s">
        <v>646</v>
      </c>
      <c r="E78" s="325">
        <f>'d3'!E78-d3П!E78</f>
        <v>0</v>
      </c>
      <c r="F78" s="325">
        <f>'d3'!F78-d3П!F78</f>
        <v>0</v>
      </c>
      <c r="G78" s="325">
        <f>'d3'!G78-d3П!G78</f>
        <v>0</v>
      </c>
      <c r="H78" s="325">
        <f>'d3'!H78-d3П!H78</f>
        <v>0</v>
      </c>
      <c r="I78" s="325">
        <f>'d3'!I78-d3П!I78</f>
        <v>0</v>
      </c>
      <c r="J78" s="325">
        <f>'d3'!J78-d3П!J78</f>
        <v>0</v>
      </c>
      <c r="K78" s="325">
        <f>'d3'!K78-d3П!K78</f>
        <v>0</v>
      </c>
      <c r="L78" s="325">
        <f>'d3'!L78-d3П!L78</f>
        <v>0</v>
      </c>
      <c r="M78" s="325">
        <f>'d3'!M78-d3П!M78</f>
        <v>0</v>
      </c>
      <c r="N78" s="325">
        <f>'d3'!N78-d3П!N78</f>
        <v>0</v>
      </c>
      <c r="O78" s="325">
        <f>'d3'!O78-d3П!O78</f>
        <v>0</v>
      </c>
      <c r="P78" s="325">
        <f>'d3'!P78-d3П!P78</f>
        <v>0</v>
      </c>
      <c r="Q78" s="36"/>
      <c r="R78" s="26"/>
    </row>
    <row r="79" spans="1:18" s="33" customFormat="1" ht="160.5" customHeight="1" thickTop="1" thickBot="1" x14ac:dyDescent="0.25">
      <c r="A79" s="101" t="s">
        <v>941</v>
      </c>
      <c r="B79" s="101" t="s">
        <v>942</v>
      </c>
      <c r="C79" s="101" t="s">
        <v>210</v>
      </c>
      <c r="D79" s="101" t="s">
        <v>1447</v>
      </c>
      <c r="E79" s="325">
        <f>'d3'!E79-d3П!E79</f>
        <v>0</v>
      </c>
      <c r="F79" s="325">
        <f>'d3'!F79-d3П!F79</f>
        <v>0</v>
      </c>
      <c r="G79" s="325">
        <f>'d3'!G79-d3П!G79</f>
        <v>0</v>
      </c>
      <c r="H79" s="325">
        <f>'d3'!H79-d3П!H79</f>
        <v>0</v>
      </c>
      <c r="I79" s="325">
        <f>'d3'!I79-d3П!I79</f>
        <v>0</v>
      </c>
      <c r="J79" s="325">
        <f>'d3'!J79-d3П!J79</f>
        <v>0</v>
      </c>
      <c r="K79" s="325">
        <f>'d3'!K79-d3П!K79</f>
        <v>0</v>
      </c>
      <c r="L79" s="325">
        <f>'d3'!L79-d3П!L79</f>
        <v>0</v>
      </c>
      <c r="M79" s="325">
        <f>'d3'!M79-d3П!M79</f>
        <v>0</v>
      </c>
      <c r="N79" s="325">
        <f>'d3'!N79-d3П!N79</f>
        <v>0</v>
      </c>
      <c r="O79" s="325">
        <f>'d3'!O79-d3П!O79</f>
        <v>0</v>
      </c>
      <c r="P79" s="325">
        <f>'d3'!P79-d3П!P79</f>
        <v>0</v>
      </c>
      <c r="Q79" s="36"/>
      <c r="R79" s="26"/>
    </row>
    <row r="80" spans="1:18" s="33" customFormat="1" ht="93" thickTop="1" thickBot="1" x14ac:dyDescent="0.25">
      <c r="A80" s="326" t="s">
        <v>1005</v>
      </c>
      <c r="B80" s="326" t="s">
        <v>1007</v>
      </c>
      <c r="C80" s="326"/>
      <c r="D80" s="326" t="s">
        <v>1439</v>
      </c>
      <c r="E80" s="325">
        <f>'d3'!E80-d3П!E80</f>
        <v>0</v>
      </c>
      <c r="F80" s="325">
        <f>'d3'!F80-d3П!F80</f>
        <v>0</v>
      </c>
      <c r="G80" s="325">
        <f>'d3'!G80-d3П!G80</f>
        <v>0</v>
      </c>
      <c r="H80" s="325">
        <f>'d3'!H80-d3П!H80</f>
        <v>0</v>
      </c>
      <c r="I80" s="325">
        <f>'d3'!I80-d3П!I80</f>
        <v>0</v>
      </c>
      <c r="J80" s="325">
        <f>'d3'!J80-d3П!J80</f>
        <v>0</v>
      </c>
      <c r="K80" s="325">
        <f>'d3'!K80-d3П!K80</f>
        <v>0</v>
      </c>
      <c r="L80" s="325">
        <f>'d3'!L80-d3П!L80</f>
        <v>0</v>
      </c>
      <c r="M80" s="325">
        <f>'d3'!M80-d3П!M80</f>
        <v>0</v>
      </c>
      <c r="N80" s="325">
        <f>'d3'!N80-d3П!N80</f>
        <v>0</v>
      </c>
      <c r="O80" s="325">
        <f>'d3'!O80-d3П!O80</f>
        <v>0</v>
      </c>
      <c r="P80" s="325">
        <f>'d3'!P80-d3П!P80</f>
        <v>0</v>
      </c>
      <c r="Q80" s="36"/>
      <c r="R80" s="26"/>
    </row>
    <row r="81" spans="1:18" s="33" customFormat="1" ht="189" customHeight="1" thickTop="1" thickBot="1" x14ac:dyDescent="0.25">
      <c r="A81" s="101" t="s">
        <v>1006</v>
      </c>
      <c r="B81" s="101" t="s">
        <v>1008</v>
      </c>
      <c r="C81" s="101" t="s">
        <v>210</v>
      </c>
      <c r="D81" s="101" t="s">
        <v>1251</v>
      </c>
      <c r="E81" s="325">
        <f>'d3'!E81-d3П!E81</f>
        <v>0</v>
      </c>
      <c r="F81" s="325">
        <f>'d3'!F81-d3П!F81</f>
        <v>0</v>
      </c>
      <c r="G81" s="325">
        <f>'d3'!G81-d3П!G81</f>
        <v>0</v>
      </c>
      <c r="H81" s="325">
        <f>'d3'!H81-d3П!H81</f>
        <v>0</v>
      </c>
      <c r="I81" s="325">
        <f>'d3'!I81-d3П!I81</f>
        <v>0</v>
      </c>
      <c r="J81" s="325">
        <f>'d3'!J81-d3П!J81</f>
        <v>0</v>
      </c>
      <c r="K81" s="325">
        <f>'d3'!K81-d3П!K81</f>
        <v>0</v>
      </c>
      <c r="L81" s="325">
        <f>'d3'!L81-d3П!L81</f>
        <v>0</v>
      </c>
      <c r="M81" s="325">
        <f>'d3'!M81-d3П!M81</f>
        <v>0</v>
      </c>
      <c r="N81" s="325">
        <f>'d3'!N81-d3П!N81</f>
        <v>0</v>
      </c>
      <c r="O81" s="325">
        <f>'d3'!O81-d3П!O81</f>
        <v>0</v>
      </c>
      <c r="P81" s="325">
        <f>'d3'!P81-d3П!P81</f>
        <v>0</v>
      </c>
      <c r="Q81" s="36"/>
      <c r="R81" s="26"/>
    </row>
    <row r="82" spans="1:18" s="33" customFormat="1" ht="176.25" customHeight="1" thickTop="1" thickBot="1" x14ac:dyDescent="0.25">
      <c r="A82" s="101" t="s">
        <v>1049</v>
      </c>
      <c r="B82" s="101" t="s">
        <v>1050</v>
      </c>
      <c r="C82" s="101" t="s">
        <v>210</v>
      </c>
      <c r="D82" s="101" t="s">
        <v>1595</v>
      </c>
      <c r="E82" s="325">
        <f>'d3'!E82-d3П!E82</f>
        <v>0</v>
      </c>
      <c r="F82" s="325">
        <f>'d3'!F82-d3П!F82</f>
        <v>0</v>
      </c>
      <c r="G82" s="325">
        <f>'d3'!G82-d3П!G82</f>
        <v>0</v>
      </c>
      <c r="H82" s="325">
        <f>'d3'!H82-d3П!H82</f>
        <v>0</v>
      </c>
      <c r="I82" s="325">
        <f>'d3'!I82-d3П!I82</f>
        <v>0</v>
      </c>
      <c r="J82" s="325">
        <f>'d3'!J82-d3П!J82</f>
        <v>0</v>
      </c>
      <c r="K82" s="325">
        <f>'d3'!K82-d3П!K82</f>
        <v>0</v>
      </c>
      <c r="L82" s="325">
        <f>'d3'!L82-d3П!L82</f>
        <v>0</v>
      </c>
      <c r="M82" s="325">
        <f>'d3'!M82-d3П!M82</f>
        <v>0</v>
      </c>
      <c r="N82" s="325">
        <f>'d3'!N82-d3П!N82</f>
        <v>0</v>
      </c>
      <c r="O82" s="325">
        <f>'d3'!O82-d3П!O82</f>
        <v>0</v>
      </c>
      <c r="P82" s="325">
        <f>'d3'!P82-d3П!P82</f>
        <v>0</v>
      </c>
      <c r="Q82" s="36"/>
      <c r="R82" s="26"/>
    </row>
    <row r="83" spans="1:18" s="33" customFormat="1" ht="114.75" customHeight="1" thickTop="1" thickBot="1" x14ac:dyDescent="0.25">
      <c r="A83" s="326" t="s">
        <v>1390</v>
      </c>
      <c r="B83" s="326" t="s">
        <v>1391</v>
      </c>
      <c r="C83" s="326"/>
      <c r="D83" s="326" t="s">
        <v>1547</v>
      </c>
      <c r="E83" s="325">
        <f>'d3'!E83-d3П!E83</f>
        <v>0</v>
      </c>
      <c r="F83" s="325">
        <f>'d3'!F83-d3П!F83</f>
        <v>0</v>
      </c>
      <c r="G83" s="325">
        <f>'d3'!G83-d3П!G83</f>
        <v>0</v>
      </c>
      <c r="H83" s="325">
        <f>'d3'!H83-d3П!H83</f>
        <v>0</v>
      </c>
      <c r="I83" s="325">
        <f>'d3'!I83-d3П!I83</f>
        <v>0</v>
      </c>
      <c r="J83" s="325">
        <f>'d3'!J83-d3П!J83</f>
        <v>-10000000</v>
      </c>
      <c r="K83" s="325">
        <f>'d3'!K83-d3П!K83</f>
        <v>-10000000</v>
      </c>
      <c r="L83" s="325">
        <f>'d3'!L83-d3П!L83</f>
        <v>0</v>
      </c>
      <c r="M83" s="325">
        <f>'d3'!M83-d3П!M83</f>
        <v>0</v>
      </c>
      <c r="N83" s="325">
        <f>'d3'!N83-d3П!N83</f>
        <v>0</v>
      </c>
      <c r="O83" s="325">
        <f>'d3'!O83-d3П!O83</f>
        <v>-10000000</v>
      </c>
      <c r="P83" s="325">
        <f>'d3'!P83-d3П!P83</f>
        <v>-10000000</v>
      </c>
      <c r="Q83" s="36"/>
      <c r="R83" s="26"/>
    </row>
    <row r="84" spans="1:18" s="33" customFormat="1" ht="163.5" customHeight="1" thickTop="1" thickBot="1" x14ac:dyDescent="0.25">
      <c r="A84" s="101" t="s">
        <v>1392</v>
      </c>
      <c r="B84" s="101" t="s">
        <v>1393</v>
      </c>
      <c r="C84" s="101" t="s">
        <v>210</v>
      </c>
      <c r="D84" s="101" t="s">
        <v>1548</v>
      </c>
      <c r="E84" s="325">
        <f>'d3'!E84-d3П!E84</f>
        <v>0</v>
      </c>
      <c r="F84" s="325">
        <f>'d3'!F84-d3П!F84</f>
        <v>0</v>
      </c>
      <c r="G84" s="325">
        <f>'d3'!G84-d3П!G84</f>
        <v>0</v>
      </c>
      <c r="H84" s="325">
        <f>'d3'!H84-d3П!H84</f>
        <v>0</v>
      </c>
      <c r="I84" s="325">
        <f>'d3'!I84-d3П!I84</f>
        <v>0</v>
      </c>
      <c r="J84" s="325">
        <f>'d3'!J84-d3П!J84</f>
        <v>-10000000</v>
      </c>
      <c r="K84" s="325">
        <f>'d3'!K84-d3П!K84</f>
        <v>-10000000</v>
      </c>
      <c r="L84" s="325">
        <f>'d3'!L84-d3П!L84</f>
        <v>0</v>
      </c>
      <c r="M84" s="325">
        <f>'d3'!M84-d3П!M84</f>
        <v>0</v>
      </c>
      <c r="N84" s="325">
        <f>'d3'!N84-d3П!N84</f>
        <v>0</v>
      </c>
      <c r="O84" s="325">
        <f>'d3'!O84-d3П!O84</f>
        <v>-10000000</v>
      </c>
      <c r="P84" s="325">
        <f>'d3'!P84-d3П!P84</f>
        <v>-10000000</v>
      </c>
      <c r="Q84" s="36"/>
      <c r="R84" s="26"/>
    </row>
    <row r="85" spans="1:18" s="33" customFormat="1" ht="138.75" hidden="1" customHeight="1" thickTop="1" thickBot="1" x14ac:dyDescent="0.25">
      <c r="A85" s="126" t="s">
        <v>1394</v>
      </c>
      <c r="B85" s="126" t="s">
        <v>1395</v>
      </c>
      <c r="C85" s="126" t="s">
        <v>210</v>
      </c>
      <c r="D85" s="126" t="s">
        <v>1396</v>
      </c>
      <c r="E85" s="325">
        <f>'d3'!E85-d3П!E85</f>
        <v>0</v>
      </c>
      <c r="F85" s="325">
        <f>'d3'!F85-d3П!F85</f>
        <v>0</v>
      </c>
      <c r="G85" s="325">
        <f>'d3'!G85-d3П!G85</f>
        <v>0</v>
      </c>
      <c r="H85" s="325">
        <f>'d3'!H85-d3П!H85</f>
        <v>0</v>
      </c>
      <c r="I85" s="325">
        <f>'d3'!I85-d3П!I85</f>
        <v>0</v>
      </c>
      <c r="J85" s="325">
        <f>'d3'!J85-d3П!J85</f>
        <v>0</v>
      </c>
      <c r="K85" s="325">
        <f>'d3'!K85-d3П!K85</f>
        <v>0</v>
      </c>
      <c r="L85" s="325">
        <f>'d3'!L85-d3П!L85</f>
        <v>0</v>
      </c>
      <c r="M85" s="325">
        <f>'d3'!M85-d3П!M85</f>
        <v>0</v>
      </c>
      <c r="N85" s="325">
        <f>'d3'!N85-d3П!N85</f>
        <v>0</v>
      </c>
      <c r="O85" s="325">
        <f>'d3'!O85-d3П!O85</f>
        <v>0</v>
      </c>
      <c r="P85" s="325">
        <f>'d3'!P85-d3П!P85</f>
        <v>0</v>
      </c>
      <c r="Q85" s="36"/>
      <c r="R85" s="26"/>
    </row>
    <row r="86" spans="1:18" s="33" customFormat="1" ht="138.75" hidden="1" customHeight="1" thickTop="1" thickBot="1" x14ac:dyDescent="0.25">
      <c r="A86" s="138" t="s">
        <v>1460</v>
      </c>
      <c r="B86" s="138" t="s">
        <v>1459</v>
      </c>
      <c r="C86" s="138"/>
      <c r="D86" s="138" t="s">
        <v>1461</v>
      </c>
      <c r="E86" s="325">
        <f>'d3'!E86-d3П!E86</f>
        <v>0</v>
      </c>
      <c r="F86" s="325">
        <f>'d3'!F86-d3П!F86</f>
        <v>0</v>
      </c>
      <c r="G86" s="325">
        <f>'d3'!G86-d3П!G86</f>
        <v>0</v>
      </c>
      <c r="H86" s="325">
        <f>'d3'!H86-d3П!H86</f>
        <v>0</v>
      </c>
      <c r="I86" s="325">
        <f>'d3'!I86-d3П!I86</f>
        <v>0</v>
      </c>
      <c r="J86" s="325">
        <f>'d3'!J86-d3П!J86</f>
        <v>0</v>
      </c>
      <c r="K86" s="325">
        <f>'d3'!K86-d3П!K86</f>
        <v>0</v>
      </c>
      <c r="L86" s="325">
        <f>'d3'!L86-d3П!L86</f>
        <v>0</v>
      </c>
      <c r="M86" s="325">
        <f>'d3'!M86-d3П!M86</f>
        <v>0</v>
      </c>
      <c r="N86" s="325">
        <f>'d3'!N86-d3П!N86</f>
        <v>0</v>
      </c>
      <c r="O86" s="325">
        <f>'d3'!O86-d3П!O86</f>
        <v>0</v>
      </c>
      <c r="P86" s="325">
        <f>'d3'!P86-d3П!P86</f>
        <v>0</v>
      </c>
      <c r="Q86" s="36"/>
      <c r="R86" s="26"/>
    </row>
    <row r="87" spans="1:18" s="33" customFormat="1" ht="93" hidden="1" customHeight="1" thickTop="1" thickBot="1" x14ac:dyDescent="0.25">
      <c r="A87" s="126" t="s">
        <v>1462</v>
      </c>
      <c r="B87" s="126" t="s">
        <v>1463</v>
      </c>
      <c r="C87" s="126" t="s">
        <v>210</v>
      </c>
      <c r="D87" s="126" t="s">
        <v>1467</v>
      </c>
      <c r="E87" s="325">
        <f>'d3'!E87-d3П!E87</f>
        <v>0</v>
      </c>
      <c r="F87" s="325">
        <f>'d3'!F87-d3П!F87</f>
        <v>0</v>
      </c>
      <c r="G87" s="325">
        <f>'d3'!G87-d3П!G87</f>
        <v>0</v>
      </c>
      <c r="H87" s="325">
        <f>'d3'!H87-d3П!H87</f>
        <v>0</v>
      </c>
      <c r="I87" s="325">
        <f>'d3'!I87-d3П!I87</f>
        <v>0</v>
      </c>
      <c r="J87" s="325">
        <f>'d3'!J87-d3П!J87</f>
        <v>0</v>
      </c>
      <c r="K87" s="325">
        <f>'d3'!K87-d3П!K87</f>
        <v>0</v>
      </c>
      <c r="L87" s="325">
        <f>'d3'!L87-d3П!L87</f>
        <v>0</v>
      </c>
      <c r="M87" s="325">
        <f>'d3'!M87-d3П!M87</f>
        <v>0</v>
      </c>
      <c r="N87" s="325">
        <f>'d3'!N87-d3П!N87</f>
        <v>0</v>
      </c>
      <c r="O87" s="325">
        <f>'d3'!O87-d3П!O87</f>
        <v>0</v>
      </c>
      <c r="P87" s="325">
        <f>'d3'!P87-d3П!P87</f>
        <v>0</v>
      </c>
      <c r="Q87" s="36"/>
      <c r="R87" s="26"/>
    </row>
    <row r="88" spans="1:18" s="33" customFormat="1" ht="138.75" hidden="1" customHeight="1" thickTop="1" thickBot="1" x14ac:dyDescent="0.25">
      <c r="A88" s="126" t="s">
        <v>1464</v>
      </c>
      <c r="B88" s="126" t="s">
        <v>1465</v>
      </c>
      <c r="C88" s="126" t="s">
        <v>210</v>
      </c>
      <c r="D88" s="126" t="s">
        <v>1466</v>
      </c>
      <c r="E88" s="325">
        <f>'d3'!E88-d3П!E88</f>
        <v>0</v>
      </c>
      <c r="F88" s="325">
        <f>'d3'!F88-d3П!F88</f>
        <v>0</v>
      </c>
      <c r="G88" s="325">
        <f>'d3'!G88-d3П!G88</f>
        <v>0</v>
      </c>
      <c r="H88" s="325">
        <f>'d3'!H88-d3П!H88</f>
        <v>0</v>
      </c>
      <c r="I88" s="325">
        <f>'d3'!I88-d3П!I88</f>
        <v>0</v>
      </c>
      <c r="J88" s="325">
        <f>'d3'!J88-d3П!J88</f>
        <v>0</v>
      </c>
      <c r="K88" s="325">
        <f>'d3'!K88-d3П!K88</f>
        <v>0</v>
      </c>
      <c r="L88" s="325">
        <f>'d3'!L88-d3П!L88</f>
        <v>0</v>
      </c>
      <c r="M88" s="325">
        <f>'d3'!M88-d3П!M88</f>
        <v>0</v>
      </c>
      <c r="N88" s="325">
        <f>'d3'!N88-d3П!N88</f>
        <v>0</v>
      </c>
      <c r="O88" s="325">
        <f>'d3'!O88-d3П!O88</f>
        <v>0</v>
      </c>
      <c r="P88" s="325">
        <f>'d3'!P88-d3П!P88</f>
        <v>0</v>
      </c>
      <c r="Q88" s="36"/>
      <c r="R88" s="26"/>
    </row>
    <row r="89" spans="1:18" s="33" customFormat="1" ht="213" customHeight="1" thickTop="1" thickBot="1" x14ac:dyDescent="0.25">
      <c r="A89" s="326" t="s">
        <v>1561</v>
      </c>
      <c r="B89" s="326" t="s">
        <v>1563</v>
      </c>
      <c r="C89" s="126"/>
      <c r="D89" s="326" t="s">
        <v>1560</v>
      </c>
      <c r="E89" s="325">
        <f>'d3'!E89-d3П!E89</f>
        <v>0</v>
      </c>
      <c r="F89" s="325">
        <f>'d3'!F89-d3П!F89</f>
        <v>0</v>
      </c>
      <c r="G89" s="325">
        <f>'d3'!G89-d3П!G89</f>
        <v>0</v>
      </c>
      <c r="H89" s="325">
        <f>'d3'!H89-d3П!H89</f>
        <v>0</v>
      </c>
      <c r="I89" s="325">
        <f>'d3'!I89-d3П!I89</f>
        <v>0</v>
      </c>
      <c r="J89" s="325">
        <f>'d3'!J89-d3П!J89</f>
        <v>0</v>
      </c>
      <c r="K89" s="325">
        <f>'d3'!K89-d3П!K89</f>
        <v>0</v>
      </c>
      <c r="L89" s="325">
        <f>'d3'!L89-d3П!L89</f>
        <v>0</v>
      </c>
      <c r="M89" s="325">
        <f>'d3'!M89-d3П!M89</f>
        <v>0</v>
      </c>
      <c r="N89" s="325">
        <f>'d3'!N89-d3П!N89</f>
        <v>0</v>
      </c>
      <c r="O89" s="325">
        <f>'d3'!O89-d3П!O89</f>
        <v>0</v>
      </c>
      <c r="P89" s="325">
        <f>'d3'!P89-d3П!P89</f>
        <v>0</v>
      </c>
      <c r="Q89" s="36"/>
      <c r="R89" s="26"/>
    </row>
    <row r="90" spans="1:18" s="33" customFormat="1" ht="230.25" thickTop="1" thickBot="1" x14ac:dyDescent="0.25">
      <c r="A90" s="101" t="s">
        <v>1564</v>
      </c>
      <c r="B90" s="101" t="s">
        <v>1562</v>
      </c>
      <c r="C90" s="101" t="s">
        <v>210</v>
      </c>
      <c r="D90" s="101" t="s">
        <v>1565</v>
      </c>
      <c r="E90" s="325">
        <f>'d3'!E90-d3П!E90</f>
        <v>0</v>
      </c>
      <c r="F90" s="325">
        <f>'d3'!F90-d3П!F90</f>
        <v>0</v>
      </c>
      <c r="G90" s="325">
        <f>'d3'!G90-d3П!G90</f>
        <v>0</v>
      </c>
      <c r="H90" s="325">
        <f>'d3'!H90-d3П!H90</f>
        <v>0</v>
      </c>
      <c r="I90" s="325">
        <f>'d3'!I90-d3П!I90</f>
        <v>0</v>
      </c>
      <c r="J90" s="325">
        <f>'d3'!J90-d3П!J90</f>
        <v>0</v>
      </c>
      <c r="K90" s="325">
        <f>'d3'!K90-d3П!K90</f>
        <v>0</v>
      </c>
      <c r="L90" s="325">
        <f>'d3'!L90-d3П!L90</f>
        <v>0</v>
      </c>
      <c r="M90" s="325">
        <f>'d3'!M90-d3П!M90</f>
        <v>0</v>
      </c>
      <c r="N90" s="325">
        <f>'d3'!N90-d3П!N90</f>
        <v>0</v>
      </c>
      <c r="O90" s="325">
        <f>'d3'!O90-d3П!O90</f>
        <v>0</v>
      </c>
      <c r="P90" s="325">
        <f>'d3'!P90-d3П!P90</f>
        <v>0</v>
      </c>
      <c r="Q90" s="36"/>
      <c r="R90" s="26"/>
    </row>
    <row r="91" spans="1:18" s="33" customFormat="1" ht="219" customHeight="1" thickTop="1" thickBot="1" x14ac:dyDescent="0.25">
      <c r="A91" s="101" t="s">
        <v>1566</v>
      </c>
      <c r="B91" s="101" t="s">
        <v>1567</v>
      </c>
      <c r="C91" s="101" t="s">
        <v>210</v>
      </c>
      <c r="D91" s="101" t="s">
        <v>1568</v>
      </c>
      <c r="E91" s="325">
        <f>'d3'!E91-d3П!E91</f>
        <v>0</v>
      </c>
      <c r="F91" s="325">
        <f>'d3'!F91-d3П!F91</f>
        <v>0</v>
      </c>
      <c r="G91" s="325">
        <f>'d3'!G91-d3П!G91</f>
        <v>0</v>
      </c>
      <c r="H91" s="325">
        <f>'d3'!H91-d3П!H91</f>
        <v>0</v>
      </c>
      <c r="I91" s="325">
        <f>'d3'!I91-d3П!I91</f>
        <v>0</v>
      </c>
      <c r="J91" s="325">
        <f>'d3'!J91-d3П!J91</f>
        <v>0</v>
      </c>
      <c r="K91" s="325">
        <f>'d3'!K91-d3П!K91</f>
        <v>0</v>
      </c>
      <c r="L91" s="325">
        <f>'d3'!L91-d3П!L91</f>
        <v>0</v>
      </c>
      <c r="M91" s="325">
        <f>'d3'!M91-d3П!M91</f>
        <v>0</v>
      </c>
      <c r="N91" s="325">
        <f>'d3'!N91-d3П!N91</f>
        <v>0</v>
      </c>
      <c r="O91" s="325">
        <f>'d3'!O91-d3П!O91</f>
        <v>0</v>
      </c>
      <c r="P91" s="325">
        <f>'d3'!P91-d3П!P91</f>
        <v>0</v>
      </c>
      <c r="Q91" s="36"/>
      <c r="R91" s="26"/>
    </row>
    <row r="92" spans="1:18" s="33" customFormat="1" ht="47.25" thickTop="1" thickBot="1" x14ac:dyDescent="0.25">
      <c r="A92" s="308" t="s">
        <v>710</v>
      </c>
      <c r="B92" s="308" t="s">
        <v>711</v>
      </c>
      <c r="C92" s="308"/>
      <c r="D92" s="308" t="s">
        <v>712</v>
      </c>
      <c r="E92" s="325">
        <f>'d3'!E92-d3П!E92</f>
        <v>0</v>
      </c>
      <c r="F92" s="325">
        <f>'d3'!F92-d3П!F92</f>
        <v>0</v>
      </c>
      <c r="G92" s="325">
        <f>'d3'!G92-d3П!G92</f>
        <v>0</v>
      </c>
      <c r="H92" s="325">
        <f>'d3'!H92-d3П!H92</f>
        <v>0</v>
      </c>
      <c r="I92" s="325">
        <f>'d3'!I92-d3П!I92</f>
        <v>0</v>
      </c>
      <c r="J92" s="325">
        <f>'d3'!J92-d3П!J92</f>
        <v>0</v>
      </c>
      <c r="K92" s="325">
        <f>'d3'!K92-d3П!K92</f>
        <v>0</v>
      </c>
      <c r="L92" s="325">
        <f>'d3'!L92-d3П!L92</f>
        <v>0</v>
      </c>
      <c r="M92" s="325">
        <f>'d3'!M92-d3П!M92</f>
        <v>0</v>
      </c>
      <c r="N92" s="325">
        <f>'d3'!N92-d3П!N92</f>
        <v>0</v>
      </c>
      <c r="O92" s="325">
        <f>'d3'!O92-d3П!O92</f>
        <v>0</v>
      </c>
      <c r="P92" s="325">
        <f>'d3'!P92-d3П!P92</f>
        <v>0</v>
      </c>
      <c r="Q92" s="36"/>
      <c r="R92" s="26"/>
    </row>
    <row r="93" spans="1:18" s="33" customFormat="1" ht="167.25" customHeight="1" thickTop="1" thickBot="1" x14ac:dyDescent="0.25">
      <c r="A93" s="101" t="s">
        <v>431</v>
      </c>
      <c r="B93" s="101" t="s">
        <v>432</v>
      </c>
      <c r="C93" s="101" t="s">
        <v>185</v>
      </c>
      <c r="D93" s="101" t="s">
        <v>430</v>
      </c>
      <c r="E93" s="325">
        <f>'d3'!E93-d3П!E93</f>
        <v>0</v>
      </c>
      <c r="F93" s="325">
        <f>'d3'!F93-d3П!F93</f>
        <v>0</v>
      </c>
      <c r="G93" s="325">
        <f>'d3'!G93-d3П!G93</f>
        <v>0</v>
      </c>
      <c r="H93" s="325">
        <f>'d3'!H93-d3П!H93</f>
        <v>0</v>
      </c>
      <c r="I93" s="325">
        <f>'d3'!I93-d3П!I93</f>
        <v>0</v>
      </c>
      <c r="J93" s="325">
        <f>'d3'!J93-d3П!J93</f>
        <v>0</v>
      </c>
      <c r="K93" s="325">
        <f>'d3'!K93-d3П!K93</f>
        <v>0</v>
      </c>
      <c r="L93" s="325">
        <f>'d3'!L93-d3П!L93</f>
        <v>0</v>
      </c>
      <c r="M93" s="325">
        <f>'d3'!M93-d3П!M93</f>
        <v>0</v>
      </c>
      <c r="N93" s="325">
        <f>'d3'!N93-d3П!N93</f>
        <v>0</v>
      </c>
      <c r="O93" s="325">
        <f>'d3'!O93-d3П!O93</f>
        <v>0</v>
      </c>
      <c r="P93" s="325">
        <f>'d3'!P93-d3П!P93</f>
        <v>0</v>
      </c>
      <c r="Q93" s="36"/>
      <c r="R93" s="39"/>
    </row>
    <row r="94" spans="1:18" s="33" customFormat="1" ht="114.75" customHeight="1" thickTop="1" thickBot="1" x14ac:dyDescent="0.25">
      <c r="A94" s="101" t="s">
        <v>1233</v>
      </c>
      <c r="B94" s="101" t="s">
        <v>1200</v>
      </c>
      <c r="C94" s="101" t="s">
        <v>206</v>
      </c>
      <c r="D94" s="466" t="s">
        <v>1201</v>
      </c>
      <c r="E94" s="325">
        <f>'d3'!E94-d3П!E94</f>
        <v>0</v>
      </c>
      <c r="F94" s="325">
        <f>'d3'!F94-d3П!F94</f>
        <v>0</v>
      </c>
      <c r="G94" s="325">
        <f>'d3'!G94-d3П!G94</f>
        <v>0</v>
      </c>
      <c r="H94" s="325">
        <f>'d3'!H94-d3П!H94</f>
        <v>0</v>
      </c>
      <c r="I94" s="325">
        <f>'d3'!I94-d3П!I94</f>
        <v>0</v>
      </c>
      <c r="J94" s="325">
        <f>'d3'!J94-d3П!J94</f>
        <v>0</v>
      </c>
      <c r="K94" s="325">
        <f>'d3'!K94-d3П!K94</f>
        <v>0</v>
      </c>
      <c r="L94" s="325">
        <f>'d3'!L94-d3П!L94</f>
        <v>0</v>
      </c>
      <c r="M94" s="325">
        <f>'d3'!M94-d3П!M94</f>
        <v>0</v>
      </c>
      <c r="N94" s="325">
        <f>'d3'!N94-d3П!N94</f>
        <v>0</v>
      </c>
      <c r="O94" s="325">
        <f>'d3'!O94-d3П!O94</f>
        <v>0</v>
      </c>
      <c r="P94" s="325">
        <f>'d3'!P94-d3П!P94</f>
        <v>0</v>
      </c>
      <c r="Q94" s="36"/>
      <c r="R94" s="39"/>
    </row>
    <row r="95" spans="1:18" s="33" customFormat="1" ht="57" customHeight="1" thickTop="1" thickBot="1" x14ac:dyDescent="0.25">
      <c r="A95" s="308" t="s">
        <v>1089</v>
      </c>
      <c r="B95" s="308" t="s">
        <v>748</v>
      </c>
      <c r="C95" s="308"/>
      <c r="D95" s="308" t="s">
        <v>1088</v>
      </c>
      <c r="E95" s="325">
        <f>'d3'!E95-d3П!E95</f>
        <v>0</v>
      </c>
      <c r="F95" s="325">
        <f>'d3'!F95-d3П!F95</f>
        <v>0</v>
      </c>
      <c r="G95" s="325">
        <f>'d3'!G95-d3П!G95</f>
        <v>0</v>
      </c>
      <c r="H95" s="325">
        <f>'d3'!H95-d3П!H95</f>
        <v>0</v>
      </c>
      <c r="I95" s="325">
        <f>'d3'!I95-d3П!I95</f>
        <v>0</v>
      </c>
      <c r="J95" s="325">
        <f>'d3'!J95-d3П!J95</f>
        <v>12108534.570000015</v>
      </c>
      <c r="K95" s="325">
        <f>'d3'!K95-d3П!K95</f>
        <v>12108534.570000015</v>
      </c>
      <c r="L95" s="325">
        <f>'d3'!L95-d3П!L95</f>
        <v>0</v>
      </c>
      <c r="M95" s="325">
        <f>'d3'!M95-d3П!M95</f>
        <v>0</v>
      </c>
      <c r="N95" s="325">
        <f>'d3'!N95-d3П!N95</f>
        <v>0</v>
      </c>
      <c r="O95" s="325">
        <f>'d3'!O95-d3П!O95</f>
        <v>12108534.570000015</v>
      </c>
      <c r="P95" s="325">
        <f>'d3'!P95-d3П!P95</f>
        <v>12108534.570000015</v>
      </c>
      <c r="Q95" s="36"/>
      <c r="R95" s="26"/>
    </row>
    <row r="96" spans="1:18" s="33" customFormat="1" ht="57" customHeight="1" thickTop="1" thickBot="1" x14ac:dyDescent="0.25">
      <c r="A96" s="310" t="s">
        <v>1087</v>
      </c>
      <c r="B96" s="310" t="s">
        <v>803</v>
      </c>
      <c r="C96" s="310"/>
      <c r="D96" s="310" t="s">
        <v>804</v>
      </c>
      <c r="E96" s="325">
        <f>'d3'!E96-d3П!E96</f>
        <v>0</v>
      </c>
      <c r="F96" s="325">
        <f>'d3'!F96-d3П!F96</f>
        <v>0</v>
      </c>
      <c r="G96" s="325">
        <f>'d3'!G96-d3П!G96</f>
        <v>0</v>
      </c>
      <c r="H96" s="325">
        <f>'d3'!H96-d3П!H96</f>
        <v>0</v>
      </c>
      <c r="I96" s="325">
        <f>'d3'!I96-d3П!I96</f>
        <v>0</v>
      </c>
      <c r="J96" s="325">
        <f>'d3'!J96-d3П!J96</f>
        <v>6608534.570000004</v>
      </c>
      <c r="K96" s="325">
        <f>'d3'!K96-d3П!K96</f>
        <v>6608534.570000004</v>
      </c>
      <c r="L96" s="325">
        <f>'d3'!L96-d3П!L96</f>
        <v>0</v>
      </c>
      <c r="M96" s="325">
        <f>'d3'!M96-d3П!M96</f>
        <v>0</v>
      </c>
      <c r="N96" s="325">
        <f>'d3'!N96-d3П!N96</f>
        <v>0</v>
      </c>
      <c r="O96" s="325">
        <f>'d3'!O96-d3П!O96</f>
        <v>6608534.570000004</v>
      </c>
      <c r="P96" s="325">
        <f>'d3'!P96-d3П!P96</f>
        <v>6608534.570000004</v>
      </c>
      <c r="Q96" s="36"/>
      <c r="R96" s="26"/>
    </row>
    <row r="97" spans="1:18" s="33" customFormat="1" ht="54" thickTop="1" thickBot="1" x14ac:dyDescent="0.25">
      <c r="A97" s="326" t="s">
        <v>1090</v>
      </c>
      <c r="B97" s="326" t="s">
        <v>821</v>
      </c>
      <c r="C97" s="326"/>
      <c r="D97" s="326" t="s">
        <v>1519</v>
      </c>
      <c r="E97" s="325">
        <f>'d3'!E97-d3П!E97</f>
        <v>0</v>
      </c>
      <c r="F97" s="325">
        <f>'d3'!F97-d3П!F97</f>
        <v>0</v>
      </c>
      <c r="G97" s="325">
        <f>'d3'!G97-d3П!G97</f>
        <v>0</v>
      </c>
      <c r="H97" s="325">
        <f>'d3'!H97-d3П!H97</f>
        <v>0</v>
      </c>
      <c r="I97" s="325">
        <f>'d3'!I97-d3П!I97</f>
        <v>0</v>
      </c>
      <c r="J97" s="325">
        <f>'d3'!J97-d3П!J97</f>
        <v>6608534.570000004</v>
      </c>
      <c r="K97" s="325">
        <f>'d3'!K97-d3П!K97</f>
        <v>6608534.570000004</v>
      </c>
      <c r="L97" s="325">
        <f>'d3'!L97-d3П!L97</f>
        <v>0</v>
      </c>
      <c r="M97" s="325">
        <f>'d3'!M97-d3П!M97</f>
        <v>0</v>
      </c>
      <c r="N97" s="325">
        <f>'d3'!N97-d3П!N97</f>
        <v>0</v>
      </c>
      <c r="O97" s="325">
        <f>'d3'!O97-d3П!O97</f>
        <v>6608534.570000004</v>
      </c>
      <c r="P97" s="325">
        <f>'d3'!P97-d3П!P97</f>
        <v>6608534.570000004</v>
      </c>
      <c r="Q97" s="36"/>
      <c r="R97" s="26"/>
    </row>
    <row r="98" spans="1:18" s="33" customFormat="1" ht="57" customHeight="1" thickTop="1" thickBot="1" x14ac:dyDescent="0.25">
      <c r="A98" s="101" t="s">
        <v>1102</v>
      </c>
      <c r="B98" s="101" t="s">
        <v>311</v>
      </c>
      <c r="C98" s="101" t="s">
        <v>304</v>
      </c>
      <c r="D98" s="101" t="s">
        <v>1499</v>
      </c>
      <c r="E98" s="325">
        <f>'d3'!E98-d3П!E98</f>
        <v>0</v>
      </c>
      <c r="F98" s="325">
        <f>'d3'!F98-d3П!F98</f>
        <v>0</v>
      </c>
      <c r="G98" s="325">
        <f>'d3'!G98-d3П!G98</f>
        <v>0</v>
      </c>
      <c r="H98" s="325">
        <f>'d3'!H98-d3П!H98</f>
        <v>0</v>
      </c>
      <c r="I98" s="325">
        <f>'d3'!I98-d3П!I98</f>
        <v>0</v>
      </c>
      <c r="J98" s="325">
        <f>'d3'!J98-d3П!J98</f>
        <v>6608534.570000004</v>
      </c>
      <c r="K98" s="325">
        <f>'d3'!K98-d3П!K98</f>
        <v>6608534.570000004</v>
      </c>
      <c r="L98" s="325">
        <f>'d3'!L98-d3П!L98</f>
        <v>0</v>
      </c>
      <c r="M98" s="325">
        <f>'d3'!M98-d3П!M98</f>
        <v>0</v>
      </c>
      <c r="N98" s="325">
        <f>'d3'!N98-d3П!N98</f>
        <v>0</v>
      </c>
      <c r="O98" s="325">
        <f>'d3'!O98-d3П!O98</f>
        <v>6608534.570000004</v>
      </c>
      <c r="P98" s="325">
        <f>'d3'!P98-d3П!P98</f>
        <v>6608534.570000004</v>
      </c>
      <c r="Q98" s="30"/>
      <c r="R98" s="26"/>
    </row>
    <row r="99" spans="1:18" s="33" customFormat="1" ht="57" customHeight="1" thickTop="1" thickBot="1" x14ac:dyDescent="0.25">
      <c r="A99" s="310" t="s">
        <v>1091</v>
      </c>
      <c r="B99" s="310" t="s">
        <v>691</v>
      </c>
      <c r="C99" s="310"/>
      <c r="D99" s="310" t="s">
        <v>689</v>
      </c>
      <c r="E99" s="325">
        <f>'d3'!E99-d3П!E99</f>
        <v>0</v>
      </c>
      <c r="F99" s="325">
        <f>'d3'!F99-d3П!F99</f>
        <v>0</v>
      </c>
      <c r="G99" s="325">
        <f>'d3'!G99-d3П!G99</f>
        <v>0</v>
      </c>
      <c r="H99" s="325">
        <f>'d3'!H99-d3П!H99</f>
        <v>0</v>
      </c>
      <c r="I99" s="325">
        <f>'d3'!I99-d3П!I99</f>
        <v>0</v>
      </c>
      <c r="J99" s="325">
        <f>'d3'!J99-d3П!J99</f>
        <v>5500000.0000000037</v>
      </c>
      <c r="K99" s="325">
        <f>'d3'!K99-d3П!K99</f>
        <v>5500000.0000000037</v>
      </c>
      <c r="L99" s="325">
        <f>'d3'!L99-d3П!L99</f>
        <v>0</v>
      </c>
      <c r="M99" s="325">
        <f>'d3'!M99-d3П!M99</f>
        <v>0</v>
      </c>
      <c r="N99" s="325">
        <f>'d3'!N99-d3П!N99</f>
        <v>0</v>
      </c>
      <c r="O99" s="325">
        <f>'d3'!O99-d3П!O99</f>
        <v>5500000.0000000037</v>
      </c>
      <c r="P99" s="325">
        <f>'d3'!P99-d3П!P99</f>
        <v>5500000.0000000037</v>
      </c>
      <c r="Q99" s="30"/>
      <c r="R99" s="26"/>
    </row>
    <row r="100" spans="1:18" s="33" customFormat="1" ht="57" customHeight="1" thickTop="1" thickBot="1" x14ac:dyDescent="0.25">
      <c r="A100" s="101" t="s">
        <v>1092</v>
      </c>
      <c r="B100" s="101" t="s">
        <v>212</v>
      </c>
      <c r="C100" s="101" t="s">
        <v>213</v>
      </c>
      <c r="D100" s="101" t="s">
        <v>41</v>
      </c>
      <c r="E100" s="325">
        <f>'d3'!E100-d3П!E100</f>
        <v>0</v>
      </c>
      <c r="F100" s="325">
        <f>'d3'!F100-d3П!F100</f>
        <v>0</v>
      </c>
      <c r="G100" s="325">
        <f>'d3'!G100-d3П!G100</f>
        <v>0</v>
      </c>
      <c r="H100" s="325">
        <f>'d3'!H100-d3П!H100</f>
        <v>0</v>
      </c>
      <c r="I100" s="325">
        <f>'d3'!I100-d3П!I100</f>
        <v>0</v>
      </c>
      <c r="J100" s="325">
        <f>'d3'!J100-d3П!J100</f>
        <v>5500000.0000000037</v>
      </c>
      <c r="K100" s="325">
        <f>'d3'!K100-d3П!K100</f>
        <v>5500000.0000000037</v>
      </c>
      <c r="L100" s="325">
        <f>'d3'!L100-d3П!L100</f>
        <v>0</v>
      </c>
      <c r="M100" s="325">
        <f>'d3'!M100-d3П!M100</f>
        <v>0</v>
      </c>
      <c r="N100" s="325">
        <f>'d3'!N100-d3П!N100</f>
        <v>0</v>
      </c>
      <c r="O100" s="325">
        <f>'d3'!O100-d3П!O100</f>
        <v>5500000.0000000037</v>
      </c>
      <c r="P100" s="325">
        <f>'d3'!P100-d3П!P100</f>
        <v>5500000.0000000037</v>
      </c>
      <c r="Q100" s="30"/>
      <c r="R100" s="26"/>
    </row>
    <row r="101" spans="1:18" s="33" customFormat="1" ht="47.25" hidden="1" thickTop="1" thickBot="1" x14ac:dyDescent="0.25">
      <c r="A101" s="123" t="s">
        <v>1224</v>
      </c>
      <c r="B101" s="123" t="s">
        <v>696</v>
      </c>
      <c r="C101" s="123"/>
      <c r="D101" s="123" t="s">
        <v>697</v>
      </c>
      <c r="E101" s="125">
        <f t="shared" ref="E101:P102" si="6">E102</f>
        <v>0</v>
      </c>
      <c r="F101" s="125">
        <f t="shared" si="6"/>
        <v>0</v>
      </c>
      <c r="G101" s="125">
        <f t="shared" si="6"/>
        <v>0</v>
      </c>
      <c r="H101" s="125">
        <f t="shared" si="6"/>
        <v>0</v>
      </c>
      <c r="I101" s="125">
        <f t="shared" si="6"/>
        <v>0</v>
      </c>
      <c r="J101" s="125">
        <f t="shared" si="6"/>
        <v>0</v>
      </c>
      <c r="K101" s="125">
        <f t="shared" si="6"/>
        <v>0</v>
      </c>
      <c r="L101" s="125">
        <f t="shared" si="6"/>
        <v>0</v>
      </c>
      <c r="M101" s="125">
        <f t="shared" si="6"/>
        <v>0</v>
      </c>
      <c r="N101" s="125">
        <f t="shared" si="6"/>
        <v>0</v>
      </c>
      <c r="O101" s="125">
        <f t="shared" si="6"/>
        <v>0</v>
      </c>
      <c r="P101" s="125">
        <f t="shared" si="6"/>
        <v>0</v>
      </c>
      <c r="Q101" s="30"/>
      <c r="R101" s="26"/>
    </row>
    <row r="102" spans="1:18" s="33" customFormat="1" ht="47.25" hidden="1" thickTop="1" thickBot="1" x14ac:dyDescent="0.25">
      <c r="A102" s="134" t="s">
        <v>1225</v>
      </c>
      <c r="B102" s="134" t="s">
        <v>1186</v>
      </c>
      <c r="C102" s="134"/>
      <c r="D102" s="134" t="s">
        <v>1184</v>
      </c>
      <c r="E102" s="135">
        <f t="shared" si="6"/>
        <v>0</v>
      </c>
      <c r="F102" s="135">
        <f t="shared" si="6"/>
        <v>0</v>
      </c>
      <c r="G102" s="135">
        <f t="shared" si="6"/>
        <v>0</v>
      </c>
      <c r="H102" s="135">
        <f t="shared" si="6"/>
        <v>0</v>
      </c>
      <c r="I102" s="135">
        <f t="shared" si="6"/>
        <v>0</v>
      </c>
      <c r="J102" s="135">
        <f t="shared" si="6"/>
        <v>0</v>
      </c>
      <c r="K102" s="135">
        <f t="shared" si="6"/>
        <v>0</v>
      </c>
      <c r="L102" s="135">
        <f t="shared" si="6"/>
        <v>0</v>
      </c>
      <c r="M102" s="135">
        <f t="shared" si="6"/>
        <v>0</v>
      </c>
      <c r="N102" s="135">
        <f t="shared" si="6"/>
        <v>0</v>
      </c>
      <c r="O102" s="135">
        <f t="shared" si="6"/>
        <v>0</v>
      </c>
      <c r="P102" s="135">
        <f t="shared" si="6"/>
        <v>0</v>
      </c>
      <c r="Q102" s="30"/>
      <c r="R102" s="26"/>
    </row>
    <row r="103" spans="1:18" s="33" customFormat="1" ht="48" hidden="1" thickTop="1" thickBot="1" x14ac:dyDescent="0.25">
      <c r="A103" s="126" t="s">
        <v>1226</v>
      </c>
      <c r="B103" s="126" t="s">
        <v>1190</v>
      </c>
      <c r="C103" s="126" t="s">
        <v>1188</v>
      </c>
      <c r="D103" s="126" t="s">
        <v>1187</v>
      </c>
      <c r="E103" s="125">
        <f>F103</f>
        <v>0</v>
      </c>
      <c r="F103" s="132"/>
      <c r="G103" s="132"/>
      <c r="H103" s="132"/>
      <c r="I103" s="132"/>
      <c r="J103" s="125">
        <f>L103+O103</f>
        <v>0</v>
      </c>
      <c r="K103" s="132">
        <v>0</v>
      </c>
      <c r="L103" s="132"/>
      <c r="M103" s="132"/>
      <c r="N103" s="132"/>
      <c r="O103" s="130">
        <f>K103</f>
        <v>0</v>
      </c>
      <c r="P103" s="125">
        <f>E103+J103</f>
        <v>0</v>
      </c>
      <c r="Q103" s="30"/>
      <c r="R103" s="26"/>
    </row>
    <row r="104" spans="1:18" s="33" customFormat="1" ht="47.25" hidden="1" customHeight="1" thickTop="1" thickBot="1" x14ac:dyDescent="0.25">
      <c r="A104" s="144" t="s">
        <v>1029</v>
      </c>
      <c r="B104" s="144" t="s">
        <v>702</v>
      </c>
      <c r="C104" s="144"/>
      <c r="D104" s="144" t="s">
        <v>703</v>
      </c>
      <c r="E104" s="42">
        <f>E105</f>
        <v>0</v>
      </c>
      <c r="F104" s="42">
        <f t="shared" ref="F104:P105" si="7">F105</f>
        <v>0</v>
      </c>
      <c r="G104" s="42">
        <f t="shared" si="7"/>
        <v>0</v>
      </c>
      <c r="H104" s="42">
        <f t="shared" si="7"/>
        <v>0</v>
      </c>
      <c r="I104" s="42">
        <f t="shared" si="7"/>
        <v>0</v>
      </c>
      <c r="J104" s="42">
        <f t="shared" si="7"/>
        <v>0</v>
      </c>
      <c r="K104" s="42">
        <f t="shared" si="7"/>
        <v>0</v>
      </c>
      <c r="L104" s="42">
        <f t="shared" si="7"/>
        <v>0</v>
      </c>
      <c r="M104" s="42">
        <f t="shared" si="7"/>
        <v>0</v>
      </c>
      <c r="N104" s="42">
        <f t="shared" si="7"/>
        <v>0</v>
      </c>
      <c r="O104" s="42">
        <f t="shared" si="7"/>
        <v>0</v>
      </c>
      <c r="P104" s="42">
        <f t="shared" si="7"/>
        <v>0</v>
      </c>
      <c r="Q104" s="36"/>
      <c r="R104" s="26"/>
    </row>
    <row r="105" spans="1:18" s="33" customFormat="1" ht="91.5" hidden="1" thickTop="1" thickBot="1" x14ac:dyDescent="0.25">
      <c r="A105" s="145" t="s">
        <v>1030</v>
      </c>
      <c r="B105" s="145" t="s">
        <v>705</v>
      </c>
      <c r="C105" s="145"/>
      <c r="D105" s="145" t="s">
        <v>706</v>
      </c>
      <c r="E105" s="146">
        <f>E106</f>
        <v>0</v>
      </c>
      <c r="F105" s="146">
        <f t="shared" si="7"/>
        <v>0</v>
      </c>
      <c r="G105" s="146">
        <f t="shared" si="7"/>
        <v>0</v>
      </c>
      <c r="H105" s="146">
        <f t="shared" si="7"/>
        <v>0</v>
      </c>
      <c r="I105" s="146">
        <f t="shared" si="7"/>
        <v>0</v>
      </c>
      <c r="J105" s="146">
        <f t="shared" si="7"/>
        <v>0</v>
      </c>
      <c r="K105" s="146">
        <f t="shared" si="7"/>
        <v>0</v>
      </c>
      <c r="L105" s="146">
        <f t="shared" si="7"/>
        <v>0</v>
      </c>
      <c r="M105" s="146">
        <f t="shared" si="7"/>
        <v>0</v>
      </c>
      <c r="N105" s="146">
        <f t="shared" si="7"/>
        <v>0</v>
      </c>
      <c r="O105" s="146">
        <f t="shared" si="7"/>
        <v>0</v>
      </c>
      <c r="P105" s="146">
        <f t="shared" si="7"/>
        <v>0</v>
      </c>
      <c r="Q105" s="36"/>
      <c r="R105" s="26"/>
    </row>
    <row r="106" spans="1:18" s="33" customFormat="1" ht="48" hidden="1" thickTop="1" thickBot="1" x14ac:dyDescent="0.25">
      <c r="A106" s="41" t="s">
        <v>1031</v>
      </c>
      <c r="B106" s="41" t="s">
        <v>363</v>
      </c>
      <c r="C106" s="41" t="s">
        <v>43</v>
      </c>
      <c r="D106" s="41" t="s">
        <v>364</v>
      </c>
      <c r="E106" s="42">
        <f t="shared" ref="E106" si="8">F106</f>
        <v>0</v>
      </c>
      <c r="F106" s="43"/>
      <c r="G106" s="43"/>
      <c r="H106" s="43"/>
      <c r="I106" s="43"/>
      <c r="J106" s="42">
        <f>L106+O106</f>
        <v>0</v>
      </c>
      <c r="K106" s="43"/>
      <c r="L106" s="43"/>
      <c r="M106" s="43"/>
      <c r="N106" s="43"/>
      <c r="O106" s="44">
        <f>K106</f>
        <v>0</v>
      </c>
      <c r="P106" s="42">
        <f>E106+J106</f>
        <v>0</v>
      </c>
      <c r="Q106" s="36"/>
      <c r="R106" s="26"/>
    </row>
    <row r="107" spans="1:18" ht="120" customHeight="1" thickTop="1" thickBot="1" x14ac:dyDescent="0.25">
      <c r="A107" s="645" t="s">
        <v>154</v>
      </c>
      <c r="B107" s="645"/>
      <c r="C107" s="645"/>
      <c r="D107" s="646" t="s">
        <v>18</v>
      </c>
      <c r="E107" s="647">
        <f>E108</f>
        <v>9710726</v>
      </c>
      <c r="F107" s="648">
        <f t="shared" ref="F107:G107" si="9">F108</f>
        <v>9710726</v>
      </c>
      <c r="G107" s="648">
        <f t="shared" si="9"/>
        <v>0</v>
      </c>
      <c r="H107" s="648">
        <f>H108</f>
        <v>0</v>
      </c>
      <c r="I107" s="648">
        <f t="shared" ref="I107" si="10">I108</f>
        <v>0</v>
      </c>
      <c r="J107" s="647">
        <f>J108</f>
        <v>1796488</v>
      </c>
      <c r="K107" s="648">
        <f>K108</f>
        <v>1796488</v>
      </c>
      <c r="L107" s="648">
        <f>L108</f>
        <v>0</v>
      </c>
      <c r="M107" s="648">
        <f t="shared" ref="M107" si="11">M108</f>
        <v>0</v>
      </c>
      <c r="N107" s="648">
        <f>N108</f>
        <v>0</v>
      </c>
      <c r="O107" s="647">
        <f>O108</f>
        <v>1796488</v>
      </c>
      <c r="P107" s="648">
        <f>P108</f>
        <v>11507214</v>
      </c>
      <c r="Q107" s="20"/>
    </row>
    <row r="108" spans="1:18" ht="120" customHeight="1" thickTop="1" thickBot="1" x14ac:dyDescent="0.25">
      <c r="A108" s="642" t="s">
        <v>155</v>
      </c>
      <c r="B108" s="642"/>
      <c r="C108" s="642"/>
      <c r="D108" s="643" t="s">
        <v>36</v>
      </c>
      <c r="E108" s="644">
        <f>E109+E112+E129+E127</f>
        <v>9710726</v>
      </c>
      <c r="F108" s="644">
        <f t="shared" ref="F108:P108" si="12">F109+F112+F129+F127</f>
        <v>9710726</v>
      </c>
      <c r="G108" s="644">
        <f t="shared" si="12"/>
        <v>0</v>
      </c>
      <c r="H108" s="644">
        <f t="shared" si="12"/>
        <v>0</v>
      </c>
      <c r="I108" s="644">
        <f t="shared" si="12"/>
        <v>0</v>
      </c>
      <c r="J108" s="644">
        <f t="shared" si="12"/>
        <v>1796488</v>
      </c>
      <c r="K108" s="644">
        <f t="shared" si="12"/>
        <v>1796488</v>
      </c>
      <c r="L108" s="644">
        <f t="shared" si="12"/>
        <v>0</v>
      </c>
      <c r="M108" s="644">
        <f t="shared" si="12"/>
        <v>0</v>
      </c>
      <c r="N108" s="644">
        <f t="shared" si="12"/>
        <v>0</v>
      </c>
      <c r="O108" s="644">
        <f t="shared" si="12"/>
        <v>1796488</v>
      </c>
      <c r="P108" s="644">
        <f t="shared" si="12"/>
        <v>11507214</v>
      </c>
      <c r="Q108" s="554" t="b">
        <f>P108=P110+P113+P114+P115+P116+P119+P123+P124+P128+P132+P126+P136</f>
        <v>1</v>
      </c>
      <c r="R108" s="26"/>
    </row>
    <row r="109" spans="1:18" ht="47.25" thickTop="1" thickBot="1" x14ac:dyDescent="0.25">
      <c r="A109" s="308" t="s">
        <v>713</v>
      </c>
      <c r="B109" s="308" t="s">
        <v>684</v>
      </c>
      <c r="C109" s="308"/>
      <c r="D109" s="308" t="s">
        <v>685</v>
      </c>
      <c r="E109" s="325">
        <f>'d3'!E109-d3П!E109</f>
        <v>0</v>
      </c>
      <c r="F109" s="325">
        <f>'d3'!F109-d3П!F109</f>
        <v>0</v>
      </c>
      <c r="G109" s="325">
        <f>'d3'!G109-d3П!G109</f>
        <v>0</v>
      </c>
      <c r="H109" s="325">
        <f>'d3'!H109-d3П!H109</f>
        <v>0</v>
      </c>
      <c r="I109" s="325">
        <f>'d3'!I109-d3П!I109</f>
        <v>0</v>
      </c>
      <c r="J109" s="325">
        <f>'d3'!J109-d3П!J109</f>
        <v>0</v>
      </c>
      <c r="K109" s="325">
        <f>'d3'!K109-d3П!K109</f>
        <v>0</v>
      </c>
      <c r="L109" s="325">
        <f>'d3'!L109-d3П!L109</f>
        <v>0</v>
      </c>
      <c r="M109" s="325">
        <f>'d3'!M109-d3П!M109</f>
        <v>0</v>
      </c>
      <c r="N109" s="325">
        <f>'d3'!N109-d3П!N109</f>
        <v>0</v>
      </c>
      <c r="O109" s="325">
        <f>'d3'!O109-d3П!O109</f>
        <v>0</v>
      </c>
      <c r="P109" s="325">
        <f>'d3'!P109-d3П!P109</f>
        <v>0</v>
      </c>
      <c r="Q109" s="30"/>
      <c r="R109" s="26"/>
    </row>
    <row r="110" spans="1:18" ht="93" thickTop="1" thickBot="1" x14ac:dyDescent="0.25">
      <c r="A110" s="101" t="s">
        <v>416</v>
      </c>
      <c r="B110" s="101" t="s">
        <v>236</v>
      </c>
      <c r="C110" s="101" t="s">
        <v>234</v>
      </c>
      <c r="D110" s="101" t="s">
        <v>235</v>
      </c>
      <c r="E110" s="325">
        <f>'d3'!E110-d3П!E110</f>
        <v>0</v>
      </c>
      <c r="F110" s="325">
        <f>'d3'!F110-d3П!F110</f>
        <v>0</v>
      </c>
      <c r="G110" s="325">
        <f>'d3'!G110-d3П!G110</f>
        <v>0</v>
      </c>
      <c r="H110" s="325">
        <f>'d3'!H110-d3П!H110</f>
        <v>0</v>
      </c>
      <c r="I110" s="325">
        <f>'d3'!I110-d3П!I110</f>
        <v>0</v>
      </c>
      <c r="J110" s="325">
        <f>'d3'!J110-d3П!J110</f>
        <v>0</v>
      </c>
      <c r="K110" s="325">
        <f>'d3'!K110-d3П!K110</f>
        <v>0</v>
      </c>
      <c r="L110" s="325">
        <f>'d3'!L110-d3П!L110</f>
        <v>0</v>
      </c>
      <c r="M110" s="325">
        <f>'d3'!M110-d3П!M110</f>
        <v>0</v>
      </c>
      <c r="N110" s="325">
        <f>'d3'!N110-d3П!N110</f>
        <v>0</v>
      </c>
      <c r="O110" s="325">
        <f>'d3'!O110-d3П!O110</f>
        <v>0</v>
      </c>
      <c r="P110" s="325">
        <f>'d3'!P110-d3П!P110</f>
        <v>0</v>
      </c>
      <c r="Q110" s="39"/>
      <c r="R110" s="26"/>
    </row>
    <row r="111" spans="1:18" ht="93" hidden="1" thickTop="1" thickBot="1" x14ac:dyDescent="0.25">
      <c r="A111" s="126" t="s">
        <v>1257</v>
      </c>
      <c r="B111" s="126" t="s">
        <v>362</v>
      </c>
      <c r="C111" s="126" t="s">
        <v>625</v>
      </c>
      <c r="D111" s="126" t="s">
        <v>626</v>
      </c>
      <c r="E111" s="325">
        <f>'d3'!E111-d3П!E111</f>
        <v>0</v>
      </c>
      <c r="F111" s="325">
        <f>'d3'!F111-d3П!F111</f>
        <v>0</v>
      </c>
      <c r="G111" s="325">
        <f>'d3'!G111-d3П!G111</f>
        <v>0</v>
      </c>
      <c r="H111" s="325">
        <f>'d3'!H111-d3П!H111</f>
        <v>0</v>
      </c>
      <c r="I111" s="325">
        <f>'d3'!I111-d3П!I111</f>
        <v>0</v>
      </c>
      <c r="J111" s="325">
        <f>'d3'!J111-d3П!J111</f>
        <v>0</v>
      </c>
      <c r="K111" s="325">
        <f>'d3'!K111-d3П!K111</f>
        <v>0</v>
      </c>
      <c r="L111" s="325">
        <f>'d3'!L111-d3П!L111</f>
        <v>0</v>
      </c>
      <c r="M111" s="325">
        <f>'d3'!M111-d3П!M111</f>
        <v>0</v>
      </c>
      <c r="N111" s="325">
        <f>'d3'!N111-d3П!N111</f>
        <v>0</v>
      </c>
      <c r="O111" s="325">
        <f>'d3'!O111-d3П!O111</f>
        <v>0</v>
      </c>
      <c r="P111" s="325">
        <f>'d3'!P111-d3П!P111</f>
        <v>0</v>
      </c>
      <c r="Q111" s="39"/>
      <c r="R111" s="26"/>
    </row>
    <row r="112" spans="1:18" ht="47.25" thickTop="1" thickBot="1" x14ac:dyDescent="0.25">
      <c r="A112" s="308" t="s">
        <v>714</v>
      </c>
      <c r="B112" s="308" t="s">
        <v>715</v>
      </c>
      <c r="C112" s="308"/>
      <c r="D112" s="308" t="s">
        <v>716</v>
      </c>
      <c r="E112" s="325">
        <f>'d3'!E112-d3П!E112</f>
        <v>9710726</v>
      </c>
      <c r="F112" s="325">
        <f>'d3'!F112-d3П!F112</f>
        <v>9710726</v>
      </c>
      <c r="G112" s="325">
        <f>'d3'!G112-d3П!G112</f>
        <v>0</v>
      </c>
      <c r="H112" s="325">
        <f>'d3'!H112-d3П!H112</f>
        <v>0</v>
      </c>
      <c r="I112" s="325">
        <f>'d3'!I112-d3П!I112</f>
        <v>0</v>
      </c>
      <c r="J112" s="325">
        <f>'d3'!J112-d3П!J112</f>
        <v>1796488</v>
      </c>
      <c r="K112" s="325">
        <f>'d3'!K112-d3П!K112</f>
        <v>1796488</v>
      </c>
      <c r="L112" s="325">
        <f>'d3'!L112-d3П!L112</f>
        <v>0</v>
      </c>
      <c r="M112" s="325">
        <f>'d3'!M112-d3П!M112</f>
        <v>0</v>
      </c>
      <c r="N112" s="325">
        <f>'d3'!N112-d3П!N112</f>
        <v>0</v>
      </c>
      <c r="O112" s="325">
        <f>'d3'!O112-d3П!O112</f>
        <v>1796488</v>
      </c>
      <c r="P112" s="325">
        <f>'d3'!P112-d3П!P112</f>
        <v>11507214</v>
      </c>
      <c r="Q112" s="39"/>
      <c r="R112" s="39"/>
    </row>
    <row r="113" spans="1:18" ht="47.25" thickTop="1" thickBot="1" x14ac:dyDescent="0.25">
      <c r="A113" s="101" t="s">
        <v>214</v>
      </c>
      <c r="B113" s="101" t="s">
        <v>211</v>
      </c>
      <c r="C113" s="101" t="s">
        <v>215</v>
      </c>
      <c r="D113" s="101" t="s">
        <v>19</v>
      </c>
      <c r="E113" s="325">
        <f>'d3'!E113-d3П!E113</f>
        <v>4571480</v>
      </c>
      <c r="F113" s="325">
        <f>'d3'!F113-d3П!F113</f>
        <v>4571480</v>
      </c>
      <c r="G113" s="325">
        <f>'d3'!G113-d3П!G113</f>
        <v>0</v>
      </c>
      <c r="H113" s="325">
        <f>'d3'!H113-d3П!H113</f>
        <v>0</v>
      </c>
      <c r="I113" s="325">
        <f>'d3'!I113-d3П!I113</f>
        <v>0</v>
      </c>
      <c r="J113" s="325">
        <f>'d3'!J113-d3П!J113</f>
        <v>3248700</v>
      </c>
      <c r="K113" s="325">
        <f>'d3'!K113-d3П!K113</f>
        <v>3248700</v>
      </c>
      <c r="L113" s="325">
        <f>'d3'!L113-d3П!L113</f>
        <v>0</v>
      </c>
      <c r="M113" s="325">
        <f>'d3'!M113-d3П!M113</f>
        <v>0</v>
      </c>
      <c r="N113" s="325">
        <f>'d3'!N113-d3П!N113</f>
        <v>0</v>
      </c>
      <c r="O113" s="325">
        <f>'d3'!O113-d3П!O113</f>
        <v>3248700</v>
      </c>
      <c r="P113" s="325">
        <f>'d3'!P113-d3П!P113</f>
        <v>7820180</v>
      </c>
      <c r="Q113" s="20"/>
      <c r="R113" s="30"/>
    </row>
    <row r="114" spans="1:18" ht="47.25" thickTop="1" thickBot="1" x14ac:dyDescent="0.25">
      <c r="A114" s="101" t="s">
        <v>505</v>
      </c>
      <c r="B114" s="101" t="s">
        <v>508</v>
      </c>
      <c r="C114" s="101" t="s">
        <v>507</v>
      </c>
      <c r="D114" s="101" t="s">
        <v>506</v>
      </c>
      <c r="E114" s="325">
        <f>'d3'!E114-d3П!E114</f>
        <v>2000000</v>
      </c>
      <c r="F114" s="325">
        <f>'d3'!F114-d3П!F114</f>
        <v>2000000</v>
      </c>
      <c r="G114" s="325">
        <f>'d3'!G114-d3П!G114</f>
        <v>0</v>
      </c>
      <c r="H114" s="325">
        <f>'d3'!H114-d3П!H114</f>
        <v>0</v>
      </c>
      <c r="I114" s="325">
        <f>'d3'!I114-d3П!I114</f>
        <v>0</v>
      </c>
      <c r="J114" s="325">
        <f>'d3'!J114-d3П!J114</f>
        <v>0</v>
      </c>
      <c r="K114" s="325">
        <f>'d3'!K114-d3П!K114</f>
        <v>0</v>
      </c>
      <c r="L114" s="325">
        <f>'d3'!L114-d3П!L114</f>
        <v>0</v>
      </c>
      <c r="M114" s="325">
        <f>'d3'!M114-d3П!M114</f>
        <v>0</v>
      </c>
      <c r="N114" s="325">
        <f>'d3'!N114-d3П!N114</f>
        <v>0</v>
      </c>
      <c r="O114" s="325">
        <f>'d3'!O114-d3П!O114</f>
        <v>0</v>
      </c>
      <c r="P114" s="325">
        <f>'d3'!P114-d3П!P114</f>
        <v>2000000</v>
      </c>
      <c r="Q114" s="20"/>
      <c r="R114" s="39"/>
    </row>
    <row r="115" spans="1:18" ht="47.25" thickTop="1" thickBot="1" x14ac:dyDescent="0.25">
      <c r="A115" s="101" t="s">
        <v>216</v>
      </c>
      <c r="B115" s="101" t="s">
        <v>217</v>
      </c>
      <c r="C115" s="101" t="s">
        <v>218</v>
      </c>
      <c r="D115" s="101" t="s">
        <v>219</v>
      </c>
      <c r="E115" s="325">
        <f>'d3'!E115-d3П!E115</f>
        <v>2300000</v>
      </c>
      <c r="F115" s="325">
        <f>'d3'!F115-d3П!F115</f>
        <v>2300000</v>
      </c>
      <c r="G115" s="325">
        <f>'d3'!G115-d3П!G115</f>
        <v>0</v>
      </c>
      <c r="H115" s="325">
        <f>'d3'!H115-d3П!H115</f>
        <v>0</v>
      </c>
      <c r="I115" s="325">
        <f>'d3'!I115-d3П!I115</f>
        <v>0</v>
      </c>
      <c r="J115" s="325">
        <f>'d3'!J115-d3П!J115</f>
        <v>0</v>
      </c>
      <c r="K115" s="325">
        <f>'d3'!K115-d3П!K115</f>
        <v>0</v>
      </c>
      <c r="L115" s="325">
        <f>'d3'!L115-d3П!L115</f>
        <v>0</v>
      </c>
      <c r="M115" s="325">
        <f>'d3'!M115-d3П!M115</f>
        <v>0</v>
      </c>
      <c r="N115" s="325">
        <f>'d3'!N115-d3П!N115</f>
        <v>0</v>
      </c>
      <c r="O115" s="325">
        <f>'d3'!O115-d3П!O115</f>
        <v>0</v>
      </c>
      <c r="P115" s="325">
        <f>'d3'!P115-d3П!P115</f>
        <v>2300000</v>
      </c>
      <c r="Q115" s="20"/>
      <c r="R115" s="39"/>
    </row>
    <row r="116" spans="1:18" ht="93" thickTop="1" thickBot="1" x14ac:dyDescent="0.25">
      <c r="A116" s="101" t="s">
        <v>220</v>
      </c>
      <c r="B116" s="101" t="s">
        <v>221</v>
      </c>
      <c r="C116" s="101" t="s">
        <v>222</v>
      </c>
      <c r="D116" s="101" t="s">
        <v>345</v>
      </c>
      <c r="E116" s="325">
        <f>'d3'!E116-d3П!E116</f>
        <v>539246</v>
      </c>
      <c r="F116" s="325">
        <f>'d3'!F116-d3П!F116</f>
        <v>539246</v>
      </c>
      <c r="G116" s="325">
        <f>'d3'!G116-d3П!G116</f>
        <v>0</v>
      </c>
      <c r="H116" s="325">
        <f>'d3'!H116-d3П!H116</f>
        <v>0</v>
      </c>
      <c r="I116" s="325">
        <f>'d3'!I116-d3П!I116</f>
        <v>0</v>
      </c>
      <c r="J116" s="325">
        <f>'d3'!J116-d3П!J116</f>
        <v>541788</v>
      </c>
      <c r="K116" s="325">
        <f>'d3'!K116-d3П!K116</f>
        <v>541788</v>
      </c>
      <c r="L116" s="325">
        <f>'d3'!L116-d3П!L116</f>
        <v>0</v>
      </c>
      <c r="M116" s="325">
        <f>'d3'!M116-d3П!M116</f>
        <v>0</v>
      </c>
      <c r="N116" s="325">
        <f>'d3'!N116-d3П!N116</f>
        <v>0</v>
      </c>
      <c r="O116" s="325">
        <f>'d3'!O116-d3П!O116</f>
        <v>541788</v>
      </c>
      <c r="P116" s="325">
        <f>'d3'!P116-d3П!P116</f>
        <v>1081034</v>
      </c>
      <c r="Q116" s="20"/>
      <c r="R116" s="39"/>
    </row>
    <row r="117" spans="1:18" ht="47.25" hidden="1" thickTop="1" thickBot="1" x14ac:dyDescent="0.25">
      <c r="A117" s="126" t="s">
        <v>223</v>
      </c>
      <c r="B117" s="126" t="s">
        <v>224</v>
      </c>
      <c r="C117" s="126" t="s">
        <v>225</v>
      </c>
      <c r="D117" s="126" t="s">
        <v>226</v>
      </c>
      <c r="E117" s="325">
        <f>'d3'!E117-d3П!E117</f>
        <v>0</v>
      </c>
      <c r="F117" s="325">
        <f>'d3'!F117-d3П!F117</f>
        <v>0</v>
      </c>
      <c r="G117" s="325">
        <f>'d3'!G117-d3П!G117</f>
        <v>0</v>
      </c>
      <c r="H117" s="325">
        <f>'d3'!H117-d3П!H117</f>
        <v>0</v>
      </c>
      <c r="I117" s="325">
        <f>'d3'!I117-d3П!I117</f>
        <v>0</v>
      </c>
      <c r="J117" s="325">
        <f>'d3'!J117-d3П!J117</f>
        <v>0</v>
      </c>
      <c r="K117" s="325">
        <f>'d3'!K117-d3П!K117</f>
        <v>0</v>
      </c>
      <c r="L117" s="325">
        <f>'d3'!L117-d3П!L117</f>
        <v>0</v>
      </c>
      <c r="M117" s="325">
        <f>'d3'!M117-d3П!M117</f>
        <v>0</v>
      </c>
      <c r="N117" s="325">
        <f>'d3'!N117-d3П!N117</f>
        <v>0</v>
      </c>
      <c r="O117" s="325">
        <f>'d3'!O117-d3П!O117</f>
        <v>0</v>
      </c>
      <c r="P117" s="325">
        <f>'d3'!P117-d3П!P117</f>
        <v>0</v>
      </c>
      <c r="Q117" s="20"/>
      <c r="R117" s="39"/>
    </row>
    <row r="118" spans="1:18" ht="47.25" thickTop="1" thickBot="1" x14ac:dyDescent="0.25">
      <c r="A118" s="326" t="s">
        <v>717</v>
      </c>
      <c r="B118" s="326" t="s">
        <v>718</v>
      </c>
      <c r="C118" s="326"/>
      <c r="D118" s="326" t="s">
        <v>719</v>
      </c>
      <c r="E118" s="325">
        <f>'d3'!E118-d3П!E118</f>
        <v>300000</v>
      </c>
      <c r="F118" s="325">
        <f>'d3'!F118-d3П!F118</f>
        <v>300000</v>
      </c>
      <c r="G118" s="325">
        <f>'d3'!G118-d3П!G118</f>
        <v>0</v>
      </c>
      <c r="H118" s="325">
        <f>'d3'!H118-d3П!H118</f>
        <v>0</v>
      </c>
      <c r="I118" s="325">
        <f>'d3'!I118-d3П!I118</f>
        <v>0</v>
      </c>
      <c r="J118" s="325">
        <f>'d3'!J118-d3П!J118</f>
        <v>1000000</v>
      </c>
      <c r="K118" s="325">
        <f>'d3'!K118-d3П!K118</f>
        <v>1000000</v>
      </c>
      <c r="L118" s="325">
        <f>'d3'!L118-d3П!L118</f>
        <v>0</v>
      </c>
      <c r="M118" s="325">
        <f>'d3'!M118-d3П!M118</f>
        <v>0</v>
      </c>
      <c r="N118" s="325">
        <f>'d3'!N118-d3П!N118</f>
        <v>0</v>
      </c>
      <c r="O118" s="325">
        <f>'d3'!O118-d3П!O118</f>
        <v>1000000</v>
      </c>
      <c r="P118" s="325">
        <f>'d3'!P118-d3П!P118</f>
        <v>1300000</v>
      </c>
      <c r="Q118" s="20"/>
      <c r="R118" s="39"/>
    </row>
    <row r="119" spans="1:18" ht="93" thickTop="1" thickBot="1" x14ac:dyDescent="0.25">
      <c r="A119" s="101" t="s">
        <v>227</v>
      </c>
      <c r="B119" s="101" t="s">
        <v>228</v>
      </c>
      <c r="C119" s="101" t="s">
        <v>346</v>
      </c>
      <c r="D119" s="101" t="s">
        <v>229</v>
      </c>
      <c r="E119" s="325">
        <f>'d3'!E119-d3П!E119</f>
        <v>300000</v>
      </c>
      <c r="F119" s="325">
        <f>'d3'!F119-d3П!F119</f>
        <v>300000</v>
      </c>
      <c r="G119" s="325">
        <f>'d3'!G119-d3П!G119</f>
        <v>0</v>
      </c>
      <c r="H119" s="325">
        <f>'d3'!H119-d3П!H119</f>
        <v>0</v>
      </c>
      <c r="I119" s="325">
        <f>'d3'!I119-d3П!I119</f>
        <v>0</v>
      </c>
      <c r="J119" s="325">
        <f>'d3'!J119-d3П!J119</f>
        <v>1000000</v>
      </c>
      <c r="K119" s="325">
        <f>'d3'!K119-d3П!K119</f>
        <v>1000000</v>
      </c>
      <c r="L119" s="325">
        <f>'d3'!L119-d3П!L119</f>
        <v>0</v>
      </c>
      <c r="M119" s="325">
        <f>'d3'!M119-d3П!M119</f>
        <v>0</v>
      </c>
      <c r="N119" s="325">
        <f>'d3'!N119-d3П!N119</f>
        <v>0</v>
      </c>
      <c r="O119" s="325">
        <f>'d3'!O119-d3П!O119</f>
        <v>1000000</v>
      </c>
      <c r="P119" s="325">
        <f>'d3'!P119-d3П!P119</f>
        <v>1300000</v>
      </c>
      <c r="Q119" s="20"/>
      <c r="R119" s="39"/>
    </row>
    <row r="120" spans="1:18" ht="47.25" hidden="1" thickTop="1" thickBot="1" x14ac:dyDescent="0.25">
      <c r="A120" s="138" t="s">
        <v>720</v>
      </c>
      <c r="B120" s="138" t="s">
        <v>721</v>
      </c>
      <c r="C120" s="138"/>
      <c r="D120" s="138" t="s">
        <v>722</v>
      </c>
      <c r="E120" s="325">
        <f>'d3'!E120-d3П!E120</f>
        <v>0</v>
      </c>
      <c r="F120" s="325">
        <f>'d3'!F120-d3П!F120</f>
        <v>0</v>
      </c>
      <c r="G120" s="325">
        <f>'d3'!G120-d3П!G120</f>
        <v>0</v>
      </c>
      <c r="H120" s="325">
        <f>'d3'!H120-d3П!H120</f>
        <v>0</v>
      </c>
      <c r="I120" s="325">
        <f>'d3'!I120-d3П!I120</f>
        <v>0</v>
      </c>
      <c r="J120" s="325">
        <f>'d3'!J120-d3П!J120</f>
        <v>0</v>
      </c>
      <c r="K120" s="325">
        <f>'d3'!K120-d3П!K120</f>
        <v>0</v>
      </c>
      <c r="L120" s="325">
        <f>'d3'!L120-d3П!L120</f>
        <v>0</v>
      </c>
      <c r="M120" s="325">
        <f>'d3'!M120-d3П!M120</f>
        <v>0</v>
      </c>
      <c r="N120" s="325">
        <f>'d3'!N120-d3П!N120</f>
        <v>0</v>
      </c>
      <c r="O120" s="325">
        <f>'d3'!O120-d3П!O120</f>
        <v>0</v>
      </c>
      <c r="P120" s="325">
        <f>'d3'!P120-d3П!P120</f>
        <v>0</v>
      </c>
      <c r="Q120" s="20"/>
      <c r="R120" s="39"/>
    </row>
    <row r="121" spans="1:18" ht="47.25" hidden="1" thickTop="1" thickBot="1" x14ac:dyDescent="0.25">
      <c r="A121" s="126" t="s">
        <v>475</v>
      </c>
      <c r="B121" s="126" t="s">
        <v>476</v>
      </c>
      <c r="C121" s="126" t="s">
        <v>230</v>
      </c>
      <c r="D121" s="126" t="s">
        <v>477</v>
      </c>
      <c r="E121" s="325">
        <f>'d3'!E121-d3П!E121</f>
        <v>0</v>
      </c>
      <c r="F121" s="325">
        <f>'d3'!F121-d3П!F121</f>
        <v>0</v>
      </c>
      <c r="G121" s="325">
        <f>'d3'!G121-d3П!G121</f>
        <v>0</v>
      </c>
      <c r="H121" s="325">
        <f>'d3'!H121-d3П!H121</f>
        <v>0</v>
      </c>
      <c r="I121" s="325">
        <f>'d3'!I121-d3П!I121</f>
        <v>0</v>
      </c>
      <c r="J121" s="325">
        <f>'d3'!J121-d3П!J121</f>
        <v>0</v>
      </c>
      <c r="K121" s="325">
        <f>'d3'!K121-d3П!K121</f>
        <v>0</v>
      </c>
      <c r="L121" s="325">
        <f>'d3'!L121-d3П!L121</f>
        <v>0</v>
      </c>
      <c r="M121" s="325">
        <f>'d3'!M121-d3П!M121</f>
        <v>0</v>
      </c>
      <c r="N121" s="325">
        <f>'d3'!N121-d3П!N121</f>
        <v>0</v>
      </c>
      <c r="O121" s="325">
        <f>'d3'!O121-d3П!O121</f>
        <v>0</v>
      </c>
      <c r="P121" s="325">
        <f>'d3'!P121-d3П!P121</f>
        <v>0</v>
      </c>
      <c r="Q121" s="20"/>
      <c r="R121" s="39"/>
    </row>
    <row r="122" spans="1:18" ht="47.25" thickTop="1" thickBot="1" x14ac:dyDescent="0.25">
      <c r="A122" s="326" t="s">
        <v>723</v>
      </c>
      <c r="B122" s="326" t="s">
        <v>724</v>
      </c>
      <c r="C122" s="326"/>
      <c r="D122" s="326" t="s">
        <v>725</v>
      </c>
      <c r="E122" s="325">
        <f>'d3'!E122-d3П!E122</f>
        <v>0</v>
      </c>
      <c r="F122" s="325">
        <f>'d3'!F122-d3П!F122</f>
        <v>0</v>
      </c>
      <c r="G122" s="325">
        <f>'d3'!G122-d3П!G122</f>
        <v>0</v>
      </c>
      <c r="H122" s="325">
        <f>'d3'!H122-d3П!H122</f>
        <v>0</v>
      </c>
      <c r="I122" s="325">
        <f>'d3'!I122-d3П!I122</f>
        <v>0</v>
      </c>
      <c r="J122" s="325">
        <f>'d3'!J122-d3П!J122</f>
        <v>0</v>
      </c>
      <c r="K122" s="325">
        <f>'d3'!K122-d3П!K122</f>
        <v>0</v>
      </c>
      <c r="L122" s="325">
        <f>'d3'!L122-d3П!L122</f>
        <v>0</v>
      </c>
      <c r="M122" s="325">
        <f>'d3'!M122-d3П!M122</f>
        <v>0</v>
      </c>
      <c r="N122" s="325">
        <f>'d3'!N122-d3П!N122</f>
        <v>0</v>
      </c>
      <c r="O122" s="325">
        <f>'d3'!O122-d3П!O122</f>
        <v>0</v>
      </c>
      <c r="P122" s="325">
        <f>'d3'!P122-d3П!P122</f>
        <v>0</v>
      </c>
      <c r="Q122" s="20"/>
      <c r="R122" s="39"/>
    </row>
    <row r="123" spans="1:18" s="33" customFormat="1" ht="47.25" thickTop="1" thickBot="1" x14ac:dyDescent="0.25">
      <c r="A123" s="101" t="s">
        <v>321</v>
      </c>
      <c r="B123" s="101" t="s">
        <v>323</v>
      </c>
      <c r="C123" s="101" t="s">
        <v>230</v>
      </c>
      <c r="D123" s="466" t="s">
        <v>319</v>
      </c>
      <c r="E123" s="325">
        <f>'d3'!E123-d3П!E123</f>
        <v>0</v>
      </c>
      <c r="F123" s="325">
        <f>'d3'!F123-d3П!F123</f>
        <v>0</v>
      </c>
      <c r="G123" s="325">
        <f>'d3'!G123-d3П!G123</f>
        <v>0</v>
      </c>
      <c r="H123" s="325">
        <f>'d3'!H123-d3П!H123</f>
        <v>0</v>
      </c>
      <c r="I123" s="325">
        <f>'d3'!I123-d3П!I123</f>
        <v>0</v>
      </c>
      <c r="J123" s="325">
        <f>'d3'!J123-d3П!J123</f>
        <v>0</v>
      </c>
      <c r="K123" s="325">
        <f>'d3'!K123-d3П!K123</f>
        <v>0</v>
      </c>
      <c r="L123" s="325">
        <f>'d3'!L123-d3П!L123</f>
        <v>0</v>
      </c>
      <c r="M123" s="325">
        <f>'d3'!M123-d3П!M123</f>
        <v>0</v>
      </c>
      <c r="N123" s="325">
        <f>'d3'!N123-d3П!N123</f>
        <v>0</v>
      </c>
      <c r="O123" s="325">
        <f>'d3'!O123-d3П!O123</f>
        <v>0</v>
      </c>
      <c r="P123" s="325">
        <f>'d3'!P123-d3П!P123</f>
        <v>0</v>
      </c>
      <c r="Q123" s="36"/>
      <c r="R123" s="26"/>
    </row>
    <row r="124" spans="1:18" s="33" customFormat="1" ht="47.25" thickTop="1" thickBot="1" x14ac:dyDescent="0.25">
      <c r="A124" s="101" t="s">
        <v>322</v>
      </c>
      <c r="B124" s="101" t="s">
        <v>324</v>
      </c>
      <c r="C124" s="101" t="s">
        <v>230</v>
      </c>
      <c r="D124" s="466" t="s">
        <v>320</v>
      </c>
      <c r="E124" s="325">
        <f>'d3'!E124-d3П!E124</f>
        <v>0</v>
      </c>
      <c r="F124" s="325">
        <f>'d3'!F124-d3П!F124</f>
        <v>0</v>
      </c>
      <c r="G124" s="325">
        <f>'d3'!G124-d3П!G124</f>
        <v>0</v>
      </c>
      <c r="H124" s="325">
        <f>'d3'!H124-d3П!H124</f>
        <v>0</v>
      </c>
      <c r="I124" s="325">
        <f>'d3'!I124-d3П!I124</f>
        <v>0</v>
      </c>
      <c r="J124" s="325">
        <f>'d3'!J124-d3П!J124</f>
        <v>0</v>
      </c>
      <c r="K124" s="325">
        <f>'d3'!K124-d3П!K124</f>
        <v>0</v>
      </c>
      <c r="L124" s="325">
        <f>'d3'!L124-d3П!L124</f>
        <v>0</v>
      </c>
      <c r="M124" s="325">
        <f>'d3'!M124-d3П!M124</f>
        <v>0</v>
      </c>
      <c r="N124" s="325">
        <f>'d3'!N124-d3П!N124</f>
        <v>0</v>
      </c>
      <c r="O124" s="325">
        <f>'d3'!O124-d3П!O124</f>
        <v>0</v>
      </c>
      <c r="P124" s="325">
        <f>'d3'!P124-d3П!P124</f>
        <v>0</v>
      </c>
      <c r="Q124" s="36"/>
      <c r="R124" s="39"/>
    </row>
    <row r="125" spans="1:18" s="33" customFormat="1" ht="127.5" customHeight="1" thickTop="1" thickBot="1" x14ac:dyDescent="0.25">
      <c r="A125" s="326" t="s">
        <v>1597</v>
      </c>
      <c r="B125" s="326" t="s">
        <v>1598</v>
      </c>
      <c r="C125" s="326"/>
      <c r="D125" s="326" t="s">
        <v>1596</v>
      </c>
      <c r="E125" s="325">
        <f>'d3'!E125-d3П!E125</f>
        <v>0</v>
      </c>
      <c r="F125" s="325">
        <f>'d3'!F125-d3П!F125</f>
        <v>0</v>
      </c>
      <c r="G125" s="325">
        <f>'d3'!G125-d3П!G125</f>
        <v>0</v>
      </c>
      <c r="H125" s="325">
        <f>'d3'!H125-d3П!H125</f>
        <v>0</v>
      </c>
      <c r="I125" s="325">
        <f>'d3'!I125-d3П!I125</f>
        <v>0</v>
      </c>
      <c r="J125" s="325">
        <f>'d3'!J125-d3П!J125</f>
        <v>-2994000</v>
      </c>
      <c r="K125" s="325">
        <f>'d3'!K125-d3П!K125</f>
        <v>-2994000</v>
      </c>
      <c r="L125" s="325">
        <f>'d3'!L125-d3П!L125</f>
        <v>0</v>
      </c>
      <c r="M125" s="325">
        <f>'d3'!M125-d3П!M125</f>
        <v>0</v>
      </c>
      <c r="N125" s="325">
        <f>'d3'!N125-d3П!N125</f>
        <v>0</v>
      </c>
      <c r="O125" s="325">
        <f>'d3'!O125-d3П!O125</f>
        <v>-2994000</v>
      </c>
      <c r="P125" s="325">
        <f>'d3'!P125-d3П!P125</f>
        <v>-2994000</v>
      </c>
      <c r="Q125" s="36"/>
      <c r="R125" s="39"/>
    </row>
    <row r="126" spans="1:18" s="709" customFormat="1" ht="138.75" thickTop="1" thickBot="1" x14ac:dyDescent="0.25">
      <c r="A126" s="101" t="s">
        <v>1600</v>
      </c>
      <c r="B126" s="101" t="s">
        <v>1601</v>
      </c>
      <c r="C126" s="101" t="s">
        <v>230</v>
      </c>
      <c r="D126" s="466" t="s">
        <v>1599</v>
      </c>
      <c r="E126" s="325">
        <f>'d3'!E126-d3П!E126</f>
        <v>0</v>
      </c>
      <c r="F126" s="325">
        <f>'d3'!F126-d3П!F126</f>
        <v>0</v>
      </c>
      <c r="G126" s="325">
        <f>'d3'!G126-d3П!G126</f>
        <v>0</v>
      </c>
      <c r="H126" s="325">
        <f>'d3'!H126-d3П!H126</f>
        <v>0</v>
      </c>
      <c r="I126" s="325">
        <f>'d3'!I126-d3П!I126</f>
        <v>0</v>
      </c>
      <c r="J126" s="325">
        <f>'d3'!J126-d3П!J126</f>
        <v>-2994000</v>
      </c>
      <c r="K126" s="325">
        <f>'d3'!K126-d3П!K126</f>
        <v>-2994000</v>
      </c>
      <c r="L126" s="325">
        <f>'d3'!L126-d3П!L126</f>
        <v>0</v>
      </c>
      <c r="M126" s="325">
        <f>'d3'!M126-d3П!M126</f>
        <v>0</v>
      </c>
      <c r="N126" s="325">
        <f>'d3'!N126-d3П!N126</f>
        <v>0</v>
      </c>
      <c r="O126" s="325">
        <f>'d3'!O126-d3П!O126</f>
        <v>-2994000</v>
      </c>
      <c r="P126" s="325">
        <f>'d3'!P126-d3П!P126</f>
        <v>-2994000</v>
      </c>
      <c r="Q126" s="707"/>
      <c r="R126" s="708"/>
    </row>
    <row r="127" spans="1:18" s="33" customFormat="1" ht="47.25" thickTop="1" thickBot="1" x14ac:dyDescent="0.25">
      <c r="A127" s="308" t="s">
        <v>1198</v>
      </c>
      <c r="B127" s="308" t="s">
        <v>711</v>
      </c>
      <c r="C127" s="308"/>
      <c r="D127" s="308" t="s">
        <v>712</v>
      </c>
      <c r="E127" s="325">
        <f>'d3'!E127-d3П!E127</f>
        <v>0</v>
      </c>
      <c r="F127" s="325">
        <f>'d3'!F127-d3П!F127</f>
        <v>0</v>
      </c>
      <c r="G127" s="325">
        <f>'d3'!G127-d3П!G127</f>
        <v>0</v>
      </c>
      <c r="H127" s="325">
        <f>'d3'!H127-d3П!H127</f>
        <v>0</v>
      </c>
      <c r="I127" s="325">
        <f>'d3'!I127-d3П!I127</f>
        <v>0</v>
      </c>
      <c r="J127" s="325">
        <f>'d3'!J127-d3П!J127</f>
        <v>0</v>
      </c>
      <c r="K127" s="325">
        <f>'d3'!K127-d3П!K127</f>
        <v>0</v>
      </c>
      <c r="L127" s="325">
        <f>'d3'!L127-d3П!L127</f>
        <v>0</v>
      </c>
      <c r="M127" s="325">
        <f>'d3'!M127-d3П!M127</f>
        <v>0</v>
      </c>
      <c r="N127" s="325">
        <f>'d3'!N127-d3П!N127</f>
        <v>0</v>
      </c>
      <c r="O127" s="325">
        <f>'d3'!O127-d3П!O127</f>
        <v>0</v>
      </c>
      <c r="P127" s="325">
        <f>'d3'!P127-d3П!P127</f>
        <v>0</v>
      </c>
      <c r="Q127" s="36"/>
      <c r="R127" s="39"/>
    </row>
    <row r="128" spans="1:18" s="33" customFormat="1" ht="93" thickTop="1" thickBot="1" x14ac:dyDescent="0.25">
      <c r="A128" s="101" t="s">
        <v>1199</v>
      </c>
      <c r="B128" s="101" t="s">
        <v>1200</v>
      </c>
      <c r="C128" s="101" t="s">
        <v>206</v>
      </c>
      <c r="D128" s="466" t="s">
        <v>1201</v>
      </c>
      <c r="E128" s="325">
        <f>'d3'!E128-d3П!E128</f>
        <v>0</v>
      </c>
      <c r="F128" s="325">
        <f>'d3'!F128-d3П!F128</f>
        <v>0</v>
      </c>
      <c r="G128" s="325">
        <f>'d3'!G128-d3П!G128</f>
        <v>0</v>
      </c>
      <c r="H128" s="325">
        <f>'d3'!H128-d3П!H128</f>
        <v>0</v>
      </c>
      <c r="I128" s="325">
        <f>'d3'!I128-d3П!I128</f>
        <v>0</v>
      </c>
      <c r="J128" s="325">
        <f>'d3'!J128-d3П!J128</f>
        <v>0</v>
      </c>
      <c r="K128" s="325">
        <f>'d3'!K128-d3П!K128</f>
        <v>0</v>
      </c>
      <c r="L128" s="325">
        <f>'d3'!L128-d3П!L128</f>
        <v>0</v>
      </c>
      <c r="M128" s="325">
        <f>'d3'!M128-d3П!M128</f>
        <v>0</v>
      </c>
      <c r="N128" s="325">
        <f>'d3'!N128-d3П!N128</f>
        <v>0</v>
      </c>
      <c r="O128" s="325">
        <f>'d3'!O128-d3П!O128</f>
        <v>0</v>
      </c>
      <c r="P128" s="325">
        <f>'d3'!P128-d3П!P128</f>
        <v>0</v>
      </c>
      <c r="Q128" s="36"/>
      <c r="R128" s="39"/>
    </row>
    <row r="129" spans="1:20" s="33" customFormat="1" ht="47.25" thickTop="1" thickBot="1" x14ac:dyDescent="0.25">
      <c r="A129" s="308" t="s">
        <v>750</v>
      </c>
      <c r="B129" s="308" t="s">
        <v>748</v>
      </c>
      <c r="C129" s="308"/>
      <c r="D129" s="308" t="s">
        <v>749</v>
      </c>
      <c r="E129" s="325">
        <f>'d3'!E129-d3П!E129</f>
        <v>0</v>
      </c>
      <c r="F129" s="325">
        <f>'d3'!F129-d3П!F129</f>
        <v>0</v>
      </c>
      <c r="G129" s="325">
        <f>'d3'!G129-d3П!G129</f>
        <v>0</v>
      </c>
      <c r="H129" s="325">
        <f>'d3'!H129-d3П!H129</f>
        <v>0</v>
      </c>
      <c r="I129" s="325">
        <f>'d3'!I129-d3П!I129</f>
        <v>0</v>
      </c>
      <c r="J129" s="325">
        <f>'d3'!J129-d3П!J129</f>
        <v>0</v>
      </c>
      <c r="K129" s="325">
        <f>'d3'!K129-d3П!K129</f>
        <v>0</v>
      </c>
      <c r="L129" s="325">
        <f>'d3'!L129-d3П!L129</f>
        <v>0</v>
      </c>
      <c r="M129" s="325">
        <f>'d3'!M129-d3П!M129</f>
        <v>0</v>
      </c>
      <c r="N129" s="325">
        <f>'d3'!N129-d3П!N129</f>
        <v>0</v>
      </c>
      <c r="O129" s="325">
        <f>'d3'!O129-d3П!O129</f>
        <v>0</v>
      </c>
      <c r="P129" s="325">
        <f>'d3'!P129-d3П!P129</f>
        <v>0</v>
      </c>
      <c r="Q129" s="36"/>
      <c r="R129" s="39"/>
    </row>
    <row r="130" spans="1:20" s="33" customFormat="1" ht="47.25" thickTop="1" thickBot="1" x14ac:dyDescent="0.25">
      <c r="A130" s="310" t="s">
        <v>1053</v>
      </c>
      <c r="B130" s="310" t="s">
        <v>803</v>
      </c>
      <c r="C130" s="310"/>
      <c r="D130" s="310" t="s">
        <v>804</v>
      </c>
      <c r="E130" s="325">
        <f>'d3'!E130-d3П!E130</f>
        <v>0</v>
      </c>
      <c r="F130" s="325">
        <f>'d3'!F130-d3П!F130</f>
        <v>0</v>
      </c>
      <c r="G130" s="325">
        <f>'d3'!G130-d3П!G130</f>
        <v>0</v>
      </c>
      <c r="H130" s="325">
        <f>'d3'!H130-d3П!H130</f>
        <v>0</v>
      </c>
      <c r="I130" s="325">
        <f>'d3'!I130-d3П!I130</f>
        <v>0</v>
      </c>
      <c r="J130" s="325">
        <f>'d3'!J130-d3П!J130</f>
        <v>0</v>
      </c>
      <c r="K130" s="325">
        <f>'d3'!K130-d3П!K130</f>
        <v>0</v>
      </c>
      <c r="L130" s="325">
        <f>'d3'!L130-d3П!L130</f>
        <v>0</v>
      </c>
      <c r="M130" s="325">
        <f>'d3'!M130-d3П!M130</f>
        <v>0</v>
      </c>
      <c r="N130" s="325">
        <f>'d3'!N130-d3П!N130</f>
        <v>0</v>
      </c>
      <c r="O130" s="325">
        <f>'d3'!O130-d3П!O130</f>
        <v>0</v>
      </c>
      <c r="P130" s="325">
        <f>'d3'!P130-d3П!P130</f>
        <v>0</v>
      </c>
      <c r="Q130" s="36"/>
      <c r="R130" s="39"/>
    </row>
    <row r="131" spans="1:20" s="33" customFormat="1" ht="54.75" thickTop="1" thickBot="1" x14ac:dyDescent="0.25">
      <c r="A131" s="326" t="s">
        <v>1180</v>
      </c>
      <c r="B131" s="326" t="s">
        <v>821</v>
      </c>
      <c r="C131" s="326"/>
      <c r="D131" s="326" t="s">
        <v>1503</v>
      </c>
      <c r="E131" s="325">
        <f>'d3'!E131-d3П!E131</f>
        <v>0</v>
      </c>
      <c r="F131" s="325">
        <f>'d3'!F131-d3П!F131</f>
        <v>0</v>
      </c>
      <c r="G131" s="325">
        <f>'d3'!G131-d3П!G131</f>
        <v>0</v>
      </c>
      <c r="H131" s="325">
        <f>'d3'!H131-d3П!H131</f>
        <v>0</v>
      </c>
      <c r="I131" s="325">
        <f>'d3'!I131-d3П!I131</f>
        <v>0</v>
      </c>
      <c r="J131" s="325">
        <f>'d3'!J131-d3П!J131</f>
        <v>0</v>
      </c>
      <c r="K131" s="325">
        <f>'d3'!K131-d3П!K131</f>
        <v>0</v>
      </c>
      <c r="L131" s="325">
        <f>'d3'!L131-d3П!L131</f>
        <v>0</v>
      </c>
      <c r="M131" s="325">
        <f>'d3'!M131-d3П!M131</f>
        <v>0</v>
      </c>
      <c r="N131" s="325">
        <f>'d3'!N131-d3П!N131</f>
        <v>0</v>
      </c>
      <c r="O131" s="325">
        <f>'d3'!O131-d3П!O131</f>
        <v>0</v>
      </c>
      <c r="P131" s="325">
        <f>'d3'!P131-d3П!P131</f>
        <v>0</v>
      </c>
      <c r="Q131" s="36"/>
      <c r="R131" s="39"/>
    </row>
    <row r="132" spans="1:20" s="33" customFormat="1" ht="54" thickTop="1" thickBot="1" x14ac:dyDescent="0.25">
      <c r="A132" s="101" t="s">
        <v>1179</v>
      </c>
      <c r="B132" s="101" t="s">
        <v>1181</v>
      </c>
      <c r="C132" s="101" t="s">
        <v>304</v>
      </c>
      <c r="D132" s="101" t="s">
        <v>1525</v>
      </c>
      <c r="E132" s="325">
        <f>'d3'!E132-d3П!E132</f>
        <v>0</v>
      </c>
      <c r="F132" s="325">
        <f>'d3'!F132-d3П!F132</f>
        <v>0</v>
      </c>
      <c r="G132" s="325">
        <f>'d3'!G132-d3П!G132</f>
        <v>0</v>
      </c>
      <c r="H132" s="325">
        <f>'d3'!H132-d3П!H132</f>
        <v>0</v>
      </c>
      <c r="I132" s="325">
        <f>'d3'!I132-d3П!I132</f>
        <v>0</v>
      </c>
      <c r="J132" s="325">
        <f>'d3'!J132-d3П!J132</f>
        <v>0</v>
      </c>
      <c r="K132" s="325">
        <f>'d3'!K132-d3П!K132</f>
        <v>0</v>
      </c>
      <c r="L132" s="325">
        <f>'d3'!L132-d3П!L132</f>
        <v>0</v>
      </c>
      <c r="M132" s="325">
        <f>'d3'!M132-d3П!M132</f>
        <v>0</v>
      </c>
      <c r="N132" s="325">
        <f>'d3'!N132-d3П!N132</f>
        <v>0</v>
      </c>
      <c r="O132" s="325">
        <f>'d3'!O132-d3П!O132</f>
        <v>0</v>
      </c>
      <c r="P132" s="325">
        <f>'d3'!P132-d3П!P132</f>
        <v>0</v>
      </c>
      <c r="Q132" s="36"/>
      <c r="R132" s="39"/>
    </row>
    <row r="133" spans="1:20" s="33" customFormat="1" ht="47.25" hidden="1" thickTop="1" thickBot="1" x14ac:dyDescent="0.25">
      <c r="A133" s="142" t="s">
        <v>1054</v>
      </c>
      <c r="B133" s="142" t="s">
        <v>1052</v>
      </c>
      <c r="C133" s="142"/>
      <c r="D133" s="142" t="s">
        <v>1051</v>
      </c>
      <c r="E133" s="325">
        <f>'d3'!E133-d3П!E133</f>
        <v>0</v>
      </c>
      <c r="F133" s="325">
        <f>'d3'!F133-d3П!F133</f>
        <v>0</v>
      </c>
      <c r="G133" s="325">
        <f>'d3'!G133-d3П!G133</f>
        <v>0</v>
      </c>
      <c r="H133" s="325">
        <f>'d3'!H133-d3П!H133</f>
        <v>0</v>
      </c>
      <c r="I133" s="325">
        <f>'d3'!I133-d3П!I133</f>
        <v>0</v>
      </c>
      <c r="J133" s="325">
        <f>'d3'!J133-d3П!J133</f>
        <v>0</v>
      </c>
      <c r="K133" s="325">
        <f>'d3'!K133-d3П!K133</f>
        <v>0</v>
      </c>
      <c r="L133" s="325">
        <f>'d3'!L133-d3П!L133</f>
        <v>0</v>
      </c>
      <c r="M133" s="325">
        <f>'d3'!M133-d3П!M133</f>
        <v>0</v>
      </c>
      <c r="N133" s="325">
        <f>'d3'!N133-d3П!N133</f>
        <v>0</v>
      </c>
      <c r="O133" s="325">
        <f>'d3'!O133-d3П!O133</f>
        <v>0</v>
      </c>
      <c r="P133" s="325">
        <f>'d3'!P133-d3П!P133</f>
        <v>0</v>
      </c>
      <c r="Q133" s="36"/>
      <c r="R133" s="39"/>
    </row>
    <row r="134" spans="1:20" s="33" customFormat="1" ht="93" hidden="1" thickTop="1" thickBot="1" x14ac:dyDescent="0.25">
      <c r="A134" s="41" t="s">
        <v>1055</v>
      </c>
      <c r="B134" s="41" t="s">
        <v>1056</v>
      </c>
      <c r="C134" s="41" t="s">
        <v>170</v>
      </c>
      <c r="D134" s="41" t="s">
        <v>1057</v>
      </c>
      <c r="E134" s="325">
        <f>'d3'!E134-d3П!E134</f>
        <v>0</v>
      </c>
      <c r="F134" s="325">
        <f>'d3'!F134-d3П!F134</f>
        <v>0</v>
      </c>
      <c r="G134" s="325">
        <f>'d3'!G134-d3П!G134</f>
        <v>0</v>
      </c>
      <c r="H134" s="325">
        <f>'d3'!H134-d3П!H134</f>
        <v>0</v>
      </c>
      <c r="I134" s="325">
        <f>'d3'!I134-d3П!I134</f>
        <v>0</v>
      </c>
      <c r="J134" s="325">
        <f>'d3'!J134-d3П!J134</f>
        <v>0</v>
      </c>
      <c r="K134" s="325">
        <f>'d3'!K134-d3П!K134</f>
        <v>0</v>
      </c>
      <c r="L134" s="325">
        <f>'d3'!L134-d3П!L134</f>
        <v>0</v>
      </c>
      <c r="M134" s="325">
        <f>'d3'!M134-d3П!M134</f>
        <v>0</v>
      </c>
      <c r="N134" s="325">
        <f>'d3'!N134-d3П!N134</f>
        <v>0</v>
      </c>
      <c r="O134" s="325">
        <f>'d3'!O134-d3П!O134</f>
        <v>0</v>
      </c>
      <c r="P134" s="325">
        <f>'d3'!P134-d3П!P134</f>
        <v>0</v>
      </c>
      <c r="Q134" s="36"/>
      <c r="R134" s="26"/>
    </row>
    <row r="135" spans="1:20" s="28" customFormat="1" ht="47.25" thickTop="1" thickBot="1" x14ac:dyDescent="0.25">
      <c r="A135" s="310" t="s">
        <v>726</v>
      </c>
      <c r="B135" s="310" t="s">
        <v>691</v>
      </c>
      <c r="C135" s="310"/>
      <c r="D135" s="310" t="s">
        <v>689</v>
      </c>
      <c r="E135" s="325">
        <f>'d3'!E135-d3П!E135</f>
        <v>0</v>
      </c>
      <c r="F135" s="325">
        <f>'d3'!F135-d3П!F135</f>
        <v>0</v>
      </c>
      <c r="G135" s="325">
        <f>'d3'!G135-d3П!G135</f>
        <v>0</v>
      </c>
      <c r="H135" s="325">
        <f>'d3'!H135-d3П!H135</f>
        <v>0</v>
      </c>
      <c r="I135" s="325">
        <f>'d3'!I135-d3П!I135</f>
        <v>0</v>
      </c>
      <c r="J135" s="325">
        <f>'d3'!J135-d3П!J135</f>
        <v>0</v>
      </c>
      <c r="K135" s="325">
        <f>'d3'!K135-d3П!K135</f>
        <v>0</v>
      </c>
      <c r="L135" s="325">
        <f>'d3'!L135-d3П!L135</f>
        <v>0</v>
      </c>
      <c r="M135" s="325">
        <f>'d3'!M135-d3П!M135</f>
        <v>0</v>
      </c>
      <c r="N135" s="325">
        <f>'d3'!N135-d3П!N135</f>
        <v>0</v>
      </c>
      <c r="O135" s="325">
        <f>'d3'!O135-d3П!O135</f>
        <v>0</v>
      </c>
      <c r="P135" s="325">
        <f>'d3'!P135-d3П!P135</f>
        <v>0</v>
      </c>
      <c r="Q135" s="147"/>
      <c r="R135" s="40"/>
    </row>
    <row r="136" spans="1:20" s="28" customFormat="1" ht="47.25" thickTop="1" thickBot="1" x14ac:dyDescent="0.25">
      <c r="A136" s="101" t="s">
        <v>1255</v>
      </c>
      <c r="B136" s="101" t="s">
        <v>212</v>
      </c>
      <c r="C136" s="101" t="s">
        <v>213</v>
      </c>
      <c r="D136" s="101" t="s">
        <v>41</v>
      </c>
      <c r="E136" s="325">
        <f>'d3'!E136-d3П!E136</f>
        <v>0</v>
      </c>
      <c r="F136" s="325">
        <f>'d3'!F136-d3П!F136</f>
        <v>0</v>
      </c>
      <c r="G136" s="325">
        <f>'d3'!G136-d3П!G136</f>
        <v>0</v>
      </c>
      <c r="H136" s="325">
        <f>'d3'!H136-d3П!H136</f>
        <v>0</v>
      </c>
      <c r="I136" s="325">
        <f>'d3'!I136-d3П!I136</f>
        <v>0</v>
      </c>
      <c r="J136" s="325">
        <f>'d3'!J136-d3П!J136</f>
        <v>0</v>
      </c>
      <c r="K136" s="325">
        <f>'d3'!K136-d3П!K136</f>
        <v>0</v>
      </c>
      <c r="L136" s="325">
        <f>'d3'!L136-d3П!L136</f>
        <v>0</v>
      </c>
      <c r="M136" s="325">
        <f>'d3'!M136-d3П!M136</f>
        <v>0</v>
      </c>
      <c r="N136" s="325">
        <f>'d3'!N136-d3П!N136</f>
        <v>0</v>
      </c>
      <c r="O136" s="325">
        <f>'d3'!O136-d3П!O136</f>
        <v>0</v>
      </c>
      <c r="P136" s="325">
        <f>'d3'!P136-d3П!P136</f>
        <v>0</v>
      </c>
      <c r="Q136" s="147"/>
      <c r="R136" s="40"/>
    </row>
    <row r="137" spans="1:20" s="33" customFormat="1" ht="48" hidden="1" thickTop="1" thickBot="1" x14ac:dyDescent="0.25">
      <c r="A137" s="41" t="s">
        <v>435</v>
      </c>
      <c r="B137" s="41" t="s">
        <v>197</v>
      </c>
      <c r="C137" s="41" t="s">
        <v>170</v>
      </c>
      <c r="D137" s="41" t="s">
        <v>34</v>
      </c>
      <c r="E137" s="42">
        <f t="shared" ref="E137:E138" si="13">F137</f>
        <v>0</v>
      </c>
      <c r="F137" s="43"/>
      <c r="G137" s="43"/>
      <c r="H137" s="43"/>
      <c r="I137" s="43"/>
      <c r="J137" s="42">
        <f t="shared" ref="J137:J138" si="14">L137+O137</f>
        <v>0</v>
      </c>
      <c r="K137" s="43"/>
      <c r="L137" s="43"/>
      <c r="M137" s="43"/>
      <c r="N137" s="43"/>
      <c r="O137" s="44">
        <f t="shared" ref="O137:O138" si="15">K137</f>
        <v>0</v>
      </c>
      <c r="P137" s="42">
        <f t="shared" ref="P137:P138" si="16">E137+J137</f>
        <v>0</v>
      </c>
      <c r="Q137" s="36"/>
      <c r="R137" s="26"/>
    </row>
    <row r="138" spans="1:20" s="33" customFormat="1" ht="48" hidden="1" thickTop="1" thickBot="1" x14ac:dyDescent="0.25">
      <c r="A138" s="41" t="s">
        <v>509</v>
      </c>
      <c r="B138" s="41" t="s">
        <v>363</v>
      </c>
      <c r="C138" s="41" t="s">
        <v>43</v>
      </c>
      <c r="D138" s="41" t="s">
        <v>364</v>
      </c>
      <c r="E138" s="42">
        <f t="shared" si="13"/>
        <v>0</v>
      </c>
      <c r="F138" s="43"/>
      <c r="G138" s="43"/>
      <c r="H138" s="43"/>
      <c r="I138" s="43"/>
      <c r="J138" s="42">
        <f t="shared" si="14"/>
        <v>0</v>
      </c>
      <c r="K138" s="43"/>
      <c r="L138" s="43"/>
      <c r="M138" s="43"/>
      <c r="N138" s="43"/>
      <c r="O138" s="44">
        <f t="shared" si="15"/>
        <v>0</v>
      </c>
      <c r="P138" s="42">
        <f t="shared" si="16"/>
        <v>0</v>
      </c>
      <c r="Q138" s="36"/>
      <c r="R138" s="30"/>
    </row>
    <row r="139" spans="1:20" ht="120" customHeight="1" thickTop="1" thickBot="1" x14ac:dyDescent="0.25">
      <c r="A139" s="645" t="s">
        <v>156</v>
      </c>
      <c r="B139" s="645"/>
      <c r="C139" s="645"/>
      <c r="D139" s="646" t="s">
        <v>37</v>
      </c>
      <c r="E139" s="647">
        <f>E140</f>
        <v>19157323.779999971</v>
      </c>
      <c r="F139" s="648">
        <f t="shared" ref="F139:G139" si="17">F140</f>
        <v>19157323.779999971</v>
      </c>
      <c r="G139" s="648">
        <f t="shared" si="17"/>
        <v>0</v>
      </c>
      <c r="H139" s="648">
        <f>H140</f>
        <v>445580.70999999903</v>
      </c>
      <c r="I139" s="648">
        <f t="shared" ref="I139" si="18">I140</f>
        <v>0</v>
      </c>
      <c r="J139" s="647">
        <f>J140</f>
        <v>130036319.38999999</v>
      </c>
      <c r="K139" s="648">
        <f>K140</f>
        <v>130036319.38999999</v>
      </c>
      <c r="L139" s="648">
        <f>L140</f>
        <v>0</v>
      </c>
      <c r="M139" s="648">
        <f t="shared" ref="M139" si="19">M140</f>
        <v>0</v>
      </c>
      <c r="N139" s="648">
        <f>N140</f>
        <v>0</v>
      </c>
      <c r="O139" s="647">
        <f>O140</f>
        <v>130036319.38999999</v>
      </c>
      <c r="P139" s="648">
        <f>P140</f>
        <v>149193643.16999996</v>
      </c>
      <c r="Q139" s="20"/>
    </row>
    <row r="140" spans="1:20" ht="120" customHeight="1" thickTop="1" thickBot="1" x14ac:dyDescent="0.25">
      <c r="A140" s="642" t="s">
        <v>157</v>
      </c>
      <c r="B140" s="642"/>
      <c r="C140" s="642"/>
      <c r="D140" s="643" t="s">
        <v>38</v>
      </c>
      <c r="E140" s="644">
        <f>E141+E145+E187+E191</f>
        <v>19157323.779999971</v>
      </c>
      <c r="F140" s="644">
        <f>F141+F145+F187+F191</f>
        <v>19157323.779999971</v>
      </c>
      <c r="G140" s="644">
        <f>G141+G145+G187+G191</f>
        <v>0</v>
      </c>
      <c r="H140" s="644">
        <f>H141+H145+H187+H191</f>
        <v>445580.70999999903</v>
      </c>
      <c r="I140" s="644">
        <f>I141+I145+I187+I191</f>
        <v>0</v>
      </c>
      <c r="J140" s="644">
        <f t="shared" ref="J140" si="20">L140+O140</f>
        <v>130036319.38999999</v>
      </c>
      <c r="K140" s="644">
        <f>K141+K145+K187+K191</f>
        <v>130036319.38999999</v>
      </c>
      <c r="L140" s="644">
        <f>L141+L145+L187+L191</f>
        <v>0</v>
      </c>
      <c r="M140" s="644">
        <f>M141+M145+M187+M191</f>
        <v>0</v>
      </c>
      <c r="N140" s="644">
        <f>N141+N145+N187+N191</f>
        <v>0</v>
      </c>
      <c r="O140" s="644">
        <f>O141+O145+O187+O191</f>
        <v>130036319.38999999</v>
      </c>
      <c r="P140" s="644">
        <f>E140+J140</f>
        <v>149193643.16999996</v>
      </c>
      <c r="Q140" s="492" t="b">
        <f>P140=P142+P144+P147+P148+P149+P150+P151+P152+P153+P154+P156+P157+P159+P161+P163+P164+P166+P167+P183+P185+P186+P189+P196+P194+P169+P173+P177+P160</f>
        <v>1</v>
      </c>
      <c r="R140" s="46"/>
      <c r="S140" s="46"/>
      <c r="T140" s="45"/>
    </row>
    <row r="141" spans="1:20" ht="47.25" thickTop="1" thickBot="1" x14ac:dyDescent="0.25">
      <c r="A141" s="308" t="s">
        <v>727</v>
      </c>
      <c r="B141" s="308" t="s">
        <v>684</v>
      </c>
      <c r="C141" s="308"/>
      <c r="D141" s="308" t="s">
        <v>685</v>
      </c>
      <c r="E141" s="325">
        <f>'d3'!E141-d3П!E141</f>
        <v>824000</v>
      </c>
      <c r="F141" s="325">
        <f>'d3'!F141-d3П!F141</f>
        <v>824000</v>
      </c>
      <c r="G141" s="325">
        <f>'d3'!G141-d3П!G141</f>
        <v>0</v>
      </c>
      <c r="H141" s="325">
        <f>'d3'!H141-d3П!H141</f>
        <v>0</v>
      </c>
      <c r="I141" s="325">
        <f>'d3'!I141-d3П!I141</f>
        <v>0</v>
      </c>
      <c r="J141" s="325">
        <f>'d3'!J141-d3П!J141</f>
        <v>-121000</v>
      </c>
      <c r="K141" s="325">
        <f>'d3'!K141-d3П!K141</f>
        <v>-121000</v>
      </c>
      <c r="L141" s="325">
        <f>'d3'!L141-d3П!L141</f>
        <v>0</v>
      </c>
      <c r="M141" s="325">
        <f>'d3'!M141-d3П!M141</f>
        <v>0</v>
      </c>
      <c r="N141" s="325">
        <f>'d3'!N141-d3П!N141</f>
        <v>0</v>
      </c>
      <c r="O141" s="325">
        <f>'d3'!O141-d3П!O141</f>
        <v>-121000</v>
      </c>
      <c r="P141" s="325">
        <f>'d3'!P141-d3П!P141</f>
        <v>703000</v>
      </c>
      <c r="Q141" s="47"/>
      <c r="R141" s="46"/>
      <c r="T141" s="45"/>
    </row>
    <row r="142" spans="1:20" ht="93" thickTop="1" thickBot="1" x14ac:dyDescent="0.25">
      <c r="A142" s="101" t="s">
        <v>415</v>
      </c>
      <c r="B142" s="101" t="s">
        <v>236</v>
      </c>
      <c r="C142" s="101" t="s">
        <v>234</v>
      </c>
      <c r="D142" s="101" t="s">
        <v>235</v>
      </c>
      <c r="E142" s="325">
        <f>'d3'!E142-d3П!E142</f>
        <v>824000</v>
      </c>
      <c r="F142" s="325">
        <f>'d3'!F142-d3П!F142</f>
        <v>824000</v>
      </c>
      <c r="G142" s="325">
        <f>'d3'!G142-d3П!G142</f>
        <v>0</v>
      </c>
      <c r="H142" s="325">
        <f>'d3'!H142-d3П!H142</f>
        <v>0</v>
      </c>
      <c r="I142" s="325">
        <f>'d3'!I142-d3П!I142</f>
        <v>0</v>
      </c>
      <c r="J142" s="325">
        <f>'d3'!J142-d3П!J142</f>
        <v>-121000</v>
      </c>
      <c r="K142" s="325">
        <f>'d3'!K142-d3П!K142</f>
        <v>-121000</v>
      </c>
      <c r="L142" s="325">
        <f>'d3'!L142-d3П!L142</f>
        <v>0</v>
      </c>
      <c r="M142" s="325">
        <f>'d3'!M142-d3П!M142</f>
        <v>0</v>
      </c>
      <c r="N142" s="325">
        <f>'d3'!N142-d3П!N142</f>
        <v>0</v>
      </c>
      <c r="O142" s="325">
        <f>'d3'!O142-d3П!O142</f>
        <v>-121000</v>
      </c>
      <c r="P142" s="325">
        <f>'d3'!P142-d3П!P142</f>
        <v>703000</v>
      </c>
      <c r="Q142" s="47"/>
      <c r="R142" s="46"/>
      <c r="T142" s="45"/>
    </row>
    <row r="143" spans="1:20" ht="93" hidden="1" thickTop="1" thickBot="1" x14ac:dyDescent="0.25">
      <c r="A143" s="101" t="s">
        <v>628</v>
      </c>
      <c r="B143" s="101" t="s">
        <v>362</v>
      </c>
      <c r="C143" s="101" t="s">
        <v>625</v>
      </c>
      <c r="D143" s="101" t="s">
        <v>626</v>
      </c>
      <c r="E143" s="325">
        <f>'d3'!E143-d3П!E143</f>
        <v>0</v>
      </c>
      <c r="F143" s="325">
        <f>'d3'!F143-d3П!F143</f>
        <v>0</v>
      </c>
      <c r="G143" s="325">
        <f>'d3'!G143-d3П!G143</f>
        <v>0</v>
      </c>
      <c r="H143" s="325">
        <f>'d3'!H143-d3П!H143</f>
        <v>0</v>
      </c>
      <c r="I143" s="325">
        <f>'d3'!I143-d3П!I143</f>
        <v>0</v>
      </c>
      <c r="J143" s="325">
        <f>'d3'!J143-d3П!J143</f>
        <v>0</v>
      </c>
      <c r="K143" s="325">
        <f>'d3'!K143-d3П!K143</f>
        <v>0</v>
      </c>
      <c r="L143" s="325">
        <f>'d3'!L143-d3П!L143</f>
        <v>0</v>
      </c>
      <c r="M143" s="325">
        <f>'d3'!M143-d3П!M143</f>
        <v>0</v>
      </c>
      <c r="N143" s="325">
        <f>'d3'!N143-d3П!N143</f>
        <v>0</v>
      </c>
      <c r="O143" s="325">
        <f>'d3'!O143-d3П!O143</f>
        <v>0</v>
      </c>
      <c r="P143" s="325">
        <f>'d3'!P143-d3П!P143</f>
        <v>0</v>
      </c>
      <c r="Q143" s="47"/>
      <c r="R143" s="46"/>
      <c r="T143" s="45"/>
    </row>
    <row r="144" spans="1:20" ht="47.25" thickTop="1" thickBot="1" x14ac:dyDescent="0.25">
      <c r="A144" s="101" t="s">
        <v>919</v>
      </c>
      <c r="B144" s="101" t="s">
        <v>43</v>
      </c>
      <c r="C144" s="101" t="s">
        <v>42</v>
      </c>
      <c r="D144" s="101" t="s">
        <v>248</v>
      </c>
      <c r="E144" s="325">
        <f>'d3'!E144-d3П!E144</f>
        <v>0</v>
      </c>
      <c r="F144" s="325">
        <f>'d3'!F144-d3П!F144</f>
        <v>0</v>
      </c>
      <c r="G144" s="325">
        <f>'d3'!G144-d3П!G144</f>
        <v>0</v>
      </c>
      <c r="H144" s="325">
        <f>'d3'!H144-d3П!H144</f>
        <v>0</v>
      </c>
      <c r="I144" s="325">
        <f>'d3'!I144-d3П!I144</f>
        <v>0</v>
      </c>
      <c r="J144" s="325">
        <f>'d3'!J144-d3П!J144</f>
        <v>0</v>
      </c>
      <c r="K144" s="325">
        <f>'d3'!K144-d3П!K144</f>
        <v>0</v>
      </c>
      <c r="L144" s="325">
        <f>'d3'!L144-d3П!L144</f>
        <v>0</v>
      </c>
      <c r="M144" s="325">
        <f>'d3'!M144-d3П!M144</f>
        <v>0</v>
      </c>
      <c r="N144" s="325">
        <f>'d3'!N144-d3П!N144</f>
        <v>0</v>
      </c>
      <c r="O144" s="325">
        <f>'d3'!O144-d3П!O144</f>
        <v>0</v>
      </c>
      <c r="P144" s="325">
        <f>'d3'!P144-d3П!P144</f>
        <v>0</v>
      </c>
      <c r="Q144" s="47"/>
      <c r="R144" s="46"/>
      <c r="T144" s="45"/>
    </row>
    <row r="145" spans="1:20" ht="47.25" thickTop="1" thickBot="1" x14ac:dyDescent="0.25">
      <c r="A145" s="308" t="s">
        <v>728</v>
      </c>
      <c r="B145" s="308" t="s">
        <v>711</v>
      </c>
      <c r="C145" s="308"/>
      <c r="D145" s="308" t="s">
        <v>712</v>
      </c>
      <c r="E145" s="325">
        <f>'d3'!E145-d3П!E145</f>
        <v>18333323.779999971</v>
      </c>
      <c r="F145" s="325">
        <f>'d3'!F145-d3П!F145</f>
        <v>18333323.779999971</v>
      </c>
      <c r="G145" s="325">
        <f>'d3'!G145-d3П!G145</f>
        <v>0</v>
      </c>
      <c r="H145" s="325">
        <f>'d3'!H145-d3П!H145</f>
        <v>445580.70999999903</v>
      </c>
      <c r="I145" s="325">
        <f>'d3'!I145-d3П!I145</f>
        <v>0</v>
      </c>
      <c r="J145" s="325">
        <f>'d3'!J145-d3П!J145</f>
        <v>125755514.03999999</v>
      </c>
      <c r="K145" s="325">
        <f>'d3'!K145-d3П!K145</f>
        <v>125755514.03999999</v>
      </c>
      <c r="L145" s="325">
        <f>'d3'!L145-d3П!L145</f>
        <v>0</v>
      </c>
      <c r="M145" s="325">
        <f>'d3'!M145-d3П!M145</f>
        <v>0</v>
      </c>
      <c r="N145" s="325">
        <f>'d3'!N145-d3П!N145</f>
        <v>0</v>
      </c>
      <c r="O145" s="325">
        <f>'d3'!O145-d3П!O145</f>
        <v>125755514.03999999</v>
      </c>
      <c r="P145" s="325">
        <f>'d3'!P145-d3П!P145</f>
        <v>144088837.81999999</v>
      </c>
      <c r="Q145" s="47"/>
      <c r="R145" s="46"/>
      <c r="T145" s="45"/>
    </row>
    <row r="146" spans="1:20" ht="138.75" thickTop="1" thickBot="1" x14ac:dyDescent="0.25">
      <c r="A146" s="326" t="s">
        <v>729</v>
      </c>
      <c r="B146" s="326" t="s">
        <v>730</v>
      </c>
      <c r="C146" s="326"/>
      <c r="D146" s="326" t="s">
        <v>731</v>
      </c>
      <c r="E146" s="325">
        <f>'d3'!E146-d3П!E146</f>
        <v>0</v>
      </c>
      <c r="F146" s="325">
        <f>'d3'!F146-d3П!F146</f>
        <v>0</v>
      </c>
      <c r="G146" s="325">
        <f>'d3'!G146-d3П!G146</f>
        <v>0</v>
      </c>
      <c r="H146" s="325">
        <f>'d3'!H146-d3П!H146</f>
        <v>0</v>
      </c>
      <c r="I146" s="325">
        <f>'d3'!I146-d3П!I146</f>
        <v>0</v>
      </c>
      <c r="J146" s="325">
        <f>'d3'!J146-d3П!J146</f>
        <v>0</v>
      </c>
      <c r="K146" s="325">
        <f>'d3'!K146-d3П!K146</f>
        <v>0</v>
      </c>
      <c r="L146" s="325">
        <f>'d3'!L146-d3П!L146</f>
        <v>0</v>
      </c>
      <c r="M146" s="325">
        <f>'d3'!M146-d3П!M146</f>
        <v>0</v>
      </c>
      <c r="N146" s="325">
        <f>'d3'!N146-d3П!N146</f>
        <v>0</v>
      </c>
      <c r="O146" s="325">
        <f>'d3'!O146-d3П!O146</f>
        <v>0</v>
      </c>
      <c r="P146" s="325">
        <f>'d3'!P146-d3П!P146</f>
        <v>0</v>
      </c>
      <c r="Q146" s="148"/>
      <c r="R146" s="48"/>
      <c r="T146" s="49"/>
    </row>
    <row r="147" spans="1:20" s="33" customFormat="1" ht="93" thickTop="1" thickBot="1" x14ac:dyDescent="0.25">
      <c r="A147" s="101" t="s">
        <v>269</v>
      </c>
      <c r="B147" s="101" t="s">
        <v>270</v>
      </c>
      <c r="C147" s="101" t="s">
        <v>205</v>
      </c>
      <c r="D147" s="327" t="s">
        <v>271</v>
      </c>
      <c r="E147" s="325">
        <f>'d3'!E147-d3П!E147</f>
        <v>0</v>
      </c>
      <c r="F147" s="325">
        <f>'d3'!F147-d3П!F147</f>
        <v>0</v>
      </c>
      <c r="G147" s="325">
        <f>'d3'!G147-d3П!G147</f>
        <v>0</v>
      </c>
      <c r="H147" s="325">
        <f>'d3'!H147-d3П!H147</f>
        <v>0</v>
      </c>
      <c r="I147" s="325">
        <f>'d3'!I147-d3П!I147</f>
        <v>0</v>
      </c>
      <c r="J147" s="325">
        <f>'d3'!J147-d3П!J147</f>
        <v>0</v>
      </c>
      <c r="K147" s="325">
        <f>'d3'!K147-d3П!K147</f>
        <v>0</v>
      </c>
      <c r="L147" s="325">
        <f>'d3'!L147-d3П!L147</f>
        <v>0</v>
      </c>
      <c r="M147" s="325">
        <f>'d3'!M147-d3П!M147</f>
        <v>0</v>
      </c>
      <c r="N147" s="325">
        <f>'d3'!N147-d3П!N147</f>
        <v>0</v>
      </c>
      <c r="O147" s="325">
        <f>'d3'!O147-d3П!O147</f>
        <v>0</v>
      </c>
      <c r="P147" s="325">
        <f>'d3'!P147-d3П!P147</f>
        <v>0</v>
      </c>
      <c r="Q147" s="36"/>
      <c r="R147" s="46"/>
    </row>
    <row r="148" spans="1:20" s="33" customFormat="1" ht="47.25" thickTop="1" thickBot="1" x14ac:dyDescent="0.25">
      <c r="A148" s="101" t="s">
        <v>272</v>
      </c>
      <c r="B148" s="101" t="s">
        <v>273</v>
      </c>
      <c r="C148" s="101" t="s">
        <v>206</v>
      </c>
      <c r="D148" s="101" t="s">
        <v>6</v>
      </c>
      <c r="E148" s="325">
        <f>'d3'!E148-d3П!E148</f>
        <v>0</v>
      </c>
      <c r="F148" s="325">
        <f>'d3'!F148-d3П!F148</f>
        <v>0</v>
      </c>
      <c r="G148" s="325">
        <f>'d3'!G148-d3П!G148</f>
        <v>0</v>
      </c>
      <c r="H148" s="325">
        <f>'d3'!H148-d3П!H148</f>
        <v>0</v>
      </c>
      <c r="I148" s="325">
        <f>'d3'!I148-d3П!I148</f>
        <v>0</v>
      </c>
      <c r="J148" s="325">
        <f>'d3'!J148-d3П!J148</f>
        <v>0</v>
      </c>
      <c r="K148" s="325">
        <f>'d3'!K148-d3П!K148</f>
        <v>0</v>
      </c>
      <c r="L148" s="325">
        <f>'d3'!L148-d3П!L148</f>
        <v>0</v>
      </c>
      <c r="M148" s="325">
        <f>'d3'!M148-d3П!M148</f>
        <v>0</v>
      </c>
      <c r="N148" s="325">
        <f>'d3'!N148-d3П!N148</f>
        <v>0</v>
      </c>
      <c r="O148" s="325">
        <f>'d3'!O148-d3П!O148</f>
        <v>0</v>
      </c>
      <c r="P148" s="325">
        <f>'d3'!P148-d3П!P148</f>
        <v>0</v>
      </c>
      <c r="Q148" s="36"/>
      <c r="R148" s="50"/>
    </row>
    <row r="149" spans="1:20" s="33" customFormat="1" ht="93" thickTop="1" thickBot="1" x14ac:dyDescent="0.25">
      <c r="A149" s="101" t="s">
        <v>275</v>
      </c>
      <c r="B149" s="101" t="s">
        <v>276</v>
      </c>
      <c r="C149" s="101" t="s">
        <v>206</v>
      </c>
      <c r="D149" s="101" t="s">
        <v>7</v>
      </c>
      <c r="E149" s="325">
        <f>'d3'!E149-d3П!E149</f>
        <v>0</v>
      </c>
      <c r="F149" s="325">
        <f>'d3'!F149-d3П!F149</f>
        <v>0</v>
      </c>
      <c r="G149" s="325">
        <f>'d3'!G149-d3П!G149</f>
        <v>0</v>
      </c>
      <c r="H149" s="325">
        <f>'d3'!H149-d3П!H149</f>
        <v>0</v>
      </c>
      <c r="I149" s="325">
        <f>'d3'!I149-d3П!I149</f>
        <v>0</v>
      </c>
      <c r="J149" s="325">
        <f>'d3'!J149-d3П!J149</f>
        <v>0</v>
      </c>
      <c r="K149" s="325">
        <f>'d3'!K149-d3П!K149</f>
        <v>0</v>
      </c>
      <c r="L149" s="325">
        <f>'d3'!L149-d3П!L149</f>
        <v>0</v>
      </c>
      <c r="M149" s="325">
        <f>'d3'!M149-d3П!M149</f>
        <v>0</v>
      </c>
      <c r="N149" s="325">
        <f>'d3'!N149-d3П!N149</f>
        <v>0</v>
      </c>
      <c r="O149" s="325">
        <f>'d3'!O149-d3П!O149</f>
        <v>0</v>
      </c>
      <c r="P149" s="325">
        <f>'d3'!P149-d3П!P149</f>
        <v>0</v>
      </c>
      <c r="Q149" s="36"/>
      <c r="R149" s="50"/>
    </row>
    <row r="150" spans="1:20" s="33" customFormat="1" ht="93" thickTop="1" thickBot="1" x14ac:dyDescent="0.25">
      <c r="A150" s="101" t="s">
        <v>277</v>
      </c>
      <c r="B150" s="101" t="s">
        <v>274</v>
      </c>
      <c r="C150" s="101" t="s">
        <v>206</v>
      </c>
      <c r="D150" s="101" t="s">
        <v>8</v>
      </c>
      <c r="E150" s="325">
        <f>'d3'!E150-d3П!E150</f>
        <v>0</v>
      </c>
      <c r="F150" s="325">
        <f>'d3'!F150-d3П!F150</f>
        <v>0</v>
      </c>
      <c r="G150" s="325">
        <f>'d3'!G150-d3П!G150</f>
        <v>0</v>
      </c>
      <c r="H150" s="325">
        <f>'d3'!H150-d3П!H150</f>
        <v>0</v>
      </c>
      <c r="I150" s="325">
        <f>'d3'!I150-d3П!I150</f>
        <v>0</v>
      </c>
      <c r="J150" s="325">
        <f>'d3'!J150-d3П!J150</f>
        <v>0</v>
      </c>
      <c r="K150" s="325">
        <f>'d3'!K150-d3П!K150</f>
        <v>0</v>
      </c>
      <c r="L150" s="325">
        <f>'d3'!L150-d3П!L150</f>
        <v>0</v>
      </c>
      <c r="M150" s="325">
        <f>'d3'!M150-d3П!M150</f>
        <v>0</v>
      </c>
      <c r="N150" s="325">
        <f>'d3'!N150-d3П!N150</f>
        <v>0</v>
      </c>
      <c r="O150" s="325">
        <f>'d3'!O150-d3П!O150</f>
        <v>0</v>
      </c>
      <c r="P150" s="325">
        <f>'d3'!P150-d3П!P150</f>
        <v>0</v>
      </c>
      <c r="Q150" s="36"/>
      <c r="R150" s="50"/>
    </row>
    <row r="151" spans="1:20" s="33" customFormat="1" ht="93" thickTop="1" thickBot="1" x14ac:dyDescent="0.25">
      <c r="A151" s="101" t="s">
        <v>278</v>
      </c>
      <c r="B151" s="101" t="s">
        <v>279</v>
      </c>
      <c r="C151" s="101" t="s">
        <v>206</v>
      </c>
      <c r="D151" s="101" t="s">
        <v>9</v>
      </c>
      <c r="E151" s="325">
        <f>'d3'!E151-d3П!E151</f>
        <v>0</v>
      </c>
      <c r="F151" s="325">
        <f>'d3'!F151-d3П!F151</f>
        <v>0</v>
      </c>
      <c r="G151" s="325">
        <f>'d3'!G151-d3П!G151</f>
        <v>0</v>
      </c>
      <c r="H151" s="325">
        <f>'d3'!H151-d3П!H151</f>
        <v>0</v>
      </c>
      <c r="I151" s="325">
        <f>'d3'!I151-d3П!I151</f>
        <v>0</v>
      </c>
      <c r="J151" s="325">
        <f>'d3'!J151-d3П!J151</f>
        <v>0</v>
      </c>
      <c r="K151" s="325">
        <f>'d3'!K151-d3П!K151</f>
        <v>0</v>
      </c>
      <c r="L151" s="325">
        <f>'d3'!L151-d3П!L151</f>
        <v>0</v>
      </c>
      <c r="M151" s="325">
        <f>'d3'!M151-d3П!M151</f>
        <v>0</v>
      </c>
      <c r="N151" s="325">
        <f>'d3'!N151-d3П!N151</f>
        <v>0</v>
      </c>
      <c r="O151" s="325">
        <f>'d3'!O151-d3П!O151</f>
        <v>0</v>
      </c>
      <c r="P151" s="325">
        <f>'d3'!P151-d3П!P151</f>
        <v>0</v>
      </c>
      <c r="Q151" s="36"/>
      <c r="R151" s="50"/>
    </row>
    <row r="152" spans="1:20" s="33" customFormat="1" ht="93" thickTop="1" thickBot="1" x14ac:dyDescent="0.25">
      <c r="A152" s="101" t="s">
        <v>478</v>
      </c>
      <c r="B152" s="101" t="s">
        <v>479</v>
      </c>
      <c r="C152" s="101" t="s">
        <v>206</v>
      </c>
      <c r="D152" s="101" t="s">
        <v>480</v>
      </c>
      <c r="E152" s="325">
        <f>'d3'!E152-d3П!E152</f>
        <v>0</v>
      </c>
      <c r="F152" s="325">
        <f>'d3'!F152-d3П!F152</f>
        <v>0</v>
      </c>
      <c r="G152" s="325">
        <f>'d3'!G152-d3П!G152</f>
        <v>0</v>
      </c>
      <c r="H152" s="325">
        <f>'d3'!H152-d3П!H152</f>
        <v>0</v>
      </c>
      <c r="I152" s="325">
        <f>'d3'!I152-d3П!I152</f>
        <v>0</v>
      </c>
      <c r="J152" s="325">
        <f>'d3'!J152-d3П!J152</f>
        <v>0</v>
      </c>
      <c r="K152" s="325">
        <f>'d3'!K152-d3П!K152</f>
        <v>0</v>
      </c>
      <c r="L152" s="325">
        <f>'d3'!L152-d3П!L152</f>
        <v>0</v>
      </c>
      <c r="M152" s="325">
        <f>'d3'!M152-d3П!M152</f>
        <v>0</v>
      </c>
      <c r="N152" s="325">
        <f>'d3'!N152-d3П!N152</f>
        <v>0</v>
      </c>
      <c r="O152" s="325">
        <f>'d3'!O152-d3П!O152</f>
        <v>0</v>
      </c>
      <c r="P152" s="325">
        <f>'d3'!P152-d3П!P152</f>
        <v>0</v>
      </c>
      <c r="Q152" s="36"/>
      <c r="R152" s="50"/>
    </row>
    <row r="153" spans="1:20" s="33" customFormat="1" ht="93" thickTop="1" thickBot="1" x14ac:dyDescent="0.25">
      <c r="A153" s="101" t="s">
        <v>920</v>
      </c>
      <c r="B153" s="101" t="s">
        <v>921</v>
      </c>
      <c r="C153" s="101" t="s">
        <v>206</v>
      </c>
      <c r="D153" s="101" t="s">
        <v>922</v>
      </c>
      <c r="E153" s="325">
        <f>'d3'!E153-d3П!E153</f>
        <v>0</v>
      </c>
      <c r="F153" s="325">
        <f>'d3'!F153-d3П!F153</f>
        <v>0</v>
      </c>
      <c r="G153" s="325">
        <f>'d3'!G153-d3П!G153</f>
        <v>0</v>
      </c>
      <c r="H153" s="325">
        <f>'d3'!H153-d3П!H153</f>
        <v>0</v>
      </c>
      <c r="I153" s="325">
        <f>'d3'!I153-d3П!I153</f>
        <v>0</v>
      </c>
      <c r="J153" s="325">
        <f>'d3'!J153-d3П!J153</f>
        <v>0</v>
      </c>
      <c r="K153" s="325">
        <f>'d3'!K153-d3П!K153</f>
        <v>0</v>
      </c>
      <c r="L153" s="325">
        <f>'d3'!L153-d3П!L153</f>
        <v>0</v>
      </c>
      <c r="M153" s="325">
        <f>'d3'!M153-d3П!M153</f>
        <v>0</v>
      </c>
      <c r="N153" s="325">
        <f>'d3'!N153-d3П!N153</f>
        <v>0</v>
      </c>
      <c r="O153" s="325">
        <f>'d3'!O153-d3П!O153</f>
        <v>0</v>
      </c>
      <c r="P153" s="325">
        <f>'d3'!P153-d3П!P153</f>
        <v>0</v>
      </c>
      <c r="Q153" s="36"/>
      <c r="R153" s="50"/>
    </row>
    <row r="154" spans="1:20" ht="93" thickTop="1" thickBot="1" x14ac:dyDescent="0.25">
      <c r="A154" s="101" t="s">
        <v>481</v>
      </c>
      <c r="B154" s="101" t="s">
        <v>482</v>
      </c>
      <c r="C154" s="101" t="s">
        <v>205</v>
      </c>
      <c r="D154" s="101" t="s">
        <v>483</v>
      </c>
      <c r="E154" s="325">
        <f>'d3'!E154-d3П!E154</f>
        <v>0</v>
      </c>
      <c r="F154" s="325">
        <f>'d3'!F154-d3П!F154</f>
        <v>0</v>
      </c>
      <c r="G154" s="325">
        <f>'d3'!G154-d3П!G154</f>
        <v>0</v>
      </c>
      <c r="H154" s="325">
        <f>'d3'!H154-d3П!H154</f>
        <v>0</v>
      </c>
      <c r="I154" s="325">
        <f>'d3'!I154-d3П!I154</f>
        <v>0</v>
      </c>
      <c r="J154" s="325">
        <f>'d3'!J154-d3П!J154</f>
        <v>0</v>
      </c>
      <c r="K154" s="325">
        <f>'d3'!K154-d3П!K154</f>
        <v>0</v>
      </c>
      <c r="L154" s="325">
        <f>'d3'!L154-d3П!L154</f>
        <v>0</v>
      </c>
      <c r="M154" s="325">
        <f>'d3'!M154-d3П!M154</f>
        <v>0</v>
      </c>
      <c r="N154" s="325">
        <f>'d3'!N154-d3П!N154</f>
        <v>0</v>
      </c>
      <c r="O154" s="325">
        <f>'d3'!O154-d3П!O154</f>
        <v>0</v>
      </c>
      <c r="P154" s="325">
        <f>'d3'!P154-d3П!P154</f>
        <v>0</v>
      </c>
      <c r="Q154" s="20"/>
      <c r="R154" s="50"/>
    </row>
    <row r="155" spans="1:20" s="33" customFormat="1" ht="138.75" thickTop="1" thickBot="1" x14ac:dyDescent="0.25">
      <c r="A155" s="326" t="s">
        <v>732</v>
      </c>
      <c r="B155" s="326" t="s">
        <v>733</v>
      </c>
      <c r="C155" s="326"/>
      <c r="D155" s="326" t="s">
        <v>734</v>
      </c>
      <c r="E155" s="325">
        <f>'d3'!E155-d3П!E155</f>
        <v>-72295.420000001788</v>
      </c>
      <c r="F155" s="325">
        <f>'d3'!F155-d3П!F155</f>
        <v>-72295.420000001788</v>
      </c>
      <c r="G155" s="325">
        <f>'d3'!G155-d3П!G155</f>
        <v>0</v>
      </c>
      <c r="H155" s="325">
        <f>'d3'!H155-d3П!H155</f>
        <v>2531.5799999998417</v>
      </c>
      <c r="I155" s="325">
        <f>'d3'!I155-d3П!I155</f>
        <v>0</v>
      </c>
      <c r="J155" s="325">
        <f>'d3'!J155-d3П!J155</f>
        <v>464719.43999999994</v>
      </c>
      <c r="K155" s="325">
        <f>'d3'!K155-d3П!K155</f>
        <v>464719.44</v>
      </c>
      <c r="L155" s="325">
        <f>'d3'!L155-d3П!L155</f>
        <v>0</v>
      </c>
      <c r="M155" s="325">
        <f>'d3'!M155-d3П!M155</f>
        <v>0</v>
      </c>
      <c r="N155" s="325">
        <f>'d3'!N155-d3П!N155</f>
        <v>0</v>
      </c>
      <c r="O155" s="325">
        <f>'d3'!O155-d3П!O155</f>
        <v>464719.44</v>
      </c>
      <c r="P155" s="325">
        <f>'d3'!P155-d3П!P155</f>
        <v>392424.01999999583</v>
      </c>
      <c r="Q155" s="36"/>
      <c r="R155" s="51"/>
    </row>
    <row r="156" spans="1:20" ht="138.75" thickTop="1" thickBot="1" x14ac:dyDescent="0.25">
      <c r="A156" s="101" t="s">
        <v>267</v>
      </c>
      <c r="B156" s="101" t="s">
        <v>265</v>
      </c>
      <c r="C156" s="101" t="s">
        <v>200</v>
      </c>
      <c r="D156" s="101" t="s">
        <v>17</v>
      </c>
      <c r="E156" s="325">
        <f>'d3'!E156-d3П!E156</f>
        <v>228944.57999999821</v>
      </c>
      <c r="F156" s="325">
        <f>'d3'!F156-d3П!F156</f>
        <v>228944.57999999821</v>
      </c>
      <c r="G156" s="325">
        <f>'d3'!G156-d3П!G156</f>
        <v>0</v>
      </c>
      <c r="H156" s="325">
        <f>'d3'!H156-d3П!H156</f>
        <v>2531.5799999999581</v>
      </c>
      <c r="I156" s="325">
        <f>'d3'!I156-d3П!I156</f>
        <v>0</v>
      </c>
      <c r="J156" s="325">
        <f>'d3'!J156-d3П!J156</f>
        <v>64327</v>
      </c>
      <c r="K156" s="325">
        <f>'d3'!K156-d3П!K156</f>
        <v>64327</v>
      </c>
      <c r="L156" s="325">
        <f>'d3'!L156-d3П!L156</f>
        <v>0</v>
      </c>
      <c r="M156" s="325">
        <f>'d3'!M156-d3П!M156</f>
        <v>0</v>
      </c>
      <c r="N156" s="325">
        <f>'d3'!N156-d3П!N156</f>
        <v>0</v>
      </c>
      <c r="O156" s="325">
        <f>'d3'!O156-d3П!O156</f>
        <v>64327</v>
      </c>
      <c r="P156" s="325">
        <f>'d3'!P156-d3П!P156</f>
        <v>293271.57999999821</v>
      </c>
      <c r="Q156" s="20"/>
      <c r="R156" s="46"/>
    </row>
    <row r="157" spans="1:20" ht="93" thickTop="1" thickBot="1" x14ac:dyDescent="0.25">
      <c r="A157" s="101" t="s">
        <v>268</v>
      </c>
      <c r="B157" s="101" t="s">
        <v>266</v>
      </c>
      <c r="C157" s="101" t="s">
        <v>199</v>
      </c>
      <c r="D157" s="101" t="s">
        <v>455</v>
      </c>
      <c r="E157" s="325">
        <f>'d3'!E157-d3П!E157</f>
        <v>-301240</v>
      </c>
      <c r="F157" s="325">
        <f>'d3'!F157-d3П!F157</f>
        <v>-301240</v>
      </c>
      <c r="G157" s="325">
        <f>'d3'!G157-d3П!G157</f>
        <v>0</v>
      </c>
      <c r="H157" s="325">
        <f>'d3'!H157-d3П!H157</f>
        <v>0</v>
      </c>
      <c r="I157" s="325">
        <f>'d3'!I157-d3П!I157</f>
        <v>0</v>
      </c>
      <c r="J157" s="325">
        <f>'d3'!J157-d3П!J157</f>
        <v>400392.44</v>
      </c>
      <c r="K157" s="325">
        <f>'d3'!K157-d3П!K157</f>
        <v>400392.44</v>
      </c>
      <c r="L157" s="325">
        <f>'d3'!L157-d3П!L157</f>
        <v>0</v>
      </c>
      <c r="M157" s="325">
        <f>'d3'!M157-d3П!M157</f>
        <v>0</v>
      </c>
      <c r="N157" s="325">
        <f>'d3'!N157-d3П!N157</f>
        <v>0</v>
      </c>
      <c r="O157" s="325">
        <f>'d3'!O157-d3П!O157</f>
        <v>400392.44</v>
      </c>
      <c r="P157" s="325">
        <f>'d3'!P157-d3П!P157</f>
        <v>99152.439999999478</v>
      </c>
      <c r="Q157" s="20"/>
      <c r="R157" s="46"/>
    </row>
    <row r="158" spans="1:20" ht="47.25" thickTop="1" thickBot="1" x14ac:dyDescent="0.25">
      <c r="A158" s="326" t="s">
        <v>1021</v>
      </c>
      <c r="B158" s="326" t="s">
        <v>765</v>
      </c>
      <c r="C158" s="326"/>
      <c r="D158" s="326" t="s">
        <v>766</v>
      </c>
      <c r="E158" s="325">
        <f>'d3'!E158-d3П!E158</f>
        <v>430000</v>
      </c>
      <c r="F158" s="325">
        <f>'d3'!F158-d3П!F158</f>
        <v>430000</v>
      </c>
      <c r="G158" s="325">
        <f>'d3'!G158-d3П!G158</f>
        <v>0</v>
      </c>
      <c r="H158" s="325">
        <f>'d3'!H158-d3П!H158</f>
        <v>0</v>
      </c>
      <c r="I158" s="325">
        <f>'d3'!I158-d3П!I158</f>
        <v>0</v>
      </c>
      <c r="J158" s="325">
        <f>'d3'!J158-d3П!J158</f>
        <v>0</v>
      </c>
      <c r="K158" s="325">
        <f>'d3'!K158-d3П!K158</f>
        <v>0</v>
      </c>
      <c r="L158" s="325">
        <f>'d3'!L158-d3П!L158</f>
        <v>0</v>
      </c>
      <c r="M158" s="325">
        <f>'d3'!M158-d3П!M158</f>
        <v>0</v>
      </c>
      <c r="N158" s="325">
        <f>'d3'!N158-d3П!N158</f>
        <v>0</v>
      </c>
      <c r="O158" s="325">
        <f>'d3'!O158-d3П!O158</f>
        <v>0</v>
      </c>
      <c r="P158" s="325">
        <f>'d3'!P158-d3П!P158</f>
        <v>430000</v>
      </c>
      <c r="Q158" s="20"/>
      <c r="R158" s="46"/>
    </row>
    <row r="159" spans="1:20" ht="47.25" thickTop="1" thickBot="1" x14ac:dyDescent="0.25">
      <c r="A159" s="101" t="s">
        <v>1215</v>
      </c>
      <c r="B159" s="101" t="s">
        <v>184</v>
      </c>
      <c r="C159" s="101" t="s">
        <v>185</v>
      </c>
      <c r="D159" s="101" t="s">
        <v>638</v>
      </c>
      <c r="E159" s="325">
        <f>'d3'!E159-d3П!E159</f>
        <v>208000</v>
      </c>
      <c r="F159" s="325">
        <f>'d3'!F159-d3П!F159</f>
        <v>208000</v>
      </c>
      <c r="G159" s="325">
        <f>'d3'!G159-d3П!G159</f>
        <v>0</v>
      </c>
      <c r="H159" s="325">
        <f>'d3'!H159-d3П!H159</f>
        <v>0</v>
      </c>
      <c r="I159" s="325">
        <f>'d3'!I159-d3П!I159</f>
        <v>0</v>
      </c>
      <c r="J159" s="325">
        <f>'d3'!J159-d3П!J159</f>
        <v>0</v>
      </c>
      <c r="K159" s="325">
        <f>'d3'!K159-d3П!K159</f>
        <v>0</v>
      </c>
      <c r="L159" s="325">
        <f>'d3'!L159-d3П!L159</f>
        <v>0</v>
      </c>
      <c r="M159" s="325">
        <f>'d3'!M159-d3П!M159</f>
        <v>0</v>
      </c>
      <c r="N159" s="325">
        <f>'d3'!N159-d3П!N159</f>
        <v>0</v>
      </c>
      <c r="O159" s="325">
        <f>'d3'!O159-d3П!O159</f>
        <v>0</v>
      </c>
      <c r="P159" s="325">
        <f>'d3'!P159-d3П!P159</f>
        <v>208000</v>
      </c>
      <c r="Q159" s="20"/>
      <c r="R159" s="46"/>
    </row>
    <row r="160" spans="1:20" ht="138.75" thickTop="1" thickBot="1" x14ac:dyDescent="0.25">
      <c r="A160" s="706" t="s">
        <v>1022</v>
      </c>
      <c r="B160" s="706" t="s">
        <v>1023</v>
      </c>
      <c r="C160" s="706" t="s">
        <v>185</v>
      </c>
      <c r="D160" s="706" t="s">
        <v>1024</v>
      </c>
      <c r="E160" s="325">
        <f>'d3'!E160-0</f>
        <v>222000</v>
      </c>
      <c r="F160" s="325">
        <f>'d3'!F160-0</f>
        <v>222000</v>
      </c>
      <c r="G160" s="325">
        <f>'d3'!G160-0</f>
        <v>0</v>
      </c>
      <c r="H160" s="325">
        <f>'d3'!H160-0</f>
        <v>0</v>
      </c>
      <c r="I160" s="325">
        <f>'d3'!I160-0</f>
        <v>0</v>
      </c>
      <c r="J160" s="325">
        <f>'d3'!J160-0</f>
        <v>0</v>
      </c>
      <c r="K160" s="325">
        <f>'d3'!K160-0</f>
        <v>0</v>
      </c>
      <c r="L160" s="325">
        <f>'d3'!L160-0</f>
        <v>0</v>
      </c>
      <c r="M160" s="325">
        <f>'d3'!M160-0</f>
        <v>0</v>
      </c>
      <c r="N160" s="325">
        <f>'d3'!N160-0</f>
        <v>0</v>
      </c>
      <c r="O160" s="325">
        <f>'d3'!O160-0</f>
        <v>0</v>
      </c>
      <c r="P160" s="325">
        <f>'d3'!P160-0</f>
        <v>222000</v>
      </c>
      <c r="Q160" s="20"/>
      <c r="R160" s="46"/>
    </row>
    <row r="161" spans="1:18" ht="184.5" thickTop="1" thickBot="1" x14ac:dyDescent="0.25">
      <c r="A161" s="101" t="s">
        <v>263</v>
      </c>
      <c r="B161" s="101" t="s">
        <v>264</v>
      </c>
      <c r="C161" s="101" t="s">
        <v>199</v>
      </c>
      <c r="D161" s="101" t="s">
        <v>453</v>
      </c>
      <c r="E161" s="325">
        <f>'d3'!E161-d3П!E160</f>
        <v>0</v>
      </c>
      <c r="F161" s="325">
        <f>'d3'!F161-d3П!F160</f>
        <v>0</v>
      </c>
      <c r="G161" s="325">
        <f>'d3'!G161-d3П!G160</f>
        <v>0</v>
      </c>
      <c r="H161" s="325">
        <f>'d3'!H161-d3П!H160</f>
        <v>0</v>
      </c>
      <c r="I161" s="325">
        <f>'d3'!I161-d3П!I160</f>
        <v>0</v>
      </c>
      <c r="J161" s="325">
        <f>'d3'!J161-d3П!J160</f>
        <v>0</v>
      </c>
      <c r="K161" s="325">
        <f>'d3'!K161-d3П!K160</f>
        <v>0</v>
      </c>
      <c r="L161" s="325">
        <f>'d3'!L161-d3П!L160</f>
        <v>0</v>
      </c>
      <c r="M161" s="325">
        <f>'d3'!M161-d3П!M160</f>
        <v>0</v>
      </c>
      <c r="N161" s="325">
        <f>'d3'!N161-d3П!N160</f>
        <v>0</v>
      </c>
      <c r="O161" s="325">
        <f>'d3'!O161-d3П!O160</f>
        <v>0</v>
      </c>
      <c r="P161" s="325">
        <f>'d3'!P161-d3П!P160</f>
        <v>0</v>
      </c>
      <c r="Q161" s="20"/>
      <c r="R161" s="50"/>
    </row>
    <row r="162" spans="1:18" ht="47.25" thickTop="1" thickBot="1" x14ac:dyDescent="0.25">
      <c r="A162" s="326" t="s">
        <v>881</v>
      </c>
      <c r="B162" s="326" t="s">
        <v>882</v>
      </c>
      <c r="C162" s="326"/>
      <c r="D162" s="326" t="s">
        <v>883</v>
      </c>
      <c r="E162" s="325">
        <f>'d3'!E162-d3П!E161</f>
        <v>0</v>
      </c>
      <c r="F162" s="325">
        <f>'d3'!F162-d3П!F161</f>
        <v>0</v>
      </c>
      <c r="G162" s="325">
        <f>'d3'!G162-d3П!G161</f>
        <v>0</v>
      </c>
      <c r="H162" s="325">
        <f>'d3'!H162-d3П!H161</f>
        <v>0</v>
      </c>
      <c r="I162" s="325">
        <f>'d3'!I162-d3П!I161</f>
        <v>0</v>
      </c>
      <c r="J162" s="325">
        <f>'d3'!J162-d3П!J161</f>
        <v>0</v>
      </c>
      <c r="K162" s="325">
        <f>'d3'!K162-d3П!K161</f>
        <v>0</v>
      </c>
      <c r="L162" s="325">
        <f>'d3'!L162-d3П!L161</f>
        <v>0</v>
      </c>
      <c r="M162" s="325">
        <f>'d3'!M162-d3П!M161</f>
        <v>0</v>
      </c>
      <c r="N162" s="325">
        <f>'d3'!N162-d3П!N161</f>
        <v>0</v>
      </c>
      <c r="O162" s="325">
        <f>'d3'!O162-d3П!O161</f>
        <v>0</v>
      </c>
      <c r="P162" s="325">
        <f>'d3'!P162-d3П!P161</f>
        <v>0</v>
      </c>
      <c r="Q162" s="20"/>
      <c r="R162" s="50"/>
    </row>
    <row r="163" spans="1:18" ht="93" thickTop="1" thickBot="1" x14ac:dyDescent="0.25">
      <c r="A163" s="101" t="s">
        <v>484</v>
      </c>
      <c r="B163" s="101" t="s">
        <v>485</v>
      </c>
      <c r="C163" s="101" t="s">
        <v>199</v>
      </c>
      <c r="D163" s="101" t="s">
        <v>486</v>
      </c>
      <c r="E163" s="325">
        <f>'d3'!E163-d3П!E162</f>
        <v>0</v>
      </c>
      <c r="F163" s="325">
        <f>'d3'!F163-d3П!F162</f>
        <v>0</v>
      </c>
      <c r="G163" s="325">
        <f>'d3'!G163-d3П!G162</f>
        <v>0</v>
      </c>
      <c r="H163" s="325">
        <f>'d3'!H163-d3П!H162</f>
        <v>0</v>
      </c>
      <c r="I163" s="325">
        <f>'d3'!I163-d3П!I162</f>
        <v>0</v>
      </c>
      <c r="J163" s="325">
        <f>'d3'!J163-d3П!J162</f>
        <v>0</v>
      </c>
      <c r="K163" s="325">
        <f>'d3'!K163-d3П!K162</f>
        <v>0</v>
      </c>
      <c r="L163" s="325">
        <f>'d3'!L163-d3П!L162</f>
        <v>0</v>
      </c>
      <c r="M163" s="325">
        <f>'d3'!M163-d3П!M162</f>
        <v>0</v>
      </c>
      <c r="N163" s="325">
        <f>'d3'!N163-d3П!N162</f>
        <v>0</v>
      </c>
      <c r="O163" s="325">
        <f>'d3'!O163-d3П!O162</f>
        <v>0</v>
      </c>
      <c r="P163" s="325">
        <f>'d3'!P163-d3П!P162</f>
        <v>0</v>
      </c>
      <c r="Q163" s="20"/>
      <c r="R163" s="50"/>
    </row>
    <row r="164" spans="1:18" ht="138.75" thickTop="1" thickBot="1" x14ac:dyDescent="0.25">
      <c r="A164" s="101" t="s">
        <v>348</v>
      </c>
      <c r="B164" s="101" t="s">
        <v>347</v>
      </c>
      <c r="C164" s="101" t="s">
        <v>50</v>
      </c>
      <c r="D164" s="101" t="s">
        <v>454</v>
      </c>
      <c r="E164" s="325">
        <f>'d3'!E164-d3П!E163</f>
        <v>0</v>
      </c>
      <c r="F164" s="325">
        <f>'d3'!F164-d3П!F163</f>
        <v>0</v>
      </c>
      <c r="G164" s="325">
        <f>'d3'!G164-d3П!G163</f>
        <v>0</v>
      </c>
      <c r="H164" s="325">
        <f>'d3'!H164-d3П!H163</f>
        <v>0</v>
      </c>
      <c r="I164" s="325">
        <f>'d3'!I164-d3П!I163</f>
        <v>0</v>
      </c>
      <c r="J164" s="325">
        <f>'d3'!J164-d3П!J163</f>
        <v>0</v>
      </c>
      <c r="K164" s="325">
        <f>'d3'!K164-d3П!K163</f>
        <v>0</v>
      </c>
      <c r="L164" s="325">
        <f>'d3'!L164-d3П!L163</f>
        <v>0</v>
      </c>
      <c r="M164" s="325">
        <f>'d3'!M164-d3П!M163</f>
        <v>0</v>
      </c>
      <c r="N164" s="325">
        <f>'d3'!N164-d3П!N163</f>
        <v>0</v>
      </c>
      <c r="O164" s="325">
        <f>'d3'!O164-d3П!O163</f>
        <v>0</v>
      </c>
      <c r="P164" s="325">
        <f>'d3'!P164-d3П!P163</f>
        <v>0</v>
      </c>
      <c r="Q164" s="20"/>
      <c r="R164" s="50"/>
    </row>
    <row r="165" spans="1:18" s="33" customFormat="1" ht="47.25" thickTop="1" thickBot="1" x14ac:dyDescent="0.25">
      <c r="A165" s="326" t="s">
        <v>735</v>
      </c>
      <c r="B165" s="326" t="s">
        <v>736</v>
      </c>
      <c r="C165" s="326"/>
      <c r="D165" s="326" t="s">
        <v>737</v>
      </c>
      <c r="E165" s="325">
        <f>'d3'!E165-d3П!E164</f>
        <v>0</v>
      </c>
      <c r="F165" s="325">
        <f>'d3'!F165-d3П!F164</f>
        <v>0</v>
      </c>
      <c r="G165" s="325">
        <f>'d3'!G165-d3П!G164</f>
        <v>0</v>
      </c>
      <c r="H165" s="325">
        <f>'d3'!H165-d3П!H164</f>
        <v>0</v>
      </c>
      <c r="I165" s="325">
        <f>'d3'!I165-d3П!I164</f>
        <v>0</v>
      </c>
      <c r="J165" s="325">
        <f>'d3'!J165-d3П!J164</f>
        <v>0</v>
      </c>
      <c r="K165" s="325">
        <f>'d3'!K165-d3П!K164</f>
        <v>0</v>
      </c>
      <c r="L165" s="325">
        <f>'d3'!L165-d3П!L164</f>
        <v>0</v>
      </c>
      <c r="M165" s="325">
        <f>'d3'!M165-d3П!M164</f>
        <v>0</v>
      </c>
      <c r="N165" s="325">
        <f>'d3'!N165-d3П!N164</f>
        <v>0</v>
      </c>
      <c r="O165" s="325">
        <f>'d3'!O165-d3П!O164</f>
        <v>0</v>
      </c>
      <c r="P165" s="325">
        <f>'d3'!P165-d3П!P164</f>
        <v>0</v>
      </c>
      <c r="Q165" s="36"/>
      <c r="R165" s="51"/>
    </row>
    <row r="166" spans="1:18" ht="93" thickTop="1" thickBot="1" x14ac:dyDescent="0.25">
      <c r="A166" s="101" t="s">
        <v>325</v>
      </c>
      <c r="B166" s="101" t="s">
        <v>326</v>
      </c>
      <c r="C166" s="101" t="s">
        <v>205</v>
      </c>
      <c r="D166" s="101" t="s">
        <v>635</v>
      </c>
      <c r="E166" s="325">
        <f>'d3'!E166-d3П!E165</f>
        <v>0</v>
      </c>
      <c r="F166" s="325">
        <f>'d3'!F166-d3П!F165</f>
        <v>0</v>
      </c>
      <c r="G166" s="325">
        <f>'d3'!G166-d3П!G165</f>
        <v>0</v>
      </c>
      <c r="H166" s="325">
        <f>'d3'!H166-d3П!H165</f>
        <v>0</v>
      </c>
      <c r="I166" s="325">
        <f>'d3'!I166-d3П!I165</f>
        <v>0</v>
      </c>
      <c r="J166" s="325">
        <f>'d3'!J166-d3П!J165</f>
        <v>0</v>
      </c>
      <c r="K166" s="325">
        <f>'d3'!K166-d3П!K165</f>
        <v>0</v>
      </c>
      <c r="L166" s="325">
        <f>'d3'!L166-d3П!L165</f>
        <v>0</v>
      </c>
      <c r="M166" s="325">
        <f>'d3'!M166-d3П!M165</f>
        <v>0</v>
      </c>
      <c r="N166" s="325">
        <f>'d3'!N166-d3П!N165</f>
        <v>0</v>
      </c>
      <c r="O166" s="325">
        <f>'d3'!O166-d3П!O165</f>
        <v>0</v>
      </c>
      <c r="P166" s="325">
        <f>'d3'!P166-d3П!P165</f>
        <v>0</v>
      </c>
      <c r="Q166" s="20"/>
      <c r="R166" s="50"/>
    </row>
    <row r="167" spans="1:18" ht="47.25" thickTop="1" thickBot="1" x14ac:dyDescent="0.25">
      <c r="A167" s="101" t="s">
        <v>428</v>
      </c>
      <c r="B167" s="101" t="s">
        <v>372</v>
      </c>
      <c r="C167" s="101" t="s">
        <v>373</v>
      </c>
      <c r="D167" s="101" t="s">
        <v>371</v>
      </c>
      <c r="E167" s="325">
        <f>'d3'!E167-d3П!E166</f>
        <v>0</v>
      </c>
      <c r="F167" s="325">
        <f>'d3'!F167-d3П!F166</f>
        <v>0</v>
      </c>
      <c r="G167" s="325">
        <f>'d3'!G167-d3П!G166</f>
        <v>0</v>
      </c>
      <c r="H167" s="325">
        <f>'d3'!H167-d3П!H166</f>
        <v>0</v>
      </c>
      <c r="I167" s="325">
        <f>'d3'!I167-d3П!I166</f>
        <v>0</v>
      </c>
      <c r="J167" s="325">
        <f>'d3'!J167-d3П!J166</f>
        <v>0</v>
      </c>
      <c r="K167" s="325">
        <f>'d3'!K167-d3П!K166</f>
        <v>0</v>
      </c>
      <c r="L167" s="325">
        <f>'d3'!L167-d3П!L166</f>
        <v>0</v>
      </c>
      <c r="M167" s="325">
        <f>'d3'!M167-d3П!M166</f>
        <v>0</v>
      </c>
      <c r="N167" s="325">
        <f>'d3'!N167-d3П!N166</f>
        <v>0</v>
      </c>
      <c r="O167" s="325">
        <f>'d3'!O167-d3П!O166</f>
        <v>0</v>
      </c>
      <c r="P167" s="325">
        <f>'d3'!P167-d3П!P166</f>
        <v>0</v>
      </c>
      <c r="Q167" s="20"/>
      <c r="R167" s="50"/>
    </row>
    <row r="168" spans="1:18" ht="93" thickTop="1" thickBot="1" x14ac:dyDescent="0.25">
      <c r="A168" s="326" t="s">
        <v>1059</v>
      </c>
      <c r="B168" s="326" t="s">
        <v>1060</v>
      </c>
      <c r="C168" s="326"/>
      <c r="D168" s="326" t="s">
        <v>1058</v>
      </c>
      <c r="E168" s="325">
        <f>'d3'!E168-d3П!E167</f>
        <v>0</v>
      </c>
      <c r="F168" s="325">
        <f>'d3'!F168-d3П!F167</f>
        <v>0</v>
      </c>
      <c r="G168" s="325">
        <f>'d3'!G168-d3П!G167</f>
        <v>0</v>
      </c>
      <c r="H168" s="325">
        <f>'d3'!H168-d3П!H167</f>
        <v>0</v>
      </c>
      <c r="I168" s="325">
        <f>'d3'!I168-d3П!I167</f>
        <v>0</v>
      </c>
      <c r="J168" s="325">
        <f>'d3'!J168-d3П!J167</f>
        <v>121582175</v>
      </c>
      <c r="K168" s="325">
        <f>'d3'!K168-d3П!K167</f>
        <v>121582175</v>
      </c>
      <c r="L168" s="325">
        <f>'d3'!L168-d3П!L167</f>
        <v>0</v>
      </c>
      <c r="M168" s="325">
        <f>'d3'!M168-d3П!M167</f>
        <v>0</v>
      </c>
      <c r="N168" s="325">
        <f>'d3'!N168-d3П!N167</f>
        <v>0</v>
      </c>
      <c r="O168" s="325">
        <f>'d3'!O168-d3П!O167</f>
        <v>121582175</v>
      </c>
      <c r="P168" s="325">
        <f>'d3'!P168-d3П!P167</f>
        <v>121582175</v>
      </c>
      <c r="Q168" s="20"/>
      <c r="R168" s="50"/>
    </row>
    <row r="169" spans="1:18" ht="183.75" thickTop="1" x14ac:dyDescent="0.65">
      <c r="A169" s="773" t="s">
        <v>1061</v>
      </c>
      <c r="B169" s="773" t="s">
        <v>1062</v>
      </c>
      <c r="C169" s="773" t="s">
        <v>50</v>
      </c>
      <c r="D169" s="702" t="s">
        <v>1430</v>
      </c>
      <c r="E169" s="751">
        <f>'d3'!E169-d3П!E168</f>
        <v>0</v>
      </c>
      <c r="F169" s="751">
        <f>'d3'!F169-d3П!F168</f>
        <v>0</v>
      </c>
      <c r="G169" s="751">
        <f>'d3'!G169-d3П!G168</f>
        <v>0</v>
      </c>
      <c r="H169" s="751">
        <f>'d3'!H169-d3П!H168</f>
        <v>0</v>
      </c>
      <c r="I169" s="751">
        <f>'d3'!I169-d3П!I168</f>
        <v>0</v>
      </c>
      <c r="J169" s="751">
        <f>'d3'!J169-d3П!J168</f>
        <v>82535515</v>
      </c>
      <c r="K169" s="751">
        <f>'d3'!K169-d3П!K168</f>
        <v>82535515</v>
      </c>
      <c r="L169" s="751">
        <f>'d3'!L169-d3П!L168</f>
        <v>0</v>
      </c>
      <c r="M169" s="751">
        <f>'d3'!M169-d3П!M168</f>
        <v>0</v>
      </c>
      <c r="N169" s="751">
        <f>'d3'!N169-d3П!N168</f>
        <v>0</v>
      </c>
      <c r="O169" s="751">
        <f>'d3'!O169-d3П!O168</f>
        <v>82535515</v>
      </c>
      <c r="P169" s="751">
        <f>'d3'!P169-d3П!P168</f>
        <v>82535515</v>
      </c>
      <c r="Q169" s="784"/>
      <c r="R169" s="791"/>
    </row>
    <row r="170" spans="1:18" ht="204.75" customHeight="1" x14ac:dyDescent="0.2">
      <c r="A170" s="774"/>
      <c r="B170" s="774"/>
      <c r="C170" s="774"/>
      <c r="D170" s="703" t="s">
        <v>1431</v>
      </c>
      <c r="E170" s="917"/>
      <c r="F170" s="917">
        <f>'d3'!F170-d3П!F169</f>
        <v>0</v>
      </c>
      <c r="G170" s="917">
        <f>'d3'!G170-d3П!G169</f>
        <v>0</v>
      </c>
      <c r="H170" s="917">
        <f>'d3'!H170-d3П!H169</f>
        <v>0</v>
      </c>
      <c r="I170" s="917">
        <f>'d3'!I170-d3П!I169</f>
        <v>0</v>
      </c>
      <c r="J170" s="917">
        <f>'d3'!J170-d3П!J169</f>
        <v>0</v>
      </c>
      <c r="K170" s="917">
        <f>'d3'!K170-d3П!K169</f>
        <v>0</v>
      </c>
      <c r="L170" s="917">
        <f>'d3'!L170-d3П!L169</f>
        <v>0</v>
      </c>
      <c r="M170" s="917">
        <f>'d3'!M170-d3П!M169</f>
        <v>0</v>
      </c>
      <c r="N170" s="917">
        <f>'d3'!N170-d3П!N169</f>
        <v>0</v>
      </c>
      <c r="O170" s="917">
        <f>'d3'!O170-d3П!O169</f>
        <v>0</v>
      </c>
      <c r="P170" s="917">
        <f>'d3'!P170-d3П!P169</f>
        <v>0</v>
      </c>
      <c r="Q170" s="784"/>
      <c r="R170" s="792"/>
    </row>
    <row r="171" spans="1:18" ht="180" customHeight="1" x14ac:dyDescent="0.2">
      <c r="A171" s="774"/>
      <c r="B171" s="774"/>
      <c r="C171" s="774"/>
      <c r="D171" s="703" t="s">
        <v>1432</v>
      </c>
      <c r="E171" s="917"/>
      <c r="F171" s="917">
        <f>'d3'!F171-d3П!F170</f>
        <v>0</v>
      </c>
      <c r="G171" s="917">
        <f>'d3'!G171-d3П!G170</f>
        <v>0</v>
      </c>
      <c r="H171" s="917">
        <f>'d3'!H171-d3П!H170</f>
        <v>0</v>
      </c>
      <c r="I171" s="917">
        <f>'d3'!I171-d3П!I170</f>
        <v>0</v>
      </c>
      <c r="J171" s="917">
        <f>'d3'!J171-d3П!J170</f>
        <v>0</v>
      </c>
      <c r="K171" s="917">
        <f>'d3'!K171-d3П!K170</f>
        <v>0</v>
      </c>
      <c r="L171" s="917">
        <f>'d3'!L171-d3П!L170</f>
        <v>0</v>
      </c>
      <c r="M171" s="917">
        <f>'d3'!M171-d3П!M170</f>
        <v>0</v>
      </c>
      <c r="N171" s="917">
        <f>'d3'!N171-d3П!N170</f>
        <v>0</v>
      </c>
      <c r="O171" s="917">
        <f>'d3'!O171-d3П!O170</f>
        <v>0</v>
      </c>
      <c r="P171" s="917">
        <f>'d3'!P171-d3П!P170</f>
        <v>0</v>
      </c>
      <c r="Q171" s="784"/>
      <c r="R171" s="792"/>
    </row>
    <row r="172" spans="1:18" ht="117" customHeight="1" thickBot="1" x14ac:dyDescent="0.25">
      <c r="A172" s="775"/>
      <c r="B172" s="775"/>
      <c r="C172" s="775"/>
      <c r="D172" s="704" t="s">
        <v>1433</v>
      </c>
      <c r="E172" s="752"/>
      <c r="F172" s="752">
        <f>'d3'!F172-d3П!F171</f>
        <v>0</v>
      </c>
      <c r="G172" s="752">
        <f>'d3'!G172-d3П!G171</f>
        <v>0</v>
      </c>
      <c r="H172" s="752">
        <f>'d3'!H172-d3П!H171</f>
        <v>0</v>
      </c>
      <c r="I172" s="752">
        <f>'d3'!I172-d3П!I171</f>
        <v>0</v>
      </c>
      <c r="J172" s="752">
        <f>'d3'!J172-d3П!J171</f>
        <v>0</v>
      </c>
      <c r="K172" s="752">
        <f>'d3'!K172-d3П!K171</f>
        <v>0</v>
      </c>
      <c r="L172" s="752">
        <f>'d3'!L172-d3П!L171</f>
        <v>0</v>
      </c>
      <c r="M172" s="752">
        <f>'d3'!M172-d3П!M171</f>
        <v>0</v>
      </c>
      <c r="N172" s="752">
        <f>'d3'!N172-d3П!N171</f>
        <v>0</v>
      </c>
      <c r="O172" s="752">
        <f>'d3'!O172-d3П!O171</f>
        <v>0</v>
      </c>
      <c r="P172" s="752">
        <f>'d3'!P172-d3П!P171</f>
        <v>0</v>
      </c>
      <c r="Q172" s="784"/>
      <c r="R172" s="792"/>
    </row>
    <row r="173" spans="1:18" ht="183.75" thickTop="1" x14ac:dyDescent="0.65">
      <c r="A173" s="773" t="s">
        <v>1064</v>
      </c>
      <c r="B173" s="773" t="s">
        <v>1065</v>
      </c>
      <c r="C173" s="773" t="s">
        <v>50</v>
      </c>
      <c r="D173" s="702" t="s">
        <v>1063</v>
      </c>
      <c r="E173" s="751">
        <f>'d3'!E173-d3П!E172</f>
        <v>0</v>
      </c>
      <c r="F173" s="751">
        <f>'d3'!F173-d3П!F172</f>
        <v>0</v>
      </c>
      <c r="G173" s="751">
        <f>'d3'!G173-d3П!G172</f>
        <v>0</v>
      </c>
      <c r="H173" s="751">
        <f>'d3'!H173-d3П!H172</f>
        <v>0</v>
      </c>
      <c r="I173" s="751">
        <f>'d3'!I173-d3П!I172</f>
        <v>0</v>
      </c>
      <c r="J173" s="751">
        <f>'d3'!J173-d3П!J172</f>
        <v>29419182</v>
      </c>
      <c r="K173" s="751">
        <f>'d3'!K173-d3П!K172</f>
        <v>29419182</v>
      </c>
      <c r="L173" s="751">
        <f>'d3'!L173-d3П!L172</f>
        <v>0</v>
      </c>
      <c r="M173" s="751">
        <f>'d3'!M173-d3П!M172</f>
        <v>0</v>
      </c>
      <c r="N173" s="751">
        <f>'d3'!N173-d3П!N172</f>
        <v>0</v>
      </c>
      <c r="O173" s="751">
        <f>'d3'!O173-d3П!O172</f>
        <v>29419182</v>
      </c>
      <c r="P173" s="751">
        <f>'d3'!P173-d3П!P172</f>
        <v>29419182</v>
      </c>
      <c r="Q173" s="20"/>
      <c r="R173" s="791"/>
    </row>
    <row r="174" spans="1:18" ht="204.75" customHeight="1" x14ac:dyDescent="0.2">
      <c r="A174" s="774"/>
      <c r="B174" s="774"/>
      <c r="C174" s="774"/>
      <c r="D174" s="703" t="s">
        <v>1434</v>
      </c>
      <c r="E174" s="917"/>
      <c r="F174" s="917">
        <f>'d3'!F174-d3П!F173</f>
        <v>0</v>
      </c>
      <c r="G174" s="917">
        <f>'d3'!G174-d3П!G173</f>
        <v>0</v>
      </c>
      <c r="H174" s="917">
        <f>'d3'!H174-d3П!H173</f>
        <v>0</v>
      </c>
      <c r="I174" s="917">
        <f>'d3'!I174-d3П!I173</f>
        <v>0</v>
      </c>
      <c r="J174" s="917">
        <f>'d3'!J174-d3П!J173</f>
        <v>0</v>
      </c>
      <c r="K174" s="917">
        <f>'d3'!K174-d3П!K173</f>
        <v>0</v>
      </c>
      <c r="L174" s="917">
        <f>'d3'!L174-d3П!L173</f>
        <v>0</v>
      </c>
      <c r="M174" s="917">
        <f>'d3'!M174-d3П!M173</f>
        <v>0</v>
      </c>
      <c r="N174" s="917">
        <f>'d3'!N174-d3П!N173</f>
        <v>0</v>
      </c>
      <c r="O174" s="917">
        <f>'d3'!O174-d3П!O173</f>
        <v>0</v>
      </c>
      <c r="P174" s="917">
        <f>'d3'!P174-d3П!P173</f>
        <v>0</v>
      </c>
      <c r="Q174" s="20"/>
      <c r="R174" s="793"/>
    </row>
    <row r="175" spans="1:18" ht="201.75" customHeight="1" x14ac:dyDescent="0.2">
      <c r="A175" s="774"/>
      <c r="B175" s="774"/>
      <c r="C175" s="774"/>
      <c r="D175" s="703" t="s">
        <v>1435</v>
      </c>
      <c r="E175" s="917"/>
      <c r="F175" s="917">
        <f>'d3'!F175-d3П!F174</f>
        <v>0</v>
      </c>
      <c r="G175" s="917">
        <f>'d3'!G175-d3П!G174</f>
        <v>0</v>
      </c>
      <c r="H175" s="917">
        <f>'d3'!H175-d3П!H174</f>
        <v>0</v>
      </c>
      <c r="I175" s="917">
        <f>'d3'!I175-d3П!I174</f>
        <v>0</v>
      </c>
      <c r="J175" s="917">
        <f>'d3'!J175-d3П!J174</f>
        <v>0</v>
      </c>
      <c r="K175" s="917">
        <f>'d3'!K175-d3П!K174</f>
        <v>0</v>
      </c>
      <c r="L175" s="917">
        <f>'d3'!L175-d3П!L174</f>
        <v>0</v>
      </c>
      <c r="M175" s="917">
        <f>'d3'!M175-d3П!M174</f>
        <v>0</v>
      </c>
      <c r="N175" s="917">
        <f>'d3'!N175-d3П!N174</f>
        <v>0</v>
      </c>
      <c r="O175" s="917">
        <f>'d3'!O175-d3П!O174</f>
        <v>0</v>
      </c>
      <c r="P175" s="917">
        <f>'d3'!P175-d3П!P174</f>
        <v>0</v>
      </c>
      <c r="Q175" s="20"/>
      <c r="R175" s="793"/>
    </row>
    <row r="176" spans="1:18" ht="111" customHeight="1" thickBot="1" x14ac:dyDescent="0.25">
      <c r="A176" s="775"/>
      <c r="B176" s="775"/>
      <c r="C176" s="775"/>
      <c r="D176" s="704" t="s">
        <v>1436</v>
      </c>
      <c r="E176" s="752"/>
      <c r="F176" s="752">
        <f>'d3'!F176-d3П!F175</f>
        <v>0</v>
      </c>
      <c r="G176" s="752">
        <f>'d3'!G176-d3П!G175</f>
        <v>0</v>
      </c>
      <c r="H176" s="752">
        <f>'d3'!H176-d3П!H175</f>
        <v>0</v>
      </c>
      <c r="I176" s="752">
        <f>'d3'!I176-d3П!I175</f>
        <v>0</v>
      </c>
      <c r="J176" s="752">
        <f>'d3'!J176-d3П!J175</f>
        <v>0</v>
      </c>
      <c r="K176" s="752">
        <f>'d3'!K176-d3П!K175</f>
        <v>0</v>
      </c>
      <c r="L176" s="752">
        <f>'d3'!L176-d3П!L175</f>
        <v>0</v>
      </c>
      <c r="M176" s="752">
        <f>'d3'!M176-d3П!M175</f>
        <v>0</v>
      </c>
      <c r="N176" s="752">
        <f>'d3'!N176-d3П!N175</f>
        <v>0</v>
      </c>
      <c r="O176" s="752">
        <f>'d3'!O176-d3П!O175</f>
        <v>0</v>
      </c>
      <c r="P176" s="752">
        <f>'d3'!P176-d3П!P175</f>
        <v>0</v>
      </c>
      <c r="Q176" s="20"/>
      <c r="R176" s="793"/>
    </row>
    <row r="177" spans="1:18" ht="183.75" thickTop="1" x14ac:dyDescent="0.65">
      <c r="A177" s="773" t="s">
        <v>1066</v>
      </c>
      <c r="B177" s="773" t="s">
        <v>1067</v>
      </c>
      <c r="C177" s="773" t="s">
        <v>50</v>
      </c>
      <c r="D177" s="702" t="s">
        <v>1437</v>
      </c>
      <c r="E177" s="751">
        <f>'d3'!E177-d3П!E176</f>
        <v>0</v>
      </c>
      <c r="F177" s="751">
        <f>'d3'!F177-d3П!F176</f>
        <v>0</v>
      </c>
      <c r="G177" s="751">
        <f>'d3'!G177-d3П!G176</f>
        <v>0</v>
      </c>
      <c r="H177" s="751">
        <f>'d3'!H177-d3П!H176</f>
        <v>0</v>
      </c>
      <c r="I177" s="751">
        <f>'d3'!I177-d3П!I176</f>
        <v>0</v>
      </c>
      <c r="J177" s="751">
        <f>'d3'!J177-d3П!J176</f>
        <v>9627478</v>
      </c>
      <c r="K177" s="751">
        <f>'d3'!K177-d3П!K176</f>
        <v>9627478</v>
      </c>
      <c r="L177" s="751">
        <f>'d3'!L177-d3П!L176</f>
        <v>0</v>
      </c>
      <c r="M177" s="751">
        <f>'d3'!M177-d3П!M176</f>
        <v>0</v>
      </c>
      <c r="N177" s="751">
        <f>'d3'!N177-d3П!N176</f>
        <v>0</v>
      </c>
      <c r="O177" s="751">
        <f>'d3'!O177-d3П!O176</f>
        <v>9627478</v>
      </c>
      <c r="P177" s="751">
        <f>'d3'!P177-d3П!P176</f>
        <v>9627478</v>
      </c>
      <c r="Q177" s="20"/>
      <c r="R177" s="791"/>
    </row>
    <row r="178" spans="1:18" ht="183" x14ac:dyDescent="0.2">
      <c r="A178" s="774"/>
      <c r="B178" s="774"/>
      <c r="C178" s="774"/>
      <c r="D178" s="703" t="s">
        <v>1438</v>
      </c>
      <c r="E178" s="917"/>
      <c r="F178" s="917">
        <f>'d3'!F178-d3П!F177</f>
        <v>0</v>
      </c>
      <c r="G178" s="917">
        <f>'d3'!G178-d3П!G177</f>
        <v>0</v>
      </c>
      <c r="H178" s="917">
        <f>'d3'!H178-d3П!H177</f>
        <v>0</v>
      </c>
      <c r="I178" s="917">
        <f>'d3'!I178-d3П!I177</f>
        <v>0</v>
      </c>
      <c r="J178" s="917">
        <f>'d3'!J178-d3П!J177</f>
        <v>0</v>
      </c>
      <c r="K178" s="917">
        <f>'d3'!K178-d3П!K177</f>
        <v>0</v>
      </c>
      <c r="L178" s="917">
        <f>'d3'!L178-d3П!L177</f>
        <v>0</v>
      </c>
      <c r="M178" s="917">
        <f>'d3'!M178-d3П!M177</f>
        <v>0</v>
      </c>
      <c r="N178" s="917">
        <f>'d3'!N178-d3П!N177</f>
        <v>0</v>
      </c>
      <c r="O178" s="917">
        <f>'d3'!O178-d3П!O177</f>
        <v>0</v>
      </c>
      <c r="P178" s="917">
        <f>'d3'!P178-d3П!P177</f>
        <v>0</v>
      </c>
      <c r="Q178" s="20"/>
      <c r="R178" s="792"/>
    </row>
    <row r="179" spans="1:18" ht="70.5" customHeight="1" thickBot="1" x14ac:dyDescent="0.25">
      <c r="A179" s="775"/>
      <c r="B179" s="775"/>
      <c r="C179" s="775"/>
      <c r="D179" s="704" t="s">
        <v>1068</v>
      </c>
      <c r="E179" s="752"/>
      <c r="F179" s="752">
        <f>'d3'!F179-d3П!F178</f>
        <v>0</v>
      </c>
      <c r="G179" s="752">
        <f>'d3'!G179-d3П!G178</f>
        <v>0</v>
      </c>
      <c r="H179" s="752">
        <f>'d3'!H179-d3П!H178</f>
        <v>0</v>
      </c>
      <c r="I179" s="752">
        <f>'d3'!I179-d3П!I178</f>
        <v>0</v>
      </c>
      <c r="J179" s="752">
        <f>'d3'!J179-d3П!J178</f>
        <v>0</v>
      </c>
      <c r="K179" s="752">
        <f>'d3'!K179-d3П!K178</f>
        <v>0</v>
      </c>
      <c r="L179" s="752">
        <f>'d3'!L179-d3П!L178</f>
        <v>0</v>
      </c>
      <c r="M179" s="752">
        <f>'d3'!M179-d3П!M178</f>
        <v>0</v>
      </c>
      <c r="N179" s="752">
        <f>'d3'!N179-d3П!N178</f>
        <v>0</v>
      </c>
      <c r="O179" s="752">
        <f>'d3'!O179-d3П!O178</f>
        <v>0</v>
      </c>
      <c r="P179" s="752">
        <f>'d3'!P179-d3П!P178</f>
        <v>0</v>
      </c>
      <c r="Q179" s="20"/>
      <c r="R179" s="792"/>
    </row>
    <row r="180" spans="1:18" ht="184.5" hidden="1" customHeight="1" thickTop="1" thickBot="1" x14ac:dyDescent="0.7">
      <c r="A180" s="770" t="s">
        <v>1072</v>
      </c>
      <c r="B180" s="770" t="s">
        <v>1073</v>
      </c>
      <c r="C180" s="770" t="s">
        <v>50</v>
      </c>
      <c r="D180" s="402" t="s">
        <v>1069</v>
      </c>
      <c r="E180" s="325">
        <f>'d3'!E180-d3П!E179</f>
        <v>0</v>
      </c>
      <c r="F180" s="325">
        <f>'d3'!F180-d3П!F179</f>
        <v>0</v>
      </c>
      <c r="G180" s="325">
        <f>'d3'!G180-d3П!G179</f>
        <v>0</v>
      </c>
      <c r="H180" s="325">
        <f>'d3'!H180-d3П!H179</f>
        <v>0</v>
      </c>
      <c r="I180" s="325">
        <f>'d3'!I180-d3П!I179</f>
        <v>0</v>
      </c>
      <c r="J180" s="325">
        <f>'d3'!J180-d3П!J179</f>
        <v>0</v>
      </c>
      <c r="K180" s="325">
        <f>'d3'!K180-d3П!K179</f>
        <v>0</v>
      </c>
      <c r="L180" s="325">
        <f>'d3'!L180-d3П!L179</f>
        <v>0</v>
      </c>
      <c r="M180" s="325">
        <f>'d3'!M180-d3П!M179</f>
        <v>0</v>
      </c>
      <c r="N180" s="325">
        <f>'d3'!N180-d3П!N179</f>
        <v>0</v>
      </c>
      <c r="O180" s="325">
        <f>'d3'!O180-d3П!O179</f>
        <v>0</v>
      </c>
      <c r="P180" s="325">
        <f>'d3'!P180-d3П!P179</f>
        <v>0</v>
      </c>
      <c r="Q180" s="20"/>
      <c r="R180" s="791"/>
    </row>
    <row r="181" spans="1:18" ht="184.5" hidden="1" customHeight="1" thickTop="1" thickBot="1" x14ac:dyDescent="0.25">
      <c r="A181" s="779"/>
      <c r="B181" s="779"/>
      <c r="C181" s="779"/>
      <c r="D181" s="124" t="s">
        <v>1070</v>
      </c>
      <c r="E181" s="325">
        <f>'d3'!E181-d3П!E180</f>
        <v>0</v>
      </c>
      <c r="F181" s="325">
        <f>'d3'!F181-d3П!F180</f>
        <v>0</v>
      </c>
      <c r="G181" s="325">
        <f>'d3'!G181-d3П!G180</f>
        <v>0</v>
      </c>
      <c r="H181" s="325">
        <f>'d3'!H181-d3П!H180</f>
        <v>0</v>
      </c>
      <c r="I181" s="325">
        <f>'d3'!I181-d3П!I180</f>
        <v>0</v>
      </c>
      <c r="J181" s="325">
        <f>'d3'!J181-d3П!J180</f>
        <v>0</v>
      </c>
      <c r="K181" s="325">
        <f>'d3'!K181-d3П!K180</f>
        <v>0</v>
      </c>
      <c r="L181" s="325">
        <f>'d3'!L181-d3П!L180</f>
        <v>0</v>
      </c>
      <c r="M181" s="325">
        <f>'d3'!M181-d3П!M180</f>
        <v>0</v>
      </c>
      <c r="N181" s="325">
        <f>'d3'!N181-d3П!N180</f>
        <v>0</v>
      </c>
      <c r="O181" s="325">
        <f>'d3'!O181-d3П!O180</f>
        <v>0</v>
      </c>
      <c r="P181" s="325">
        <f>'d3'!P181-d3П!P180</f>
        <v>0</v>
      </c>
      <c r="Q181" s="20"/>
      <c r="R181" s="792"/>
    </row>
    <row r="182" spans="1:18" ht="47.25" hidden="1" customHeight="1" thickTop="1" thickBot="1" x14ac:dyDescent="0.25">
      <c r="A182" s="771"/>
      <c r="B182" s="771"/>
      <c r="C182" s="771"/>
      <c r="D182" s="403" t="s">
        <v>1071</v>
      </c>
      <c r="E182" s="325">
        <f>'d3'!E182-d3П!E181</f>
        <v>0</v>
      </c>
      <c r="F182" s="325">
        <f>'d3'!F182-d3П!F181</f>
        <v>0</v>
      </c>
      <c r="G182" s="325">
        <f>'d3'!G182-d3П!G181</f>
        <v>0</v>
      </c>
      <c r="H182" s="325">
        <f>'d3'!H182-d3П!H181</f>
        <v>0</v>
      </c>
      <c r="I182" s="325">
        <f>'d3'!I182-d3П!I181</f>
        <v>0</v>
      </c>
      <c r="J182" s="325">
        <f>'d3'!J182-d3П!J181</f>
        <v>0</v>
      </c>
      <c r="K182" s="325">
        <f>'d3'!K182-d3П!K181</f>
        <v>0</v>
      </c>
      <c r="L182" s="325">
        <f>'d3'!L182-d3П!L181</f>
        <v>0</v>
      </c>
      <c r="M182" s="325">
        <f>'d3'!M182-d3П!M181</f>
        <v>0</v>
      </c>
      <c r="N182" s="325">
        <f>'d3'!N182-d3П!N181</f>
        <v>0</v>
      </c>
      <c r="O182" s="325">
        <f>'d3'!O182-d3П!O181</f>
        <v>0</v>
      </c>
      <c r="P182" s="325">
        <f>'d3'!P182-d3П!P181</f>
        <v>0</v>
      </c>
      <c r="Q182" s="20"/>
      <c r="R182" s="792"/>
    </row>
    <row r="183" spans="1:18" ht="93" thickTop="1" thickBot="1" x14ac:dyDescent="0.25">
      <c r="A183" s="101" t="s">
        <v>1203</v>
      </c>
      <c r="B183" s="101" t="s">
        <v>1200</v>
      </c>
      <c r="C183" s="101" t="s">
        <v>206</v>
      </c>
      <c r="D183" s="466" t="s">
        <v>1201</v>
      </c>
      <c r="E183" s="325">
        <f>'d3'!E183-d3П!E182</f>
        <v>-1449680</v>
      </c>
      <c r="F183" s="325">
        <f>'d3'!F183-d3П!F182</f>
        <v>-1449680</v>
      </c>
      <c r="G183" s="325">
        <f>'d3'!G183-d3П!G182</f>
        <v>0</v>
      </c>
      <c r="H183" s="325">
        <f>'d3'!H183-d3П!H182</f>
        <v>0</v>
      </c>
      <c r="I183" s="325">
        <f>'d3'!I183-d3П!I182</f>
        <v>0</v>
      </c>
      <c r="J183" s="325">
        <f>'d3'!J183-d3П!J182</f>
        <v>2222145.6000000015</v>
      </c>
      <c r="K183" s="325">
        <f>'d3'!K183-d3П!K182</f>
        <v>2222145.6000000015</v>
      </c>
      <c r="L183" s="325">
        <f>'d3'!L183-d3П!L182</f>
        <v>0</v>
      </c>
      <c r="M183" s="325">
        <f>'d3'!M183-d3П!M182</f>
        <v>0</v>
      </c>
      <c r="N183" s="325">
        <f>'d3'!N183-d3П!N182</f>
        <v>0</v>
      </c>
      <c r="O183" s="325">
        <f>'d3'!O183-d3П!O182</f>
        <v>2222145.6000000015</v>
      </c>
      <c r="P183" s="325">
        <f>'d3'!P183-d3П!P182</f>
        <v>772465.60000000149</v>
      </c>
      <c r="Q183" s="20"/>
      <c r="R183" s="21"/>
    </row>
    <row r="184" spans="1:18" s="33" customFormat="1" ht="47.25" thickTop="1" thickBot="1" x14ac:dyDescent="0.25">
      <c r="A184" s="326" t="s">
        <v>738</v>
      </c>
      <c r="B184" s="326" t="s">
        <v>739</v>
      </c>
      <c r="C184" s="326"/>
      <c r="D184" s="326" t="s">
        <v>740</v>
      </c>
      <c r="E184" s="325">
        <f>'d3'!E184-d3П!E183</f>
        <v>19425299.200000003</v>
      </c>
      <c r="F184" s="325">
        <f>'d3'!F184-d3П!F183</f>
        <v>19425299.200000003</v>
      </c>
      <c r="G184" s="325">
        <f>'d3'!G184-d3П!G183</f>
        <v>0</v>
      </c>
      <c r="H184" s="325">
        <f>'d3'!H184-d3П!H183</f>
        <v>443049.12999999989</v>
      </c>
      <c r="I184" s="325">
        <f>'d3'!I184-d3П!I183</f>
        <v>0</v>
      </c>
      <c r="J184" s="325">
        <f>'d3'!J184-d3П!J183</f>
        <v>1486474</v>
      </c>
      <c r="K184" s="325">
        <f>'d3'!K184-d3П!K183</f>
        <v>1486474</v>
      </c>
      <c r="L184" s="325">
        <f>'d3'!L184-d3П!L183</f>
        <v>0</v>
      </c>
      <c r="M184" s="325">
        <f>'d3'!M184-d3П!M183</f>
        <v>0</v>
      </c>
      <c r="N184" s="325">
        <f>'d3'!N184-d3П!N183</f>
        <v>0</v>
      </c>
      <c r="O184" s="325">
        <f>'d3'!O184-d3П!O183</f>
        <v>1486474</v>
      </c>
      <c r="P184" s="325">
        <f>'d3'!P184-d3П!P183</f>
        <v>20911773.199999988</v>
      </c>
      <c r="Q184" s="36"/>
      <c r="R184" s="51"/>
    </row>
    <row r="185" spans="1:18" ht="93" thickTop="1" thickBot="1" x14ac:dyDescent="0.25">
      <c r="A185" s="101" t="s">
        <v>327</v>
      </c>
      <c r="B185" s="101" t="s">
        <v>329</v>
      </c>
      <c r="C185" s="101" t="s">
        <v>191</v>
      </c>
      <c r="D185" s="466" t="s">
        <v>331</v>
      </c>
      <c r="E185" s="325">
        <f>'d3'!E185-d3П!E184</f>
        <v>885298.19999999925</v>
      </c>
      <c r="F185" s="325">
        <f>'d3'!F185-d3П!F184</f>
        <v>885298.19999999925</v>
      </c>
      <c r="G185" s="325">
        <f>'d3'!G185-d3П!G184</f>
        <v>0</v>
      </c>
      <c r="H185" s="325">
        <f>'d3'!H185-d3П!H184</f>
        <v>443049.12999999989</v>
      </c>
      <c r="I185" s="325">
        <f>'d3'!I185-d3П!I184</f>
        <v>0</v>
      </c>
      <c r="J185" s="325">
        <f>'d3'!J185-d3П!J184</f>
        <v>1462475</v>
      </c>
      <c r="K185" s="325">
        <f>'d3'!K185-d3П!K184</f>
        <v>1462475</v>
      </c>
      <c r="L185" s="325">
        <f>'d3'!L185-d3П!L184</f>
        <v>0</v>
      </c>
      <c r="M185" s="325">
        <f>'d3'!M185-d3П!M184</f>
        <v>0</v>
      </c>
      <c r="N185" s="325">
        <f>'d3'!N185-d3П!N184</f>
        <v>0</v>
      </c>
      <c r="O185" s="325">
        <f>'d3'!O185-d3П!O184</f>
        <v>1462475</v>
      </c>
      <c r="P185" s="325">
        <f>'d3'!P185-d3П!P184</f>
        <v>2347773.200000003</v>
      </c>
      <c r="Q185" s="20"/>
      <c r="R185" s="46"/>
    </row>
    <row r="186" spans="1:18" ht="66.75" customHeight="1" thickTop="1" thickBot="1" x14ac:dyDescent="0.25">
      <c r="A186" s="101" t="s">
        <v>328</v>
      </c>
      <c r="B186" s="101" t="s">
        <v>330</v>
      </c>
      <c r="C186" s="101" t="s">
        <v>191</v>
      </c>
      <c r="D186" s="466" t="s">
        <v>332</v>
      </c>
      <c r="E186" s="325">
        <f>'d3'!E186-d3П!E185</f>
        <v>18540001</v>
      </c>
      <c r="F186" s="325">
        <f>'d3'!F186-d3П!F185</f>
        <v>18540001</v>
      </c>
      <c r="G186" s="325">
        <f>'d3'!G186-d3П!G185</f>
        <v>0</v>
      </c>
      <c r="H186" s="325">
        <f>'d3'!H186-d3П!H185</f>
        <v>0</v>
      </c>
      <c r="I186" s="325">
        <f>'d3'!I186-d3П!I185</f>
        <v>0</v>
      </c>
      <c r="J186" s="325">
        <f>'d3'!J186-d3П!J185</f>
        <v>23999</v>
      </c>
      <c r="K186" s="325">
        <f>'d3'!K186-d3П!K185</f>
        <v>23999</v>
      </c>
      <c r="L186" s="325">
        <f>'d3'!L186-d3П!L185</f>
        <v>0</v>
      </c>
      <c r="M186" s="325">
        <f>'d3'!M186-d3П!M185</f>
        <v>0</v>
      </c>
      <c r="N186" s="325">
        <f>'d3'!N186-d3П!N185</f>
        <v>0</v>
      </c>
      <c r="O186" s="325">
        <f>'d3'!O186-d3П!O185</f>
        <v>23999</v>
      </c>
      <c r="P186" s="325">
        <f>'d3'!P186-d3П!P185</f>
        <v>18564000</v>
      </c>
      <c r="Q186" s="20"/>
      <c r="R186" s="46"/>
    </row>
    <row r="187" spans="1:18" ht="47.25" thickTop="1" thickBot="1" x14ac:dyDescent="0.25">
      <c r="A187" s="308" t="s">
        <v>741</v>
      </c>
      <c r="B187" s="308" t="s">
        <v>742</v>
      </c>
      <c r="C187" s="308"/>
      <c r="D187" s="344" t="s">
        <v>743</v>
      </c>
      <c r="E187" s="325">
        <f>'d3'!E187-d3П!E186</f>
        <v>0</v>
      </c>
      <c r="F187" s="325">
        <f>'d3'!F187-d3П!F186</f>
        <v>0</v>
      </c>
      <c r="G187" s="325">
        <f>'d3'!G187-d3П!G186</f>
        <v>0</v>
      </c>
      <c r="H187" s="325">
        <f>'d3'!H187-d3П!H186</f>
        <v>0</v>
      </c>
      <c r="I187" s="325">
        <f>'d3'!I187-d3П!I186</f>
        <v>0</v>
      </c>
      <c r="J187" s="325">
        <f>'d3'!J187-d3П!J186</f>
        <v>0</v>
      </c>
      <c r="K187" s="325">
        <f>'d3'!K187-d3П!K186</f>
        <v>0</v>
      </c>
      <c r="L187" s="325">
        <f>'d3'!L187-d3П!L186</f>
        <v>0</v>
      </c>
      <c r="M187" s="325">
        <f>'d3'!M187-d3П!M186</f>
        <v>0</v>
      </c>
      <c r="N187" s="325">
        <f>'d3'!N187-d3П!N186</f>
        <v>0</v>
      </c>
      <c r="O187" s="325">
        <f>'d3'!O187-d3П!O186</f>
        <v>0</v>
      </c>
      <c r="P187" s="325">
        <f>'d3'!P187-d3П!P186</f>
        <v>0</v>
      </c>
      <c r="Q187" s="20"/>
      <c r="R187" s="46"/>
    </row>
    <row r="188" spans="1:18" s="33" customFormat="1" ht="48" thickTop="1" thickBot="1" x14ac:dyDescent="0.25">
      <c r="A188" s="326" t="s">
        <v>744</v>
      </c>
      <c r="B188" s="326" t="s">
        <v>745</v>
      </c>
      <c r="C188" s="326"/>
      <c r="D188" s="541" t="s">
        <v>746</v>
      </c>
      <c r="E188" s="325">
        <f>'d3'!E188-d3П!E187</f>
        <v>0</v>
      </c>
      <c r="F188" s="325">
        <f>'d3'!F188-d3П!F187</f>
        <v>0</v>
      </c>
      <c r="G188" s="325">
        <f>'d3'!G188-d3П!G187</f>
        <v>0</v>
      </c>
      <c r="H188" s="325">
        <f>'d3'!H188-d3П!H187</f>
        <v>0</v>
      </c>
      <c r="I188" s="325">
        <f>'d3'!I188-d3П!I187</f>
        <v>0</v>
      </c>
      <c r="J188" s="325">
        <f>'d3'!J188-d3П!J187</f>
        <v>0</v>
      </c>
      <c r="K188" s="325">
        <f>'d3'!K188-d3П!K187</f>
        <v>0</v>
      </c>
      <c r="L188" s="325">
        <f>'d3'!L188-d3П!L187</f>
        <v>0</v>
      </c>
      <c r="M188" s="325">
        <f>'d3'!M188-d3П!M187</f>
        <v>0</v>
      </c>
      <c r="N188" s="325">
        <f>'d3'!N188-d3П!N187</f>
        <v>0</v>
      </c>
      <c r="O188" s="325">
        <f>'d3'!O188-d3П!O187</f>
        <v>0</v>
      </c>
      <c r="P188" s="325">
        <f>'d3'!P188-d3П!P187</f>
        <v>0</v>
      </c>
      <c r="Q188" s="36"/>
      <c r="R188" s="52"/>
    </row>
    <row r="189" spans="1:18" ht="93" thickTop="1" thickBot="1" x14ac:dyDescent="0.25">
      <c r="A189" s="101" t="s">
        <v>367</v>
      </c>
      <c r="B189" s="101" t="s">
        <v>365</v>
      </c>
      <c r="C189" s="101" t="s">
        <v>340</v>
      </c>
      <c r="D189" s="466" t="s">
        <v>366</v>
      </c>
      <c r="E189" s="325">
        <f>'d3'!E189-d3П!E188</f>
        <v>0</v>
      </c>
      <c r="F189" s="325">
        <f>'d3'!F189-d3П!F188</f>
        <v>0</v>
      </c>
      <c r="G189" s="325">
        <f>'d3'!G189-d3П!G188</f>
        <v>0</v>
      </c>
      <c r="H189" s="325">
        <f>'d3'!H189-d3П!H188</f>
        <v>0</v>
      </c>
      <c r="I189" s="325">
        <f>'d3'!I189-d3П!I188</f>
        <v>0</v>
      </c>
      <c r="J189" s="325">
        <f>'d3'!J189-d3П!J188</f>
        <v>0</v>
      </c>
      <c r="K189" s="325">
        <f>'d3'!K189-d3П!K188</f>
        <v>0</v>
      </c>
      <c r="L189" s="325">
        <f>'d3'!L189-d3П!L188</f>
        <v>0</v>
      </c>
      <c r="M189" s="325">
        <f>'d3'!M189-d3П!M188</f>
        <v>0</v>
      </c>
      <c r="N189" s="325">
        <f>'d3'!N189-d3П!N188</f>
        <v>0</v>
      </c>
      <c r="O189" s="325">
        <f>'d3'!O189-d3П!O188</f>
        <v>0</v>
      </c>
      <c r="P189" s="325">
        <f>'d3'!P189-d3П!P188</f>
        <v>0</v>
      </c>
      <c r="Q189" s="20"/>
      <c r="R189" s="46"/>
    </row>
    <row r="190" spans="1:18" ht="184.5" hidden="1" customHeight="1" thickTop="1" thickBot="1" x14ac:dyDescent="0.25">
      <c r="A190" s="41" t="s">
        <v>1074</v>
      </c>
      <c r="B190" s="41" t="s">
        <v>1075</v>
      </c>
      <c r="C190" s="41" t="s">
        <v>340</v>
      </c>
      <c r="D190" s="152" t="s">
        <v>1076</v>
      </c>
      <c r="E190" s="325">
        <f>'d3'!E190-d3П!E189</f>
        <v>0</v>
      </c>
      <c r="F190" s="325">
        <f>'d3'!F190-d3П!F189</f>
        <v>0</v>
      </c>
      <c r="G190" s="325">
        <f>'d3'!G190-d3П!G189</f>
        <v>0</v>
      </c>
      <c r="H190" s="325">
        <f>'d3'!H190-d3П!H189</f>
        <v>0</v>
      </c>
      <c r="I190" s="325">
        <f>'d3'!I190-d3П!I189</f>
        <v>0</v>
      </c>
      <c r="J190" s="325">
        <f>'d3'!J190-d3П!J189</f>
        <v>0</v>
      </c>
      <c r="K190" s="325">
        <f>'d3'!K190-d3П!K189</f>
        <v>0</v>
      </c>
      <c r="L190" s="325">
        <f>'d3'!L190-d3П!L189</f>
        <v>0</v>
      </c>
      <c r="M190" s="325">
        <f>'d3'!M190-d3П!M189</f>
        <v>0</v>
      </c>
      <c r="N190" s="325">
        <f>'d3'!N190-d3П!N189</f>
        <v>0</v>
      </c>
      <c r="O190" s="325">
        <f>'d3'!O190-d3П!O189</f>
        <v>0</v>
      </c>
      <c r="P190" s="325">
        <f>'d3'!P190-d3П!P189</f>
        <v>0</v>
      </c>
      <c r="Q190" s="20"/>
      <c r="R190" s="46"/>
    </row>
    <row r="191" spans="1:18" ht="47.25" thickTop="1" thickBot="1" x14ac:dyDescent="0.25">
      <c r="A191" s="308" t="s">
        <v>751</v>
      </c>
      <c r="B191" s="308" t="s">
        <v>748</v>
      </c>
      <c r="C191" s="308"/>
      <c r="D191" s="308" t="s">
        <v>749</v>
      </c>
      <c r="E191" s="325">
        <f>'d3'!E191-d3П!E190</f>
        <v>0</v>
      </c>
      <c r="F191" s="325">
        <f>'d3'!F191-d3П!F190</f>
        <v>0</v>
      </c>
      <c r="G191" s="325">
        <f>'d3'!G191-d3П!G190</f>
        <v>0</v>
      </c>
      <c r="H191" s="325">
        <f>'d3'!H191-d3П!H190</f>
        <v>0</v>
      </c>
      <c r="I191" s="325">
        <f>'d3'!I191-d3П!I190</f>
        <v>0</v>
      </c>
      <c r="J191" s="325">
        <f>'d3'!J191-d3П!J190</f>
        <v>4401805.3499999996</v>
      </c>
      <c r="K191" s="325">
        <f>'d3'!K191-d3П!K190</f>
        <v>4401805.3499999996</v>
      </c>
      <c r="L191" s="325">
        <f>'d3'!L191-d3П!L190</f>
        <v>0</v>
      </c>
      <c r="M191" s="325">
        <f>'d3'!M191-d3П!M190</f>
        <v>0</v>
      </c>
      <c r="N191" s="325">
        <f>'d3'!N191-d3П!N190</f>
        <v>0</v>
      </c>
      <c r="O191" s="325">
        <f>'d3'!O191-d3П!O190</f>
        <v>4401805.3499999996</v>
      </c>
      <c r="P191" s="325">
        <f>'d3'!P191-d3П!P190</f>
        <v>4401805.3499999996</v>
      </c>
      <c r="Q191" s="20"/>
      <c r="R191" s="46"/>
    </row>
    <row r="192" spans="1:18" ht="47.25" thickTop="1" thickBot="1" x14ac:dyDescent="0.25">
      <c r="A192" s="310" t="s">
        <v>926</v>
      </c>
      <c r="B192" s="310" t="s">
        <v>803</v>
      </c>
      <c r="C192" s="310"/>
      <c r="D192" s="310" t="s">
        <v>804</v>
      </c>
      <c r="E192" s="325">
        <f>'d3'!E192-d3П!E191</f>
        <v>0</v>
      </c>
      <c r="F192" s="325">
        <f>'d3'!F192-d3П!F191</f>
        <v>0</v>
      </c>
      <c r="G192" s="325">
        <f>'d3'!G192-d3П!G191</f>
        <v>0</v>
      </c>
      <c r="H192" s="325">
        <f>'d3'!H192-d3П!H191</f>
        <v>0</v>
      </c>
      <c r="I192" s="325">
        <f>'d3'!I192-d3П!I191</f>
        <v>0</v>
      </c>
      <c r="J192" s="325">
        <f>'d3'!J192-d3П!J191</f>
        <v>98000</v>
      </c>
      <c r="K192" s="325">
        <f>'d3'!K192-d3П!K191</f>
        <v>98000</v>
      </c>
      <c r="L192" s="325">
        <f>'d3'!L192-d3П!L191</f>
        <v>0</v>
      </c>
      <c r="M192" s="325">
        <f>'d3'!M192-d3П!M191</f>
        <v>0</v>
      </c>
      <c r="N192" s="325">
        <f>'d3'!N192-d3П!N191</f>
        <v>0</v>
      </c>
      <c r="O192" s="325">
        <f>'d3'!O192-d3П!O191</f>
        <v>98000</v>
      </c>
      <c r="P192" s="325">
        <f>'d3'!P192-d3П!P191</f>
        <v>98000</v>
      </c>
      <c r="Q192" s="20"/>
      <c r="R192" s="46"/>
    </row>
    <row r="193" spans="1:18" ht="54.75" thickTop="1" thickBot="1" x14ac:dyDescent="0.25">
      <c r="A193" s="326" t="s">
        <v>923</v>
      </c>
      <c r="B193" s="326" t="s">
        <v>821</v>
      </c>
      <c r="C193" s="326"/>
      <c r="D193" s="326" t="s">
        <v>1503</v>
      </c>
      <c r="E193" s="325">
        <f>'d3'!E193-d3П!E192</f>
        <v>0</v>
      </c>
      <c r="F193" s="325">
        <f>'d3'!F193-d3П!F192</f>
        <v>0</v>
      </c>
      <c r="G193" s="325">
        <f>'d3'!G193-d3П!G192</f>
        <v>0</v>
      </c>
      <c r="H193" s="325">
        <f>'d3'!H193-d3П!H192</f>
        <v>0</v>
      </c>
      <c r="I193" s="325">
        <f>'d3'!I193-d3П!I192</f>
        <v>0</v>
      </c>
      <c r="J193" s="325">
        <f>'d3'!J193-d3П!J192</f>
        <v>98000</v>
      </c>
      <c r="K193" s="325">
        <f>'d3'!K193-d3П!K192</f>
        <v>98000</v>
      </c>
      <c r="L193" s="325">
        <f>'d3'!L193-d3П!L192</f>
        <v>0</v>
      </c>
      <c r="M193" s="325">
        <f>'d3'!M193-d3П!M192</f>
        <v>0</v>
      </c>
      <c r="N193" s="325">
        <f>'d3'!N193-d3П!N192</f>
        <v>0</v>
      </c>
      <c r="O193" s="325">
        <f>'d3'!O193-d3П!O192</f>
        <v>98000</v>
      </c>
      <c r="P193" s="325">
        <f>'d3'!P193-d3П!P192</f>
        <v>98000</v>
      </c>
      <c r="Q193" s="20"/>
      <c r="R193" s="46"/>
    </row>
    <row r="194" spans="1:18" ht="54" thickTop="1" thickBot="1" x14ac:dyDescent="0.25">
      <c r="A194" s="101" t="s">
        <v>924</v>
      </c>
      <c r="B194" s="101" t="s">
        <v>925</v>
      </c>
      <c r="C194" s="101" t="s">
        <v>304</v>
      </c>
      <c r="D194" s="101" t="s">
        <v>1614</v>
      </c>
      <c r="E194" s="325">
        <f>'d3'!E194-d3П!E193</f>
        <v>0</v>
      </c>
      <c r="F194" s="325">
        <f>'d3'!F194-d3П!F193</f>
        <v>0</v>
      </c>
      <c r="G194" s="325">
        <f>'d3'!G194-d3П!G193</f>
        <v>0</v>
      </c>
      <c r="H194" s="325">
        <f>'d3'!H194-d3П!H193</f>
        <v>0</v>
      </c>
      <c r="I194" s="325">
        <f>'d3'!I194-d3П!I193</f>
        <v>0</v>
      </c>
      <c r="J194" s="325">
        <f>'d3'!J194-d3П!J193</f>
        <v>98000</v>
      </c>
      <c r="K194" s="325">
        <f>'d3'!K194-d3П!K193</f>
        <v>98000</v>
      </c>
      <c r="L194" s="325">
        <f>'d3'!L194-d3П!L193</f>
        <v>0</v>
      </c>
      <c r="M194" s="325">
        <f>'d3'!M194-d3П!M193</f>
        <v>0</v>
      </c>
      <c r="N194" s="325">
        <f>'d3'!N194-d3П!N193</f>
        <v>0</v>
      </c>
      <c r="O194" s="325">
        <f>'d3'!O194-d3П!O193</f>
        <v>98000</v>
      </c>
      <c r="P194" s="325">
        <f>'d3'!P194-d3П!P193</f>
        <v>98000</v>
      </c>
      <c r="Q194" s="20"/>
      <c r="R194" s="46"/>
    </row>
    <row r="195" spans="1:18" ht="47.25" thickTop="1" thickBot="1" x14ac:dyDescent="0.25">
      <c r="A195" s="310" t="s">
        <v>753</v>
      </c>
      <c r="B195" s="310" t="s">
        <v>691</v>
      </c>
      <c r="C195" s="310"/>
      <c r="D195" s="310" t="s">
        <v>689</v>
      </c>
      <c r="E195" s="325">
        <f>'d3'!E195-d3П!E194</f>
        <v>0</v>
      </c>
      <c r="F195" s="325">
        <f>'d3'!F195-d3П!F194</f>
        <v>0</v>
      </c>
      <c r="G195" s="325">
        <f>'d3'!G195-d3П!G194</f>
        <v>0</v>
      </c>
      <c r="H195" s="325">
        <f>'d3'!H195-d3П!H194</f>
        <v>0</v>
      </c>
      <c r="I195" s="325">
        <f>'d3'!I195-d3П!I194</f>
        <v>0</v>
      </c>
      <c r="J195" s="325">
        <f>'d3'!J195-d3П!J194</f>
        <v>4303805.3499999996</v>
      </c>
      <c r="K195" s="325">
        <f>'d3'!K195-d3П!K194</f>
        <v>4303805.3499999996</v>
      </c>
      <c r="L195" s="325">
        <f>'d3'!L195-d3П!L194</f>
        <v>0</v>
      </c>
      <c r="M195" s="325">
        <f>'d3'!M195-d3П!M194</f>
        <v>0</v>
      </c>
      <c r="N195" s="325">
        <f>'d3'!N195-d3П!N194</f>
        <v>0</v>
      </c>
      <c r="O195" s="325">
        <f>'d3'!O195-d3П!O194</f>
        <v>4303805.3499999996</v>
      </c>
      <c r="P195" s="325">
        <f>'d3'!P195-d3П!P194</f>
        <v>4303805.3499999996</v>
      </c>
      <c r="Q195" s="20"/>
      <c r="R195" s="46"/>
    </row>
    <row r="196" spans="1:18" ht="47.25" thickTop="1" thickBot="1" x14ac:dyDescent="0.25">
      <c r="A196" s="101" t="s">
        <v>1309</v>
      </c>
      <c r="B196" s="101" t="s">
        <v>212</v>
      </c>
      <c r="C196" s="101" t="s">
        <v>213</v>
      </c>
      <c r="D196" s="101" t="s">
        <v>41</v>
      </c>
      <c r="E196" s="325">
        <f>'d3'!E196-d3П!E195</f>
        <v>0</v>
      </c>
      <c r="F196" s="325">
        <f>'d3'!F196-d3П!F195</f>
        <v>0</v>
      </c>
      <c r="G196" s="325">
        <f>'d3'!G196-d3П!G195</f>
        <v>0</v>
      </c>
      <c r="H196" s="325">
        <f>'d3'!H196-d3П!H195</f>
        <v>0</v>
      </c>
      <c r="I196" s="325">
        <f>'d3'!I196-d3П!I195</f>
        <v>0</v>
      </c>
      <c r="J196" s="325">
        <f>'d3'!J196-d3П!J195</f>
        <v>4303805.3499999996</v>
      </c>
      <c r="K196" s="325">
        <f>'d3'!K196-d3П!K195</f>
        <v>4303805.3499999996</v>
      </c>
      <c r="L196" s="325">
        <f>'d3'!L196-d3П!L195</f>
        <v>0</v>
      </c>
      <c r="M196" s="325">
        <f>'d3'!M196-d3П!M195</f>
        <v>0</v>
      </c>
      <c r="N196" s="325">
        <f>'d3'!N196-d3П!N195</f>
        <v>0</v>
      </c>
      <c r="O196" s="325">
        <f>'d3'!O196-d3П!O195</f>
        <v>4303805.3499999996</v>
      </c>
      <c r="P196" s="325">
        <f>'d3'!P196-d3П!P195</f>
        <v>4303805.3499999996</v>
      </c>
      <c r="Q196" s="20"/>
      <c r="R196" s="46"/>
    </row>
    <row r="197" spans="1:18" ht="48" hidden="1" thickTop="1" thickBot="1" x14ac:dyDescent="0.25">
      <c r="A197" s="138" t="s">
        <v>752</v>
      </c>
      <c r="B197" s="138" t="s">
        <v>694</v>
      </c>
      <c r="C197" s="138"/>
      <c r="D197" s="151" t="s">
        <v>692</v>
      </c>
      <c r="E197" s="139">
        <f>E198</f>
        <v>0</v>
      </c>
      <c r="F197" s="139">
        <f t="shared" ref="F197:P197" si="21">F198</f>
        <v>0</v>
      </c>
      <c r="G197" s="139">
        <f t="shared" si="21"/>
        <v>0</v>
      </c>
      <c r="H197" s="139">
        <f t="shared" si="21"/>
        <v>0</v>
      </c>
      <c r="I197" s="139">
        <f t="shared" si="21"/>
        <v>0</v>
      </c>
      <c r="J197" s="139">
        <f t="shared" si="21"/>
        <v>0</v>
      </c>
      <c r="K197" s="139">
        <f t="shared" si="21"/>
        <v>0</v>
      </c>
      <c r="L197" s="139">
        <f t="shared" si="21"/>
        <v>0</v>
      </c>
      <c r="M197" s="139">
        <f t="shared" si="21"/>
        <v>0</v>
      </c>
      <c r="N197" s="139">
        <f t="shared" si="21"/>
        <v>0</v>
      </c>
      <c r="O197" s="139">
        <f t="shared" si="21"/>
        <v>0</v>
      </c>
      <c r="P197" s="139">
        <f t="shared" si="21"/>
        <v>0</v>
      </c>
      <c r="Q197" s="20"/>
      <c r="R197" s="46"/>
    </row>
    <row r="198" spans="1:18" ht="184.5" hidden="1" thickTop="1" thickBot="1" x14ac:dyDescent="0.7">
      <c r="A198" s="768" t="s">
        <v>423</v>
      </c>
      <c r="B198" s="768" t="s">
        <v>338</v>
      </c>
      <c r="C198" s="768" t="s">
        <v>170</v>
      </c>
      <c r="D198" s="153" t="s">
        <v>440</v>
      </c>
      <c r="E198" s="746">
        <f t="shared" ref="E198" si="22">F198</f>
        <v>0</v>
      </c>
      <c r="F198" s="747"/>
      <c r="G198" s="747"/>
      <c r="H198" s="747"/>
      <c r="I198" s="747"/>
      <c r="J198" s="746">
        <f t="shared" ref="J198" si="23">L198+O198</f>
        <v>0</v>
      </c>
      <c r="K198" s="747"/>
      <c r="L198" s="747"/>
      <c r="M198" s="747"/>
      <c r="N198" s="747"/>
      <c r="O198" s="766">
        <f t="shared" ref="O198" si="24">K198</f>
        <v>0</v>
      </c>
      <c r="P198" s="781">
        <f t="shared" ref="P198" si="25">E198+J198</f>
        <v>0</v>
      </c>
      <c r="Q198" s="20"/>
      <c r="R198" s="50"/>
    </row>
    <row r="199" spans="1:18" ht="93" hidden="1" thickTop="1" thickBot="1" x14ac:dyDescent="0.25">
      <c r="A199" s="769"/>
      <c r="B199" s="778"/>
      <c r="C199" s="769"/>
      <c r="D199" s="154" t="s">
        <v>441</v>
      </c>
      <c r="E199" s="769"/>
      <c r="F199" s="767"/>
      <c r="G199" s="767"/>
      <c r="H199" s="767"/>
      <c r="I199" s="767"/>
      <c r="J199" s="769"/>
      <c r="K199" s="769"/>
      <c r="L199" s="767"/>
      <c r="M199" s="767"/>
      <c r="N199" s="767"/>
      <c r="O199" s="798"/>
      <c r="P199" s="799"/>
      <c r="Q199" s="20"/>
      <c r="R199" s="50"/>
    </row>
    <row r="200" spans="1:18" ht="120" customHeight="1" thickTop="1" thickBot="1" x14ac:dyDescent="0.25">
      <c r="A200" s="645">
        <v>1000000</v>
      </c>
      <c r="B200" s="645"/>
      <c r="C200" s="645"/>
      <c r="D200" s="646" t="s">
        <v>24</v>
      </c>
      <c r="E200" s="647">
        <f>E201</f>
        <v>397500</v>
      </c>
      <c r="F200" s="648">
        <f t="shared" ref="F200:G200" si="26">F201</f>
        <v>397500</v>
      </c>
      <c r="G200" s="648">
        <f t="shared" si="26"/>
        <v>0</v>
      </c>
      <c r="H200" s="648">
        <f>H201</f>
        <v>0</v>
      </c>
      <c r="I200" s="648">
        <f>I201</f>
        <v>0</v>
      </c>
      <c r="J200" s="647">
        <f>J201</f>
        <v>302500</v>
      </c>
      <c r="K200" s="648">
        <f>K201</f>
        <v>302500</v>
      </c>
      <c r="L200" s="648">
        <f>L201</f>
        <v>0</v>
      </c>
      <c r="M200" s="648">
        <f t="shared" ref="M200" si="27">M201</f>
        <v>0</v>
      </c>
      <c r="N200" s="648">
        <f>N201</f>
        <v>0</v>
      </c>
      <c r="O200" s="647">
        <f>O201</f>
        <v>302500</v>
      </c>
      <c r="P200" s="648">
        <f t="shared" ref="P200" si="28">P201</f>
        <v>700000</v>
      </c>
      <c r="Q200" s="20"/>
    </row>
    <row r="201" spans="1:18" ht="120" customHeight="1" thickTop="1" thickBot="1" x14ac:dyDescent="0.25">
      <c r="A201" s="642">
        <v>1010000</v>
      </c>
      <c r="B201" s="642"/>
      <c r="C201" s="642"/>
      <c r="D201" s="643" t="s">
        <v>39</v>
      </c>
      <c r="E201" s="644">
        <f>E202+E204+E218+E212</f>
        <v>397500</v>
      </c>
      <c r="F201" s="644">
        <f>F202+F204+F218+F212</f>
        <v>397500</v>
      </c>
      <c r="G201" s="644">
        <f>G202+G204+G218+G212</f>
        <v>0</v>
      </c>
      <c r="H201" s="644">
        <f>H202+H204+H218+H212</f>
        <v>0</v>
      </c>
      <c r="I201" s="644">
        <f>I202+I204+I218+I212</f>
        <v>0</v>
      </c>
      <c r="J201" s="644">
        <f t="shared" ref="J201" si="29">L201+O201</f>
        <v>302500</v>
      </c>
      <c r="K201" s="644">
        <f>K202+K204+K218+K212</f>
        <v>302500</v>
      </c>
      <c r="L201" s="644">
        <f>L202+L204+L218+L212</f>
        <v>0</v>
      </c>
      <c r="M201" s="644">
        <f>M202+M204+M218+M212</f>
        <v>0</v>
      </c>
      <c r="N201" s="644">
        <f>N202+N204+N218+N212</f>
        <v>0</v>
      </c>
      <c r="O201" s="644">
        <f>O202+O204+O218+O212</f>
        <v>302500</v>
      </c>
      <c r="P201" s="644">
        <f t="shared" ref="P201" si="30">E201+J201</f>
        <v>700000</v>
      </c>
      <c r="Q201" s="492" t="b">
        <f>P201=P203+P205+P206+P207+P211+P210+P215</f>
        <v>1</v>
      </c>
      <c r="R201" s="46"/>
    </row>
    <row r="202" spans="1:18" ht="47.25" thickTop="1" thickBot="1" x14ac:dyDescent="0.25">
      <c r="A202" s="308" t="s">
        <v>754</v>
      </c>
      <c r="B202" s="308" t="s">
        <v>708</v>
      </c>
      <c r="C202" s="308"/>
      <c r="D202" s="308" t="s">
        <v>709</v>
      </c>
      <c r="E202" s="325">
        <f>'d3'!E202-d3П!E201</f>
        <v>0</v>
      </c>
      <c r="F202" s="325">
        <f>'d3'!F202-d3П!F201</f>
        <v>0</v>
      </c>
      <c r="G202" s="325">
        <f>'d3'!G202-d3П!G201</f>
        <v>0</v>
      </c>
      <c r="H202" s="325">
        <f>'d3'!H202-d3П!H201</f>
        <v>0</v>
      </c>
      <c r="I202" s="325">
        <f>'d3'!I202-d3П!I201</f>
        <v>0</v>
      </c>
      <c r="J202" s="325">
        <f>'d3'!J202-d3П!J201</f>
        <v>0</v>
      </c>
      <c r="K202" s="325">
        <f>'d3'!K202-d3П!K201</f>
        <v>0</v>
      </c>
      <c r="L202" s="325">
        <f>'d3'!L202-d3П!L201</f>
        <v>0</v>
      </c>
      <c r="M202" s="325">
        <f>'d3'!M202-d3П!M201</f>
        <v>0</v>
      </c>
      <c r="N202" s="325">
        <f>'d3'!N202-d3П!N201</f>
        <v>0</v>
      </c>
      <c r="O202" s="325">
        <f>'d3'!O202-d3П!O201</f>
        <v>0</v>
      </c>
      <c r="P202" s="325">
        <f>'d3'!P202-d3П!P201</f>
        <v>0</v>
      </c>
      <c r="Q202" s="47"/>
      <c r="R202" s="46"/>
    </row>
    <row r="203" spans="1:18" ht="47.25" thickTop="1" thickBot="1" x14ac:dyDescent="0.25">
      <c r="A203" s="101" t="s">
        <v>636</v>
      </c>
      <c r="B203" s="101" t="s">
        <v>637</v>
      </c>
      <c r="C203" s="101" t="s">
        <v>181</v>
      </c>
      <c r="D203" s="101" t="s">
        <v>1120</v>
      </c>
      <c r="E203" s="325">
        <f>'d3'!E203-d3П!E202</f>
        <v>0</v>
      </c>
      <c r="F203" s="325">
        <f>'d3'!F203-d3П!F202</f>
        <v>0</v>
      </c>
      <c r="G203" s="325">
        <f>'d3'!G203-d3П!G202</f>
        <v>0</v>
      </c>
      <c r="H203" s="325">
        <f>'d3'!H203-d3П!H202</f>
        <v>0</v>
      </c>
      <c r="I203" s="325">
        <f>'d3'!I203-d3П!I202</f>
        <v>0</v>
      </c>
      <c r="J203" s="325">
        <f>'d3'!J203-d3П!J202</f>
        <v>0</v>
      </c>
      <c r="K203" s="325">
        <f>'d3'!K203-d3П!K202</f>
        <v>0</v>
      </c>
      <c r="L203" s="325">
        <f>'d3'!L203-d3П!L202</f>
        <v>0</v>
      </c>
      <c r="M203" s="325">
        <f>'d3'!M203-d3П!M202</f>
        <v>0</v>
      </c>
      <c r="N203" s="325">
        <f>'d3'!N203-d3П!N202</f>
        <v>0</v>
      </c>
      <c r="O203" s="325">
        <f>'d3'!O203-d3П!O202</f>
        <v>0</v>
      </c>
      <c r="P203" s="325">
        <f>'d3'!P203-d3П!P202</f>
        <v>0</v>
      </c>
      <c r="Q203" s="20"/>
      <c r="R203" s="46"/>
    </row>
    <row r="204" spans="1:18" s="24" customFormat="1" ht="47.25" thickTop="1" thickBot="1" x14ac:dyDescent="0.25">
      <c r="A204" s="308" t="s">
        <v>755</v>
      </c>
      <c r="B204" s="308" t="s">
        <v>756</v>
      </c>
      <c r="C204" s="308"/>
      <c r="D204" s="308" t="s">
        <v>757</v>
      </c>
      <c r="E204" s="325">
        <f>'d3'!E204-d3П!E203</f>
        <v>397500</v>
      </c>
      <c r="F204" s="325">
        <f>'d3'!F204-d3П!F203</f>
        <v>397500</v>
      </c>
      <c r="G204" s="325">
        <f>'d3'!G204-d3П!G203</f>
        <v>0</v>
      </c>
      <c r="H204" s="325">
        <f>'d3'!H204-d3П!H203</f>
        <v>0</v>
      </c>
      <c r="I204" s="325">
        <f>'d3'!I204-d3П!I203</f>
        <v>0</v>
      </c>
      <c r="J204" s="325">
        <f>'d3'!J204-d3П!J203</f>
        <v>302500</v>
      </c>
      <c r="K204" s="325">
        <f>'d3'!K204-d3П!K203</f>
        <v>302500</v>
      </c>
      <c r="L204" s="325">
        <f>'d3'!L204-d3П!L203</f>
        <v>0</v>
      </c>
      <c r="M204" s="325">
        <f>'d3'!M204-d3П!M203</f>
        <v>0</v>
      </c>
      <c r="N204" s="325">
        <f>'d3'!N204-d3П!N203</f>
        <v>0</v>
      </c>
      <c r="O204" s="325">
        <f>'d3'!O204-d3П!O203</f>
        <v>302500</v>
      </c>
      <c r="P204" s="325">
        <f>'d3'!P204-d3П!P203</f>
        <v>700000</v>
      </c>
      <c r="Q204" s="25"/>
      <c r="R204" s="50"/>
    </row>
    <row r="205" spans="1:18" ht="47.25" thickTop="1" thickBot="1" x14ac:dyDescent="0.25">
      <c r="A205" s="101" t="s">
        <v>172</v>
      </c>
      <c r="B205" s="101" t="s">
        <v>173</v>
      </c>
      <c r="C205" s="101" t="s">
        <v>174</v>
      </c>
      <c r="D205" s="101" t="s">
        <v>175</v>
      </c>
      <c r="E205" s="325">
        <f>'d3'!E205-d3П!E204</f>
        <v>397500</v>
      </c>
      <c r="F205" s="325">
        <f>'d3'!F205-d3П!F204</f>
        <v>397500</v>
      </c>
      <c r="G205" s="325">
        <f>'d3'!G205-d3П!G204</f>
        <v>0</v>
      </c>
      <c r="H205" s="325">
        <f>'d3'!H205-d3П!H204</f>
        <v>0</v>
      </c>
      <c r="I205" s="325">
        <f>'d3'!I205-d3П!I204</f>
        <v>0</v>
      </c>
      <c r="J205" s="325">
        <f>'d3'!J205-d3П!J204</f>
        <v>302500</v>
      </c>
      <c r="K205" s="325">
        <f>'d3'!K205-d3П!K204</f>
        <v>302500</v>
      </c>
      <c r="L205" s="325">
        <f>'d3'!L205-d3П!L204</f>
        <v>0</v>
      </c>
      <c r="M205" s="325">
        <f>'d3'!M205-d3П!M204</f>
        <v>0</v>
      </c>
      <c r="N205" s="325">
        <f>'d3'!N205-d3П!N204</f>
        <v>0</v>
      </c>
      <c r="O205" s="325">
        <f>'d3'!O205-d3П!O204</f>
        <v>302500</v>
      </c>
      <c r="P205" s="325">
        <f>'d3'!P205-d3П!P204</f>
        <v>700000</v>
      </c>
      <c r="Q205" s="20"/>
      <c r="R205" s="46"/>
    </row>
    <row r="206" spans="1:18" ht="47.25" thickTop="1" thickBot="1" x14ac:dyDescent="0.25">
      <c r="A206" s="101" t="s">
        <v>176</v>
      </c>
      <c r="B206" s="101" t="s">
        <v>177</v>
      </c>
      <c r="C206" s="101" t="s">
        <v>174</v>
      </c>
      <c r="D206" s="101" t="s">
        <v>463</v>
      </c>
      <c r="E206" s="325">
        <f>'d3'!E206-d3П!E205</f>
        <v>0</v>
      </c>
      <c r="F206" s="325">
        <f>'d3'!F206-d3П!F205</f>
        <v>0</v>
      </c>
      <c r="G206" s="325">
        <f>'d3'!G206-d3П!G205</f>
        <v>0</v>
      </c>
      <c r="H206" s="325">
        <f>'d3'!H206-d3П!H205</f>
        <v>0</v>
      </c>
      <c r="I206" s="325">
        <f>'d3'!I206-d3П!I205</f>
        <v>0</v>
      </c>
      <c r="J206" s="325">
        <f>'d3'!J206-d3П!J205</f>
        <v>0</v>
      </c>
      <c r="K206" s="325">
        <f>'d3'!K206-d3П!K205</f>
        <v>0</v>
      </c>
      <c r="L206" s="325">
        <f>'d3'!L206-d3П!L205</f>
        <v>0</v>
      </c>
      <c r="M206" s="325">
        <f>'d3'!M206-d3П!M205</f>
        <v>0</v>
      </c>
      <c r="N206" s="325">
        <f>'d3'!N206-d3П!N205</f>
        <v>0</v>
      </c>
      <c r="O206" s="325">
        <f>'d3'!O206-d3П!O205</f>
        <v>0</v>
      </c>
      <c r="P206" s="325">
        <f>'d3'!P206-d3П!P205</f>
        <v>0</v>
      </c>
      <c r="Q206" s="20"/>
      <c r="R206" s="46"/>
    </row>
    <row r="207" spans="1:18" ht="93" thickTop="1" thickBot="1" x14ac:dyDescent="0.25">
      <c r="A207" s="101" t="s">
        <v>178</v>
      </c>
      <c r="B207" s="101" t="s">
        <v>171</v>
      </c>
      <c r="C207" s="101" t="s">
        <v>179</v>
      </c>
      <c r="D207" s="101" t="s">
        <v>180</v>
      </c>
      <c r="E207" s="325">
        <f>'d3'!E207-d3П!E206</f>
        <v>0</v>
      </c>
      <c r="F207" s="325">
        <f>'d3'!F207-d3П!F206</f>
        <v>0</v>
      </c>
      <c r="G207" s="325">
        <f>'d3'!G207-d3П!G206</f>
        <v>0</v>
      </c>
      <c r="H207" s="325">
        <f>'d3'!H207-d3П!H206</f>
        <v>0</v>
      </c>
      <c r="I207" s="325">
        <f>'d3'!I207-d3П!I206</f>
        <v>0</v>
      </c>
      <c r="J207" s="325">
        <f>'d3'!J207-d3П!J206</f>
        <v>0</v>
      </c>
      <c r="K207" s="325">
        <f>'d3'!K207-d3П!K206</f>
        <v>0</v>
      </c>
      <c r="L207" s="325">
        <f>'d3'!L207-d3П!L206</f>
        <v>0</v>
      </c>
      <c r="M207" s="325">
        <f>'d3'!M207-d3П!M206</f>
        <v>0</v>
      </c>
      <c r="N207" s="325">
        <f>'d3'!N207-d3П!N206</f>
        <v>0</v>
      </c>
      <c r="O207" s="325">
        <f>'d3'!O207-d3П!O206</f>
        <v>0</v>
      </c>
      <c r="P207" s="325">
        <f>'d3'!P207-d3П!P206</f>
        <v>0</v>
      </c>
      <c r="Q207" s="20"/>
      <c r="R207" s="46"/>
    </row>
    <row r="208" spans="1:18" ht="47.25" hidden="1" thickTop="1" thickBot="1" x14ac:dyDescent="0.25">
      <c r="A208" s="126" t="s">
        <v>1194</v>
      </c>
      <c r="B208" s="126" t="s">
        <v>1195</v>
      </c>
      <c r="C208" s="126" t="s">
        <v>1197</v>
      </c>
      <c r="D208" s="126" t="s">
        <v>1196</v>
      </c>
      <c r="E208" s="325">
        <f>'d3'!E208-d3П!E207</f>
        <v>0</v>
      </c>
      <c r="F208" s="325">
        <f>'d3'!F208-d3П!F207</f>
        <v>0</v>
      </c>
      <c r="G208" s="325">
        <f>'d3'!G208-d3П!G207</f>
        <v>0</v>
      </c>
      <c r="H208" s="325">
        <f>'d3'!H208-d3П!H207</f>
        <v>0</v>
      </c>
      <c r="I208" s="325">
        <f>'d3'!I208-d3П!I207</f>
        <v>0</v>
      </c>
      <c r="J208" s="325">
        <f>'d3'!J208-d3П!J207</f>
        <v>0</v>
      </c>
      <c r="K208" s="325">
        <f>'d3'!K208-d3П!K207</f>
        <v>0</v>
      </c>
      <c r="L208" s="325">
        <f>'d3'!L208-d3П!L207</f>
        <v>0</v>
      </c>
      <c r="M208" s="325">
        <f>'d3'!M208-d3П!M207</f>
        <v>0</v>
      </c>
      <c r="N208" s="325">
        <f>'d3'!N208-d3П!N207</f>
        <v>0</v>
      </c>
      <c r="O208" s="325">
        <f>'d3'!O208-d3П!O207</f>
        <v>0</v>
      </c>
      <c r="P208" s="325">
        <f>'d3'!P208-d3П!P207</f>
        <v>0</v>
      </c>
      <c r="Q208" s="20"/>
      <c r="R208" s="46"/>
    </row>
    <row r="209" spans="1:18" ht="47.25" thickTop="1" thickBot="1" x14ac:dyDescent="0.25">
      <c r="A209" s="326" t="s">
        <v>758</v>
      </c>
      <c r="B209" s="326" t="s">
        <v>759</v>
      </c>
      <c r="C209" s="326"/>
      <c r="D209" s="326" t="s">
        <v>760</v>
      </c>
      <c r="E209" s="325">
        <f>'d3'!E209-d3П!E208</f>
        <v>0</v>
      </c>
      <c r="F209" s="325">
        <f>'d3'!F209-d3П!F208</f>
        <v>0</v>
      </c>
      <c r="G209" s="325">
        <f>'d3'!G209-d3П!G208</f>
        <v>0</v>
      </c>
      <c r="H209" s="325">
        <f>'d3'!H209-d3П!H208</f>
        <v>0</v>
      </c>
      <c r="I209" s="325">
        <f>'d3'!I209-d3П!I208</f>
        <v>0</v>
      </c>
      <c r="J209" s="325">
        <f>'d3'!J209-d3П!J208</f>
        <v>0</v>
      </c>
      <c r="K209" s="325">
        <f>'d3'!K209-d3П!K208</f>
        <v>0</v>
      </c>
      <c r="L209" s="325">
        <f>'d3'!L209-d3П!L208</f>
        <v>0</v>
      </c>
      <c r="M209" s="325">
        <f>'d3'!M209-d3П!M208</f>
        <v>0</v>
      </c>
      <c r="N209" s="325">
        <f>'d3'!N209-d3П!N208</f>
        <v>0</v>
      </c>
      <c r="O209" s="325">
        <f>'d3'!O209-d3П!O208</f>
        <v>0</v>
      </c>
      <c r="P209" s="325">
        <f>'d3'!P209-d3П!P208</f>
        <v>0</v>
      </c>
      <c r="Q209" s="20"/>
      <c r="R209" s="46"/>
    </row>
    <row r="210" spans="1:18" ht="47.25" thickTop="1" thickBot="1" x14ac:dyDescent="0.25">
      <c r="A210" s="101" t="s">
        <v>333</v>
      </c>
      <c r="B210" s="101" t="s">
        <v>334</v>
      </c>
      <c r="C210" s="101" t="s">
        <v>182</v>
      </c>
      <c r="D210" s="101" t="s">
        <v>464</v>
      </c>
      <c r="E210" s="325">
        <f>'d3'!E210-d3П!E209</f>
        <v>0</v>
      </c>
      <c r="F210" s="325">
        <f>'d3'!F210-d3П!F209</f>
        <v>0</v>
      </c>
      <c r="G210" s="325">
        <f>'d3'!G210-d3П!G209</f>
        <v>0</v>
      </c>
      <c r="H210" s="325">
        <f>'d3'!H210-d3П!H209</f>
        <v>0</v>
      </c>
      <c r="I210" s="325">
        <f>'d3'!I210-d3П!I209</f>
        <v>0</v>
      </c>
      <c r="J210" s="325">
        <f>'d3'!J210-d3П!J209</f>
        <v>0</v>
      </c>
      <c r="K210" s="325">
        <f>'d3'!K210-d3П!K209</f>
        <v>0</v>
      </c>
      <c r="L210" s="325">
        <f>'d3'!L210-d3П!L209</f>
        <v>0</v>
      </c>
      <c r="M210" s="325">
        <f>'d3'!M210-d3П!M209</f>
        <v>0</v>
      </c>
      <c r="N210" s="325">
        <f>'d3'!N210-d3П!N209</f>
        <v>0</v>
      </c>
      <c r="O210" s="325">
        <f>'d3'!O210-d3П!O209</f>
        <v>0</v>
      </c>
      <c r="P210" s="325">
        <f>'d3'!P210-d3П!P209</f>
        <v>0</v>
      </c>
      <c r="Q210" s="20"/>
      <c r="R210" s="46"/>
    </row>
    <row r="211" spans="1:18" ht="47.25" thickTop="1" thickBot="1" x14ac:dyDescent="0.25">
      <c r="A211" s="101" t="s">
        <v>335</v>
      </c>
      <c r="B211" s="101" t="s">
        <v>336</v>
      </c>
      <c r="C211" s="101" t="s">
        <v>182</v>
      </c>
      <c r="D211" s="101" t="s">
        <v>465</v>
      </c>
      <c r="E211" s="325">
        <f>'d3'!E211-d3П!E210</f>
        <v>0</v>
      </c>
      <c r="F211" s="325">
        <f>'d3'!F211-d3П!F210</f>
        <v>0</v>
      </c>
      <c r="G211" s="325">
        <f>'d3'!G211-d3П!G210</f>
        <v>0</v>
      </c>
      <c r="H211" s="325">
        <f>'d3'!H211-d3П!H210</f>
        <v>0</v>
      </c>
      <c r="I211" s="325">
        <f>'d3'!I211-d3П!I210</f>
        <v>0</v>
      </c>
      <c r="J211" s="325">
        <f>'d3'!J211-d3П!J210</f>
        <v>0</v>
      </c>
      <c r="K211" s="325">
        <f>'d3'!K211-d3П!K210</f>
        <v>0</v>
      </c>
      <c r="L211" s="325">
        <f>'d3'!L211-d3П!L210</f>
        <v>0</v>
      </c>
      <c r="M211" s="325">
        <f>'d3'!M211-d3П!M210</f>
        <v>0</v>
      </c>
      <c r="N211" s="325">
        <f>'d3'!N211-d3П!N210</f>
        <v>0</v>
      </c>
      <c r="O211" s="325">
        <f>'d3'!O211-d3П!O210</f>
        <v>0</v>
      </c>
      <c r="P211" s="325">
        <f>'d3'!P211-d3П!P210</f>
        <v>0</v>
      </c>
      <c r="Q211" s="20"/>
      <c r="R211" s="50"/>
    </row>
    <row r="212" spans="1:18" ht="47.25" thickTop="1" thickBot="1" x14ac:dyDescent="0.25">
      <c r="A212" s="308" t="s">
        <v>915</v>
      </c>
      <c r="B212" s="308" t="s">
        <v>748</v>
      </c>
      <c r="C212" s="308"/>
      <c r="D212" s="308" t="s">
        <v>749</v>
      </c>
      <c r="E212" s="325">
        <f>'d3'!E212-d3П!E211</f>
        <v>0</v>
      </c>
      <c r="F212" s="325">
        <f>'d3'!F212-d3П!F211</f>
        <v>0</v>
      </c>
      <c r="G212" s="325">
        <f>'d3'!G212-d3П!G211</f>
        <v>0</v>
      </c>
      <c r="H212" s="325">
        <f>'d3'!H212-d3П!H211</f>
        <v>0</v>
      </c>
      <c r="I212" s="325">
        <f>'d3'!I212-d3П!I211</f>
        <v>0</v>
      </c>
      <c r="J212" s="325">
        <f>'d3'!J212-d3П!J211</f>
        <v>0</v>
      </c>
      <c r="K212" s="325">
        <f>'d3'!K212-d3П!K211</f>
        <v>0</v>
      </c>
      <c r="L212" s="325">
        <f>'d3'!L212-d3П!L211</f>
        <v>0</v>
      </c>
      <c r="M212" s="325">
        <f>'d3'!M212-d3П!M211</f>
        <v>0</v>
      </c>
      <c r="N212" s="325">
        <f>'d3'!N212-d3П!N211</f>
        <v>0</v>
      </c>
      <c r="O212" s="325">
        <f>'d3'!O212-d3П!O211</f>
        <v>0</v>
      </c>
      <c r="P212" s="325">
        <f>'d3'!P212-d3П!P211</f>
        <v>0</v>
      </c>
      <c r="Q212" s="20"/>
      <c r="R212" s="50"/>
    </row>
    <row r="213" spans="1:18" ht="47.25" thickTop="1" thickBot="1" x14ac:dyDescent="0.25">
      <c r="A213" s="310" t="s">
        <v>916</v>
      </c>
      <c r="B213" s="310" t="s">
        <v>691</v>
      </c>
      <c r="C213" s="310"/>
      <c r="D213" s="310" t="s">
        <v>689</v>
      </c>
      <c r="E213" s="325">
        <f>'d3'!E213-d3П!E212</f>
        <v>0</v>
      </c>
      <c r="F213" s="325">
        <f>'d3'!F213-d3П!F212</f>
        <v>0</v>
      </c>
      <c r="G213" s="325">
        <f>'d3'!G213-d3П!G212</f>
        <v>0</v>
      </c>
      <c r="H213" s="325">
        <f>'d3'!H213-d3П!H212</f>
        <v>0</v>
      </c>
      <c r="I213" s="325">
        <f>'d3'!I213-d3П!I212</f>
        <v>0</v>
      </c>
      <c r="J213" s="325">
        <f>'d3'!J213-d3П!J212</f>
        <v>0</v>
      </c>
      <c r="K213" s="325">
        <f>'d3'!K213-d3П!K212</f>
        <v>0</v>
      </c>
      <c r="L213" s="325">
        <f>'d3'!L213-d3П!L212</f>
        <v>0</v>
      </c>
      <c r="M213" s="325">
        <f>'d3'!M213-d3П!M212</f>
        <v>0</v>
      </c>
      <c r="N213" s="325">
        <f>'d3'!N213-d3П!N212</f>
        <v>0</v>
      </c>
      <c r="O213" s="325">
        <f>'d3'!O213-d3П!O212</f>
        <v>0</v>
      </c>
      <c r="P213" s="325">
        <f>'d3'!P213-d3П!P212</f>
        <v>0</v>
      </c>
      <c r="Q213" s="20"/>
      <c r="R213" s="50"/>
    </row>
    <row r="214" spans="1:18" ht="47.25" thickTop="1" thickBot="1" x14ac:dyDescent="0.25">
      <c r="A214" s="326" t="s">
        <v>1033</v>
      </c>
      <c r="B214" s="326" t="s">
        <v>1034</v>
      </c>
      <c r="C214" s="326"/>
      <c r="D214" s="326" t="s">
        <v>1032</v>
      </c>
      <c r="E214" s="325">
        <f>'d3'!E214-d3П!E213</f>
        <v>0</v>
      </c>
      <c r="F214" s="325">
        <f>'d3'!F214-d3П!F213</f>
        <v>0</v>
      </c>
      <c r="G214" s="325">
        <f>'d3'!G214-d3П!G213</f>
        <v>0</v>
      </c>
      <c r="H214" s="325">
        <f>'d3'!H214-d3П!H213</f>
        <v>0</v>
      </c>
      <c r="I214" s="325">
        <f>'d3'!I214-d3П!I213</f>
        <v>0</v>
      </c>
      <c r="J214" s="325">
        <f>'d3'!J214-d3П!J213</f>
        <v>0</v>
      </c>
      <c r="K214" s="325">
        <f>'d3'!K214-d3П!K213</f>
        <v>0</v>
      </c>
      <c r="L214" s="325">
        <f>'d3'!L214-d3П!L213</f>
        <v>0</v>
      </c>
      <c r="M214" s="325">
        <f>'d3'!M214-d3П!M213</f>
        <v>0</v>
      </c>
      <c r="N214" s="325">
        <f>'d3'!N214-d3П!N213</f>
        <v>0</v>
      </c>
      <c r="O214" s="325">
        <f>'d3'!O214-d3П!O213</f>
        <v>0</v>
      </c>
      <c r="P214" s="325">
        <f>'d3'!P214-d3П!P213</f>
        <v>0</v>
      </c>
      <c r="Q214" s="20"/>
      <c r="R214" s="50"/>
    </row>
    <row r="215" spans="1:18" ht="47.25" thickTop="1" thickBot="1" x14ac:dyDescent="0.25">
      <c r="A215" s="101" t="s">
        <v>1036</v>
      </c>
      <c r="B215" s="101" t="s">
        <v>1037</v>
      </c>
      <c r="C215" s="101" t="s">
        <v>213</v>
      </c>
      <c r="D215" s="101" t="s">
        <v>1035</v>
      </c>
      <c r="E215" s="325">
        <f>'d3'!E215-d3П!E214</f>
        <v>0</v>
      </c>
      <c r="F215" s="325">
        <f>'d3'!F215-d3П!F214</f>
        <v>0</v>
      </c>
      <c r="G215" s="325">
        <f>'d3'!G215-d3П!G214</f>
        <v>0</v>
      </c>
      <c r="H215" s="325">
        <f>'d3'!H215-d3П!H214</f>
        <v>0</v>
      </c>
      <c r="I215" s="325">
        <f>'d3'!I215-d3П!I214</f>
        <v>0</v>
      </c>
      <c r="J215" s="325">
        <f>'d3'!J215-d3П!J214</f>
        <v>0</v>
      </c>
      <c r="K215" s="325">
        <f>'d3'!K215-d3П!K214</f>
        <v>0</v>
      </c>
      <c r="L215" s="325">
        <f>'d3'!L215-d3П!L214</f>
        <v>0</v>
      </c>
      <c r="M215" s="325">
        <f>'d3'!M215-d3П!M214</f>
        <v>0</v>
      </c>
      <c r="N215" s="325">
        <f>'d3'!N215-d3П!N214</f>
        <v>0</v>
      </c>
      <c r="O215" s="325">
        <f>'d3'!O215-d3П!O214</f>
        <v>0</v>
      </c>
      <c r="P215" s="325">
        <f>'d3'!P215-d3П!P214</f>
        <v>0</v>
      </c>
      <c r="Q215" s="20"/>
      <c r="R215" s="50"/>
    </row>
    <row r="216" spans="1:18" ht="48" hidden="1" thickTop="1" thickBot="1" x14ac:dyDescent="0.25">
      <c r="A216" s="126" t="s">
        <v>1265</v>
      </c>
      <c r="B216" s="126" t="s">
        <v>212</v>
      </c>
      <c r="C216" s="126" t="s">
        <v>213</v>
      </c>
      <c r="D216" s="126" t="s">
        <v>41</v>
      </c>
      <c r="E216" s="125">
        <f t="shared" ref="E216:E217" si="31">F216</f>
        <v>0</v>
      </c>
      <c r="F216" s="132"/>
      <c r="G216" s="132"/>
      <c r="H216" s="132"/>
      <c r="I216" s="132"/>
      <c r="J216" s="125">
        <f>L216+O216</f>
        <v>0</v>
      </c>
      <c r="K216" s="132"/>
      <c r="L216" s="132"/>
      <c r="M216" s="132"/>
      <c r="N216" s="132"/>
      <c r="O216" s="130">
        <f>K216</f>
        <v>0</v>
      </c>
      <c r="P216" s="125">
        <f>E216+J216</f>
        <v>0</v>
      </c>
      <c r="Q216" s="20"/>
      <c r="R216" s="50"/>
    </row>
    <row r="217" spans="1:18" ht="48" hidden="1" thickTop="1" thickBot="1" x14ac:dyDescent="0.25">
      <c r="A217" s="126" t="s">
        <v>917</v>
      </c>
      <c r="B217" s="126" t="s">
        <v>197</v>
      </c>
      <c r="C217" s="126" t="s">
        <v>170</v>
      </c>
      <c r="D217" s="126" t="s">
        <v>34</v>
      </c>
      <c r="E217" s="125">
        <f t="shared" si="31"/>
        <v>0</v>
      </c>
      <c r="F217" s="132"/>
      <c r="G217" s="132"/>
      <c r="H217" s="132"/>
      <c r="I217" s="132"/>
      <c r="J217" s="125">
        <f t="shared" ref="J217" si="32">L217+O217</f>
        <v>0</v>
      </c>
      <c r="K217" s="132">
        <f>940242-455475-484767</f>
        <v>0</v>
      </c>
      <c r="L217" s="132"/>
      <c r="M217" s="132"/>
      <c r="N217" s="132"/>
      <c r="O217" s="130">
        <f t="shared" ref="O217" si="33">K217</f>
        <v>0</v>
      </c>
      <c r="P217" s="125">
        <f t="shared" ref="P217" si="34">E217+J217</f>
        <v>0</v>
      </c>
      <c r="Q217" s="20"/>
      <c r="R217" s="46"/>
    </row>
    <row r="218" spans="1:18" ht="47.25" hidden="1" thickTop="1" thickBot="1" x14ac:dyDescent="0.25">
      <c r="A218" s="144" t="s">
        <v>761</v>
      </c>
      <c r="B218" s="144" t="s">
        <v>702</v>
      </c>
      <c r="C218" s="144"/>
      <c r="D218" s="144" t="s">
        <v>703</v>
      </c>
      <c r="E218" s="42">
        <f>E219</f>
        <v>0</v>
      </c>
      <c r="F218" s="42">
        <f t="shared" ref="F218:P219" si="35">F219</f>
        <v>0</v>
      </c>
      <c r="G218" s="42">
        <f t="shared" si="35"/>
        <v>0</v>
      </c>
      <c r="H218" s="42">
        <f t="shared" si="35"/>
        <v>0</v>
      </c>
      <c r="I218" s="42">
        <f t="shared" si="35"/>
        <v>0</v>
      </c>
      <c r="J218" s="42">
        <f t="shared" si="35"/>
        <v>0</v>
      </c>
      <c r="K218" s="42">
        <f t="shared" si="35"/>
        <v>0</v>
      </c>
      <c r="L218" s="42">
        <f t="shared" si="35"/>
        <v>0</v>
      </c>
      <c r="M218" s="42">
        <f t="shared" si="35"/>
        <v>0</v>
      </c>
      <c r="N218" s="42">
        <f t="shared" si="35"/>
        <v>0</v>
      </c>
      <c r="O218" s="42">
        <f t="shared" si="35"/>
        <v>0</v>
      </c>
      <c r="P218" s="42">
        <f t="shared" si="35"/>
        <v>0</v>
      </c>
      <c r="Q218" s="20"/>
      <c r="R218" s="50"/>
    </row>
    <row r="219" spans="1:18" ht="91.5" hidden="1" thickTop="1" thickBot="1" x14ac:dyDescent="0.25">
      <c r="A219" s="145" t="s">
        <v>762</v>
      </c>
      <c r="B219" s="145" t="s">
        <v>705</v>
      </c>
      <c r="C219" s="145"/>
      <c r="D219" s="145" t="s">
        <v>706</v>
      </c>
      <c r="E219" s="146">
        <f>E220</f>
        <v>0</v>
      </c>
      <c r="F219" s="146">
        <f t="shared" si="35"/>
        <v>0</v>
      </c>
      <c r="G219" s="146">
        <f t="shared" si="35"/>
        <v>0</v>
      </c>
      <c r="H219" s="146">
        <f t="shared" si="35"/>
        <v>0</v>
      </c>
      <c r="I219" s="146">
        <f t="shared" si="35"/>
        <v>0</v>
      </c>
      <c r="J219" s="146">
        <f t="shared" si="35"/>
        <v>0</v>
      </c>
      <c r="K219" s="146">
        <f t="shared" si="35"/>
        <v>0</v>
      </c>
      <c r="L219" s="146">
        <f t="shared" si="35"/>
        <v>0</v>
      </c>
      <c r="M219" s="146">
        <f t="shared" si="35"/>
        <v>0</v>
      </c>
      <c r="N219" s="146">
        <f t="shared" si="35"/>
        <v>0</v>
      </c>
      <c r="O219" s="146">
        <f t="shared" si="35"/>
        <v>0</v>
      </c>
      <c r="P219" s="146">
        <f t="shared" si="35"/>
        <v>0</v>
      </c>
      <c r="Q219" s="20"/>
      <c r="R219" s="50"/>
    </row>
    <row r="220" spans="1:18" ht="48" hidden="1" thickTop="1" thickBot="1" x14ac:dyDescent="0.25">
      <c r="A220" s="41" t="s">
        <v>586</v>
      </c>
      <c r="B220" s="41" t="s">
        <v>363</v>
      </c>
      <c r="C220" s="41" t="s">
        <v>43</v>
      </c>
      <c r="D220" s="41" t="s">
        <v>364</v>
      </c>
      <c r="E220" s="42">
        <f t="shared" ref="E220" si="36">F220</f>
        <v>0</v>
      </c>
      <c r="F220" s="43">
        <v>0</v>
      </c>
      <c r="G220" s="43"/>
      <c r="H220" s="43"/>
      <c r="I220" s="43"/>
      <c r="J220" s="42">
        <f>L220+O220</f>
        <v>0</v>
      </c>
      <c r="K220" s="43"/>
      <c r="L220" s="43"/>
      <c r="M220" s="43"/>
      <c r="N220" s="43"/>
      <c r="O220" s="44">
        <f>K220</f>
        <v>0</v>
      </c>
      <c r="P220" s="42">
        <f>E220+J220</f>
        <v>0</v>
      </c>
      <c r="Q220" s="20"/>
      <c r="R220" s="50"/>
    </row>
    <row r="221" spans="1:18" ht="120" customHeight="1" thickTop="1" thickBot="1" x14ac:dyDescent="0.25">
      <c r="A221" s="645" t="s">
        <v>22</v>
      </c>
      <c r="B221" s="645"/>
      <c r="C221" s="645"/>
      <c r="D221" s="646" t="s">
        <v>23</v>
      </c>
      <c r="E221" s="647">
        <f>E222</f>
        <v>3937026</v>
      </c>
      <c r="F221" s="648">
        <f t="shared" ref="F221:G221" si="37">F222</f>
        <v>3937026</v>
      </c>
      <c r="G221" s="648">
        <f t="shared" si="37"/>
        <v>50000</v>
      </c>
      <c r="H221" s="648">
        <f>H222</f>
        <v>0</v>
      </c>
      <c r="I221" s="648">
        <f t="shared" ref="I221" si="38">I222</f>
        <v>0</v>
      </c>
      <c r="J221" s="647">
        <f>J222</f>
        <v>144001</v>
      </c>
      <c r="K221" s="648">
        <f>K222</f>
        <v>144001</v>
      </c>
      <c r="L221" s="648">
        <f>L222</f>
        <v>0</v>
      </c>
      <c r="M221" s="648">
        <f t="shared" ref="M221" si="39">M222</f>
        <v>0</v>
      </c>
      <c r="N221" s="648">
        <f>N222</f>
        <v>0</v>
      </c>
      <c r="O221" s="647">
        <f>O222</f>
        <v>144001</v>
      </c>
      <c r="P221" s="648">
        <f t="shared" ref="P221" si="40">P222</f>
        <v>4081027</v>
      </c>
      <c r="Q221" s="20"/>
    </row>
    <row r="222" spans="1:18" ht="120" customHeight="1" thickTop="1" thickBot="1" x14ac:dyDescent="0.25">
      <c r="A222" s="642" t="s">
        <v>21</v>
      </c>
      <c r="B222" s="642"/>
      <c r="C222" s="642"/>
      <c r="D222" s="643" t="s">
        <v>35</v>
      </c>
      <c r="E222" s="644">
        <f>E223+E229+E244+E247+E254</f>
        <v>3937026</v>
      </c>
      <c r="F222" s="644">
        <f t="shared" ref="F222:I222" si="41">F223+F229+F244+F247+F254</f>
        <v>3937026</v>
      </c>
      <c r="G222" s="644">
        <f t="shared" si="41"/>
        <v>50000</v>
      </c>
      <c r="H222" s="644">
        <f t="shared" si="41"/>
        <v>0</v>
      </c>
      <c r="I222" s="644">
        <f t="shared" si="41"/>
        <v>0</v>
      </c>
      <c r="J222" s="644">
        <f>L222+O222</f>
        <v>144001</v>
      </c>
      <c r="K222" s="644">
        <f t="shared" ref="K222:O222" si="42">K223+K229+K244+K247+K254</f>
        <v>144001</v>
      </c>
      <c r="L222" s="644">
        <f t="shared" si="42"/>
        <v>0</v>
      </c>
      <c r="M222" s="644">
        <f t="shared" si="42"/>
        <v>0</v>
      </c>
      <c r="N222" s="644">
        <f t="shared" si="42"/>
        <v>0</v>
      </c>
      <c r="O222" s="644">
        <f t="shared" si="42"/>
        <v>144001</v>
      </c>
      <c r="P222" s="644">
        <f>E222+J222</f>
        <v>4081027</v>
      </c>
      <c r="Q222" s="492" t="b">
        <f>P222=P227+P228+P231+P232+P234+P236+P237+P241+P242+P243+P239</f>
        <v>1</v>
      </c>
      <c r="R222" s="46"/>
    </row>
    <row r="223" spans="1:18" ht="47.25" thickTop="1" thickBot="1" x14ac:dyDescent="0.25">
      <c r="A223" s="308" t="s">
        <v>763</v>
      </c>
      <c r="B223" s="308" t="s">
        <v>711</v>
      </c>
      <c r="C223" s="308"/>
      <c r="D223" s="308" t="s">
        <v>712</v>
      </c>
      <c r="E223" s="325">
        <f>'d3'!E223-d3П!E222</f>
        <v>61000</v>
      </c>
      <c r="F223" s="325">
        <f>'d3'!F223-d3П!F222</f>
        <v>61000</v>
      </c>
      <c r="G223" s="325">
        <f>'d3'!G223-d3П!G222</f>
        <v>50000</v>
      </c>
      <c r="H223" s="325">
        <f>'d3'!H223-d3П!H222</f>
        <v>0</v>
      </c>
      <c r="I223" s="325">
        <f>'d3'!I223-d3П!I222</f>
        <v>0</v>
      </c>
      <c r="J223" s="325">
        <f>'d3'!J223-d3П!J222</f>
        <v>0</v>
      </c>
      <c r="K223" s="325">
        <f>'d3'!K223-d3П!K222</f>
        <v>0</v>
      </c>
      <c r="L223" s="325">
        <f>'d3'!L223-d3П!L222</f>
        <v>0</v>
      </c>
      <c r="M223" s="325">
        <f>'d3'!M223-d3П!M222</f>
        <v>0</v>
      </c>
      <c r="N223" s="325">
        <f>'d3'!N223-d3П!N222</f>
        <v>0</v>
      </c>
      <c r="O223" s="325">
        <f>'d3'!O223-d3П!O222</f>
        <v>0</v>
      </c>
      <c r="P223" s="325">
        <f>'d3'!P223-d3П!P222</f>
        <v>61000</v>
      </c>
      <c r="Q223" s="47"/>
      <c r="R223" s="46"/>
    </row>
    <row r="224" spans="1:18" s="33" customFormat="1" ht="48" hidden="1" thickTop="1" thickBot="1" x14ac:dyDescent="0.25">
      <c r="A224" s="326" t="s">
        <v>764</v>
      </c>
      <c r="B224" s="326" t="s">
        <v>765</v>
      </c>
      <c r="C224" s="326"/>
      <c r="D224" s="326" t="s">
        <v>766</v>
      </c>
      <c r="E224" s="325">
        <f>'d3'!E224-d3П!E223</f>
        <v>0</v>
      </c>
      <c r="F224" s="325">
        <f>'d3'!F224-d3П!F223</f>
        <v>0</v>
      </c>
      <c r="G224" s="325">
        <f>'d3'!G224-d3П!G223</f>
        <v>0</v>
      </c>
      <c r="H224" s="325">
        <f>'d3'!H224-d3П!H223</f>
        <v>0</v>
      </c>
      <c r="I224" s="325">
        <f>'d3'!I224-d3П!I223</f>
        <v>0</v>
      </c>
      <c r="J224" s="325">
        <f>'d3'!J224-d3П!J223</f>
        <v>0</v>
      </c>
      <c r="K224" s="325">
        <f>'d3'!K224-d3П!K223</f>
        <v>0</v>
      </c>
      <c r="L224" s="325">
        <f>'d3'!L224-d3П!L223</f>
        <v>0</v>
      </c>
      <c r="M224" s="325">
        <f>'d3'!M224-d3П!M223</f>
        <v>0</v>
      </c>
      <c r="N224" s="325">
        <f>'d3'!N224-d3П!N223</f>
        <v>0</v>
      </c>
      <c r="O224" s="325">
        <f>'d3'!O224-d3П!O223</f>
        <v>0</v>
      </c>
      <c r="P224" s="325">
        <f>'d3'!P224-d3П!P223</f>
        <v>0</v>
      </c>
      <c r="Q224" s="155"/>
      <c r="R224" s="52"/>
    </row>
    <row r="225" spans="1:18" ht="47.25" hidden="1" thickTop="1" thickBot="1" x14ac:dyDescent="0.25">
      <c r="A225" s="101" t="s">
        <v>183</v>
      </c>
      <c r="B225" s="101" t="s">
        <v>184</v>
      </c>
      <c r="C225" s="101" t="s">
        <v>185</v>
      </c>
      <c r="D225" s="101" t="s">
        <v>638</v>
      </c>
      <c r="E225" s="325">
        <f>'d3'!E225-d3П!E224</f>
        <v>0</v>
      </c>
      <c r="F225" s="325">
        <f>'d3'!F225-d3П!F224</f>
        <v>0</v>
      </c>
      <c r="G225" s="325">
        <f>'d3'!G225-d3П!G224</f>
        <v>0</v>
      </c>
      <c r="H225" s="325">
        <f>'d3'!H225-d3П!H224</f>
        <v>0</v>
      </c>
      <c r="I225" s="325">
        <f>'d3'!I225-d3П!I224</f>
        <v>0</v>
      </c>
      <c r="J225" s="325">
        <f>'d3'!J225-d3П!J224</f>
        <v>0</v>
      </c>
      <c r="K225" s="325">
        <f>'d3'!K225-d3П!K224</f>
        <v>0</v>
      </c>
      <c r="L225" s="325">
        <f>'d3'!L225-d3П!L224</f>
        <v>0</v>
      </c>
      <c r="M225" s="325">
        <f>'d3'!M225-d3П!M224</f>
        <v>0</v>
      </c>
      <c r="N225" s="325">
        <f>'d3'!N225-d3П!N224</f>
        <v>0</v>
      </c>
      <c r="O225" s="325">
        <f>'d3'!O225-d3П!O224</f>
        <v>0</v>
      </c>
      <c r="P225" s="325">
        <f>'d3'!P225-d3П!P224</f>
        <v>0</v>
      </c>
      <c r="Q225" s="50"/>
      <c r="R225" s="50"/>
    </row>
    <row r="226" spans="1:18" s="33" customFormat="1" ht="93" thickTop="1" thickBot="1" x14ac:dyDescent="0.25">
      <c r="A226" s="326" t="s">
        <v>767</v>
      </c>
      <c r="B226" s="326" t="s">
        <v>768</v>
      </c>
      <c r="C226" s="326"/>
      <c r="D226" s="326" t="s">
        <v>1549</v>
      </c>
      <c r="E226" s="325">
        <f>'d3'!E226-d3П!E225</f>
        <v>61000</v>
      </c>
      <c r="F226" s="325">
        <f>'d3'!F226-d3П!F225</f>
        <v>61000</v>
      </c>
      <c r="G226" s="325">
        <f>'d3'!G226-d3П!G225</f>
        <v>50000</v>
      </c>
      <c r="H226" s="325">
        <f>'d3'!H226-d3П!H225</f>
        <v>0</v>
      </c>
      <c r="I226" s="325">
        <f>'d3'!I226-d3П!I225</f>
        <v>0</v>
      </c>
      <c r="J226" s="325">
        <f>'d3'!J226-d3П!J225</f>
        <v>0</v>
      </c>
      <c r="K226" s="325">
        <f>'d3'!K226-d3П!K225</f>
        <v>0</v>
      </c>
      <c r="L226" s="325">
        <f>'d3'!L226-d3П!L225</f>
        <v>0</v>
      </c>
      <c r="M226" s="325">
        <f>'d3'!M226-d3П!M225</f>
        <v>0</v>
      </c>
      <c r="N226" s="325">
        <f>'d3'!N226-d3П!N225</f>
        <v>0</v>
      </c>
      <c r="O226" s="325">
        <f>'d3'!O226-d3П!O225</f>
        <v>0</v>
      </c>
      <c r="P226" s="325">
        <f>'d3'!P226-d3П!P225</f>
        <v>61000</v>
      </c>
      <c r="Q226" s="51"/>
      <c r="R226" s="51"/>
    </row>
    <row r="227" spans="1:18" ht="47.25" thickTop="1" thickBot="1" x14ac:dyDescent="0.25">
      <c r="A227" s="101" t="s">
        <v>189</v>
      </c>
      <c r="B227" s="101" t="s">
        <v>190</v>
      </c>
      <c r="C227" s="101" t="s">
        <v>185</v>
      </c>
      <c r="D227" s="101" t="s">
        <v>10</v>
      </c>
      <c r="E227" s="325">
        <f>'d3'!E227-d3П!E226</f>
        <v>0</v>
      </c>
      <c r="F227" s="325">
        <f>'d3'!F227-d3П!F226</f>
        <v>0</v>
      </c>
      <c r="G227" s="325">
        <f>'d3'!G227-d3П!G226</f>
        <v>0</v>
      </c>
      <c r="H227" s="325">
        <f>'d3'!H227-d3П!H226</f>
        <v>0</v>
      </c>
      <c r="I227" s="325">
        <f>'d3'!I227-d3П!I226</f>
        <v>0</v>
      </c>
      <c r="J227" s="325">
        <f>'d3'!J227-d3П!J226</f>
        <v>0</v>
      </c>
      <c r="K227" s="325">
        <f>'d3'!K227-d3П!K226</f>
        <v>0</v>
      </c>
      <c r="L227" s="325">
        <f>'d3'!L227-d3П!L226</f>
        <v>0</v>
      </c>
      <c r="M227" s="325">
        <f>'d3'!M227-d3П!M226</f>
        <v>0</v>
      </c>
      <c r="N227" s="325">
        <f>'d3'!N227-d3П!N226</f>
        <v>0</v>
      </c>
      <c r="O227" s="325">
        <f>'d3'!O227-d3П!O226</f>
        <v>0</v>
      </c>
      <c r="P227" s="325">
        <f>'d3'!P227-d3П!P226</f>
        <v>0</v>
      </c>
      <c r="Q227" s="20"/>
      <c r="R227" s="46"/>
    </row>
    <row r="228" spans="1:18" ht="47.25" thickTop="1" thickBot="1" x14ac:dyDescent="0.25">
      <c r="A228" s="101" t="s">
        <v>351</v>
      </c>
      <c r="B228" s="101" t="s">
        <v>352</v>
      </c>
      <c r="C228" s="101" t="s">
        <v>185</v>
      </c>
      <c r="D228" s="101" t="s">
        <v>353</v>
      </c>
      <c r="E228" s="325">
        <f>'d3'!E228-d3П!E227</f>
        <v>61000</v>
      </c>
      <c r="F228" s="325">
        <f>'d3'!F228-d3П!F227</f>
        <v>61000</v>
      </c>
      <c r="G228" s="325">
        <f>'d3'!G228-d3П!G227</f>
        <v>50000</v>
      </c>
      <c r="H228" s="325">
        <f>'d3'!H228-d3П!H227</f>
        <v>0</v>
      </c>
      <c r="I228" s="325">
        <f>'d3'!I228-d3П!I227</f>
        <v>0</v>
      </c>
      <c r="J228" s="325">
        <f>'d3'!J228-d3П!J227</f>
        <v>0</v>
      </c>
      <c r="K228" s="325">
        <f>'d3'!K228-d3П!K227</f>
        <v>0</v>
      </c>
      <c r="L228" s="325">
        <f>'d3'!L228-d3П!L227</f>
        <v>0</v>
      </c>
      <c r="M228" s="325">
        <f>'d3'!M228-d3П!M227</f>
        <v>0</v>
      </c>
      <c r="N228" s="325">
        <f>'d3'!N228-d3П!N227</f>
        <v>0</v>
      </c>
      <c r="O228" s="325">
        <f>'d3'!O228-d3П!O227</f>
        <v>0</v>
      </c>
      <c r="P228" s="325">
        <f>'d3'!P228-d3П!P227</f>
        <v>61000</v>
      </c>
      <c r="Q228" s="20"/>
      <c r="R228" s="46"/>
    </row>
    <row r="229" spans="1:18" ht="47.25" thickTop="1" thickBot="1" x14ac:dyDescent="0.25">
      <c r="A229" s="308" t="s">
        <v>769</v>
      </c>
      <c r="B229" s="308" t="s">
        <v>770</v>
      </c>
      <c r="C229" s="101"/>
      <c r="D229" s="308" t="s">
        <v>771</v>
      </c>
      <c r="E229" s="325">
        <f>'d3'!E229-d3П!E228</f>
        <v>3876026</v>
      </c>
      <c r="F229" s="325">
        <f>'d3'!F229-d3П!F228</f>
        <v>3876026</v>
      </c>
      <c r="G229" s="325">
        <f>'d3'!G229-d3П!G228</f>
        <v>0</v>
      </c>
      <c r="H229" s="325">
        <f>'d3'!H229-d3П!H228</f>
        <v>0</v>
      </c>
      <c r="I229" s="325">
        <f>'d3'!I229-d3П!I228</f>
        <v>0</v>
      </c>
      <c r="J229" s="325">
        <f>'d3'!J229-d3П!J228</f>
        <v>144001</v>
      </c>
      <c r="K229" s="325">
        <f>'d3'!K229-d3П!K228</f>
        <v>144001</v>
      </c>
      <c r="L229" s="325">
        <f>'d3'!L229-d3П!L228</f>
        <v>0</v>
      </c>
      <c r="M229" s="325">
        <f>'d3'!M229-d3П!M228</f>
        <v>0</v>
      </c>
      <c r="N229" s="325">
        <f>'d3'!N229-d3П!N228</f>
        <v>0</v>
      </c>
      <c r="O229" s="325">
        <f>'d3'!O229-d3П!O228</f>
        <v>144001</v>
      </c>
      <c r="P229" s="325">
        <f>'d3'!P229-d3П!P228</f>
        <v>4020027</v>
      </c>
      <c r="Q229" s="20"/>
      <c r="R229" s="46"/>
    </row>
    <row r="230" spans="1:18" s="33" customFormat="1" ht="48" thickTop="1" thickBot="1" x14ac:dyDescent="0.25">
      <c r="A230" s="326" t="s">
        <v>772</v>
      </c>
      <c r="B230" s="326" t="s">
        <v>773</v>
      </c>
      <c r="C230" s="326"/>
      <c r="D230" s="326" t="s">
        <v>774</v>
      </c>
      <c r="E230" s="325">
        <f>'d3'!E230-d3П!E229</f>
        <v>3000000</v>
      </c>
      <c r="F230" s="325">
        <f>'d3'!F230-d3П!F229</f>
        <v>3000000</v>
      </c>
      <c r="G230" s="325">
        <f>'d3'!G230-d3П!G229</f>
        <v>0</v>
      </c>
      <c r="H230" s="325">
        <f>'d3'!H230-d3П!H229</f>
        <v>0</v>
      </c>
      <c r="I230" s="325">
        <f>'d3'!I230-d3П!I229</f>
        <v>0</v>
      </c>
      <c r="J230" s="325">
        <f>'d3'!J230-d3П!J229</f>
        <v>0</v>
      </c>
      <c r="K230" s="325">
        <f>'d3'!K230-d3П!K229</f>
        <v>0</v>
      </c>
      <c r="L230" s="325">
        <f>'d3'!L230-d3П!L229</f>
        <v>0</v>
      </c>
      <c r="M230" s="325">
        <f>'d3'!M230-d3П!M229</f>
        <v>0</v>
      </c>
      <c r="N230" s="325">
        <f>'d3'!N230-d3П!N229</f>
        <v>0</v>
      </c>
      <c r="O230" s="325">
        <f>'d3'!O230-d3П!O229</f>
        <v>0</v>
      </c>
      <c r="P230" s="325">
        <f>'d3'!P230-d3П!P229</f>
        <v>3000000</v>
      </c>
      <c r="Q230" s="36"/>
      <c r="R230" s="52"/>
    </row>
    <row r="231" spans="1:18" ht="93" thickTop="1" thickBot="1" x14ac:dyDescent="0.25">
      <c r="A231" s="101" t="s">
        <v>44</v>
      </c>
      <c r="B231" s="101" t="s">
        <v>186</v>
      </c>
      <c r="C231" s="101" t="s">
        <v>195</v>
      </c>
      <c r="D231" s="101" t="s">
        <v>45</v>
      </c>
      <c r="E231" s="325">
        <f>'d3'!E231-d3П!E230</f>
        <v>3000000</v>
      </c>
      <c r="F231" s="325">
        <f>'d3'!F231-d3П!F230</f>
        <v>3000000</v>
      </c>
      <c r="G231" s="325">
        <f>'d3'!G231-d3П!G230</f>
        <v>0</v>
      </c>
      <c r="H231" s="325">
        <f>'d3'!H231-d3П!H230</f>
        <v>0</v>
      </c>
      <c r="I231" s="325">
        <f>'d3'!I231-d3П!I230</f>
        <v>0</v>
      </c>
      <c r="J231" s="325">
        <f>'d3'!J231-d3П!J230</f>
        <v>0</v>
      </c>
      <c r="K231" s="325">
        <f>'d3'!K231-d3П!K230</f>
        <v>0</v>
      </c>
      <c r="L231" s="325">
        <f>'d3'!L231-d3П!L230</f>
        <v>0</v>
      </c>
      <c r="M231" s="325">
        <f>'d3'!M231-d3П!M230</f>
        <v>0</v>
      </c>
      <c r="N231" s="325">
        <f>'d3'!N231-d3П!N230</f>
        <v>0</v>
      </c>
      <c r="O231" s="325">
        <f>'d3'!O231-d3П!O230</f>
        <v>0</v>
      </c>
      <c r="P231" s="325">
        <f>'d3'!P231-d3П!P230</f>
        <v>3000000</v>
      </c>
      <c r="Q231" s="20"/>
      <c r="R231" s="46"/>
    </row>
    <row r="232" spans="1:18" ht="93" thickTop="1" thickBot="1" x14ac:dyDescent="0.25">
      <c r="A232" s="101" t="s">
        <v>46</v>
      </c>
      <c r="B232" s="101" t="s">
        <v>187</v>
      </c>
      <c r="C232" s="101" t="s">
        <v>195</v>
      </c>
      <c r="D232" s="101" t="s">
        <v>4</v>
      </c>
      <c r="E232" s="325">
        <f>'d3'!E232-d3П!E231</f>
        <v>0</v>
      </c>
      <c r="F232" s="325">
        <f>'d3'!F232-d3П!F231</f>
        <v>0</v>
      </c>
      <c r="G232" s="325">
        <f>'d3'!G232-d3П!G231</f>
        <v>0</v>
      </c>
      <c r="H232" s="325">
        <f>'d3'!H232-d3П!H231</f>
        <v>0</v>
      </c>
      <c r="I232" s="325">
        <f>'d3'!I232-d3П!I231</f>
        <v>0</v>
      </c>
      <c r="J232" s="325">
        <f>'d3'!J232-d3П!J231</f>
        <v>0</v>
      </c>
      <c r="K232" s="325">
        <f>'d3'!K232-d3П!K231</f>
        <v>0</v>
      </c>
      <c r="L232" s="325">
        <f>'d3'!L232-d3П!L231</f>
        <v>0</v>
      </c>
      <c r="M232" s="325">
        <f>'d3'!M232-d3П!M231</f>
        <v>0</v>
      </c>
      <c r="N232" s="325">
        <f>'d3'!N232-d3П!N231</f>
        <v>0</v>
      </c>
      <c r="O232" s="325">
        <f>'d3'!O232-d3П!O231</f>
        <v>0</v>
      </c>
      <c r="P232" s="325">
        <f>'d3'!P232-d3П!P231</f>
        <v>0</v>
      </c>
      <c r="Q232" s="20"/>
      <c r="R232" s="46"/>
    </row>
    <row r="233" spans="1:18" s="33" customFormat="1" ht="93" thickTop="1" thickBot="1" x14ac:dyDescent="0.25">
      <c r="A233" s="326" t="s">
        <v>775</v>
      </c>
      <c r="B233" s="326" t="s">
        <v>776</v>
      </c>
      <c r="C233" s="326"/>
      <c r="D233" s="326" t="s">
        <v>777</v>
      </c>
      <c r="E233" s="325">
        <f>'d3'!E233-d3П!E232</f>
        <v>0</v>
      </c>
      <c r="F233" s="325">
        <f>'d3'!F233-d3П!F232</f>
        <v>0</v>
      </c>
      <c r="G233" s="325">
        <f>'d3'!G233-d3П!G232</f>
        <v>0</v>
      </c>
      <c r="H233" s="325">
        <f>'d3'!H233-d3П!H232</f>
        <v>0</v>
      </c>
      <c r="I233" s="325">
        <f>'d3'!I233-d3П!I232</f>
        <v>0</v>
      </c>
      <c r="J233" s="325">
        <f>'d3'!J233-d3П!J232</f>
        <v>0</v>
      </c>
      <c r="K233" s="325">
        <f>'d3'!K233-d3П!K232</f>
        <v>0</v>
      </c>
      <c r="L233" s="325">
        <f>'d3'!L233-d3П!L232</f>
        <v>0</v>
      </c>
      <c r="M233" s="325">
        <f>'d3'!M233-d3П!M232</f>
        <v>0</v>
      </c>
      <c r="N233" s="325">
        <f>'d3'!N233-d3П!N232</f>
        <v>0</v>
      </c>
      <c r="O233" s="325">
        <f>'d3'!O233-d3П!O232</f>
        <v>0</v>
      </c>
      <c r="P233" s="325">
        <f>'d3'!P233-d3П!P232</f>
        <v>0</v>
      </c>
      <c r="Q233" s="36"/>
      <c r="R233" s="53"/>
    </row>
    <row r="234" spans="1:18" ht="93" thickTop="1" thickBot="1" x14ac:dyDescent="0.25">
      <c r="A234" s="101" t="s">
        <v>47</v>
      </c>
      <c r="B234" s="101" t="s">
        <v>188</v>
      </c>
      <c r="C234" s="101" t="s">
        <v>195</v>
      </c>
      <c r="D234" s="101" t="s">
        <v>349</v>
      </c>
      <c r="E234" s="325">
        <f>'d3'!E234-d3П!E233</f>
        <v>0</v>
      </c>
      <c r="F234" s="325">
        <f>'d3'!F234-d3П!F233</f>
        <v>0</v>
      </c>
      <c r="G234" s="325">
        <f>'d3'!G234-d3П!G233</f>
        <v>0</v>
      </c>
      <c r="H234" s="325">
        <f>'d3'!H234-d3П!H233</f>
        <v>0</v>
      </c>
      <c r="I234" s="325">
        <f>'d3'!I234-d3П!I233</f>
        <v>0</v>
      </c>
      <c r="J234" s="325">
        <f>'d3'!J234-d3П!J233</f>
        <v>0</v>
      </c>
      <c r="K234" s="325">
        <f>'d3'!K234-d3П!K233</f>
        <v>0</v>
      </c>
      <c r="L234" s="325">
        <f>'d3'!L234-d3П!L233</f>
        <v>0</v>
      </c>
      <c r="M234" s="325">
        <f>'d3'!M234-d3П!M233</f>
        <v>0</v>
      </c>
      <c r="N234" s="325">
        <f>'d3'!N234-d3П!N233</f>
        <v>0</v>
      </c>
      <c r="O234" s="325">
        <f>'d3'!O234-d3П!O233</f>
        <v>0</v>
      </c>
      <c r="P234" s="325">
        <f>'d3'!P234-d3П!P233</f>
        <v>0</v>
      </c>
      <c r="Q234" s="20"/>
      <c r="R234" s="46"/>
    </row>
    <row r="235" spans="1:18" ht="47.25" thickTop="1" thickBot="1" x14ac:dyDescent="0.25">
      <c r="A235" s="326" t="s">
        <v>778</v>
      </c>
      <c r="B235" s="326" t="s">
        <v>779</v>
      </c>
      <c r="C235" s="326"/>
      <c r="D235" s="326" t="s">
        <v>780</v>
      </c>
      <c r="E235" s="325">
        <f>'d3'!E235-d3П!E234</f>
        <v>876026</v>
      </c>
      <c r="F235" s="325">
        <f>'d3'!F235-d3П!F234</f>
        <v>876026</v>
      </c>
      <c r="G235" s="325">
        <f>'d3'!G235-d3П!G234</f>
        <v>0</v>
      </c>
      <c r="H235" s="325">
        <f>'d3'!H235-d3П!H234</f>
        <v>0</v>
      </c>
      <c r="I235" s="325">
        <f>'d3'!I235-d3П!I234</f>
        <v>0</v>
      </c>
      <c r="J235" s="325">
        <f>'d3'!J235-d3П!J234</f>
        <v>144001</v>
      </c>
      <c r="K235" s="325">
        <f>'d3'!K235-d3П!K234</f>
        <v>144001</v>
      </c>
      <c r="L235" s="325">
        <f>'d3'!L235-d3П!L234</f>
        <v>0</v>
      </c>
      <c r="M235" s="325">
        <f>'d3'!M235-d3П!M234</f>
        <v>0</v>
      </c>
      <c r="N235" s="325">
        <f>'d3'!N235-d3П!N234</f>
        <v>0</v>
      </c>
      <c r="O235" s="325">
        <f>'d3'!O235-d3П!O234</f>
        <v>144001</v>
      </c>
      <c r="P235" s="325">
        <f>'d3'!P235-d3П!P234</f>
        <v>1020027</v>
      </c>
      <c r="Q235" s="20"/>
      <c r="R235" s="46"/>
    </row>
    <row r="236" spans="1:18" ht="93" thickTop="1" thickBot="1" x14ac:dyDescent="0.25">
      <c r="A236" s="101" t="s">
        <v>28</v>
      </c>
      <c r="B236" s="101" t="s">
        <v>192</v>
      </c>
      <c r="C236" s="101" t="s">
        <v>195</v>
      </c>
      <c r="D236" s="101" t="s">
        <v>48</v>
      </c>
      <c r="E236" s="325">
        <f>'d3'!E236-d3П!E235</f>
        <v>876026</v>
      </c>
      <c r="F236" s="325">
        <f>'d3'!F236-d3П!F235</f>
        <v>876026</v>
      </c>
      <c r="G236" s="325">
        <f>'d3'!G236-d3П!G235</f>
        <v>0</v>
      </c>
      <c r="H236" s="325">
        <f>'d3'!H236-d3П!H235</f>
        <v>0</v>
      </c>
      <c r="I236" s="325">
        <f>'d3'!I236-d3П!I235</f>
        <v>0</v>
      </c>
      <c r="J236" s="325">
        <f>'d3'!J236-d3П!J235</f>
        <v>144001</v>
      </c>
      <c r="K236" s="325">
        <f>'d3'!K236-d3П!K235</f>
        <v>144001</v>
      </c>
      <c r="L236" s="325">
        <f>'d3'!L236-d3П!L235</f>
        <v>0</v>
      </c>
      <c r="M236" s="325">
        <f>'d3'!M236-d3П!M235</f>
        <v>0</v>
      </c>
      <c r="N236" s="325">
        <f>'d3'!N236-d3П!N235</f>
        <v>0</v>
      </c>
      <c r="O236" s="325">
        <f>'d3'!O236-d3П!O235</f>
        <v>144001</v>
      </c>
      <c r="P236" s="325">
        <f>'d3'!P236-d3П!P235</f>
        <v>1020027</v>
      </c>
      <c r="Q236" s="20"/>
      <c r="R236" s="46"/>
    </row>
    <row r="237" spans="1:18" ht="93" thickTop="1" thickBot="1" x14ac:dyDescent="0.25">
      <c r="A237" s="101" t="s">
        <v>29</v>
      </c>
      <c r="B237" s="101" t="s">
        <v>193</v>
      </c>
      <c r="C237" s="101" t="s">
        <v>195</v>
      </c>
      <c r="D237" s="101" t="s">
        <v>49</v>
      </c>
      <c r="E237" s="325">
        <f>'d3'!E237-d3П!E236</f>
        <v>0</v>
      </c>
      <c r="F237" s="325">
        <f>'d3'!F237-d3П!F236</f>
        <v>0</v>
      </c>
      <c r="G237" s="325">
        <f>'d3'!G237-d3П!G236</f>
        <v>0</v>
      </c>
      <c r="H237" s="325">
        <f>'d3'!H237-d3П!H236</f>
        <v>0</v>
      </c>
      <c r="I237" s="325">
        <f>'d3'!I237-d3П!I236</f>
        <v>0</v>
      </c>
      <c r="J237" s="325">
        <f>'d3'!J237-d3П!J236</f>
        <v>0</v>
      </c>
      <c r="K237" s="325">
        <f>'d3'!K237-d3П!K236</f>
        <v>0</v>
      </c>
      <c r="L237" s="325">
        <f>'d3'!L237-d3П!L236</f>
        <v>0</v>
      </c>
      <c r="M237" s="325">
        <f>'d3'!M237-d3П!M236</f>
        <v>0</v>
      </c>
      <c r="N237" s="325">
        <f>'d3'!N237-d3П!N236</f>
        <v>0</v>
      </c>
      <c r="O237" s="325">
        <f>'d3'!O237-d3П!O236</f>
        <v>0</v>
      </c>
      <c r="P237" s="325">
        <f>'d3'!P237-d3П!P236</f>
        <v>0</v>
      </c>
      <c r="Q237" s="20"/>
      <c r="R237" s="46"/>
    </row>
    <row r="238" spans="1:18" ht="69.75" customHeight="1" thickTop="1" thickBot="1" x14ac:dyDescent="0.25">
      <c r="A238" s="578" t="s">
        <v>1377</v>
      </c>
      <c r="B238" s="326" t="s">
        <v>816</v>
      </c>
      <c r="C238" s="326"/>
      <c r="D238" s="326" t="s">
        <v>817</v>
      </c>
      <c r="E238" s="325">
        <f>'d3'!E238-d3П!E237</f>
        <v>0</v>
      </c>
      <c r="F238" s="325">
        <f>'d3'!F238-d3П!F237</f>
        <v>0</v>
      </c>
      <c r="G238" s="325">
        <f>'d3'!G238-d3П!G237</f>
        <v>0</v>
      </c>
      <c r="H238" s="325">
        <f>'d3'!H238-d3П!H237</f>
        <v>0</v>
      </c>
      <c r="I238" s="325">
        <f>'d3'!I238-d3П!I237</f>
        <v>0</v>
      </c>
      <c r="J238" s="325">
        <f>'d3'!J238-d3П!J237</f>
        <v>0</v>
      </c>
      <c r="K238" s="325">
        <f>'d3'!K238-d3П!K237</f>
        <v>0</v>
      </c>
      <c r="L238" s="325">
        <f>'d3'!L238-d3П!L237</f>
        <v>0</v>
      </c>
      <c r="M238" s="325">
        <f>'d3'!M238-d3П!M237</f>
        <v>0</v>
      </c>
      <c r="N238" s="325">
        <f>'d3'!N238-d3П!N237</f>
        <v>0</v>
      </c>
      <c r="O238" s="325">
        <f>'d3'!O238-d3П!O237</f>
        <v>0</v>
      </c>
      <c r="P238" s="325">
        <f>'d3'!P238-d3П!P237</f>
        <v>0</v>
      </c>
      <c r="Q238" s="20"/>
      <c r="R238" s="46"/>
    </row>
    <row r="239" spans="1:18" ht="93" thickTop="1" thickBot="1" x14ac:dyDescent="0.25">
      <c r="A239" s="101" t="s">
        <v>1378</v>
      </c>
      <c r="B239" s="101" t="s">
        <v>1379</v>
      </c>
      <c r="C239" s="101" t="s">
        <v>195</v>
      </c>
      <c r="D239" s="101" t="s">
        <v>1380</v>
      </c>
      <c r="E239" s="325">
        <f>'d3'!E239-d3П!E238</f>
        <v>0</v>
      </c>
      <c r="F239" s="325">
        <f>'d3'!F239-d3П!F238</f>
        <v>0</v>
      </c>
      <c r="G239" s="325">
        <f>'d3'!G239-d3П!G238</f>
        <v>0</v>
      </c>
      <c r="H239" s="325">
        <f>'d3'!H239-d3П!H238</f>
        <v>0</v>
      </c>
      <c r="I239" s="325">
        <f>'d3'!I239-d3П!I238</f>
        <v>0</v>
      </c>
      <c r="J239" s="325">
        <f>'d3'!J239-d3П!J238</f>
        <v>0</v>
      </c>
      <c r="K239" s="325">
        <f>'d3'!K239-d3П!K238</f>
        <v>0</v>
      </c>
      <c r="L239" s="325">
        <f>'d3'!L239-d3П!L238</f>
        <v>0</v>
      </c>
      <c r="M239" s="325">
        <f>'d3'!M239-d3П!M238</f>
        <v>0</v>
      </c>
      <c r="N239" s="325">
        <f>'d3'!N239-d3П!N238</f>
        <v>0</v>
      </c>
      <c r="O239" s="325">
        <f>'d3'!O239-d3П!O238</f>
        <v>0</v>
      </c>
      <c r="P239" s="325">
        <f>'d3'!P239-d3П!P238</f>
        <v>0</v>
      </c>
      <c r="Q239" s="20"/>
      <c r="R239" s="46"/>
    </row>
    <row r="240" spans="1:18" ht="47.25" thickTop="1" thickBot="1" x14ac:dyDescent="0.25">
      <c r="A240" s="578" t="s">
        <v>781</v>
      </c>
      <c r="B240" s="326" t="s">
        <v>782</v>
      </c>
      <c r="C240" s="326"/>
      <c r="D240" s="326" t="s">
        <v>783</v>
      </c>
      <c r="E240" s="325">
        <f>'d3'!E240-d3П!E239</f>
        <v>0</v>
      </c>
      <c r="F240" s="325">
        <f>'d3'!F240-d3П!F239</f>
        <v>0</v>
      </c>
      <c r="G240" s="325">
        <f>'d3'!G240-d3П!G239</f>
        <v>0</v>
      </c>
      <c r="H240" s="325">
        <f>'d3'!H240-d3П!H239</f>
        <v>0</v>
      </c>
      <c r="I240" s="325">
        <f>'d3'!I240-d3П!I239</f>
        <v>0</v>
      </c>
      <c r="J240" s="325">
        <f>'d3'!J240-d3П!J239</f>
        <v>0</v>
      </c>
      <c r="K240" s="325">
        <f>'d3'!K240-d3П!K239</f>
        <v>0</v>
      </c>
      <c r="L240" s="325">
        <f>'d3'!L240-d3П!L239</f>
        <v>0</v>
      </c>
      <c r="M240" s="325">
        <f>'d3'!M240-d3П!M239</f>
        <v>0</v>
      </c>
      <c r="N240" s="325">
        <f>'d3'!N240-d3П!N239</f>
        <v>0</v>
      </c>
      <c r="O240" s="325">
        <f>'d3'!O240-d3П!O239</f>
        <v>0</v>
      </c>
      <c r="P240" s="325">
        <f>'d3'!P240-d3П!P239</f>
        <v>0</v>
      </c>
      <c r="Q240" s="20"/>
      <c r="R240" s="46"/>
    </row>
    <row r="241" spans="1:18" ht="138.75" thickTop="1" thickBot="1" x14ac:dyDescent="0.25">
      <c r="A241" s="579" t="s">
        <v>30</v>
      </c>
      <c r="B241" s="579" t="s">
        <v>194</v>
      </c>
      <c r="C241" s="579" t="s">
        <v>195</v>
      </c>
      <c r="D241" s="101" t="s">
        <v>31</v>
      </c>
      <c r="E241" s="325">
        <f>'d3'!E241-d3П!E240</f>
        <v>0</v>
      </c>
      <c r="F241" s="325">
        <f>'d3'!F241-d3П!F240</f>
        <v>0</v>
      </c>
      <c r="G241" s="325">
        <f>'d3'!G241-d3П!G240</f>
        <v>0</v>
      </c>
      <c r="H241" s="325">
        <f>'d3'!H241-d3П!H240</f>
        <v>0</v>
      </c>
      <c r="I241" s="325">
        <f>'d3'!I241-d3П!I240</f>
        <v>0</v>
      </c>
      <c r="J241" s="325">
        <f>'d3'!J241-d3П!J240</f>
        <v>0</v>
      </c>
      <c r="K241" s="325">
        <f>'d3'!K241-d3П!K240</f>
        <v>0</v>
      </c>
      <c r="L241" s="325">
        <f>'d3'!L241-d3П!L240</f>
        <v>0</v>
      </c>
      <c r="M241" s="325">
        <f>'d3'!M241-d3П!M240</f>
        <v>0</v>
      </c>
      <c r="N241" s="325">
        <f>'d3'!N241-d3П!N240</f>
        <v>0</v>
      </c>
      <c r="O241" s="325">
        <f>'d3'!O241-d3П!O240</f>
        <v>0</v>
      </c>
      <c r="P241" s="325">
        <f>'d3'!P241-d3П!P240</f>
        <v>0</v>
      </c>
      <c r="Q241" s="20"/>
      <c r="R241" s="46"/>
    </row>
    <row r="242" spans="1:18" ht="93" thickTop="1" thickBot="1" x14ac:dyDescent="0.25">
      <c r="A242" s="579" t="s">
        <v>512</v>
      </c>
      <c r="B242" s="579" t="s">
        <v>510</v>
      </c>
      <c r="C242" s="579" t="s">
        <v>195</v>
      </c>
      <c r="D242" s="101" t="s">
        <v>511</v>
      </c>
      <c r="E242" s="325">
        <f>'d3'!E242-d3П!E241</f>
        <v>-31140</v>
      </c>
      <c r="F242" s="325">
        <f>'d3'!F242-d3П!F241</f>
        <v>-31140</v>
      </c>
      <c r="G242" s="325">
        <f>'d3'!G242-d3П!G241</f>
        <v>0</v>
      </c>
      <c r="H242" s="325">
        <f>'d3'!H242-d3П!H241</f>
        <v>0</v>
      </c>
      <c r="I242" s="325">
        <f>'d3'!I242-d3П!I241</f>
        <v>0</v>
      </c>
      <c r="J242" s="325">
        <f>'d3'!J242-d3П!J241</f>
        <v>0</v>
      </c>
      <c r="K242" s="325">
        <f>'d3'!K242-d3П!K241</f>
        <v>0</v>
      </c>
      <c r="L242" s="325">
        <f>'d3'!L242-d3П!L241</f>
        <v>0</v>
      </c>
      <c r="M242" s="325">
        <f>'d3'!M242-d3П!M241</f>
        <v>0</v>
      </c>
      <c r="N242" s="325">
        <f>'d3'!N242-d3П!N241</f>
        <v>0</v>
      </c>
      <c r="O242" s="325">
        <f>'d3'!O242-d3П!O241</f>
        <v>0</v>
      </c>
      <c r="P242" s="325">
        <f>'d3'!P242-d3П!P241</f>
        <v>-31140</v>
      </c>
      <c r="Q242" s="20"/>
      <c r="R242" s="46"/>
    </row>
    <row r="243" spans="1:18" ht="47.25" thickTop="1" thickBot="1" x14ac:dyDescent="0.25">
      <c r="A243" s="579" t="s">
        <v>32</v>
      </c>
      <c r="B243" s="579" t="s">
        <v>196</v>
      </c>
      <c r="C243" s="579" t="s">
        <v>195</v>
      </c>
      <c r="D243" s="101" t="s">
        <v>33</v>
      </c>
      <c r="E243" s="325">
        <f>'d3'!E243-d3П!E242</f>
        <v>31140</v>
      </c>
      <c r="F243" s="325">
        <f>'d3'!F243-d3П!F242</f>
        <v>31140</v>
      </c>
      <c r="G243" s="325">
        <f>'d3'!G243-d3П!G242</f>
        <v>0</v>
      </c>
      <c r="H243" s="325">
        <f>'d3'!H243-d3П!H242</f>
        <v>0</v>
      </c>
      <c r="I243" s="325">
        <f>'d3'!I243-d3П!I242</f>
        <v>0</v>
      </c>
      <c r="J243" s="325">
        <f>'d3'!J243-d3П!J242</f>
        <v>0</v>
      </c>
      <c r="K243" s="325">
        <f>'d3'!K243-d3П!K242</f>
        <v>0</v>
      </c>
      <c r="L243" s="325">
        <f>'d3'!L243-d3П!L242</f>
        <v>0</v>
      </c>
      <c r="M243" s="325">
        <f>'d3'!M243-d3П!M242</f>
        <v>0</v>
      </c>
      <c r="N243" s="325">
        <f>'d3'!N243-d3П!N242</f>
        <v>0</v>
      </c>
      <c r="O243" s="325">
        <f>'d3'!O243-d3П!O242</f>
        <v>0</v>
      </c>
      <c r="P243" s="325">
        <f>'d3'!P243-d3П!P242</f>
        <v>31140</v>
      </c>
      <c r="Q243" s="20"/>
      <c r="R243" s="46"/>
    </row>
    <row r="244" spans="1:18" ht="47.25" hidden="1" thickTop="1" thickBot="1" x14ac:dyDescent="0.25">
      <c r="A244" s="123" t="s">
        <v>784</v>
      </c>
      <c r="B244" s="123" t="s">
        <v>742</v>
      </c>
      <c r="C244" s="123"/>
      <c r="D244" s="404" t="s">
        <v>743</v>
      </c>
      <c r="E244" s="150">
        <f>E245</f>
        <v>0</v>
      </c>
      <c r="F244" s="150">
        <f t="shared" ref="F244:P245" si="43">F245</f>
        <v>0</v>
      </c>
      <c r="G244" s="150">
        <f t="shared" si="43"/>
        <v>0</v>
      </c>
      <c r="H244" s="150">
        <f t="shared" si="43"/>
        <v>0</v>
      </c>
      <c r="I244" s="150">
        <f t="shared" si="43"/>
        <v>0</v>
      </c>
      <c r="J244" s="150">
        <f t="shared" si="43"/>
        <v>0</v>
      </c>
      <c r="K244" s="150">
        <f t="shared" si="43"/>
        <v>0</v>
      </c>
      <c r="L244" s="150">
        <f t="shared" si="43"/>
        <v>0</v>
      </c>
      <c r="M244" s="150">
        <f t="shared" si="43"/>
        <v>0</v>
      </c>
      <c r="N244" s="150">
        <f t="shared" si="43"/>
        <v>0</v>
      </c>
      <c r="O244" s="150">
        <f t="shared" si="43"/>
        <v>0</v>
      </c>
      <c r="P244" s="150">
        <f t="shared" si="43"/>
        <v>0</v>
      </c>
      <c r="Q244" s="20"/>
      <c r="R244" s="46"/>
    </row>
    <row r="245" spans="1:18" ht="48" hidden="1" thickTop="1" thickBot="1" x14ac:dyDescent="0.25">
      <c r="A245" s="405" t="s">
        <v>785</v>
      </c>
      <c r="B245" s="405" t="s">
        <v>745</v>
      </c>
      <c r="C245" s="405"/>
      <c r="D245" s="138" t="s">
        <v>746</v>
      </c>
      <c r="E245" s="156">
        <f>E246</f>
        <v>0</v>
      </c>
      <c r="F245" s="156">
        <f t="shared" si="43"/>
        <v>0</v>
      </c>
      <c r="G245" s="156">
        <f t="shared" si="43"/>
        <v>0</v>
      </c>
      <c r="H245" s="156">
        <f t="shared" si="43"/>
        <v>0</v>
      </c>
      <c r="I245" s="156">
        <f t="shared" si="43"/>
        <v>0</v>
      </c>
      <c r="J245" s="156">
        <f t="shared" si="43"/>
        <v>0</v>
      </c>
      <c r="K245" s="156">
        <f t="shared" si="43"/>
        <v>0</v>
      </c>
      <c r="L245" s="156">
        <f t="shared" si="43"/>
        <v>0</v>
      </c>
      <c r="M245" s="156">
        <f t="shared" si="43"/>
        <v>0</v>
      </c>
      <c r="N245" s="156">
        <f t="shared" si="43"/>
        <v>0</v>
      </c>
      <c r="O245" s="156">
        <f t="shared" si="43"/>
        <v>0</v>
      </c>
      <c r="P245" s="156">
        <f t="shared" si="43"/>
        <v>0</v>
      </c>
      <c r="Q245" s="20"/>
      <c r="R245" s="46"/>
    </row>
    <row r="246" spans="1:18" ht="138.75" hidden="1" thickTop="1" thickBot="1" x14ac:dyDescent="0.25">
      <c r="A246" s="406" t="s">
        <v>342</v>
      </c>
      <c r="B246" s="406" t="s">
        <v>341</v>
      </c>
      <c r="C246" s="406" t="s">
        <v>340</v>
      </c>
      <c r="D246" s="126" t="s">
        <v>639</v>
      </c>
      <c r="E246" s="150">
        <f>F246</f>
        <v>0</v>
      </c>
      <c r="F246" s="127"/>
      <c r="G246" s="132"/>
      <c r="H246" s="132"/>
      <c r="I246" s="132"/>
      <c r="J246" s="125">
        <f t="shared" ref="J246:J253" si="44">L246+O246</f>
        <v>0</v>
      </c>
      <c r="K246" s="132"/>
      <c r="L246" s="132"/>
      <c r="M246" s="132"/>
      <c r="N246" s="132"/>
      <c r="O246" s="130">
        <f t="shared" ref="O246:O253" si="45">K246</f>
        <v>0</v>
      </c>
      <c r="P246" s="125">
        <f t="shared" ref="P246:P253" si="46">E246+J246</f>
        <v>0</v>
      </c>
      <c r="Q246" s="20"/>
      <c r="R246" s="50"/>
    </row>
    <row r="247" spans="1:18" ht="47.25" hidden="1" thickTop="1" thickBot="1" x14ac:dyDescent="0.25">
      <c r="A247" s="123" t="s">
        <v>786</v>
      </c>
      <c r="B247" s="123" t="s">
        <v>748</v>
      </c>
      <c r="C247" s="123"/>
      <c r="D247" s="123" t="s">
        <v>749</v>
      </c>
      <c r="E247" s="150">
        <f>E251+E248</f>
        <v>0</v>
      </c>
      <c r="F247" s="150">
        <f t="shared" ref="F247:P247" si="47">F251+F248</f>
        <v>0</v>
      </c>
      <c r="G247" s="150">
        <f t="shared" si="47"/>
        <v>0</v>
      </c>
      <c r="H247" s="150">
        <f t="shared" si="47"/>
        <v>0</v>
      </c>
      <c r="I247" s="150">
        <f t="shared" si="47"/>
        <v>0</v>
      </c>
      <c r="J247" s="150">
        <f t="shared" si="47"/>
        <v>0</v>
      </c>
      <c r="K247" s="150">
        <f t="shared" si="47"/>
        <v>0</v>
      </c>
      <c r="L247" s="150">
        <f t="shared" si="47"/>
        <v>0</v>
      </c>
      <c r="M247" s="150">
        <f t="shared" si="47"/>
        <v>0</v>
      </c>
      <c r="N247" s="150">
        <f t="shared" si="47"/>
        <v>0</v>
      </c>
      <c r="O247" s="150">
        <f t="shared" si="47"/>
        <v>0</v>
      </c>
      <c r="P247" s="150">
        <f t="shared" si="47"/>
        <v>0</v>
      </c>
      <c r="Q247" s="20"/>
      <c r="R247" s="50"/>
    </row>
    <row r="248" spans="1:18" ht="47.25" hidden="1" thickTop="1" thickBot="1" x14ac:dyDescent="0.25">
      <c r="A248" s="134" t="s">
        <v>1099</v>
      </c>
      <c r="B248" s="134" t="s">
        <v>803</v>
      </c>
      <c r="C248" s="134"/>
      <c r="D248" s="134" t="s">
        <v>804</v>
      </c>
      <c r="E248" s="135">
        <f>E249</f>
        <v>0</v>
      </c>
      <c r="F248" s="135">
        <f t="shared" ref="F248:P249" si="48">F249</f>
        <v>0</v>
      </c>
      <c r="G248" s="135">
        <f t="shared" si="48"/>
        <v>0</v>
      </c>
      <c r="H248" s="135">
        <f t="shared" si="48"/>
        <v>0</v>
      </c>
      <c r="I248" s="135">
        <f t="shared" si="48"/>
        <v>0</v>
      </c>
      <c r="J248" s="135">
        <f t="shared" si="48"/>
        <v>0</v>
      </c>
      <c r="K248" s="135">
        <f t="shared" si="48"/>
        <v>0</v>
      </c>
      <c r="L248" s="135">
        <f t="shared" si="48"/>
        <v>0</v>
      </c>
      <c r="M248" s="135">
        <f t="shared" si="48"/>
        <v>0</v>
      </c>
      <c r="N248" s="135">
        <f t="shared" si="48"/>
        <v>0</v>
      </c>
      <c r="O248" s="135">
        <f t="shared" si="48"/>
        <v>0</v>
      </c>
      <c r="P248" s="135">
        <f t="shared" si="48"/>
        <v>0</v>
      </c>
      <c r="Q248" s="20"/>
      <c r="R248" s="50"/>
    </row>
    <row r="249" spans="1:18" ht="54" hidden="1" thickTop="1" thickBot="1" x14ac:dyDescent="0.25">
      <c r="A249" s="138" t="s">
        <v>1100</v>
      </c>
      <c r="B249" s="138" t="s">
        <v>821</v>
      </c>
      <c r="C249" s="138"/>
      <c r="D249" s="138" t="s">
        <v>1488</v>
      </c>
      <c r="E249" s="139">
        <f>E250</f>
        <v>0</v>
      </c>
      <c r="F249" s="139">
        <f t="shared" si="48"/>
        <v>0</v>
      </c>
      <c r="G249" s="139">
        <f t="shared" si="48"/>
        <v>0</v>
      </c>
      <c r="H249" s="139">
        <f t="shared" si="48"/>
        <v>0</v>
      </c>
      <c r="I249" s="139">
        <f t="shared" si="48"/>
        <v>0</v>
      </c>
      <c r="J249" s="139">
        <f t="shared" si="48"/>
        <v>0</v>
      </c>
      <c r="K249" s="139">
        <f t="shared" si="48"/>
        <v>0</v>
      </c>
      <c r="L249" s="139">
        <f t="shared" si="48"/>
        <v>0</v>
      </c>
      <c r="M249" s="139">
        <f t="shared" si="48"/>
        <v>0</v>
      </c>
      <c r="N249" s="139">
        <f t="shared" si="48"/>
        <v>0</v>
      </c>
      <c r="O249" s="139">
        <f t="shared" si="48"/>
        <v>0</v>
      </c>
      <c r="P249" s="139">
        <f t="shared" si="48"/>
        <v>0</v>
      </c>
      <c r="Q249" s="20"/>
      <c r="R249" s="50"/>
    </row>
    <row r="250" spans="1:18" ht="54" hidden="1" thickTop="1" thickBot="1" x14ac:dyDescent="0.25">
      <c r="A250" s="126" t="s">
        <v>1101</v>
      </c>
      <c r="B250" s="126" t="s">
        <v>313</v>
      </c>
      <c r="C250" s="126" t="s">
        <v>304</v>
      </c>
      <c r="D250" s="126" t="s">
        <v>1237</v>
      </c>
      <c r="E250" s="125">
        <f t="shared" ref="E250" si="49">F250</f>
        <v>0</v>
      </c>
      <c r="F250" s="132"/>
      <c r="G250" s="132"/>
      <c r="H250" s="132"/>
      <c r="I250" s="132"/>
      <c r="J250" s="125">
        <f t="shared" ref="J250" si="50">L250+O250</f>
        <v>0</v>
      </c>
      <c r="K250" s="132">
        <f>49500-49500</f>
        <v>0</v>
      </c>
      <c r="L250" s="132"/>
      <c r="M250" s="132"/>
      <c r="N250" s="132"/>
      <c r="O250" s="130">
        <f t="shared" ref="O250" si="51">K250</f>
        <v>0</v>
      </c>
      <c r="P250" s="125">
        <f>E250+J250</f>
        <v>0</v>
      </c>
      <c r="Q250" s="20"/>
      <c r="R250" s="50"/>
    </row>
    <row r="251" spans="1:18" ht="47.25" hidden="1" thickTop="1" thickBot="1" x14ac:dyDescent="0.25">
      <c r="A251" s="134" t="s">
        <v>787</v>
      </c>
      <c r="B251" s="134" t="s">
        <v>691</v>
      </c>
      <c r="C251" s="134"/>
      <c r="D251" s="134" t="s">
        <v>689</v>
      </c>
      <c r="E251" s="157">
        <f>E253+E252</f>
        <v>0</v>
      </c>
      <c r="F251" s="157">
        <f t="shared" ref="F251:H251" si="52">F253+F252</f>
        <v>0</v>
      </c>
      <c r="G251" s="157">
        <f t="shared" si="52"/>
        <v>0</v>
      </c>
      <c r="H251" s="157">
        <f t="shared" si="52"/>
        <v>0</v>
      </c>
      <c r="I251" s="157">
        <f>I253+I252</f>
        <v>0</v>
      </c>
      <c r="J251" s="157">
        <f>J253+J252</f>
        <v>0</v>
      </c>
      <c r="K251" s="157">
        <f>K253+K252</f>
        <v>0</v>
      </c>
      <c r="L251" s="157">
        <f t="shared" ref="L251:O251" si="53">L253+L252</f>
        <v>0</v>
      </c>
      <c r="M251" s="157">
        <f t="shared" si="53"/>
        <v>0</v>
      </c>
      <c r="N251" s="157">
        <f t="shared" si="53"/>
        <v>0</v>
      </c>
      <c r="O251" s="157">
        <f t="shared" si="53"/>
        <v>0</v>
      </c>
      <c r="P251" s="157">
        <f>P253+P252</f>
        <v>0</v>
      </c>
      <c r="Q251" s="20"/>
      <c r="R251" s="50"/>
    </row>
    <row r="252" spans="1:18" ht="48" hidden="1" thickTop="1" thickBot="1" x14ac:dyDescent="0.25">
      <c r="A252" s="406" t="s">
        <v>1335</v>
      </c>
      <c r="B252" s="406" t="s">
        <v>212</v>
      </c>
      <c r="C252" s="406"/>
      <c r="D252" s="126" t="s">
        <v>41</v>
      </c>
      <c r="E252" s="150">
        <f>F252</f>
        <v>0</v>
      </c>
      <c r="F252" s="127"/>
      <c r="G252" s="132"/>
      <c r="H252" s="132"/>
      <c r="I252" s="132"/>
      <c r="J252" s="125">
        <f t="shared" ref="J252" si="54">L252+O252</f>
        <v>0</v>
      </c>
      <c r="K252" s="132"/>
      <c r="L252" s="132"/>
      <c r="M252" s="132"/>
      <c r="N252" s="132"/>
      <c r="O252" s="130">
        <f t="shared" ref="O252" si="55">K252</f>
        <v>0</v>
      </c>
      <c r="P252" s="125">
        <f t="shared" ref="P252" si="56">E252+J252</f>
        <v>0</v>
      </c>
      <c r="Q252" s="20"/>
      <c r="R252" s="50"/>
    </row>
    <row r="253" spans="1:18" ht="48" hidden="1" thickTop="1" thickBot="1" x14ac:dyDescent="0.25">
      <c r="A253" s="126" t="s">
        <v>607</v>
      </c>
      <c r="B253" s="126" t="s">
        <v>197</v>
      </c>
      <c r="C253" s="126" t="s">
        <v>170</v>
      </c>
      <c r="D253" s="126" t="s">
        <v>34</v>
      </c>
      <c r="E253" s="125">
        <f t="shared" ref="E253" si="57">F253</f>
        <v>0</v>
      </c>
      <c r="F253" s="132"/>
      <c r="G253" s="132"/>
      <c r="H253" s="132"/>
      <c r="I253" s="132"/>
      <c r="J253" s="125">
        <f t="shared" si="44"/>
        <v>0</v>
      </c>
      <c r="K253" s="132"/>
      <c r="L253" s="132"/>
      <c r="M253" s="132"/>
      <c r="N253" s="132"/>
      <c r="O253" s="130">
        <f t="shared" si="45"/>
        <v>0</v>
      </c>
      <c r="P253" s="125">
        <f t="shared" si="46"/>
        <v>0</v>
      </c>
      <c r="Q253" s="20"/>
      <c r="R253" s="46"/>
    </row>
    <row r="254" spans="1:18" ht="47.25" hidden="1" thickTop="1" thickBot="1" x14ac:dyDescent="0.25">
      <c r="A254" s="144" t="s">
        <v>1107</v>
      </c>
      <c r="B254" s="144" t="s">
        <v>702</v>
      </c>
      <c r="C254" s="144"/>
      <c r="D254" s="144" t="s">
        <v>703</v>
      </c>
      <c r="E254" s="42">
        <f>E255</f>
        <v>0</v>
      </c>
      <c r="F254" s="42">
        <f t="shared" ref="F254:P255" si="58">F255</f>
        <v>0</v>
      </c>
      <c r="G254" s="42">
        <f t="shared" si="58"/>
        <v>0</v>
      </c>
      <c r="H254" s="42">
        <f t="shared" si="58"/>
        <v>0</v>
      </c>
      <c r="I254" s="42">
        <f t="shared" si="58"/>
        <v>0</v>
      </c>
      <c r="J254" s="42">
        <f t="shared" si="58"/>
        <v>0</v>
      </c>
      <c r="K254" s="42">
        <f t="shared" si="58"/>
        <v>0</v>
      </c>
      <c r="L254" s="42">
        <f t="shared" si="58"/>
        <v>0</v>
      </c>
      <c r="M254" s="42">
        <f t="shared" si="58"/>
        <v>0</v>
      </c>
      <c r="N254" s="42">
        <f t="shared" si="58"/>
        <v>0</v>
      </c>
      <c r="O254" s="42">
        <f t="shared" si="58"/>
        <v>0</v>
      </c>
      <c r="P254" s="42">
        <f t="shared" si="58"/>
        <v>0</v>
      </c>
      <c r="Q254" s="20"/>
      <c r="R254" s="46"/>
    </row>
    <row r="255" spans="1:18" ht="91.5" hidden="1" thickTop="1" thickBot="1" x14ac:dyDescent="0.25">
      <c r="A255" s="145" t="s">
        <v>1108</v>
      </c>
      <c r="B255" s="145" t="s">
        <v>705</v>
      </c>
      <c r="C255" s="145"/>
      <c r="D255" s="145" t="s">
        <v>706</v>
      </c>
      <c r="E255" s="146">
        <f>E256</f>
        <v>0</v>
      </c>
      <c r="F255" s="146">
        <f t="shared" si="58"/>
        <v>0</v>
      </c>
      <c r="G255" s="146">
        <f t="shared" si="58"/>
        <v>0</v>
      </c>
      <c r="H255" s="146">
        <f t="shared" si="58"/>
        <v>0</v>
      </c>
      <c r="I255" s="146">
        <f t="shared" si="58"/>
        <v>0</v>
      </c>
      <c r="J255" s="146">
        <f t="shared" si="58"/>
        <v>0</v>
      </c>
      <c r="K255" s="146">
        <f t="shared" si="58"/>
        <v>0</v>
      </c>
      <c r="L255" s="146">
        <f t="shared" si="58"/>
        <v>0</v>
      </c>
      <c r="M255" s="146">
        <f t="shared" si="58"/>
        <v>0</v>
      </c>
      <c r="N255" s="146">
        <f t="shared" si="58"/>
        <v>0</v>
      </c>
      <c r="O255" s="146">
        <f t="shared" si="58"/>
        <v>0</v>
      </c>
      <c r="P255" s="146">
        <f t="shared" si="58"/>
        <v>0</v>
      </c>
      <c r="Q255" s="20"/>
      <c r="R255" s="46"/>
    </row>
    <row r="256" spans="1:18" ht="48" hidden="1" thickTop="1" thickBot="1" x14ac:dyDescent="0.25">
      <c r="A256" s="41" t="s">
        <v>1109</v>
      </c>
      <c r="B256" s="41" t="s">
        <v>363</v>
      </c>
      <c r="C256" s="41" t="s">
        <v>43</v>
      </c>
      <c r="D256" s="41" t="s">
        <v>364</v>
      </c>
      <c r="E256" s="42">
        <f t="shared" ref="E256" si="59">F256</f>
        <v>0</v>
      </c>
      <c r="F256" s="43">
        <v>0</v>
      </c>
      <c r="G256" s="43"/>
      <c r="H256" s="43"/>
      <c r="I256" s="43"/>
      <c r="J256" s="42">
        <f>L256+O256</f>
        <v>0</v>
      </c>
      <c r="K256" s="43">
        <v>0</v>
      </c>
      <c r="L256" s="43"/>
      <c r="M256" s="43"/>
      <c r="N256" s="43"/>
      <c r="O256" s="44">
        <f>K256</f>
        <v>0</v>
      </c>
      <c r="P256" s="42">
        <f>E256+J256</f>
        <v>0</v>
      </c>
      <c r="Q256" s="20"/>
      <c r="R256" s="46"/>
    </row>
    <row r="257" spans="1:18" ht="120" customHeight="1" thickTop="1" thickBot="1" x14ac:dyDescent="0.25">
      <c r="A257" s="645" t="s">
        <v>158</v>
      </c>
      <c r="B257" s="645"/>
      <c r="C257" s="645"/>
      <c r="D257" s="646" t="s">
        <v>561</v>
      </c>
      <c r="E257" s="647">
        <f>E258</f>
        <v>2800000</v>
      </c>
      <c r="F257" s="648">
        <f t="shared" ref="F257:G257" si="60">F258</f>
        <v>2800000</v>
      </c>
      <c r="G257" s="648">
        <f t="shared" si="60"/>
        <v>0</v>
      </c>
      <c r="H257" s="648">
        <f>H258</f>
        <v>0</v>
      </c>
      <c r="I257" s="648">
        <f t="shared" ref="I257" si="61">I258</f>
        <v>0</v>
      </c>
      <c r="J257" s="647">
        <f>J258</f>
        <v>500000</v>
      </c>
      <c r="K257" s="648">
        <f>K258</f>
        <v>500000</v>
      </c>
      <c r="L257" s="648">
        <f>L258</f>
        <v>0</v>
      </c>
      <c r="M257" s="648">
        <f t="shared" ref="M257" si="62">M258</f>
        <v>0</v>
      </c>
      <c r="N257" s="648">
        <f>N258</f>
        <v>0</v>
      </c>
      <c r="O257" s="647">
        <f>O258</f>
        <v>500000</v>
      </c>
      <c r="P257" s="648">
        <f>P258</f>
        <v>3300000</v>
      </c>
      <c r="Q257" s="20"/>
      <c r="R257" s="50"/>
    </row>
    <row r="258" spans="1:18" ht="120" customHeight="1" thickTop="1" thickBot="1" x14ac:dyDescent="0.25">
      <c r="A258" s="642" t="s">
        <v>159</v>
      </c>
      <c r="B258" s="642"/>
      <c r="C258" s="642"/>
      <c r="D258" s="643" t="s">
        <v>562</v>
      </c>
      <c r="E258" s="644">
        <f>E259+E263+E271+E280</f>
        <v>2800000</v>
      </c>
      <c r="F258" s="644">
        <f>F259+F263+F271+F280</f>
        <v>2800000</v>
      </c>
      <c r="G258" s="644">
        <f>G259+G263+G271+G280</f>
        <v>0</v>
      </c>
      <c r="H258" s="644">
        <f>H259+H263+H271+H280</f>
        <v>0</v>
      </c>
      <c r="I258" s="644">
        <f>I259+I263+I271+I280</f>
        <v>0</v>
      </c>
      <c r="J258" s="644">
        <f t="shared" ref="J258" si="63">L258+O258</f>
        <v>500000</v>
      </c>
      <c r="K258" s="644">
        <f>K259+K263+K271+K280</f>
        <v>500000</v>
      </c>
      <c r="L258" s="644">
        <f>L259+L263+L271+L280</f>
        <v>0</v>
      </c>
      <c r="M258" s="644">
        <f>M259+M263+M271+M280</f>
        <v>0</v>
      </c>
      <c r="N258" s="644">
        <f>N259+N263+N271+N280</f>
        <v>0</v>
      </c>
      <c r="O258" s="644">
        <f>O259+O263+O271+O280</f>
        <v>500000</v>
      </c>
      <c r="P258" s="644">
        <f>E258+J258</f>
        <v>3300000</v>
      </c>
      <c r="Q258" s="492" t="b">
        <f>P258=P260+P265+P266+P268+P269+P270+P273+P275+P276+P282</f>
        <v>1</v>
      </c>
      <c r="R258" s="54"/>
    </row>
    <row r="259" spans="1:18" ht="47.25" thickTop="1" thickBot="1" x14ac:dyDescent="0.25">
      <c r="A259" s="308" t="s">
        <v>788</v>
      </c>
      <c r="B259" s="308" t="s">
        <v>684</v>
      </c>
      <c r="C259" s="308"/>
      <c r="D259" s="308" t="s">
        <v>685</v>
      </c>
      <c r="E259" s="325">
        <f>'d3'!E259-d3П!E258</f>
        <v>0</v>
      </c>
      <c r="F259" s="325">
        <f>'d3'!F259-d3П!F258</f>
        <v>0</v>
      </c>
      <c r="G259" s="325">
        <f>'d3'!G259-d3П!G258</f>
        <v>0</v>
      </c>
      <c r="H259" s="325">
        <f>'d3'!H259-d3П!H258</f>
        <v>0</v>
      </c>
      <c r="I259" s="325">
        <f>'d3'!I259-d3П!I258</f>
        <v>0</v>
      </c>
      <c r="J259" s="325">
        <f>'d3'!J259-d3П!J258</f>
        <v>0</v>
      </c>
      <c r="K259" s="325">
        <f>'d3'!K259-d3П!K258</f>
        <v>0</v>
      </c>
      <c r="L259" s="325">
        <f>'d3'!L259-d3П!L258</f>
        <v>0</v>
      </c>
      <c r="M259" s="325">
        <f>'d3'!M259-d3П!M258</f>
        <v>0</v>
      </c>
      <c r="N259" s="325">
        <f>'d3'!N259-d3П!N258</f>
        <v>0</v>
      </c>
      <c r="O259" s="325">
        <f>'d3'!O259-d3П!O258</f>
        <v>0</v>
      </c>
      <c r="P259" s="325">
        <f>'d3'!P259-d3П!P258</f>
        <v>0</v>
      </c>
      <c r="Q259" s="47"/>
      <c r="R259" s="54"/>
    </row>
    <row r="260" spans="1:18" ht="93" thickTop="1" thickBot="1" x14ac:dyDescent="0.25">
      <c r="A260" s="101" t="s">
        <v>421</v>
      </c>
      <c r="B260" s="101" t="s">
        <v>236</v>
      </c>
      <c r="C260" s="101" t="s">
        <v>234</v>
      </c>
      <c r="D260" s="101" t="s">
        <v>235</v>
      </c>
      <c r="E260" s="325">
        <f>'d3'!E260-d3П!E259</f>
        <v>0</v>
      </c>
      <c r="F260" s="325">
        <f>'d3'!F260-d3П!F259</f>
        <v>0</v>
      </c>
      <c r="G260" s="325">
        <f>'d3'!G260-d3П!G259</f>
        <v>0</v>
      </c>
      <c r="H260" s="325">
        <f>'d3'!H260-d3П!H259</f>
        <v>0</v>
      </c>
      <c r="I260" s="325">
        <f>'d3'!I260-d3П!I259</f>
        <v>0</v>
      </c>
      <c r="J260" s="325">
        <f>'d3'!J260-d3П!J259</f>
        <v>0</v>
      </c>
      <c r="K260" s="325">
        <f>'d3'!K260-d3П!K259</f>
        <v>0</v>
      </c>
      <c r="L260" s="325">
        <f>'d3'!L260-d3П!L259</f>
        <v>0</v>
      </c>
      <c r="M260" s="325">
        <f>'d3'!M260-d3П!M259</f>
        <v>0</v>
      </c>
      <c r="N260" s="325">
        <f>'d3'!N260-d3П!N259</f>
        <v>0</v>
      </c>
      <c r="O260" s="325">
        <f>'d3'!O260-d3П!O259</f>
        <v>0</v>
      </c>
      <c r="P260" s="325">
        <f>'d3'!P260-d3П!P259</f>
        <v>0</v>
      </c>
      <c r="Q260" s="20"/>
      <c r="R260" s="54"/>
    </row>
    <row r="261" spans="1:18" ht="93" hidden="1" customHeight="1" thickTop="1" thickBot="1" x14ac:dyDescent="0.25">
      <c r="A261" s="126" t="s">
        <v>627</v>
      </c>
      <c r="B261" s="126" t="s">
        <v>362</v>
      </c>
      <c r="C261" s="126" t="s">
        <v>625</v>
      </c>
      <c r="D261" s="126" t="s">
        <v>626</v>
      </c>
      <c r="E261" s="325">
        <f>'d3'!E261-d3П!E260</f>
        <v>0</v>
      </c>
      <c r="F261" s="325">
        <f>'d3'!F261-d3П!F260</f>
        <v>0</v>
      </c>
      <c r="G261" s="325">
        <f>'d3'!G261-d3П!G260</f>
        <v>0</v>
      </c>
      <c r="H261" s="325">
        <f>'d3'!H261-d3П!H260</f>
        <v>0</v>
      </c>
      <c r="I261" s="325">
        <f>'d3'!I261-d3П!I260</f>
        <v>0</v>
      </c>
      <c r="J261" s="325">
        <f>'d3'!J261-d3П!J260</f>
        <v>0</v>
      </c>
      <c r="K261" s="325">
        <f>'d3'!K261-d3П!K260</f>
        <v>0</v>
      </c>
      <c r="L261" s="325">
        <f>'d3'!L261-d3П!L260</f>
        <v>0</v>
      </c>
      <c r="M261" s="325">
        <f>'d3'!M261-d3П!M260</f>
        <v>0</v>
      </c>
      <c r="N261" s="325">
        <f>'d3'!N261-d3П!N260</f>
        <v>0</v>
      </c>
      <c r="O261" s="325">
        <f>'d3'!O261-d3П!O260</f>
        <v>0</v>
      </c>
      <c r="P261" s="325">
        <f>'d3'!P261-d3П!P260</f>
        <v>0</v>
      </c>
      <c r="Q261" s="20"/>
      <c r="R261" s="54"/>
    </row>
    <row r="262" spans="1:18" ht="48" hidden="1" customHeight="1" thickTop="1" thickBot="1" x14ac:dyDescent="0.25">
      <c r="A262" s="126" t="s">
        <v>1143</v>
      </c>
      <c r="B262" s="126" t="s">
        <v>43</v>
      </c>
      <c r="C262" s="126" t="s">
        <v>42</v>
      </c>
      <c r="D262" s="126" t="s">
        <v>248</v>
      </c>
      <c r="E262" s="325">
        <f>'d3'!E262-d3П!E261</f>
        <v>0</v>
      </c>
      <c r="F262" s="325">
        <f>'d3'!F262-d3П!F261</f>
        <v>0</v>
      </c>
      <c r="G262" s="325">
        <f>'d3'!G262-d3П!G261</f>
        <v>0</v>
      </c>
      <c r="H262" s="325">
        <f>'d3'!H262-d3П!H261</f>
        <v>0</v>
      </c>
      <c r="I262" s="325">
        <f>'d3'!I262-d3П!I261</f>
        <v>0</v>
      </c>
      <c r="J262" s="325">
        <f>'d3'!J262-d3П!J261</f>
        <v>0</v>
      </c>
      <c r="K262" s="325">
        <f>'d3'!K262-d3П!K261</f>
        <v>0</v>
      </c>
      <c r="L262" s="325">
        <f>'d3'!L262-d3П!L261</f>
        <v>0</v>
      </c>
      <c r="M262" s="325">
        <f>'d3'!M262-d3П!M261</f>
        <v>0</v>
      </c>
      <c r="N262" s="325">
        <f>'d3'!N262-d3П!N261</f>
        <v>0</v>
      </c>
      <c r="O262" s="325">
        <f>'d3'!O262-d3П!O261</f>
        <v>0</v>
      </c>
      <c r="P262" s="325">
        <f>'d3'!P262-d3П!P261</f>
        <v>0</v>
      </c>
      <c r="Q262" s="20"/>
      <c r="R262" s="54"/>
    </row>
    <row r="263" spans="1:18" ht="47.25" thickTop="1" thickBot="1" x14ac:dyDescent="0.25">
      <c r="A263" s="308" t="s">
        <v>789</v>
      </c>
      <c r="B263" s="308" t="s">
        <v>742</v>
      </c>
      <c r="C263" s="308"/>
      <c r="D263" s="344" t="s">
        <v>743</v>
      </c>
      <c r="E263" s="325">
        <f>'d3'!E263-d3П!E262</f>
        <v>1800000</v>
      </c>
      <c r="F263" s="325">
        <f>'d3'!F263-d3П!F262</f>
        <v>1800000</v>
      </c>
      <c r="G263" s="325">
        <f>'d3'!G263-d3П!G262</f>
        <v>0</v>
      </c>
      <c r="H263" s="325">
        <f>'d3'!H263-d3П!H262</f>
        <v>0</v>
      </c>
      <c r="I263" s="325">
        <f>'d3'!I263-d3П!I262</f>
        <v>0</v>
      </c>
      <c r="J263" s="325">
        <f>'d3'!J263-d3П!J262</f>
        <v>500000</v>
      </c>
      <c r="K263" s="325">
        <f>'d3'!K263-d3П!K262</f>
        <v>500000</v>
      </c>
      <c r="L263" s="325">
        <f>'d3'!L263-d3П!L262</f>
        <v>0</v>
      </c>
      <c r="M263" s="325">
        <f>'d3'!M263-d3П!M262</f>
        <v>0</v>
      </c>
      <c r="N263" s="325">
        <f>'d3'!N263-d3П!N262</f>
        <v>0</v>
      </c>
      <c r="O263" s="325">
        <f>'d3'!O263-d3П!O262</f>
        <v>500000</v>
      </c>
      <c r="P263" s="325">
        <f>'d3'!P263-d3П!P262</f>
        <v>2300000</v>
      </c>
      <c r="Q263" s="20"/>
      <c r="R263" s="54"/>
    </row>
    <row r="264" spans="1:18" s="33" customFormat="1" ht="93" thickTop="1" thickBot="1" x14ac:dyDescent="0.25">
      <c r="A264" s="326" t="s">
        <v>790</v>
      </c>
      <c r="B264" s="326" t="s">
        <v>791</v>
      </c>
      <c r="C264" s="326"/>
      <c r="D264" s="326" t="s">
        <v>792</v>
      </c>
      <c r="E264" s="325">
        <f>'d3'!E264-d3П!E263</f>
        <v>1800000</v>
      </c>
      <c r="F264" s="325">
        <f>'d3'!F264-d3П!F263</f>
        <v>1800000</v>
      </c>
      <c r="G264" s="325">
        <f>'d3'!G264-d3П!G263</f>
        <v>0</v>
      </c>
      <c r="H264" s="325">
        <f>'d3'!H264-d3П!H263</f>
        <v>0</v>
      </c>
      <c r="I264" s="325">
        <f>'d3'!I264-d3П!I263</f>
        <v>0</v>
      </c>
      <c r="J264" s="325">
        <f>'d3'!J264-d3П!J263</f>
        <v>500000</v>
      </c>
      <c r="K264" s="325">
        <f>'d3'!K264-d3П!K263</f>
        <v>500000</v>
      </c>
      <c r="L264" s="325">
        <f>'d3'!L264-d3П!L263</f>
        <v>0</v>
      </c>
      <c r="M264" s="325">
        <f>'d3'!M264-d3П!M263</f>
        <v>0</v>
      </c>
      <c r="N264" s="325">
        <f>'d3'!N264-d3П!N263</f>
        <v>0</v>
      </c>
      <c r="O264" s="325">
        <f>'d3'!O264-d3П!O263</f>
        <v>500000</v>
      </c>
      <c r="P264" s="325">
        <f>'d3'!P264-d3П!P263</f>
        <v>2300000</v>
      </c>
      <c r="Q264" s="36"/>
      <c r="R264" s="54"/>
    </row>
    <row r="265" spans="1:18" ht="47.25" thickTop="1" thickBot="1" x14ac:dyDescent="0.25">
      <c r="A265" s="101" t="s">
        <v>280</v>
      </c>
      <c r="B265" s="101" t="s">
        <v>281</v>
      </c>
      <c r="C265" s="101" t="s">
        <v>340</v>
      </c>
      <c r="D265" s="101" t="s">
        <v>282</v>
      </c>
      <c r="E265" s="325">
        <f>'d3'!E265-d3П!E264</f>
        <v>1800000</v>
      </c>
      <c r="F265" s="325">
        <f>'d3'!F265-d3П!F264</f>
        <v>1800000</v>
      </c>
      <c r="G265" s="325">
        <f>'d3'!G265-d3П!G264</f>
        <v>0</v>
      </c>
      <c r="H265" s="325">
        <f>'d3'!H265-d3П!H264</f>
        <v>0</v>
      </c>
      <c r="I265" s="325">
        <f>'d3'!I265-d3П!I264</f>
        <v>0</v>
      </c>
      <c r="J265" s="325">
        <f>'d3'!J265-d3П!J264</f>
        <v>0</v>
      </c>
      <c r="K265" s="325">
        <f>'d3'!K265-d3П!K264</f>
        <v>0</v>
      </c>
      <c r="L265" s="325">
        <f>'d3'!L265-d3П!L264</f>
        <v>0</v>
      </c>
      <c r="M265" s="325">
        <f>'d3'!M265-d3П!M264</f>
        <v>0</v>
      </c>
      <c r="N265" s="325">
        <f>'d3'!N265-d3П!N264</f>
        <v>0</v>
      </c>
      <c r="O265" s="325">
        <f>'d3'!O265-d3П!O264</f>
        <v>0</v>
      </c>
      <c r="P265" s="325">
        <f>'d3'!P265-d3П!P264</f>
        <v>1800000</v>
      </c>
      <c r="Q265" s="20"/>
      <c r="R265" s="54"/>
    </row>
    <row r="266" spans="1:18" ht="47.25" thickTop="1" thickBot="1" x14ac:dyDescent="0.25">
      <c r="A266" s="101" t="s">
        <v>301</v>
      </c>
      <c r="B266" s="101" t="s">
        <v>302</v>
      </c>
      <c r="C266" s="101" t="s">
        <v>283</v>
      </c>
      <c r="D266" s="101" t="s">
        <v>303</v>
      </c>
      <c r="E266" s="325">
        <f>'d3'!E266-d3П!E265</f>
        <v>0</v>
      </c>
      <c r="F266" s="325">
        <f>'d3'!F266-d3П!F265</f>
        <v>0</v>
      </c>
      <c r="G266" s="325">
        <f>'d3'!G266-d3П!G265</f>
        <v>0</v>
      </c>
      <c r="H266" s="325">
        <f>'d3'!H266-d3П!H265</f>
        <v>0</v>
      </c>
      <c r="I266" s="325">
        <f>'d3'!I266-d3П!I265</f>
        <v>0</v>
      </c>
      <c r="J266" s="325">
        <f>'d3'!J266-d3П!J265</f>
        <v>500000</v>
      </c>
      <c r="K266" s="325">
        <f>'d3'!K266-d3П!K265</f>
        <v>500000</v>
      </c>
      <c r="L266" s="325">
        <f>'d3'!L266-d3П!L265</f>
        <v>0</v>
      </c>
      <c r="M266" s="325">
        <f>'d3'!M266-d3П!M265</f>
        <v>0</v>
      </c>
      <c r="N266" s="325">
        <f>'d3'!N266-d3П!N265</f>
        <v>0</v>
      </c>
      <c r="O266" s="325">
        <f>'d3'!O266-d3П!O265</f>
        <v>500000</v>
      </c>
      <c r="P266" s="325">
        <f>'d3'!P266-d3П!P265</f>
        <v>500000</v>
      </c>
      <c r="Q266" s="20"/>
      <c r="R266" s="54"/>
    </row>
    <row r="267" spans="1:18" ht="93" hidden="1" customHeight="1" thickTop="1" thickBot="1" x14ac:dyDescent="0.25">
      <c r="A267" s="126" t="s">
        <v>284</v>
      </c>
      <c r="B267" s="126" t="s">
        <v>285</v>
      </c>
      <c r="C267" s="126" t="s">
        <v>283</v>
      </c>
      <c r="D267" s="126" t="s">
        <v>466</v>
      </c>
      <c r="E267" s="325">
        <f>'d3'!E267-d3П!E266</f>
        <v>0</v>
      </c>
      <c r="F267" s="325">
        <f>'d3'!F267-d3П!F266</f>
        <v>0</v>
      </c>
      <c r="G267" s="325">
        <f>'d3'!G267-d3П!G266</f>
        <v>0</v>
      </c>
      <c r="H267" s="325">
        <f>'d3'!H267-d3П!H266</f>
        <v>0</v>
      </c>
      <c r="I267" s="325">
        <f>'d3'!I267-d3П!I266</f>
        <v>0</v>
      </c>
      <c r="J267" s="325">
        <f>'d3'!J267-d3П!J266</f>
        <v>0</v>
      </c>
      <c r="K267" s="325">
        <f>'d3'!K267-d3П!K266</f>
        <v>0</v>
      </c>
      <c r="L267" s="325">
        <f>'d3'!L267-d3П!L266</f>
        <v>0</v>
      </c>
      <c r="M267" s="325">
        <f>'d3'!M267-d3П!M266</f>
        <v>0</v>
      </c>
      <c r="N267" s="325">
        <f>'d3'!N267-d3П!N266</f>
        <v>0</v>
      </c>
      <c r="O267" s="325">
        <f>'d3'!O267-d3П!O266</f>
        <v>0</v>
      </c>
      <c r="P267" s="325">
        <f>'d3'!P267-d3П!P266</f>
        <v>0</v>
      </c>
      <c r="Q267" s="20"/>
      <c r="R267" s="54"/>
    </row>
    <row r="268" spans="1:18" ht="93" thickTop="1" thickBot="1" x14ac:dyDescent="0.25">
      <c r="A268" s="101" t="s">
        <v>929</v>
      </c>
      <c r="B268" s="101" t="s">
        <v>297</v>
      </c>
      <c r="C268" s="101" t="s">
        <v>283</v>
      </c>
      <c r="D268" s="101" t="s">
        <v>298</v>
      </c>
      <c r="E268" s="325">
        <f>'d3'!E268-d3П!E267</f>
        <v>0</v>
      </c>
      <c r="F268" s="325">
        <f>'d3'!F268-d3П!F267</f>
        <v>0</v>
      </c>
      <c r="G268" s="325">
        <f>'d3'!G268-d3П!G267</f>
        <v>0</v>
      </c>
      <c r="H268" s="325">
        <f>'d3'!H268-d3П!H267</f>
        <v>0</v>
      </c>
      <c r="I268" s="325">
        <f>'d3'!I268-d3П!I267</f>
        <v>0</v>
      </c>
      <c r="J268" s="325">
        <f>'d3'!J268-d3П!J267</f>
        <v>0</v>
      </c>
      <c r="K268" s="325">
        <f>'d3'!K268-d3П!K267</f>
        <v>0</v>
      </c>
      <c r="L268" s="325">
        <f>'d3'!L268-d3П!L267</f>
        <v>0</v>
      </c>
      <c r="M268" s="325">
        <f>'d3'!M268-d3П!M267</f>
        <v>0</v>
      </c>
      <c r="N268" s="325">
        <f>'d3'!N268-d3П!N267</f>
        <v>0</v>
      </c>
      <c r="O268" s="325">
        <f>'d3'!O268-d3П!O267</f>
        <v>0</v>
      </c>
      <c r="P268" s="325">
        <f>'d3'!P268-d3П!P267</f>
        <v>0</v>
      </c>
      <c r="Q268" s="20"/>
      <c r="R268" s="54"/>
    </row>
    <row r="269" spans="1:18" ht="47.25" thickTop="1" thickBot="1" x14ac:dyDescent="0.25">
      <c r="A269" s="101" t="s">
        <v>288</v>
      </c>
      <c r="B269" s="101" t="s">
        <v>289</v>
      </c>
      <c r="C269" s="101" t="s">
        <v>283</v>
      </c>
      <c r="D269" s="101" t="s">
        <v>290</v>
      </c>
      <c r="E269" s="325">
        <f>'d3'!E269-d3П!E268</f>
        <v>0</v>
      </c>
      <c r="F269" s="325">
        <f>'d3'!F269-d3П!F268</f>
        <v>0</v>
      </c>
      <c r="G269" s="325">
        <f>'d3'!G269-d3П!G268</f>
        <v>0</v>
      </c>
      <c r="H269" s="325">
        <f>'d3'!H269-d3П!H268</f>
        <v>0</v>
      </c>
      <c r="I269" s="325">
        <f>'d3'!I269-d3П!I268</f>
        <v>0</v>
      </c>
      <c r="J269" s="325">
        <f>'d3'!J269-d3П!J268</f>
        <v>0</v>
      </c>
      <c r="K269" s="325">
        <f>'d3'!K269-d3П!K268</f>
        <v>0</v>
      </c>
      <c r="L269" s="325">
        <f>'d3'!L269-d3П!L268</f>
        <v>0</v>
      </c>
      <c r="M269" s="325">
        <f>'d3'!M269-d3П!M268</f>
        <v>0</v>
      </c>
      <c r="N269" s="325">
        <f>'d3'!N269-d3П!N268</f>
        <v>0</v>
      </c>
      <c r="O269" s="325">
        <f>'d3'!O269-d3П!O268</f>
        <v>0</v>
      </c>
      <c r="P269" s="325">
        <f>'d3'!P269-d3П!P268</f>
        <v>0</v>
      </c>
      <c r="Q269" s="20"/>
      <c r="R269" s="50"/>
    </row>
    <row r="270" spans="1:18" ht="47.25" thickTop="1" thickBot="1" x14ac:dyDescent="0.25">
      <c r="A270" s="101" t="s">
        <v>1261</v>
      </c>
      <c r="B270" s="101" t="s">
        <v>1149</v>
      </c>
      <c r="C270" s="101" t="s">
        <v>1150</v>
      </c>
      <c r="D270" s="101" t="s">
        <v>1147</v>
      </c>
      <c r="E270" s="325">
        <f>'d3'!E270-d3П!E269</f>
        <v>0</v>
      </c>
      <c r="F270" s="325">
        <f>'d3'!F270-d3П!F269</f>
        <v>0</v>
      </c>
      <c r="G270" s="325">
        <f>'d3'!G270-d3П!G269</f>
        <v>0</v>
      </c>
      <c r="H270" s="325">
        <f>'d3'!H270-d3П!H269</f>
        <v>0</v>
      </c>
      <c r="I270" s="325">
        <f>'d3'!I270-d3П!I269</f>
        <v>0</v>
      </c>
      <c r="J270" s="325">
        <f>'d3'!J270-d3П!J269</f>
        <v>0</v>
      </c>
      <c r="K270" s="325">
        <f>'d3'!K270-d3П!K269</f>
        <v>0</v>
      </c>
      <c r="L270" s="325">
        <f>'d3'!L270-d3П!L269</f>
        <v>0</v>
      </c>
      <c r="M270" s="325">
        <f>'d3'!M270-d3П!M269</f>
        <v>0</v>
      </c>
      <c r="N270" s="325">
        <f>'d3'!N270-d3П!N269</f>
        <v>0</v>
      </c>
      <c r="O270" s="325">
        <f>'d3'!O270-d3П!O269</f>
        <v>0</v>
      </c>
      <c r="P270" s="325">
        <f>'d3'!P270-d3П!P269</f>
        <v>0</v>
      </c>
      <c r="Q270" s="20"/>
      <c r="R270" s="50"/>
    </row>
    <row r="271" spans="1:18" ht="47.25" thickTop="1" thickBot="1" x14ac:dyDescent="0.25">
      <c r="A271" s="308" t="s">
        <v>793</v>
      </c>
      <c r="B271" s="308" t="s">
        <v>748</v>
      </c>
      <c r="C271" s="308"/>
      <c r="D271" s="308" t="s">
        <v>794</v>
      </c>
      <c r="E271" s="325">
        <f>'d3'!E271-d3П!E270</f>
        <v>1000000</v>
      </c>
      <c r="F271" s="325">
        <f>'d3'!F271-d3П!F270</f>
        <v>1000000</v>
      </c>
      <c r="G271" s="325">
        <f>'d3'!G271-d3П!G270</f>
        <v>0</v>
      </c>
      <c r="H271" s="325">
        <f>'d3'!H271-d3П!H270</f>
        <v>0</v>
      </c>
      <c r="I271" s="325">
        <f>'d3'!I271-d3П!I270</f>
        <v>0</v>
      </c>
      <c r="J271" s="325">
        <f>'d3'!J271-d3П!J270</f>
        <v>0</v>
      </c>
      <c r="K271" s="325">
        <f>'d3'!K271-d3П!K270</f>
        <v>0</v>
      </c>
      <c r="L271" s="325">
        <f>'d3'!L271-d3П!L270</f>
        <v>0</v>
      </c>
      <c r="M271" s="325">
        <f>'d3'!M271-d3П!M270</f>
        <v>0</v>
      </c>
      <c r="N271" s="325">
        <f>'d3'!N271-d3П!N270</f>
        <v>0</v>
      </c>
      <c r="O271" s="325">
        <f>'d3'!O271-d3П!O270</f>
        <v>0</v>
      </c>
      <c r="P271" s="325">
        <f>'d3'!P271-d3П!P270</f>
        <v>1000000</v>
      </c>
      <c r="Q271" s="20"/>
      <c r="R271" s="50"/>
    </row>
    <row r="272" spans="1:18" ht="47.25" thickTop="1" thickBot="1" x14ac:dyDescent="0.25">
      <c r="A272" s="310" t="s">
        <v>1145</v>
      </c>
      <c r="B272" s="310" t="s">
        <v>803</v>
      </c>
      <c r="C272" s="310"/>
      <c r="D272" s="310" t="s">
        <v>804</v>
      </c>
      <c r="E272" s="325">
        <f>'d3'!E272-d3П!E271</f>
        <v>0</v>
      </c>
      <c r="F272" s="325">
        <f>'d3'!F272-d3П!F271</f>
        <v>0</v>
      </c>
      <c r="G272" s="325">
        <f>'d3'!G272-d3П!G271</f>
        <v>0</v>
      </c>
      <c r="H272" s="325">
        <f>'d3'!H272-d3П!H271</f>
        <v>0</v>
      </c>
      <c r="I272" s="325">
        <f>'d3'!I272-d3П!I271</f>
        <v>0</v>
      </c>
      <c r="J272" s="325">
        <f>'d3'!J272-d3П!J271</f>
        <v>0</v>
      </c>
      <c r="K272" s="325">
        <f>'d3'!K272-d3П!K271</f>
        <v>0</v>
      </c>
      <c r="L272" s="325">
        <f>'d3'!L272-d3П!L271</f>
        <v>0</v>
      </c>
      <c r="M272" s="325">
        <f>'d3'!M272-d3П!M271</f>
        <v>0</v>
      </c>
      <c r="N272" s="325">
        <f>'d3'!N272-d3П!N271</f>
        <v>0</v>
      </c>
      <c r="O272" s="325">
        <f>'d3'!O272-d3П!O271</f>
        <v>0</v>
      </c>
      <c r="P272" s="325">
        <f>'d3'!P272-d3П!P271</f>
        <v>0</v>
      </c>
      <c r="Q272" s="20"/>
      <c r="R272" s="50"/>
    </row>
    <row r="273" spans="1:18" ht="54" thickTop="1" thickBot="1" x14ac:dyDescent="0.25">
      <c r="A273" s="101" t="s">
        <v>1146</v>
      </c>
      <c r="B273" s="101" t="s">
        <v>305</v>
      </c>
      <c r="C273" s="101" t="s">
        <v>304</v>
      </c>
      <c r="D273" s="101" t="s">
        <v>1497</v>
      </c>
      <c r="E273" s="325">
        <f>'d3'!E273-d3П!E272</f>
        <v>0</v>
      </c>
      <c r="F273" s="325">
        <f>'d3'!F273-d3П!F272</f>
        <v>0</v>
      </c>
      <c r="G273" s="325">
        <f>'d3'!G273-d3П!G272</f>
        <v>0</v>
      </c>
      <c r="H273" s="325">
        <f>'d3'!H273-d3П!H272</f>
        <v>0</v>
      </c>
      <c r="I273" s="325">
        <f>'d3'!I273-d3П!I272</f>
        <v>0</v>
      </c>
      <c r="J273" s="325">
        <f>'d3'!J273-d3П!J272</f>
        <v>0</v>
      </c>
      <c r="K273" s="325">
        <f>'d3'!K273-d3П!K272</f>
        <v>0</v>
      </c>
      <c r="L273" s="325">
        <f>'d3'!L273-d3П!L272</f>
        <v>0</v>
      </c>
      <c r="M273" s="325">
        <f>'d3'!M273-d3П!M272</f>
        <v>0</v>
      </c>
      <c r="N273" s="325">
        <f>'d3'!N273-d3П!N272</f>
        <v>0</v>
      </c>
      <c r="O273" s="325">
        <f>'d3'!O273-d3П!O272</f>
        <v>0</v>
      </c>
      <c r="P273" s="325">
        <f>'d3'!P273-d3П!P272</f>
        <v>0</v>
      </c>
      <c r="Q273" s="20"/>
      <c r="R273" s="50"/>
    </row>
    <row r="274" spans="1:18" ht="47.25" thickTop="1" thickBot="1" x14ac:dyDescent="0.25">
      <c r="A274" s="310" t="s">
        <v>795</v>
      </c>
      <c r="B274" s="310" t="s">
        <v>691</v>
      </c>
      <c r="C274" s="310"/>
      <c r="D274" s="310" t="s">
        <v>689</v>
      </c>
      <c r="E274" s="325">
        <f>'d3'!E274-d3П!E273</f>
        <v>1000000</v>
      </c>
      <c r="F274" s="325">
        <f>'d3'!F274-d3П!F273</f>
        <v>1000000</v>
      </c>
      <c r="G274" s="325">
        <f>'d3'!G274-d3П!G273</f>
        <v>0</v>
      </c>
      <c r="H274" s="325">
        <f>'d3'!H274-d3П!H273</f>
        <v>0</v>
      </c>
      <c r="I274" s="325">
        <f>'d3'!I274-d3П!I273</f>
        <v>0</v>
      </c>
      <c r="J274" s="325">
        <f>'d3'!J274-d3П!J273</f>
        <v>0</v>
      </c>
      <c r="K274" s="325">
        <f>'d3'!K274-d3П!K273</f>
        <v>0</v>
      </c>
      <c r="L274" s="325">
        <f>'d3'!L274-d3П!L273</f>
        <v>0</v>
      </c>
      <c r="M274" s="325">
        <f>'d3'!M274-d3П!M273</f>
        <v>0</v>
      </c>
      <c r="N274" s="325">
        <f>'d3'!N274-d3П!N273</f>
        <v>0</v>
      </c>
      <c r="O274" s="325">
        <f>'d3'!O274-d3П!O273</f>
        <v>0</v>
      </c>
      <c r="P274" s="325">
        <f>'d3'!P274-d3П!P273</f>
        <v>1000000</v>
      </c>
      <c r="Q274" s="20"/>
      <c r="R274" s="50"/>
    </row>
    <row r="275" spans="1:18" ht="47.25" thickTop="1" thickBot="1" x14ac:dyDescent="0.25">
      <c r="A275" s="101" t="s">
        <v>296</v>
      </c>
      <c r="B275" s="101" t="s">
        <v>212</v>
      </c>
      <c r="C275" s="101" t="s">
        <v>213</v>
      </c>
      <c r="D275" s="101" t="s">
        <v>41</v>
      </c>
      <c r="E275" s="325">
        <f>'d3'!E275-d3П!E274</f>
        <v>1000000</v>
      </c>
      <c r="F275" s="325">
        <f>'d3'!F275-d3П!F274</f>
        <v>1000000</v>
      </c>
      <c r="G275" s="325">
        <f>'d3'!G275-d3П!G274</f>
        <v>0</v>
      </c>
      <c r="H275" s="325">
        <f>'d3'!H275-d3П!H274</f>
        <v>0</v>
      </c>
      <c r="I275" s="325">
        <f>'d3'!I275-d3П!I274</f>
        <v>0</v>
      </c>
      <c r="J275" s="325">
        <f>'d3'!J275-d3П!J274</f>
        <v>0</v>
      </c>
      <c r="K275" s="325">
        <f>'d3'!K275-d3П!K274</f>
        <v>0</v>
      </c>
      <c r="L275" s="325">
        <f>'d3'!L275-d3П!L274</f>
        <v>0</v>
      </c>
      <c r="M275" s="325">
        <f>'d3'!M275-d3П!M274</f>
        <v>0</v>
      </c>
      <c r="N275" s="325">
        <f>'d3'!N275-d3П!N274</f>
        <v>0</v>
      </c>
      <c r="O275" s="325">
        <f>'d3'!O275-d3П!O274</f>
        <v>0</v>
      </c>
      <c r="P275" s="325">
        <f>'d3'!P275-d3П!P274</f>
        <v>1000000</v>
      </c>
      <c r="Q275" s="20"/>
      <c r="R275" s="54"/>
    </row>
    <row r="276" spans="1:18" ht="47.25" thickTop="1" thickBot="1" x14ac:dyDescent="0.25">
      <c r="A276" s="101" t="s">
        <v>918</v>
      </c>
      <c r="B276" s="101" t="s">
        <v>197</v>
      </c>
      <c r="C276" s="101" t="s">
        <v>170</v>
      </c>
      <c r="D276" s="101" t="s">
        <v>34</v>
      </c>
      <c r="E276" s="325">
        <f>'d3'!E276-d3П!E275</f>
        <v>0</v>
      </c>
      <c r="F276" s="325">
        <f>'d3'!F276-d3П!F275</f>
        <v>0</v>
      </c>
      <c r="G276" s="325">
        <f>'d3'!G276-d3П!G275</f>
        <v>0</v>
      </c>
      <c r="H276" s="325">
        <f>'d3'!H276-d3П!H275</f>
        <v>0</v>
      </c>
      <c r="I276" s="325">
        <f>'d3'!I276-d3П!I275</f>
        <v>0</v>
      </c>
      <c r="J276" s="325">
        <f>'d3'!J276-d3П!J275</f>
        <v>0</v>
      </c>
      <c r="K276" s="325">
        <f>'d3'!K276-d3П!K275</f>
        <v>0</v>
      </c>
      <c r="L276" s="325">
        <f>'d3'!L276-d3П!L275</f>
        <v>0</v>
      </c>
      <c r="M276" s="325">
        <f>'d3'!M276-d3П!M275</f>
        <v>0</v>
      </c>
      <c r="N276" s="325">
        <f>'d3'!N276-d3П!N275</f>
        <v>0</v>
      </c>
      <c r="O276" s="325">
        <f>'d3'!O276-d3П!O275</f>
        <v>0</v>
      </c>
      <c r="P276" s="325">
        <f>'d3'!P276-d3П!P275</f>
        <v>0</v>
      </c>
      <c r="Q276" s="20"/>
      <c r="R276" s="54"/>
    </row>
    <row r="277" spans="1:18" ht="48" hidden="1" customHeight="1" thickTop="1" thickBot="1" x14ac:dyDescent="0.25">
      <c r="A277" s="138" t="s">
        <v>796</v>
      </c>
      <c r="B277" s="138" t="s">
        <v>694</v>
      </c>
      <c r="C277" s="138"/>
      <c r="D277" s="138" t="s">
        <v>797</v>
      </c>
      <c r="E277" s="325">
        <f>'d3'!E277-d3П!E276</f>
        <v>0</v>
      </c>
      <c r="F277" s="325">
        <f>'d3'!F277-d3П!F276</f>
        <v>0</v>
      </c>
      <c r="G277" s="325">
        <f>'d3'!G277-d3П!G276</f>
        <v>0</v>
      </c>
      <c r="H277" s="325">
        <f>'d3'!H277-d3П!H276</f>
        <v>0</v>
      </c>
      <c r="I277" s="325">
        <f>'d3'!I277-d3П!I276</f>
        <v>0</v>
      </c>
      <c r="J277" s="325">
        <f>'d3'!J277-d3П!J276</f>
        <v>0</v>
      </c>
      <c r="K277" s="325">
        <f>'d3'!K277-d3П!K276</f>
        <v>0</v>
      </c>
      <c r="L277" s="325">
        <f>'d3'!L277-d3П!L276</f>
        <v>0</v>
      </c>
      <c r="M277" s="325">
        <f>'d3'!M277-d3П!M276</f>
        <v>0</v>
      </c>
      <c r="N277" s="325">
        <f>'d3'!N277-d3П!N276</f>
        <v>0</v>
      </c>
      <c r="O277" s="325">
        <f>'d3'!O277-d3П!O276</f>
        <v>0</v>
      </c>
      <c r="P277" s="325">
        <f>'d3'!P277-d3П!P276</f>
        <v>0</v>
      </c>
      <c r="Q277" s="20"/>
      <c r="R277" s="50"/>
    </row>
    <row r="278" spans="1:18" ht="214.5" hidden="1" customHeight="1" thickTop="1" thickBot="1" x14ac:dyDescent="0.7">
      <c r="A278" s="768" t="s">
        <v>424</v>
      </c>
      <c r="B278" s="768" t="s">
        <v>338</v>
      </c>
      <c r="C278" s="768" t="s">
        <v>170</v>
      </c>
      <c r="D278" s="153" t="s">
        <v>440</v>
      </c>
      <c r="E278" s="325">
        <f>'d3'!E278-d3П!E277</f>
        <v>0</v>
      </c>
      <c r="F278" s="325">
        <f>'d3'!F278-d3П!F277</f>
        <v>0</v>
      </c>
      <c r="G278" s="325">
        <f>'d3'!G278-d3П!G277</f>
        <v>0</v>
      </c>
      <c r="H278" s="325">
        <f>'d3'!H278-d3П!H277</f>
        <v>0</v>
      </c>
      <c r="I278" s="325">
        <f>'d3'!I278-d3П!I277</f>
        <v>0</v>
      </c>
      <c r="J278" s="325">
        <f>'d3'!J278-d3П!J277</f>
        <v>0</v>
      </c>
      <c r="K278" s="325">
        <f>'d3'!K278-d3П!K277</f>
        <v>0</v>
      </c>
      <c r="L278" s="325">
        <f>'d3'!L278-d3П!L277</f>
        <v>0</v>
      </c>
      <c r="M278" s="325">
        <f>'d3'!M278-d3П!M277</f>
        <v>0</v>
      </c>
      <c r="N278" s="325">
        <f>'d3'!N278-d3П!N277</f>
        <v>0</v>
      </c>
      <c r="O278" s="325">
        <f>'d3'!O278-d3П!O277</f>
        <v>0</v>
      </c>
      <c r="P278" s="325">
        <f>'d3'!P278-d3П!P277</f>
        <v>0</v>
      </c>
      <c r="Q278" s="20"/>
      <c r="R278" s="50"/>
    </row>
    <row r="279" spans="1:18" ht="93" hidden="1" customHeight="1" thickTop="1" thickBot="1" x14ac:dyDescent="0.25">
      <c r="A279" s="768"/>
      <c r="B279" s="768"/>
      <c r="C279" s="768"/>
      <c r="D279" s="154" t="s">
        <v>441</v>
      </c>
      <c r="E279" s="325">
        <f>'d3'!E279-d3П!E278</f>
        <v>0</v>
      </c>
      <c r="F279" s="325">
        <f>'d3'!F279-d3П!F278</f>
        <v>0</v>
      </c>
      <c r="G279" s="325">
        <f>'d3'!G279-d3П!G278</f>
        <v>0</v>
      </c>
      <c r="H279" s="325">
        <f>'d3'!H279-d3П!H278</f>
        <v>0</v>
      </c>
      <c r="I279" s="325">
        <f>'d3'!I279-d3П!I278</f>
        <v>0</v>
      </c>
      <c r="J279" s="325">
        <f>'d3'!J279-d3П!J278</f>
        <v>0</v>
      </c>
      <c r="K279" s="325">
        <f>'d3'!K279-d3П!K278</f>
        <v>0</v>
      </c>
      <c r="L279" s="325">
        <f>'d3'!L279-d3П!L278</f>
        <v>0</v>
      </c>
      <c r="M279" s="325">
        <f>'d3'!M279-d3П!M278</f>
        <v>0</v>
      </c>
      <c r="N279" s="325">
        <f>'d3'!N279-d3П!N278</f>
        <v>0</v>
      </c>
      <c r="O279" s="325">
        <f>'d3'!O279-d3П!O278</f>
        <v>0</v>
      </c>
      <c r="P279" s="325">
        <f>'d3'!P279-d3П!P278</f>
        <v>0</v>
      </c>
      <c r="Q279" s="20"/>
      <c r="R279" s="50"/>
    </row>
    <row r="280" spans="1:18" ht="47.25" thickTop="1" thickBot="1" x14ac:dyDescent="0.25">
      <c r="A280" s="308" t="s">
        <v>1230</v>
      </c>
      <c r="B280" s="308" t="s">
        <v>696</v>
      </c>
      <c r="C280" s="308"/>
      <c r="D280" s="308" t="s">
        <v>697</v>
      </c>
      <c r="E280" s="325">
        <f>'d3'!E280-d3П!E279</f>
        <v>0</v>
      </c>
      <c r="F280" s="325">
        <f>'d3'!F280-d3П!F279</f>
        <v>0</v>
      </c>
      <c r="G280" s="325">
        <f>'d3'!G280-d3П!G279</f>
        <v>0</v>
      </c>
      <c r="H280" s="325">
        <f>'d3'!H280-d3П!H279</f>
        <v>0</v>
      </c>
      <c r="I280" s="325">
        <f>'d3'!I280-d3П!I279</f>
        <v>0</v>
      </c>
      <c r="J280" s="325">
        <f>'d3'!J280-d3П!J279</f>
        <v>0</v>
      </c>
      <c r="K280" s="325">
        <f>'d3'!K280-d3П!K279</f>
        <v>0</v>
      </c>
      <c r="L280" s="325">
        <f>'d3'!L280-d3П!L279</f>
        <v>0</v>
      </c>
      <c r="M280" s="325">
        <f>'d3'!M280-d3П!M279</f>
        <v>0</v>
      </c>
      <c r="N280" s="325">
        <f>'d3'!N280-d3П!N279</f>
        <v>0</v>
      </c>
      <c r="O280" s="325">
        <f>'d3'!O280-d3П!O279</f>
        <v>0</v>
      </c>
      <c r="P280" s="325">
        <f>'d3'!P280-d3П!P279</f>
        <v>0</v>
      </c>
      <c r="Q280" s="20"/>
      <c r="R280" s="50"/>
    </row>
    <row r="281" spans="1:18" ht="47.25" thickTop="1" thickBot="1" x14ac:dyDescent="0.25">
      <c r="A281" s="310" t="s">
        <v>1495</v>
      </c>
      <c r="B281" s="310" t="s">
        <v>812</v>
      </c>
      <c r="C281" s="310"/>
      <c r="D281" s="353" t="s">
        <v>1280</v>
      </c>
      <c r="E281" s="325">
        <f>'d3'!E281-d3П!E280</f>
        <v>0</v>
      </c>
      <c r="F281" s="325">
        <f>'d3'!F281-d3П!F280</f>
        <v>0</v>
      </c>
      <c r="G281" s="325">
        <f>'d3'!G281-d3П!G280</f>
        <v>0</v>
      </c>
      <c r="H281" s="325">
        <f>'d3'!H281-d3П!H280</f>
        <v>0</v>
      </c>
      <c r="I281" s="325">
        <f>'d3'!I281-d3П!I280</f>
        <v>0</v>
      </c>
      <c r="J281" s="325">
        <f>'d3'!J281-d3П!J280</f>
        <v>0</v>
      </c>
      <c r="K281" s="325">
        <f>'d3'!K281-d3П!K280</f>
        <v>0</v>
      </c>
      <c r="L281" s="325">
        <f>'d3'!L281-d3П!L280</f>
        <v>0</v>
      </c>
      <c r="M281" s="325">
        <f>'d3'!M281-d3П!M280</f>
        <v>0</v>
      </c>
      <c r="N281" s="325">
        <f>'d3'!N281-d3П!N280</f>
        <v>0</v>
      </c>
      <c r="O281" s="325">
        <f>'d3'!O281-d3П!O280</f>
        <v>0</v>
      </c>
      <c r="P281" s="325">
        <f>'d3'!P281-d3П!P280</f>
        <v>0</v>
      </c>
      <c r="Q281" s="20"/>
      <c r="R281" s="50"/>
    </row>
    <row r="282" spans="1:18" ht="93" thickTop="1" thickBot="1" x14ac:dyDescent="0.25">
      <c r="A282" s="101" t="s">
        <v>1496</v>
      </c>
      <c r="B282" s="101" t="s">
        <v>518</v>
      </c>
      <c r="C282" s="101" t="s">
        <v>251</v>
      </c>
      <c r="D282" s="101" t="s">
        <v>519</v>
      </c>
      <c r="E282" s="325">
        <f>'d3'!E282-d3П!E281</f>
        <v>0</v>
      </c>
      <c r="F282" s="325">
        <f>'d3'!F282-d3П!F281</f>
        <v>0</v>
      </c>
      <c r="G282" s="325">
        <f>'d3'!G282-d3П!G281</f>
        <v>0</v>
      </c>
      <c r="H282" s="325">
        <f>'d3'!H282-d3П!H281</f>
        <v>0</v>
      </c>
      <c r="I282" s="325">
        <f>'d3'!I282-d3П!I281</f>
        <v>0</v>
      </c>
      <c r="J282" s="325">
        <f>'d3'!J282-d3П!J281</f>
        <v>0</v>
      </c>
      <c r="K282" s="325">
        <f>'d3'!K282-d3П!K281</f>
        <v>0</v>
      </c>
      <c r="L282" s="325">
        <f>'d3'!L282-d3П!L281</f>
        <v>0</v>
      </c>
      <c r="M282" s="325">
        <f>'d3'!M282-d3П!M281</f>
        <v>0</v>
      </c>
      <c r="N282" s="325">
        <f>'d3'!N282-d3П!N281</f>
        <v>0</v>
      </c>
      <c r="O282" s="325">
        <f>'d3'!O282-d3П!O281</f>
        <v>0</v>
      </c>
      <c r="P282" s="325">
        <f>'d3'!P282-d3П!P281</f>
        <v>0</v>
      </c>
      <c r="Q282" s="20"/>
      <c r="R282" s="50"/>
    </row>
    <row r="283" spans="1:18" ht="47.25" hidden="1" thickTop="1" thickBot="1" x14ac:dyDescent="0.25">
      <c r="A283" s="134" t="s">
        <v>1231</v>
      </c>
      <c r="B283" s="134" t="s">
        <v>1186</v>
      </c>
      <c r="C283" s="134"/>
      <c r="D283" s="134" t="s">
        <v>1184</v>
      </c>
      <c r="E283" s="135">
        <f t="shared" ref="E283:P283" si="64">SUM(E284:E284)</f>
        <v>0</v>
      </c>
      <c r="F283" s="135">
        <f t="shared" si="64"/>
        <v>0</v>
      </c>
      <c r="G283" s="135">
        <f t="shared" si="64"/>
        <v>0</v>
      </c>
      <c r="H283" s="135">
        <f t="shared" si="64"/>
        <v>0</v>
      </c>
      <c r="I283" s="135">
        <f t="shared" si="64"/>
        <v>0</v>
      </c>
      <c r="J283" s="135">
        <f t="shared" si="64"/>
        <v>0</v>
      </c>
      <c r="K283" s="135">
        <f t="shared" si="64"/>
        <v>0</v>
      </c>
      <c r="L283" s="135">
        <f t="shared" si="64"/>
        <v>0</v>
      </c>
      <c r="M283" s="135">
        <f t="shared" si="64"/>
        <v>0</v>
      </c>
      <c r="N283" s="135">
        <f t="shared" si="64"/>
        <v>0</v>
      </c>
      <c r="O283" s="135">
        <f t="shared" si="64"/>
        <v>0</v>
      </c>
      <c r="P283" s="135">
        <f t="shared" si="64"/>
        <v>0</v>
      </c>
      <c r="Q283" s="20"/>
      <c r="R283" s="50"/>
    </row>
    <row r="284" spans="1:18" ht="48" hidden="1" thickTop="1" thickBot="1" x14ac:dyDescent="0.25">
      <c r="A284" s="126" t="s">
        <v>1232</v>
      </c>
      <c r="B284" s="126" t="s">
        <v>1213</v>
      </c>
      <c r="C284" s="126" t="s">
        <v>1188</v>
      </c>
      <c r="D284" s="126" t="s">
        <v>1214</v>
      </c>
      <c r="E284" s="125">
        <f>F284</f>
        <v>0</v>
      </c>
      <c r="F284" s="132"/>
      <c r="G284" s="132"/>
      <c r="H284" s="132"/>
      <c r="I284" s="132"/>
      <c r="J284" s="125">
        <f>L284+O284</f>
        <v>0</v>
      </c>
      <c r="K284" s="132"/>
      <c r="L284" s="132"/>
      <c r="M284" s="132"/>
      <c r="N284" s="132"/>
      <c r="O284" s="130">
        <f>K284</f>
        <v>0</v>
      </c>
      <c r="P284" s="125">
        <f>E284+J284</f>
        <v>0</v>
      </c>
      <c r="Q284" s="20"/>
      <c r="R284" s="50"/>
    </row>
    <row r="285" spans="1:18" ht="120" customHeight="1" thickTop="1" thickBot="1" x14ac:dyDescent="0.25">
      <c r="A285" s="645" t="s">
        <v>540</v>
      </c>
      <c r="B285" s="645"/>
      <c r="C285" s="645"/>
      <c r="D285" s="646" t="s">
        <v>559</v>
      </c>
      <c r="E285" s="647">
        <f>E286</f>
        <v>27214245</v>
      </c>
      <c r="F285" s="648">
        <f t="shared" ref="F285:G285" si="65">F286</f>
        <v>27214245</v>
      </c>
      <c r="G285" s="648">
        <f t="shared" si="65"/>
        <v>0</v>
      </c>
      <c r="H285" s="648">
        <f>H286</f>
        <v>0</v>
      </c>
      <c r="I285" s="648">
        <f t="shared" ref="I285" si="66">I286</f>
        <v>0</v>
      </c>
      <c r="J285" s="647">
        <f>J286</f>
        <v>10544886.990000002</v>
      </c>
      <c r="K285" s="648">
        <f>K286</f>
        <v>10544886.990000002</v>
      </c>
      <c r="L285" s="648">
        <f>L286</f>
        <v>0</v>
      </c>
      <c r="M285" s="648">
        <f t="shared" ref="M285" si="67">M286</f>
        <v>0</v>
      </c>
      <c r="N285" s="648">
        <f>N286</f>
        <v>0</v>
      </c>
      <c r="O285" s="647">
        <f>O286</f>
        <v>10544886.990000002</v>
      </c>
      <c r="P285" s="648">
        <f>P286</f>
        <v>37759131.990000002</v>
      </c>
      <c r="Q285" s="20"/>
      <c r="R285" s="50"/>
    </row>
    <row r="286" spans="1:18" ht="120" customHeight="1" thickTop="1" thickBot="1" x14ac:dyDescent="0.25">
      <c r="A286" s="642" t="s">
        <v>541</v>
      </c>
      <c r="B286" s="642"/>
      <c r="C286" s="642"/>
      <c r="D286" s="643" t="s">
        <v>560</v>
      </c>
      <c r="E286" s="644">
        <f>E287+E291+E299+E312+E317</f>
        <v>27214245</v>
      </c>
      <c r="F286" s="644">
        <f>F287+F291+F299+F312+F317</f>
        <v>27214245</v>
      </c>
      <c r="G286" s="644">
        <f>G287+G291+G299+G312+G317</f>
        <v>0</v>
      </c>
      <c r="H286" s="644">
        <f>H287+H291+H299+H312+H317</f>
        <v>0</v>
      </c>
      <c r="I286" s="644">
        <f>I287+I291+I299+I312+I317</f>
        <v>0</v>
      </c>
      <c r="J286" s="644">
        <f t="shared" ref="J286" si="68">L286+O286</f>
        <v>10544886.990000002</v>
      </c>
      <c r="K286" s="644">
        <f>K287+K291+K299+K312+K317</f>
        <v>10544886.990000002</v>
      </c>
      <c r="L286" s="644">
        <f>L287+L291+L299+L312+L317</f>
        <v>0</v>
      </c>
      <c r="M286" s="644">
        <f>M287+M291+M299+M312+M317</f>
        <v>0</v>
      </c>
      <c r="N286" s="644">
        <f>N287+N291+N299+N312+N317</f>
        <v>0</v>
      </c>
      <c r="O286" s="644">
        <f>O287+O291+O299+O312+O317</f>
        <v>10544886.990000002</v>
      </c>
      <c r="P286" s="644">
        <f>E286+J286</f>
        <v>37759131.990000002</v>
      </c>
      <c r="Q286" s="492" t="b">
        <f>P286=P288+P293+P294+P296+P297+P298+P301+P304+P306+P307+P314+P315</f>
        <v>0</v>
      </c>
      <c r="R286" s="45"/>
    </row>
    <row r="287" spans="1:18" ht="47.25" thickTop="1" thickBot="1" x14ac:dyDescent="0.25">
      <c r="A287" s="308" t="s">
        <v>798</v>
      </c>
      <c r="B287" s="308" t="s">
        <v>684</v>
      </c>
      <c r="C287" s="308"/>
      <c r="D287" s="308" t="s">
        <v>685</v>
      </c>
      <c r="E287" s="325">
        <f>'d3'!E287-d3П!E286</f>
        <v>0</v>
      </c>
      <c r="F287" s="325">
        <f>'d3'!F287-d3П!F286</f>
        <v>0</v>
      </c>
      <c r="G287" s="325">
        <f>'d3'!G287-d3П!G286</f>
        <v>0</v>
      </c>
      <c r="H287" s="325">
        <f>'d3'!H287-d3П!H286</f>
        <v>0</v>
      </c>
      <c r="I287" s="325">
        <f>'d3'!I287-d3П!I286</f>
        <v>0</v>
      </c>
      <c r="J287" s="325">
        <f>'d3'!J287-d3П!J286</f>
        <v>0</v>
      </c>
      <c r="K287" s="325">
        <f>'d3'!K287-d3П!K286</f>
        <v>0</v>
      </c>
      <c r="L287" s="325">
        <f>'d3'!L287-d3П!L286</f>
        <v>0</v>
      </c>
      <c r="M287" s="325">
        <f>'d3'!M287-d3П!M286</f>
        <v>0</v>
      </c>
      <c r="N287" s="325">
        <f>'d3'!N287-d3П!N286</f>
        <v>0</v>
      </c>
      <c r="O287" s="325">
        <f>'d3'!O287-d3П!O286</f>
        <v>0</v>
      </c>
      <c r="P287" s="325">
        <f>'d3'!P287-d3П!P286</f>
        <v>0</v>
      </c>
      <c r="Q287" s="47"/>
      <c r="R287" s="45"/>
    </row>
    <row r="288" spans="1:18" ht="93" thickTop="1" thickBot="1" x14ac:dyDescent="0.25">
      <c r="A288" s="101" t="s">
        <v>542</v>
      </c>
      <c r="B288" s="101" t="s">
        <v>236</v>
      </c>
      <c r="C288" s="101" t="s">
        <v>234</v>
      </c>
      <c r="D288" s="101" t="s">
        <v>235</v>
      </c>
      <c r="E288" s="325">
        <f>'d3'!E288-d3П!E287</f>
        <v>0</v>
      </c>
      <c r="F288" s="325">
        <f>'d3'!F288-d3П!F287</f>
        <v>0</v>
      </c>
      <c r="G288" s="325">
        <f>'d3'!G288-d3П!G287</f>
        <v>0</v>
      </c>
      <c r="H288" s="325">
        <f>'d3'!H288-d3П!H287</f>
        <v>0</v>
      </c>
      <c r="I288" s="325">
        <f>'d3'!I288-d3П!I287</f>
        <v>0</v>
      </c>
      <c r="J288" s="325">
        <f>'d3'!J288-d3П!J287</f>
        <v>0</v>
      </c>
      <c r="K288" s="325">
        <f>'d3'!K288-d3П!K287</f>
        <v>0</v>
      </c>
      <c r="L288" s="325">
        <f>'d3'!L288-d3П!L287</f>
        <v>0</v>
      </c>
      <c r="M288" s="325">
        <f>'d3'!M288-d3П!M287</f>
        <v>0</v>
      </c>
      <c r="N288" s="325">
        <f>'d3'!N288-d3П!N287</f>
        <v>0</v>
      </c>
      <c r="O288" s="325">
        <f>'d3'!O288-d3П!O287</f>
        <v>0</v>
      </c>
      <c r="P288" s="325">
        <f>'d3'!P288-d3П!P287</f>
        <v>0</v>
      </c>
      <c r="Q288" s="20"/>
      <c r="R288" s="45"/>
    </row>
    <row r="289" spans="1:18" ht="93" hidden="1" customHeight="1" thickTop="1" thickBot="1" x14ac:dyDescent="0.25">
      <c r="A289" s="126" t="s">
        <v>629</v>
      </c>
      <c r="B289" s="126" t="s">
        <v>362</v>
      </c>
      <c r="C289" s="126" t="s">
        <v>625</v>
      </c>
      <c r="D289" s="126" t="s">
        <v>626</v>
      </c>
      <c r="E289" s="325">
        <f>'d3'!E289-d3П!E288</f>
        <v>0</v>
      </c>
      <c r="F289" s="325">
        <f>'d3'!F289-d3П!F288</f>
        <v>0</v>
      </c>
      <c r="G289" s="325">
        <f>'d3'!G289-d3П!G288</f>
        <v>0</v>
      </c>
      <c r="H289" s="325">
        <f>'d3'!H289-d3П!H288</f>
        <v>0</v>
      </c>
      <c r="I289" s="325">
        <f>'d3'!I289-d3П!I288</f>
        <v>0</v>
      </c>
      <c r="J289" s="325">
        <f>'d3'!J289-d3П!J288</f>
        <v>0</v>
      </c>
      <c r="K289" s="325">
        <f>'d3'!K289-d3П!K288</f>
        <v>0</v>
      </c>
      <c r="L289" s="325">
        <f>'d3'!L289-d3П!L288</f>
        <v>0</v>
      </c>
      <c r="M289" s="325">
        <f>'d3'!M289-d3П!M288</f>
        <v>0</v>
      </c>
      <c r="N289" s="325">
        <f>'d3'!N289-d3П!N288</f>
        <v>0</v>
      </c>
      <c r="O289" s="325">
        <f>'d3'!O289-d3П!O288</f>
        <v>0</v>
      </c>
      <c r="P289" s="325">
        <f>'d3'!P289-d3П!P288</f>
        <v>0</v>
      </c>
      <c r="Q289" s="20"/>
      <c r="R289" s="45"/>
    </row>
    <row r="290" spans="1:18" ht="48" hidden="1" customHeight="1" thickTop="1" thickBot="1" x14ac:dyDescent="0.25">
      <c r="A290" s="126" t="s">
        <v>543</v>
      </c>
      <c r="B290" s="126" t="s">
        <v>43</v>
      </c>
      <c r="C290" s="126" t="s">
        <v>42</v>
      </c>
      <c r="D290" s="126" t="s">
        <v>248</v>
      </c>
      <c r="E290" s="325">
        <f>'d3'!E290-d3П!E289</f>
        <v>0</v>
      </c>
      <c r="F290" s="325">
        <f>'d3'!F290-d3П!F289</f>
        <v>0</v>
      </c>
      <c r="G290" s="325">
        <f>'d3'!G290-d3П!G289</f>
        <v>0</v>
      </c>
      <c r="H290" s="325">
        <f>'d3'!H290-d3П!H289</f>
        <v>0</v>
      </c>
      <c r="I290" s="325">
        <f>'d3'!I290-d3П!I289</f>
        <v>0</v>
      </c>
      <c r="J290" s="325">
        <f>'d3'!J290-d3П!J289</f>
        <v>0</v>
      </c>
      <c r="K290" s="325">
        <f>'d3'!K290-d3П!K289</f>
        <v>0</v>
      </c>
      <c r="L290" s="325">
        <f>'d3'!L290-d3П!L289</f>
        <v>0</v>
      </c>
      <c r="M290" s="325">
        <f>'d3'!M290-d3П!M289</f>
        <v>0</v>
      </c>
      <c r="N290" s="325">
        <f>'d3'!N290-d3П!N289</f>
        <v>0</v>
      </c>
      <c r="O290" s="325">
        <f>'d3'!O290-d3П!O289</f>
        <v>0</v>
      </c>
      <c r="P290" s="325">
        <f>'d3'!P290-d3П!P289</f>
        <v>0</v>
      </c>
      <c r="Q290" s="20"/>
      <c r="R290" s="50"/>
    </row>
    <row r="291" spans="1:18" ht="47.25" thickTop="1" thickBot="1" x14ac:dyDescent="0.25">
      <c r="A291" s="308" t="s">
        <v>799</v>
      </c>
      <c r="B291" s="308" t="s">
        <v>742</v>
      </c>
      <c r="C291" s="308"/>
      <c r="D291" s="344" t="s">
        <v>743</v>
      </c>
      <c r="E291" s="325">
        <f>'d3'!E291-d3П!E290</f>
        <v>27050000</v>
      </c>
      <c r="F291" s="325">
        <f>'d3'!F291-d3П!F290</f>
        <v>27050000</v>
      </c>
      <c r="G291" s="325">
        <f>'d3'!G291-d3П!G290</f>
        <v>0</v>
      </c>
      <c r="H291" s="325">
        <f>'d3'!H291-d3П!H290</f>
        <v>0</v>
      </c>
      <c r="I291" s="325">
        <f>'d3'!I291-d3П!I290</f>
        <v>0</v>
      </c>
      <c r="J291" s="325">
        <f>'d3'!J291-d3П!J290</f>
        <v>0</v>
      </c>
      <c r="K291" s="325">
        <f>'d3'!K291-d3П!K290</f>
        <v>0</v>
      </c>
      <c r="L291" s="325">
        <f>'d3'!L291-d3П!L290</f>
        <v>0</v>
      </c>
      <c r="M291" s="325">
        <f>'d3'!M291-d3П!M290</f>
        <v>0</v>
      </c>
      <c r="N291" s="325">
        <f>'d3'!N291-d3П!N290</f>
        <v>0</v>
      </c>
      <c r="O291" s="325">
        <f>'d3'!O291-d3П!O290</f>
        <v>0</v>
      </c>
      <c r="P291" s="325">
        <f>'d3'!P291-d3П!P290</f>
        <v>27050000</v>
      </c>
      <c r="Q291" s="20"/>
      <c r="R291" s="50"/>
    </row>
    <row r="292" spans="1:18" ht="93" thickTop="1" thickBot="1" x14ac:dyDescent="0.25">
      <c r="A292" s="326" t="s">
        <v>800</v>
      </c>
      <c r="B292" s="326" t="s">
        <v>791</v>
      </c>
      <c r="C292" s="326"/>
      <c r="D292" s="326" t="s">
        <v>792</v>
      </c>
      <c r="E292" s="325">
        <f>'d3'!E292-d3П!E291</f>
        <v>25000000</v>
      </c>
      <c r="F292" s="325">
        <f>'d3'!F292-d3П!F291</f>
        <v>25000000</v>
      </c>
      <c r="G292" s="325">
        <f>'d3'!G292-d3П!G291</f>
        <v>0</v>
      </c>
      <c r="H292" s="325">
        <f>'d3'!H292-d3П!H291</f>
        <v>0</v>
      </c>
      <c r="I292" s="325">
        <f>'d3'!I292-d3П!I291</f>
        <v>0</v>
      </c>
      <c r="J292" s="325">
        <f>'d3'!J292-d3П!J291</f>
        <v>0</v>
      </c>
      <c r="K292" s="325">
        <f>'d3'!K292-d3П!K291</f>
        <v>0</v>
      </c>
      <c r="L292" s="325">
        <f>'d3'!L292-d3П!L291</f>
        <v>0</v>
      </c>
      <c r="M292" s="325">
        <f>'d3'!M292-d3П!M291</f>
        <v>0</v>
      </c>
      <c r="N292" s="325">
        <f>'d3'!N292-d3П!N291</f>
        <v>0</v>
      </c>
      <c r="O292" s="325">
        <f>'d3'!O292-d3П!O291</f>
        <v>0</v>
      </c>
      <c r="P292" s="325">
        <f>'d3'!P292-d3П!P291</f>
        <v>25000000</v>
      </c>
      <c r="Q292" s="20"/>
      <c r="R292" s="50"/>
    </row>
    <row r="293" spans="1:18" ht="93" thickTop="1" thickBot="1" x14ac:dyDescent="0.25">
      <c r="A293" s="101" t="s">
        <v>544</v>
      </c>
      <c r="B293" s="101" t="s">
        <v>376</v>
      </c>
      <c r="C293" s="101" t="s">
        <v>283</v>
      </c>
      <c r="D293" s="101" t="s">
        <v>377</v>
      </c>
      <c r="E293" s="325">
        <f>'d3'!E293-d3П!E292</f>
        <v>10000000</v>
      </c>
      <c r="F293" s="325">
        <f>'d3'!F293-d3П!F292</f>
        <v>10000000</v>
      </c>
      <c r="G293" s="325">
        <f>'d3'!G293-d3П!G292</f>
        <v>0</v>
      </c>
      <c r="H293" s="325">
        <f>'d3'!H293-d3П!H292</f>
        <v>0</v>
      </c>
      <c r="I293" s="325">
        <f>'d3'!I293-d3П!I292</f>
        <v>0</v>
      </c>
      <c r="J293" s="325">
        <f>'d3'!J293-d3П!J292</f>
        <v>0</v>
      </c>
      <c r="K293" s="325">
        <f>'d3'!K293-d3П!K292</f>
        <v>0</v>
      </c>
      <c r="L293" s="325">
        <f>'d3'!L293-d3П!L292</f>
        <v>0</v>
      </c>
      <c r="M293" s="325">
        <f>'d3'!M293-d3П!M292</f>
        <v>0</v>
      </c>
      <c r="N293" s="325">
        <f>'d3'!N293-d3П!N292</f>
        <v>0</v>
      </c>
      <c r="O293" s="325">
        <f>'d3'!O293-d3П!O292</f>
        <v>0</v>
      </c>
      <c r="P293" s="325">
        <f>'d3'!P293-d3П!P292</f>
        <v>10000000</v>
      </c>
      <c r="Q293" s="20"/>
      <c r="R293" s="50"/>
    </row>
    <row r="294" spans="1:18" ht="47.25" thickTop="1" thickBot="1" x14ac:dyDescent="0.25">
      <c r="A294" s="101" t="s">
        <v>545</v>
      </c>
      <c r="B294" s="101" t="s">
        <v>286</v>
      </c>
      <c r="C294" s="101" t="s">
        <v>283</v>
      </c>
      <c r="D294" s="101" t="s">
        <v>287</v>
      </c>
      <c r="E294" s="325">
        <f>'d3'!E294-d3П!E293</f>
        <v>15000000</v>
      </c>
      <c r="F294" s="325">
        <f>'d3'!F294-d3П!F293</f>
        <v>15000000</v>
      </c>
      <c r="G294" s="325">
        <f>'d3'!G294-d3П!G293</f>
        <v>0</v>
      </c>
      <c r="H294" s="325">
        <f>'d3'!H294-d3П!H293</f>
        <v>0</v>
      </c>
      <c r="I294" s="325">
        <f>'d3'!I294-d3П!I293</f>
        <v>0</v>
      </c>
      <c r="J294" s="325">
        <f>'d3'!J294-d3П!J293</f>
        <v>0</v>
      </c>
      <c r="K294" s="325">
        <f>'d3'!K294-d3П!K293</f>
        <v>0</v>
      </c>
      <c r="L294" s="325">
        <f>'d3'!L294-d3П!L293</f>
        <v>0</v>
      </c>
      <c r="M294" s="325">
        <f>'d3'!M294-d3П!M293</f>
        <v>0</v>
      </c>
      <c r="N294" s="325">
        <f>'d3'!N294-d3П!N293</f>
        <v>0</v>
      </c>
      <c r="O294" s="325">
        <f>'d3'!O294-d3П!O293</f>
        <v>0</v>
      </c>
      <c r="P294" s="325">
        <f>'d3'!P294-d3П!P293</f>
        <v>15000000</v>
      </c>
      <c r="Q294" s="20"/>
      <c r="R294" s="50"/>
    </row>
    <row r="295" spans="1:18" ht="93" hidden="1" customHeight="1" thickTop="1" thickBot="1" x14ac:dyDescent="0.25">
      <c r="A295" s="126" t="s">
        <v>1409</v>
      </c>
      <c r="B295" s="126" t="s">
        <v>1410</v>
      </c>
      <c r="C295" s="126" t="s">
        <v>283</v>
      </c>
      <c r="D295" s="126" t="s">
        <v>1411</v>
      </c>
      <c r="E295" s="325">
        <f>'d3'!E295-d3П!E294</f>
        <v>0</v>
      </c>
      <c r="F295" s="325">
        <f>'d3'!F295-d3П!F294</f>
        <v>0</v>
      </c>
      <c r="G295" s="325">
        <f>'d3'!G295-d3П!G294</f>
        <v>0</v>
      </c>
      <c r="H295" s="325">
        <f>'d3'!H295-d3П!H294</f>
        <v>0</v>
      </c>
      <c r="I295" s="325">
        <f>'d3'!I295-d3П!I294</f>
        <v>0</v>
      </c>
      <c r="J295" s="325">
        <f>'d3'!J295-d3П!J294</f>
        <v>0</v>
      </c>
      <c r="K295" s="325">
        <f>'d3'!K295-d3П!K294</f>
        <v>0</v>
      </c>
      <c r="L295" s="325">
        <f>'d3'!L295-d3П!L294</f>
        <v>0</v>
      </c>
      <c r="M295" s="325">
        <f>'d3'!M295-d3П!M294</f>
        <v>0</v>
      </c>
      <c r="N295" s="325">
        <f>'d3'!N295-d3П!N294</f>
        <v>0</v>
      </c>
      <c r="O295" s="325">
        <f>'d3'!O295-d3П!O294</f>
        <v>0</v>
      </c>
      <c r="P295" s="325">
        <f>'d3'!P295-d3П!P294</f>
        <v>0</v>
      </c>
      <c r="Q295" s="20"/>
      <c r="R295" s="50"/>
    </row>
    <row r="296" spans="1:18" ht="93" thickTop="1" thickBot="1" x14ac:dyDescent="0.25">
      <c r="A296" s="101" t="s">
        <v>546</v>
      </c>
      <c r="B296" s="101" t="s">
        <v>297</v>
      </c>
      <c r="C296" s="101" t="s">
        <v>283</v>
      </c>
      <c r="D296" s="101" t="s">
        <v>298</v>
      </c>
      <c r="E296" s="325">
        <f>'d3'!E296-d3П!E295</f>
        <v>0</v>
      </c>
      <c r="F296" s="325">
        <f>'d3'!F296-d3П!F295</f>
        <v>0</v>
      </c>
      <c r="G296" s="325">
        <f>'d3'!G296-d3П!G295</f>
        <v>0</v>
      </c>
      <c r="H296" s="325">
        <f>'d3'!H296-d3П!H295</f>
        <v>0</v>
      </c>
      <c r="I296" s="325">
        <f>'d3'!I296-d3П!I295</f>
        <v>0</v>
      </c>
      <c r="J296" s="325">
        <f>'d3'!J296-d3П!J295</f>
        <v>0</v>
      </c>
      <c r="K296" s="325">
        <f>'d3'!K296-d3П!K295</f>
        <v>0</v>
      </c>
      <c r="L296" s="325">
        <f>'d3'!L296-d3П!L295</f>
        <v>0</v>
      </c>
      <c r="M296" s="325">
        <f>'d3'!M296-d3П!M295</f>
        <v>0</v>
      </c>
      <c r="N296" s="325">
        <f>'d3'!N296-d3П!N295</f>
        <v>0</v>
      </c>
      <c r="O296" s="325">
        <f>'d3'!O296-d3П!O295</f>
        <v>0</v>
      </c>
      <c r="P296" s="325">
        <f>'d3'!P296-d3П!P295</f>
        <v>0</v>
      </c>
      <c r="Q296" s="20"/>
      <c r="R296" s="50"/>
    </row>
    <row r="297" spans="1:18" ht="47.25" thickTop="1" thickBot="1" x14ac:dyDescent="0.25">
      <c r="A297" s="101" t="s">
        <v>547</v>
      </c>
      <c r="B297" s="101" t="s">
        <v>289</v>
      </c>
      <c r="C297" s="101" t="s">
        <v>283</v>
      </c>
      <c r="D297" s="101" t="s">
        <v>290</v>
      </c>
      <c r="E297" s="325">
        <f>'d3'!E297-d3П!E296</f>
        <v>2050000</v>
      </c>
      <c r="F297" s="325">
        <f>'d3'!F297-d3П!F296</f>
        <v>2050000</v>
      </c>
      <c r="G297" s="325">
        <f>'d3'!G297-d3П!G296</f>
        <v>0</v>
      </c>
      <c r="H297" s="325">
        <f>'d3'!H297-d3П!H296</f>
        <v>0</v>
      </c>
      <c r="I297" s="325">
        <f>'d3'!I297-d3П!I296</f>
        <v>0</v>
      </c>
      <c r="J297" s="325">
        <f>'d3'!J297-d3П!J296</f>
        <v>0</v>
      </c>
      <c r="K297" s="325">
        <f>'d3'!K297-d3П!K296</f>
        <v>0</v>
      </c>
      <c r="L297" s="325">
        <f>'d3'!L297-d3П!L296</f>
        <v>0</v>
      </c>
      <c r="M297" s="325">
        <f>'d3'!M297-d3П!M296</f>
        <v>0</v>
      </c>
      <c r="N297" s="325">
        <f>'d3'!N297-d3П!N296</f>
        <v>0</v>
      </c>
      <c r="O297" s="325">
        <f>'d3'!O297-d3П!O296</f>
        <v>0</v>
      </c>
      <c r="P297" s="325">
        <f>'d3'!P297-d3П!P296</f>
        <v>2050000</v>
      </c>
      <c r="Q297" s="20"/>
      <c r="R297" s="45"/>
    </row>
    <row r="298" spans="1:18" ht="47.25" thickTop="1" thickBot="1" x14ac:dyDescent="0.25">
      <c r="A298" s="101" t="s">
        <v>1148</v>
      </c>
      <c r="B298" s="101" t="s">
        <v>1149</v>
      </c>
      <c r="C298" s="101" t="s">
        <v>1150</v>
      </c>
      <c r="D298" s="101" t="s">
        <v>1147</v>
      </c>
      <c r="E298" s="325">
        <f>'d3'!E298-d3П!E297</f>
        <v>0</v>
      </c>
      <c r="F298" s="325">
        <f>'d3'!F298-d3П!F297</f>
        <v>0</v>
      </c>
      <c r="G298" s="325">
        <f>'d3'!G298-d3П!G297</f>
        <v>0</v>
      </c>
      <c r="H298" s="325">
        <f>'d3'!H298-d3П!H297</f>
        <v>0</v>
      </c>
      <c r="I298" s="325">
        <f>'d3'!I298-d3П!I297</f>
        <v>0</v>
      </c>
      <c r="J298" s="325">
        <f>'d3'!J298-d3П!J297</f>
        <v>0</v>
      </c>
      <c r="K298" s="325">
        <f>'d3'!K298-d3П!K297</f>
        <v>0</v>
      </c>
      <c r="L298" s="325">
        <f>'d3'!L298-d3П!L297</f>
        <v>0</v>
      </c>
      <c r="M298" s="325">
        <f>'d3'!M298-d3П!M297</f>
        <v>0</v>
      </c>
      <c r="N298" s="325">
        <f>'d3'!N298-d3П!N297</f>
        <v>0</v>
      </c>
      <c r="O298" s="325">
        <f>'d3'!O298-d3П!O297</f>
        <v>0</v>
      </c>
      <c r="P298" s="325">
        <f>'d3'!P298-d3П!P297</f>
        <v>0</v>
      </c>
      <c r="Q298" s="20"/>
      <c r="R298" s="45"/>
    </row>
    <row r="299" spans="1:18" ht="47.25" thickTop="1" thickBot="1" x14ac:dyDescent="0.25">
      <c r="A299" s="308" t="s">
        <v>801</v>
      </c>
      <c r="B299" s="308" t="s">
        <v>748</v>
      </c>
      <c r="C299" s="308"/>
      <c r="D299" s="308" t="s">
        <v>749</v>
      </c>
      <c r="E299" s="325">
        <f>'d3'!E299-d3П!E298</f>
        <v>0</v>
      </c>
      <c r="F299" s="325">
        <f>'d3'!F299-d3П!F298</f>
        <v>0</v>
      </c>
      <c r="G299" s="325">
        <f>'d3'!G299-d3П!G298</f>
        <v>0</v>
      </c>
      <c r="H299" s="325">
        <f>'d3'!H299-d3П!H298</f>
        <v>0</v>
      </c>
      <c r="I299" s="325">
        <f>'d3'!I299-d3П!I298</f>
        <v>0</v>
      </c>
      <c r="J299" s="325">
        <f>'d3'!J299-d3П!J298</f>
        <v>10544886.990000002</v>
      </c>
      <c r="K299" s="325">
        <f>'d3'!K299-d3П!K298</f>
        <v>10544886.990000002</v>
      </c>
      <c r="L299" s="325">
        <f>'d3'!L299-d3П!L298</f>
        <v>0</v>
      </c>
      <c r="M299" s="325">
        <f>'d3'!M299-d3П!M298</f>
        <v>0</v>
      </c>
      <c r="N299" s="325">
        <f>'d3'!N299-d3П!N298</f>
        <v>0</v>
      </c>
      <c r="O299" s="325">
        <f>'d3'!O299-d3П!O298</f>
        <v>10544886.990000002</v>
      </c>
      <c r="P299" s="325">
        <f>'d3'!P299-d3П!P298</f>
        <v>10544886.990000002</v>
      </c>
      <c r="Q299" s="20"/>
      <c r="R299" s="50"/>
    </row>
    <row r="300" spans="1:18" ht="47.25" thickTop="1" thickBot="1" x14ac:dyDescent="0.25">
      <c r="A300" s="310" t="s">
        <v>802</v>
      </c>
      <c r="B300" s="310" t="s">
        <v>803</v>
      </c>
      <c r="C300" s="310"/>
      <c r="D300" s="310" t="s">
        <v>804</v>
      </c>
      <c r="E300" s="325">
        <f>'d3'!E300-d3П!E299</f>
        <v>0</v>
      </c>
      <c r="F300" s="325">
        <f>'d3'!F300-d3П!F299</f>
        <v>0</v>
      </c>
      <c r="G300" s="325">
        <f>'d3'!G300-d3П!G299</f>
        <v>0</v>
      </c>
      <c r="H300" s="325">
        <f>'d3'!H300-d3П!H299</f>
        <v>0</v>
      </c>
      <c r="I300" s="325">
        <f>'d3'!I300-d3П!I299</f>
        <v>0</v>
      </c>
      <c r="J300" s="325">
        <f>'d3'!J300-d3П!J299</f>
        <v>0</v>
      </c>
      <c r="K300" s="325">
        <f>'d3'!K300-d3П!K299</f>
        <v>0</v>
      </c>
      <c r="L300" s="325">
        <f>'d3'!L300-d3П!L299</f>
        <v>0</v>
      </c>
      <c r="M300" s="325">
        <f>'d3'!M300-d3П!M299</f>
        <v>0</v>
      </c>
      <c r="N300" s="325">
        <f>'d3'!N300-d3П!N299</f>
        <v>0</v>
      </c>
      <c r="O300" s="325">
        <f>'d3'!O300-d3П!O299</f>
        <v>0</v>
      </c>
      <c r="P300" s="325">
        <f>'d3'!P300-d3П!P299</f>
        <v>0</v>
      </c>
      <c r="Q300" s="20"/>
      <c r="R300" s="50"/>
    </row>
    <row r="301" spans="1:18" ht="54" thickTop="1" thickBot="1" x14ac:dyDescent="0.25">
      <c r="A301" s="101" t="s">
        <v>548</v>
      </c>
      <c r="B301" s="101" t="s">
        <v>305</v>
      </c>
      <c r="C301" s="101" t="s">
        <v>304</v>
      </c>
      <c r="D301" s="101" t="s">
        <v>1497</v>
      </c>
      <c r="E301" s="325">
        <f>'d3'!E301-d3П!E300</f>
        <v>0</v>
      </c>
      <c r="F301" s="325">
        <f>'d3'!F301-d3П!F300</f>
        <v>0</v>
      </c>
      <c r="G301" s="325">
        <f>'d3'!G301-d3П!G300</f>
        <v>0</v>
      </c>
      <c r="H301" s="325">
        <f>'d3'!H301-d3П!H300</f>
        <v>0</v>
      </c>
      <c r="I301" s="325">
        <f>'d3'!I301-d3П!I300</f>
        <v>0</v>
      </c>
      <c r="J301" s="325">
        <f>'d3'!J301-d3П!J300</f>
        <v>0</v>
      </c>
      <c r="K301" s="325">
        <f>'d3'!K301-d3П!K300</f>
        <v>0</v>
      </c>
      <c r="L301" s="325">
        <f>'d3'!L301-d3П!L300</f>
        <v>0</v>
      </c>
      <c r="M301" s="325">
        <f>'d3'!M301-d3П!M300</f>
        <v>0</v>
      </c>
      <c r="N301" s="325">
        <f>'d3'!N301-d3П!N300</f>
        <v>0</v>
      </c>
      <c r="O301" s="325">
        <f>'d3'!O301-d3П!O300</f>
        <v>0</v>
      </c>
      <c r="P301" s="325">
        <f>'d3'!P301-d3П!P300</f>
        <v>0</v>
      </c>
      <c r="Q301" s="20"/>
      <c r="R301" s="45"/>
    </row>
    <row r="302" spans="1:18" ht="47.25" thickTop="1" thickBot="1" x14ac:dyDescent="0.25">
      <c r="A302" s="310" t="s">
        <v>805</v>
      </c>
      <c r="B302" s="310" t="s">
        <v>806</v>
      </c>
      <c r="C302" s="310"/>
      <c r="D302" s="310" t="s">
        <v>807</v>
      </c>
      <c r="E302" s="325">
        <f>'d3'!E302-d3П!E301</f>
        <v>0</v>
      </c>
      <c r="F302" s="325">
        <f>'d3'!F302-d3П!F301</f>
        <v>0</v>
      </c>
      <c r="G302" s="325">
        <f>'d3'!G302-d3П!G301</f>
        <v>0</v>
      </c>
      <c r="H302" s="325">
        <f>'d3'!H302-d3П!H301</f>
        <v>0</v>
      </c>
      <c r="I302" s="325">
        <f>'d3'!I302-d3П!I301</f>
        <v>0</v>
      </c>
      <c r="J302" s="325">
        <f>'d3'!J302-d3П!J301</f>
        <v>10000000</v>
      </c>
      <c r="K302" s="325">
        <f>'d3'!K302-d3П!K301</f>
        <v>10000000</v>
      </c>
      <c r="L302" s="325">
        <f>'d3'!L302-d3П!L301</f>
        <v>0</v>
      </c>
      <c r="M302" s="325">
        <f>'d3'!M302-d3П!M301</f>
        <v>0</v>
      </c>
      <c r="N302" s="325">
        <f>'d3'!N302-d3П!N301</f>
        <v>0</v>
      </c>
      <c r="O302" s="325">
        <f>'d3'!O302-d3П!O301</f>
        <v>10000000</v>
      </c>
      <c r="P302" s="325">
        <f>'d3'!P302-d3П!P301</f>
        <v>10000000</v>
      </c>
      <c r="Q302" s="20"/>
      <c r="R302" s="50"/>
    </row>
    <row r="303" spans="1:18" ht="93" thickTop="1" thickBot="1" x14ac:dyDescent="0.25">
      <c r="A303" s="101" t="s">
        <v>957</v>
      </c>
      <c r="B303" s="326" t="s">
        <v>958</v>
      </c>
      <c r="C303" s="310"/>
      <c r="D303" s="326" t="s">
        <v>959</v>
      </c>
      <c r="E303" s="325">
        <f>'d3'!E303-d3П!E302</f>
        <v>0</v>
      </c>
      <c r="F303" s="325">
        <f>'d3'!F303-d3П!F302</f>
        <v>0</v>
      </c>
      <c r="G303" s="325">
        <f>'d3'!G303-d3П!G302</f>
        <v>0</v>
      </c>
      <c r="H303" s="325">
        <f>'d3'!H303-d3П!H302</f>
        <v>0</v>
      </c>
      <c r="I303" s="325">
        <f>'d3'!I303-d3П!I302</f>
        <v>0</v>
      </c>
      <c r="J303" s="325">
        <f>'d3'!J303-d3П!J302</f>
        <v>10000000</v>
      </c>
      <c r="K303" s="325">
        <f>'d3'!K303-d3П!K302</f>
        <v>10000000</v>
      </c>
      <c r="L303" s="325">
        <f>'d3'!L303-d3П!L302</f>
        <v>0</v>
      </c>
      <c r="M303" s="325">
        <f>'d3'!M303-d3П!M302</f>
        <v>0</v>
      </c>
      <c r="N303" s="325">
        <f>'d3'!N303-d3П!N302</f>
        <v>0</v>
      </c>
      <c r="O303" s="325">
        <f>'d3'!O303-d3П!O302</f>
        <v>10000000</v>
      </c>
      <c r="P303" s="325">
        <f>'d3'!P303-d3П!P302</f>
        <v>10000000</v>
      </c>
      <c r="Q303" s="20"/>
      <c r="R303" s="50"/>
    </row>
    <row r="304" spans="1:18" ht="93" thickTop="1" thickBot="1" x14ac:dyDescent="0.25">
      <c r="A304" s="101" t="s">
        <v>549</v>
      </c>
      <c r="B304" s="101" t="s">
        <v>293</v>
      </c>
      <c r="C304" s="101" t="s">
        <v>295</v>
      </c>
      <c r="D304" s="101" t="s">
        <v>294</v>
      </c>
      <c r="E304" s="325">
        <f>'d3'!E304-d3П!E303</f>
        <v>0</v>
      </c>
      <c r="F304" s="325">
        <f>'d3'!F304-d3П!F303</f>
        <v>0</v>
      </c>
      <c r="G304" s="325">
        <f>'d3'!G304-d3П!G303</f>
        <v>0</v>
      </c>
      <c r="H304" s="325">
        <f>'d3'!H304-d3П!H303</f>
        <v>0</v>
      </c>
      <c r="I304" s="325">
        <f>'d3'!I304-d3П!I303</f>
        <v>0</v>
      </c>
      <c r="J304" s="325">
        <f>'d3'!J304-d3П!J303</f>
        <v>10000000</v>
      </c>
      <c r="K304" s="325">
        <f>'d3'!K304-d3П!K303</f>
        <v>10000000</v>
      </c>
      <c r="L304" s="325">
        <f>'d3'!L304-d3П!L303</f>
        <v>0</v>
      </c>
      <c r="M304" s="325">
        <f>'d3'!M304-d3П!M303</f>
        <v>0</v>
      </c>
      <c r="N304" s="325">
        <f>'d3'!N304-d3П!N303</f>
        <v>0</v>
      </c>
      <c r="O304" s="325">
        <f>'d3'!O304-d3П!O303</f>
        <v>10000000</v>
      </c>
      <c r="P304" s="325">
        <f>'d3'!P304-d3П!P303</f>
        <v>10000000</v>
      </c>
      <c r="Q304" s="20"/>
      <c r="R304" s="45"/>
    </row>
    <row r="305" spans="1:18" ht="47.25" thickTop="1" thickBot="1" x14ac:dyDescent="0.25">
      <c r="A305" s="310" t="s">
        <v>808</v>
      </c>
      <c r="B305" s="310" t="s">
        <v>691</v>
      </c>
      <c r="C305" s="310"/>
      <c r="D305" s="310" t="s">
        <v>689</v>
      </c>
      <c r="E305" s="325">
        <f>'d3'!E305-d3П!E304</f>
        <v>0</v>
      </c>
      <c r="F305" s="325">
        <f>'d3'!F305-d3П!F304</f>
        <v>0</v>
      </c>
      <c r="G305" s="325">
        <f>'d3'!G305-d3П!G304</f>
        <v>0</v>
      </c>
      <c r="H305" s="325">
        <f>'d3'!H305-d3П!H304</f>
        <v>0</v>
      </c>
      <c r="I305" s="325">
        <f>'d3'!I305-d3П!I304</f>
        <v>0</v>
      </c>
      <c r="J305" s="325">
        <f>'d3'!J305-d3П!J304</f>
        <v>544886.99000000209</v>
      </c>
      <c r="K305" s="325">
        <f>'d3'!K305-d3П!K304</f>
        <v>544886.99000000209</v>
      </c>
      <c r="L305" s="325">
        <f>'d3'!L305-d3П!L304</f>
        <v>0</v>
      </c>
      <c r="M305" s="325">
        <f>'d3'!M305-d3П!M304</f>
        <v>0</v>
      </c>
      <c r="N305" s="325">
        <f>'d3'!N305-d3П!N304</f>
        <v>0</v>
      </c>
      <c r="O305" s="325">
        <f>'d3'!O305-d3П!O304</f>
        <v>544886.99000000209</v>
      </c>
      <c r="P305" s="325">
        <f>'d3'!P305-d3П!P304</f>
        <v>544886.99000000209</v>
      </c>
      <c r="Q305" s="20"/>
      <c r="R305" s="45"/>
    </row>
    <row r="306" spans="1:18" ht="47.25" thickTop="1" thickBot="1" x14ac:dyDescent="0.25">
      <c r="A306" s="101" t="s">
        <v>550</v>
      </c>
      <c r="B306" s="101" t="s">
        <v>212</v>
      </c>
      <c r="C306" s="101" t="s">
        <v>213</v>
      </c>
      <c r="D306" s="101" t="s">
        <v>41</v>
      </c>
      <c r="E306" s="325">
        <f>'d3'!E306-d3П!E305</f>
        <v>0</v>
      </c>
      <c r="F306" s="325">
        <f>'d3'!F306-d3П!F305</f>
        <v>0</v>
      </c>
      <c r="G306" s="325">
        <f>'d3'!G306-d3П!G305</f>
        <v>0</v>
      </c>
      <c r="H306" s="325">
        <f>'d3'!H306-d3П!H305</f>
        <v>0</v>
      </c>
      <c r="I306" s="325">
        <f>'d3'!I306-d3П!I305</f>
        <v>0</v>
      </c>
      <c r="J306" s="325">
        <f>'d3'!J306-d3П!J305</f>
        <v>344886.99000000022</v>
      </c>
      <c r="K306" s="325">
        <f>'d3'!K306-d3П!K305</f>
        <v>344886.99000000022</v>
      </c>
      <c r="L306" s="325">
        <f>'d3'!L306-d3П!L305</f>
        <v>0</v>
      </c>
      <c r="M306" s="325">
        <f>'d3'!M306-d3П!M305</f>
        <v>0</v>
      </c>
      <c r="N306" s="325">
        <f>'d3'!N306-d3П!N305</f>
        <v>0</v>
      </c>
      <c r="O306" s="325">
        <f>'d3'!O306-d3П!O305</f>
        <v>344886.99000000022</v>
      </c>
      <c r="P306" s="325">
        <f>'d3'!P306-d3П!P305</f>
        <v>344886.99000000022</v>
      </c>
      <c r="Q306" s="20"/>
      <c r="R306" s="45"/>
    </row>
    <row r="307" spans="1:18" ht="47.25" thickTop="1" thickBot="1" x14ac:dyDescent="0.25">
      <c r="A307" s="101" t="s">
        <v>551</v>
      </c>
      <c r="B307" s="101" t="s">
        <v>197</v>
      </c>
      <c r="C307" s="101" t="s">
        <v>170</v>
      </c>
      <c r="D307" s="101" t="s">
        <v>34</v>
      </c>
      <c r="E307" s="325">
        <f>'d3'!E307-d3П!E306</f>
        <v>0</v>
      </c>
      <c r="F307" s="325">
        <f>'d3'!F307-d3П!F306</f>
        <v>0</v>
      </c>
      <c r="G307" s="325">
        <f>'d3'!G307-d3П!G306</f>
        <v>0</v>
      </c>
      <c r="H307" s="325">
        <f>'d3'!H307-d3П!H306</f>
        <v>0</v>
      </c>
      <c r="I307" s="325">
        <f>'d3'!I307-d3П!I306</f>
        <v>0</v>
      </c>
      <c r="J307" s="325">
        <f>'d3'!J307-d3П!J306</f>
        <v>200000</v>
      </c>
      <c r="K307" s="325">
        <f>'d3'!K307-d3П!K306</f>
        <v>200000</v>
      </c>
      <c r="L307" s="325">
        <f>'d3'!L307-d3П!L306</f>
        <v>0</v>
      </c>
      <c r="M307" s="325">
        <f>'d3'!M307-d3П!M306</f>
        <v>0</v>
      </c>
      <c r="N307" s="325">
        <f>'d3'!N307-d3П!N306</f>
        <v>0</v>
      </c>
      <c r="O307" s="325">
        <f>'d3'!O307-d3П!O306</f>
        <v>200000</v>
      </c>
      <c r="P307" s="325">
        <f>'d3'!P307-d3П!P306</f>
        <v>200000</v>
      </c>
      <c r="Q307" s="20"/>
      <c r="R307" s="45"/>
    </row>
    <row r="308" spans="1:18" ht="48" hidden="1" customHeight="1" thickTop="1" thickBot="1" x14ac:dyDescent="0.25">
      <c r="A308" s="326" t="s">
        <v>809</v>
      </c>
      <c r="B308" s="326" t="s">
        <v>694</v>
      </c>
      <c r="C308" s="138"/>
      <c r="D308" s="138" t="s">
        <v>797</v>
      </c>
      <c r="E308" s="325">
        <f>'d3'!E308-d3П!E307</f>
        <v>0</v>
      </c>
      <c r="F308" s="325">
        <f>'d3'!F308-d3П!F307</f>
        <v>0</v>
      </c>
      <c r="G308" s="325">
        <f>'d3'!G308-d3П!G307</f>
        <v>0</v>
      </c>
      <c r="H308" s="325">
        <f>'d3'!H308-d3П!H307</f>
        <v>0</v>
      </c>
      <c r="I308" s="325">
        <f>'d3'!I308-d3П!I307</f>
        <v>0</v>
      </c>
      <c r="J308" s="325">
        <f>'d3'!J308-d3П!J307</f>
        <v>0</v>
      </c>
      <c r="K308" s="325">
        <f>'d3'!K308-d3П!K307</f>
        <v>0</v>
      </c>
      <c r="L308" s="325">
        <f>'d3'!L308-d3П!L307</f>
        <v>0</v>
      </c>
      <c r="M308" s="325">
        <f>'d3'!M308-d3П!M307</f>
        <v>0</v>
      </c>
      <c r="N308" s="325">
        <f>'d3'!N308-d3П!N307</f>
        <v>0</v>
      </c>
      <c r="O308" s="325">
        <f>'d3'!O308-d3П!O307</f>
        <v>0</v>
      </c>
      <c r="P308" s="325">
        <f>'d3'!P308-d3П!P307</f>
        <v>0</v>
      </c>
      <c r="Q308" s="20"/>
      <c r="R308" s="50"/>
    </row>
    <row r="309" spans="1:18" ht="211.5" hidden="1" customHeight="1" thickTop="1" thickBot="1" x14ac:dyDescent="0.7">
      <c r="A309" s="748" t="s">
        <v>552</v>
      </c>
      <c r="B309" s="748" t="s">
        <v>338</v>
      </c>
      <c r="C309" s="768" t="s">
        <v>170</v>
      </c>
      <c r="D309" s="153" t="s">
        <v>440</v>
      </c>
      <c r="E309" s="325">
        <f>'d3'!E309-d3П!E308</f>
        <v>0</v>
      </c>
      <c r="F309" s="325">
        <f>'d3'!F309-d3П!F308</f>
        <v>0</v>
      </c>
      <c r="G309" s="325">
        <f>'d3'!G309-d3П!G308</f>
        <v>0</v>
      </c>
      <c r="H309" s="325">
        <f>'d3'!H309-d3П!H308</f>
        <v>0</v>
      </c>
      <c r="I309" s="325">
        <f>'d3'!I309-d3П!I308</f>
        <v>0</v>
      </c>
      <c r="J309" s="325">
        <f>'d3'!J309-d3П!J308</f>
        <v>0</v>
      </c>
      <c r="K309" s="325">
        <f>'d3'!K309-d3П!K308</f>
        <v>0</v>
      </c>
      <c r="L309" s="325">
        <f>'d3'!L309-d3П!L308</f>
        <v>0</v>
      </c>
      <c r="M309" s="325">
        <f>'d3'!M309-d3П!M308</f>
        <v>0</v>
      </c>
      <c r="N309" s="325">
        <f>'d3'!N309-d3П!N308</f>
        <v>0</v>
      </c>
      <c r="O309" s="325">
        <f>'d3'!O309-d3П!O308</f>
        <v>0</v>
      </c>
      <c r="P309" s="325">
        <f>'d3'!P309-d3П!P308</f>
        <v>0</v>
      </c>
      <c r="Q309" s="20"/>
      <c r="R309" s="50"/>
    </row>
    <row r="310" spans="1:18" ht="130.5" hidden="1" customHeight="1" thickTop="1" thickBot="1" x14ac:dyDescent="0.25">
      <c r="A310" s="748"/>
      <c r="B310" s="748"/>
      <c r="C310" s="768"/>
      <c r="D310" s="154" t="s">
        <v>441</v>
      </c>
      <c r="E310" s="325">
        <f>'d3'!E310-d3П!E309</f>
        <v>0</v>
      </c>
      <c r="F310" s="325">
        <f>'d3'!F310-d3П!F309</f>
        <v>0</v>
      </c>
      <c r="G310" s="325">
        <f>'d3'!G310-d3П!G309</f>
        <v>0</v>
      </c>
      <c r="H310" s="325">
        <f>'d3'!H310-d3П!H309</f>
        <v>0</v>
      </c>
      <c r="I310" s="325">
        <f>'d3'!I310-d3П!I309</f>
        <v>0</v>
      </c>
      <c r="J310" s="325">
        <f>'d3'!J310-d3П!J309</f>
        <v>0</v>
      </c>
      <c r="K310" s="325">
        <f>'d3'!K310-d3П!K309</f>
        <v>0</v>
      </c>
      <c r="L310" s="325">
        <f>'d3'!L310-d3П!L309</f>
        <v>0</v>
      </c>
      <c r="M310" s="325">
        <f>'d3'!M310-d3П!M309</f>
        <v>0</v>
      </c>
      <c r="N310" s="325">
        <f>'d3'!N310-d3П!N309</f>
        <v>0</v>
      </c>
      <c r="O310" s="325">
        <f>'d3'!O310-d3П!O309</f>
        <v>0</v>
      </c>
      <c r="P310" s="325">
        <f>'d3'!P310-d3П!P309</f>
        <v>0</v>
      </c>
      <c r="Q310" s="20"/>
      <c r="R310" s="50"/>
    </row>
    <row r="311" spans="1:18" ht="39" hidden="1" customHeight="1" thickTop="1" thickBot="1" x14ac:dyDescent="0.25">
      <c r="A311" s="101" t="s">
        <v>1183</v>
      </c>
      <c r="B311" s="101" t="s">
        <v>257</v>
      </c>
      <c r="C311" s="126" t="s">
        <v>170</v>
      </c>
      <c r="D311" s="154" t="s">
        <v>255</v>
      </c>
      <c r="E311" s="325">
        <f>'d3'!E311-d3П!E310</f>
        <v>0</v>
      </c>
      <c r="F311" s="325">
        <f>'d3'!F311-d3П!F310</f>
        <v>0</v>
      </c>
      <c r="G311" s="325">
        <f>'d3'!G311-d3П!G310</f>
        <v>0</v>
      </c>
      <c r="H311" s="325">
        <f>'d3'!H311-d3П!H310</f>
        <v>0</v>
      </c>
      <c r="I311" s="325">
        <f>'d3'!I311-d3П!I310</f>
        <v>0</v>
      </c>
      <c r="J311" s="325">
        <f>'d3'!J311-d3П!J310</f>
        <v>0</v>
      </c>
      <c r="K311" s="325">
        <f>'d3'!K311-d3П!K310</f>
        <v>0</v>
      </c>
      <c r="L311" s="325">
        <f>'d3'!L311-d3П!L310</f>
        <v>0</v>
      </c>
      <c r="M311" s="325">
        <f>'d3'!M311-d3П!M310</f>
        <v>0</v>
      </c>
      <c r="N311" s="325">
        <f>'d3'!N311-d3П!N310</f>
        <v>0</v>
      </c>
      <c r="O311" s="325">
        <f>'d3'!O311-d3П!O310</f>
        <v>0</v>
      </c>
      <c r="P311" s="325">
        <f>'d3'!P311-d3П!P310</f>
        <v>0</v>
      </c>
      <c r="Q311" s="20"/>
      <c r="R311" s="50"/>
    </row>
    <row r="312" spans="1:18" ht="47.25" thickTop="1" thickBot="1" x14ac:dyDescent="0.25">
      <c r="A312" s="308" t="s">
        <v>810</v>
      </c>
      <c r="B312" s="308" t="s">
        <v>696</v>
      </c>
      <c r="C312" s="308"/>
      <c r="D312" s="467" t="s">
        <v>697</v>
      </c>
      <c r="E312" s="325">
        <f>'d3'!E312-d3П!E311</f>
        <v>14245</v>
      </c>
      <c r="F312" s="325">
        <f>'d3'!F312-d3П!F311</f>
        <v>14245</v>
      </c>
      <c r="G312" s="325">
        <f>'d3'!G312-d3П!G311</f>
        <v>0</v>
      </c>
      <c r="H312" s="325">
        <f>'d3'!H312-d3П!H311</f>
        <v>0</v>
      </c>
      <c r="I312" s="325">
        <f>'d3'!I312-d3П!I311</f>
        <v>0</v>
      </c>
      <c r="J312" s="325">
        <f>'d3'!J312-d3П!J311</f>
        <v>0</v>
      </c>
      <c r="K312" s="325">
        <f>'d3'!K312-d3П!K311</f>
        <v>0</v>
      </c>
      <c r="L312" s="325">
        <f>'d3'!L312-d3П!L311</f>
        <v>0</v>
      </c>
      <c r="M312" s="325">
        <f>'d3'!M312-d3П!M311</f>
        <v>0</v>
      </c>
      <c r="N312" s="325">
        <f>'d3'!N312-d3П!N311</f>
        <v>0</v>
      </c>
      <c r="O312" s="325">
        <f>'d3'!O312-d3П!O311</f>
        <v>0</v>
      </c>
      <c r="P312" s="325">
        <f>'d3'!P312-d3П!P311</f>
        <v>14245</v>
      </c>
      <c r="Q312" s="20"/>
      <c r="R312" s="50"/>
    </row>
    <row r="313" spans="1:18" ht="47.25" thickTop="1" thickBot="1" x14ac:dyDescent="0.25">
      <c r="A313" s="310" t="s">
        <v>811</v>
      </c>
      <c r="B313" s="310" t="s">
        <v>812</v>
      </c>
      <c r="C313" s="310"/>
      <c r="D313" s="353" t="s">
        <v>1280</v>
      </c>
      <c r="E313" s="325">
        <f>'d3'!E313-d3П!E312</f>
        <v>14245</v>
      </c>
      <c r="F313" s="325">
        <f>'d3'!F313-d3П!F312</f>
        <v>14245</v>
      </c>
      <c r="G313" s="325">
        <f>'d3'!G313-d3П!G312</f>
        <v>0</v>
      </c>
      <c r="H313" s="325">
        <f>'d3'!H313-d3П!H312</f>
        <v>0</v>
      </c>
      <c r="I313" s="325">
        <f>'d3'!I313-d3П!I312</f>
        <v>0</v>
      </c>
      <c r="J313" s="325">
        <f>'d3'!J313-d3П!J312</f>
        <v>0</v>
      </c>
      <c r="K313" s="325">
        <f>'d3'!K313-d3П!K312</f>
        <v>0</v>
      </c>
      <c r="L313" s="325">
        <f>'d3'!L313-d3П!L312</f>
        <v>0</v>
      </c>
      <c r="M313" s="325">
        <f>'d3'!M313-d3П!M312</f>
        <v>0</v>
      </c>
      <c r="N313" s="325">
        <f>'d3'!N313-d3П!N312</f>
        <v>0</v>
      </c>
      <c r="O313" s="325">
        <f>'d3'!O313-d3П!O312</f>
        <v>0</v>
      </c>
      <c r="P313" s="325">
        <f>'d3'!P313-d3П!P312</f>
        <v>14245</v>
      </c>
      <c r="Q313" s="20"/>
      <c r="R313" s="50"/>
    </row>
    <row r="314" spans="1:18" ht="93" thickTop="1" thickBot="1" x14ac:dyDescent="0.25">
      <c r="A314" s="101" t="s">
        <v>553</v>
      </c>
      <c r="B314" s="101" t="s">
        <v>518</v>
      </c>
      <c r="C314" s="101" t="s">
        <v>251</v>
      </c>
      <c r="D314" s="101" t="s">
        <v>519</v>
      </c>
      <c r="E314" s="325">
        <f>'d3'!E314-d3П!E313</f>
        <v>0</v>
      </c>
      <c r="F314" s="325">
        <f>'d3'!F314-d3П!F313</f>
        <v>0</v>
      </c>
      <c r="G314" s="325">
        <f>'d3'!G314-d3П!G313</f>
        <v>0</v>
      </c>
      <c r="H314" s="325">
        <f>'d3'!H314-d3П!H313</f>
        <v>0</v>
      </c>
      <c r="I314" s="325">
        <f>'d3'!I314-d3П!I313</f>
        <v>0</v>
      </c>
      <c r="J314" s="325">
        <f>'d3'!J314-d3П!J313</f>
        <v>0</v>
      </c>
      <c r="K314" s="325">
        <f>'d3'!K314-d3П!K313</f>
        <v>0</v>
      </c>
      <c r="L314" s="325">
        <f>'d3'!L314-d3П!L313</f>
        <v>0</v>
      </c>
      <c r="M314" s="325">
        <f>'d3'!M314-d3П!M313</f>
        <v>0</v>
      </c>
      <c r="N314" s="325">
        <f>'d3'!N314-d3П!N313</f>
        <v>0</v>
      </c>
      <c r="O314" s="325">
        <f>'d3'!O314-d3П!O313</f>
        <v>0</v>
      </c>
      <c r="P314" s="325">
        <f>'d3'!P314-d3П!P313</f>
        <v>0</v>
      </c>
      <c r="Q314" s="20"/>
      <c r="R314" s="50"/>
    </row>
    <row r="315" spans="1:18" ht="47.25" thickTop="1" thickBot="1" x14ac:dyDescent="0.25">
      <c r="A315" s="101" t="s">
        <v>554</v>
      </c>
      <c r="B315" s="101" t="s">
        <v>250</v>
      </c>
      <c r="C315" s="101" t="s">
        <v>251</v>
      </c>
      <c r="D315" s="101" t="s">
        <v>249</v>
      </c>
      <c r="E315" s="325">
        <f>'d3'!E315-d3П!E314</f>
        <v>14245</v>
      </c>
      <c r="F315" s="325">
        <f>'d3'!F315-d3П!F314</f>
        <v>14245</v>
      </c>
      <c r="G315" s="325">
        <f>'d3'!G315-d3П!G314</f>
        <v>0</v>
      </c>
      <c r="H315" s="325">
        <f>'d3'!H315-d3П!H314</f>
        <v>0</v>
      </c>
      <c r="I315" s="325">
        <f>'d3'!I315-d3П!I314</f>
        <v>0</v>
      </c>
      <c r="J315" s="325">
        <f>'d3'!J315-d3П!J314</f>
        <v>0</v>
      </c>
      <c r="K315" s="325">
        <f>'d3'!K315-d3П!K314</f>
        <v>0</v>
      </c>
      <c r="L315" s="325">
        <f>'d3'!L315-d3П!L314</f>
        <v>0</v>
      </c>
      <c r="M315" s="325">
        <f>'d3'!M315-d3П!M314</f>
        <v>0</v>
      </c>
      <c r="N315" s="325">
        <f>'d3'!N315-d3П!N314</f>
        <v>0</v>
      </c>
      <c r="O315" s="325">
        <f>'d3'!O315-d3П!O314</f>
        <v>0</v>
      </c>
      <c r="P315" s="325">
        <f>'d3'!P315-d3П!P314</f>
        <v>14245</v>
      </c>
      <c r="Q315" s="20"/>
      <c r="R315" s="46"/>
    </row>
    <row r="316" spans="1:18" ht="48" hidden="1" thickTop="1" thickBot="1" x14ac:dyDescent="0.25">
      <c r="A316" s="41" t="s">
        <v>555</v>
      </c>
      <c r="B316" s="41" t="s">
        <v>556</v>
      </c>
      <c r="C316" s="41" t="s">
        <v>251</v>
      </c>
      <c r="D316" s="41" t="s">
        <v>557</v>
      </c>
      <c r="E316" s="158">
        <f t="shared" ref="E316" si="69">F316</f>
        <v>0</v>
      </c>
      <c r="F316" s="159">
        <f>(1219000)-1219000</f>
        <v>0</v>
      </c>
      <c r="G316" s="159">
        <f>(354000+540000)-894000</f>
        <v>0</v>
      </c>
      <c r="H316" s="159">
        <f>(6000+3000)-9000</f>
        <v>0</v>
      </c>
      <c r="I316" s="159"/>
      <c r="J316" s="42">
        <f>L316+O316</f>
        <v>0</v>
      </c>
      <c r="K316" s="43"/>
      <c r="L316" s="159"/>
      <c r="M316" s="159"/>
      <c r="N316" s="159"/>
      <c r="O316" s="44">
        <f>K316</f>
        <v>0</v>
      </c>
      <c r="P316" s="42">
        <f>E316+J316</f>
        <v>0</v>
      </c>
      <c r="Q316" s="20"/>
      <c r="R316" s="50"/>
    </row>
    <row r="317" spans="1:18" ht="47.25" thickTop="1" thickBot="1" x14ac:dyDescent="0.25">
      <c r="A317" s="123" t="s">
        <v>1481</v>
      </c>
      <c r="B317" s="308" t="s">
        <v>702</v>
      </c>
      <c r="C317" s="308"/>
      <c r="D317" s="308" t="s">
        <v>703</v>
      </c>
      <c r="E317" s="325">
        <f>'d3'!E317-d3П!E316</f>
        <v>150000</v>
      </c>
      <c r="F317" s="325">
        <f>'d3'!F317-d3П!F316</f>
        <v>150000</v>
      </c>
      <c r="G317" s="325">
        <f>'d3'!G317-d3П!G316</f>
        <v>0</v>
      </c>
      <c r="H317" s="325">
        <f>'d3'!H317-d3П!H316</f>
        <v>0</v>
      </c>
      <c r="I317" s="325">
        <f>'d3'!I317-d3П!I316</f>
        <v>0</v>
      </c>
      <c r="J317" s="325">
        <f>'d3'!J317-d3П!J316</f>
        <v>0</v>
      </c>
      <c r="K317" s="325">
        <f>'d3'!K317-d3П!K316</f>
        <v>0</v>
      </c>
      <c r="L317" s="325">
        <f>'d3'!L317-d3П!L316</f>
        <v>0</v>
      </c>
      <c r="M317" s="325">
        <f>'d3'!M317-d3П!M316</f>
        <v>0</v>
      </c>
      <c r="N317" s="325">
        <f>'d3'!N317-d3П!N316</f>
        <v>0</v>
      </c>
      <c r="O317" s="325">
        <f>'d3'!O317-d3П!O316</f>
        <v>0</v>
      </c>
      <c r="P317" s="325">
        <f>'d3'!P317-d3П!P316</f>
        <v>150000</v>
      </c>
      <c r="Q317" s="20"/>
      <c r="R317" s="50"/>
    </row>
    <row r="318" spans="1:18" ht="91.5" thickTop="1" thickBot="1" x14ac:dyDescent="0.25">
      <c r="A318" s="134" t="s">
        <v>1482</v>
      </c>
      <c r="B318" s="310" t="s">
        <v>705</v>
      </c>
      <c r="C318" s="310"/>
      <c r="D318" s="310" t="s">
        <v>706</v>
      </c>
      <c r="E318" s="325">
        <f>'d3'!E318-d3П!E317</f>
        <v>150000</v>
      </c>
      <c r="F318" s="325">
        <f>'d3'!F318-d3П!F317</f>
        <v>150000</v>
      </c>
      <c r="G318" s="325">
        <f>'d3'!G318-d3П!G317</f>
        <v>0</v>
      </c>
      <c r="H318" s="325">
        <f>'d3'!H318-d3П!H317</f>
        <v>0</v>
      </c>
      <c r="I318" s="325">
        <f>'d3'!I318-d3П!I317</f>
        <v>0</v>
      </c>
      <c r="J318" s="325">
        <f>'d3'!J318-d3П!J317</f>
        <v>0</v>
      </c>
      <c r="K318" s="325">
        <f>'d3'!K318-d3П!K317</f>
        <v>0</v>
      </c>
      <c r="L318" s="325">
        <f>'d3'!L318-d3П!L317</f>
        <v>0</v>
      </c>
      <c r="M318" s="325">
        <f>'d3'!M318-d3П!M317</f>
        <v>0</v>
      </c>
      <c r="N318" s="325">
        <f>'d3'!N318-d3П!N317</f>
        <v>0</v>
      </c>
      <c r="O318" s="325">
        <f>'d3'!O318-d3П!O317</f>
        <v>0</v>
      </c>
      <c r="P318" s="325">
        <f>'d3'!P318-d3П!P317</f>
        <v>150000</v>
      </c>
      <c r="Q318" s="20"/>
      <c r="R318" s="50"/>
    </row>
    <row r="319" spans="1:18" ht="47.25" thickTop="1" thickBot="1" x14ac:dyDescent="0.25">
      <c r="A319" s="126" t="s">
        <v>1483</v>
      </c>
      <c r="B319" s="101" t="s">
        <v>363</v>
      </c>
      <c r="C319" s="101" t="s">
        <v>43</v>
      </c>
      <c r="D319" s="101" t="s">
        <v>364</v>
      </c>
      <c r="E319" s="325">
        <f>'d3'!E319-d3П!E318</f>
        <v>150000</v>
      </c>
      <c r="F319" s="325">
        <f>'d3'!F319-d3П!F318</f>
        <v>150000</v>
      </c>
      <c r="G319" s="325">
        <f>'d3'!G319-d3П!G318</f>
        <v>0</v>
      </c>
      <c r="H319" s="325">
        <f>'d3'!H319-d3П!H318</f>
        <v>0</v>
      </c>
      <c r="I319" s="325">
        <f>'d3'!I319-d3П!I318</f>
        <v>0</v>
      </c>
      <c r="J319" s="325">
        <f>'d3'!J319-d3П!J318</f>
        <v>0</v>
      </c>
      <c r="K319" s="325">
        <f>'d3'!K319-d3П!K318</f>
        <v>0</v>
      </c>
      <c r="L319" s="325">
        <f>'d3'!L319-d3П!L318</f>
        <v>0</v>
      </c>
      <c r="M319" s="325">
        <f>'d3'!M319-d3П!M318</f>
        <v>0</v>
      </c>
      <c r="N319" s="325">
        <f>'d3'!N319-d3П!N318</f>
        <v>0</v>
      </c>
      <c r="O319" s="325">
        <f>'d3'!O319-d3П!O318</f>
        <v>0</v>
      </c>
      <c r="P319" s="325">
        <f>'d3'!P319-d3П!P318</f>
        <v>150000</v>
      </c>
      <c r="Q319" s="20"/>
      <c r="R319" s="50"/>
    </row>
    <row r="320" spans="1:18" ht="120" customHeight="1" thickTop="1" thickBot="1" x14ac:dyDescent="0.25">
      <c r="A320" s="645" t="s">
        <v>25</v>
      </c>
      <c r="B320" s="645"/>
      <c r="C320" s="645"/>
      <c r="D320" s="646" t="s">
        <v>1346</v>
      </c>
      <c r="E320" s="647">
        <f>E321</f>
        <v>0</v>
      </c>
      <c r="F320" s="648">
        <f t="shared" ref="F320:G320" si="70">F321</f>
        <v>0</v>
      </c>
      <c r="G320" s="648">
        <f t="shared" si="70"/>
        <v>0</v>
      </c>
      <c r="H320" s="648">
        <f>H321</f>
        <v>0</v>
      </c>
      <c r="I320" s="648">
        <f t="shared" ref="I320" si="71">I321</f>
        <v>0</v>
      </c>
      <c r="J320" s="647">
        <f>J321</f>
        <v>23699900</v>
      </c>
      <c r="K320" s="648">
        <f>K321</f>
        <v>23699900</v>
      </c>
      <c r="L320" s="648">
        <f>L321</f>
        <v>0</v>
      </c>
      <c r="M320" s="648">
        <f t="shared" ref="M320" si="72">M321</f>
        <v>0</v>
      </c>
      <c r="N320" s="648">
        <f>N321</f>
        <v>0</v>
      </c>
      <c r="O320" s="647">
        <f>O321</f>
        <v>23699900</v>
      </c>
      <c r="P320" s="648">
        <f t="shared" ref="P320" si="73">P321</f>
        <v>23699900</v>
      </c>
      <c r="Q320" s="20"/>
    </row>
    <row r="321" spans="1:18" ht="120" customHeight="1" thickTop="1" thickBot="1" x14ac:dyDescent="0.25">
      <c r="A321" s="642" t="s">
        <v>26</v>
      </c>
      <c r="B321" s="642"/>
      <c r="C321" s="642"/>
      <c r="D321" s="643" t="s">
        <v>892</v>
      </c>
      <c r="E321" s="644">
        <f>E322+E328+E331+E326</f>
        <v>0</v>
      </c>
      <c r="F321" s="644">
        <f>F322+F328+F331+F326</f>
        <v>0</v>
      </c>
      <c r="G321" s="644">
        <f>G322+G328+G331+G326</f>
        <v>0</v>
      </c>
      <c r="H321" s="644">
        <f>H322+H328+H331+H326</f>
        <v>0</v>
      </c>
      <c r="I321" s="644">
        <f>I322+I328+I331+I326</f>
        <v>0</v>
      </c>
      <c r="J321" s="644">
        <f>L321+O321</f>
        <v>23699900</v>
      </c>
      <c r="K321" s="644">
        <f>K322+K328+K331+K326</f>
        <v>23699900</v>
      </c>
      <c r="L321" s="644">
        <f>L322+L328+L331+L326</f>
        <v>0</v>
      </c>
      <c r="M321" s="644">
        <f>M322+M328+M331+M326</f>
        <v>0</v>
      </c>
      <c r="N321" s="644">
        <f>N322+N328+N331+N326</f>
        <v>0</v>
      </c>
      <c r="O321" s="644">
        <f>O322+O328+O331+O326</f>
        <v>23699900</v>
      </c>
      <c r="P321" s="644">
        <f>E321+J321</f>
        <v>23699900</v>
      </c>
      <c r="Q321" s="492" t="b">
        <f>P321=P323+P335+P338+P327</f>
        <v>0</v>
      </c>
      <c r="R321" s="46"/>
    </row>
    <row r="322" spans="1:18" ht="47.25" thickTop="1" thickBot="1" x14ac:dyDescent="0.25">
      <c r="A322" s="308" t="s">
        <v>813</v>
      </c>
      <c r="B322" s="308" t="s">
        <v>684</v>
      </c>
      <c r="C322" s="308"/>
      <c r="D322" s="308" t="s">
        <v>685</v>
      </c>
      <c r="E322" s="325">
        <f>'d3'!E322-d3П!E321</f>
        <v>0</v>
      </c>
      <c r="F322" s="325">
        <f>'d3'!F322-d3П!F321</f>
        <v>0</v>
      </c>
      <c r="G322" s="325">
        <f>'d3'!G322-d3П!G321</f>
        <v>0</v>
      </c>
      <c r="H322" s="325">
        <f>'d3'!H322-d3П!H321</f>
        <v>0</v>
      </c>
      <c r="I322" s="325">
        <f>'d3'!I322-d3П!I321</f>
        <v>0</v>
      </c>
      <c r="J322" s="325">
        <f>'d3'!J322-d3П!J321</f>
        <v>0</v>
      </c>
      <c r="K322" s="325">
        <f>'d3'!K322-d3П!K321</f>
        <v>0</v>
      </c>
      <c r="L322" s="325">
        <f>'d3'!L322-d3П!L321</f>
        <v>0</v>
      </c>
      <c r="M322" s="325">
        <f>'d3'!M322-d3П!M321</f>
        <v>0</v>
      </c>
      <c r="N322" s="325">
        <f>'d3'!N322-d3П!N321</f>
        <v>0</v>
      </c>
      <c r="O322" s="325">
        <f>'d3'!O322-d3П!O321</f>
        <v>0</v>
      </c>
      <c r="P322" s="325">
        <f>'d3'!P322-d3П!P321</f>
        <v>0</v>
      </c>
      <c r="Q322" s="47"/>
      <c r="R322" s="46"/>
    </row>
    <row r="323" spans="1:18" ht="93" thickTop="1" thickBot="1" x14ac:dyDescent="0.25">
      <c r="A323" s="101" t="s">
        <v>417</v>
      </c>
      <c r="B323" s="101" t="s">
        <v>236</v>
      </c>
      <c r="C323" s="101" t="s">
        <v>234</v>
      </c>
      <c r="D323" s="101" t="s">
        <v>235</v>
      </c>
      <c r="E323" s="325">
        <f>'d3'!E323-d3П!E322</f>
        <v>0</v>
      </c>
      <c r="F323" s="325">
        <f>'d3'!F323-d3П!F322</f>
        <v>0</v>
      </c>
      <c r="G323" s="325">
        <f>'d3'!G323-d3П!G322</f>
        <v>0</v>
      </c>
      <c r="H323" s="325">
        <f>'d3'!H323-d3П!H322</f>
        <v>0</v>
      </c>
      <c r="I323" s="325">
        <f>'d3'!I323-d3П!I322</f>
        <v>0</v>
      </c>
      <c r="J323" s="325">
        <f>'d3'!J323-d3П!J322</f>
        <v>0</v>
      </c>
      <c r="K323" s="325">
        <f>'d3'!K323-d3П!K322</f>
        <v>0</v>
      </c>
      <c r="L323" s="325">
        <f>'d3'!L323-d3П!L322</f>
        <v>0</v>
      </c>
      <c r="M323" s="325">
        <f>'d3'!M323-d3П!M322</f>
        <v>0</v>
      </c>
      <c r="N323" s="325">
        <f>'d3'!N323-d3П!N322</f>
        <v>0</v>
      </c>
      <c r="O323" s="325">
        <f>'d3'!O323-d3П!O322</f>
        <v>0</v>
      </c>
      <c r="P323" s="325">
        <f>'d3'!P323-d3П!P322</f>
        <v>0</v>
      </c>
      <c r="Q323" s="47"/>
      <c r="R323" s="50"/>
    </row>
    <row r="324" spans="1:18" ht="93" hidden="1" thickTop="1" thickBot="1" x14ac:dyDescent="0.25">
      <c r="A324" s="126" t="s">
        <v>630</v>
      </c>
      <c r="B324" s="126" t="s">
        <v>362</v>
      </c>
      <c r="C324" s="126" t="s">
        <v>625</v>
      </c>
      <c r="D324" s="126" t="s">
        <v>626</v>
      </c>
      <c r="E324" s="325">
        <f>'d3'!E324-d3П!E323</f>
        <v>0</v>
      </c>
      <c r="F324" s="325">
        <f>'d3'!F324-d3П!F323</f>
        <v>0</v>
      </c>
      <c r="G324" s="325">
        <f>'d3'!G324-d3П!G323</f>
        <v>0</v>
      </c>
      <c r="H324" s="325">
        <f>'d3'!H324-d3П!H323</f>
        <v>0</v>
      </c>
      <c r="I324" s="325">
        <f>'d3'!I324-d3П!I323</f>
        <v>0</v>
      </c>
      <c r="J324" s="325">
        <f>'d3'!J324-d3П!J323</f>
        <v>0</v>
      </c>
      <c r="K324" s="325">
        <f>'d3'!K324-d3П!K323</f>
        <v>0</v>
      </c>
      <c r="L324" s="325">
        <f>'d3'!L324-d3П!L323</f>
        <v>0</v>
      </c>
      <c r="M324" s="325">
        <f>'d3'!M324-d3П!M323</f>
        <v>0</v>
      </c>
      <c r="N324" s="325">
        <f>'d3'!N324-d3П!N323</f>
        <v>0</v>
      </c>
      <c r="O324" s="325">
        <f>'d3'!O324-d3П!O323</f>
        <v>0</v>
      </c>
      <c r="P324" s="325">
        <f>'d3'!P324-d3П!P323</f>
        <v>0</v>
      </c>
      <c r="Q324" s="47"/>
      <c r="R324" s="50"/>
    </row>
    <row r="325" spans="1:18" ht="47.25" hidden="1" thickTop="1" thickBot="1" x14ac:dyDescent="0.25">
      <c r="A325" s="126" t="s">
        <v>928</v>
      </c>
      <c r="B325" s="126" t="s">
        <v>43</v>
      </c>
      <c r="C325" s="126" t="s">
        <v>42</v>
      </c>
      <c r="D325" s="126" t="s">
        <v>248</v>
      </c>
      <c r="E325" s="325">
        <f>'d3'!E325-d3П!E324</f>
        <v>0</v>
      </c>
      <c r="F325" s="325">
        <f>'d3'!F325-d3П!F324</f>
        <v>0</v>
      </c>
      <c r="G325" s="325">
        <f>'d3'!G325-d3П!G324</f>
        <v>0</v>
      </c>
      <c r="H325" s="325">
        <f>'d3'!H325-d3П!H324</f>
        <v>0</v>
      </c>
      <c r="I325" s="325">
        <f>'d3'!I325-d3П!I324</f>
        <v>0</v>
      </c>
      <c r="J325" s="325">
        <f>'d3'!J325-d3П!J324</f>
        <v>0</v>
      </c>
      <c r="K325" s="325">
        <f>'d3'!K325-d3П!K324</f>
        <v>0</v>
      </c>
      <c r="L325" s="325">
        <f>'d3'!L325-d3П!L324</f>
        <v>0</v>
      </c>
      <c r="M325" s="325">
        <f>'d3'!M325-d3П!M324</f>
        <v>0</v>
      </c>
      <c r="N325" s="325">
        <f>'d3'!N325-d3П!N324</f>
        <v>0</v>
      </c>
      <c r="O325" s="325">
        <f>'d3'!O325-d3П!O324</f>
        <v>0</v>
      </c>
      <c r="P325" s="325">
        <f>'d3'!P325-d3П!P324</f>
        <v>0</v>
      </c>
      <c r="Q325" s="47"/>
      <c r="R325" s="50"/>
    </row>
    <row r="326" spans="1:18" ht="47.25" thickTop="1" thickBot="1" x14ac:dyDescent="0.25">
      <c r="A326" s="308" t="s">
        <v>1235</v>
      </c>
      <c r="B326" s="308" t="s">
        <v>711</v>
      </c>
      <c r="C326" s="308"/>
      <c r="D326" s="308" t="s">
        <v>712</v>
      </c>
      <c r="E326" s="325">
        <f>'d3'!E326-d3П!E325</f>
        <v>0</v>
      </c>
      <c r="F326" s="325">
        <f>'d3'!F326-d3П!F325</f>
        <v>0</v>
      </c>
      <c r="G326" s="325">
        <f>'d3'!G326-d3П!G325</f>
        <v>0</v>
      </c>
      <c r="H326" s="325">
        <f>'d3'!H326-d3П!H325</f>
        <v>0</v>
      </c>
      <c r="I326" s="325">
        <f>'d3'!I326-d3П!I325</f>
        <v>0</v>
      </c>
      <c r="J326" s="325">
        <f>'d3'!J326-d3П!J325</f>
        <v>-3900000</v>
      </c>
      <c r="K326" s="325">
        <f>'d3'!K326-d3П!K325</f>
        <v>-3900000</v>
      </c>
      <c r="L326" s="325">
        <f>'d3'!L326-d3П!L325</f>
        <v>0</v>
      </c>
      <c r="M326" s="325">
        <f>'d3'!M326-d3П!M325</f>
        <v>0</v>
      </c>
      <c r="N326" s="325">
        <f>'d3'!N326-d3П!N325</f>
        <v>0</v>
      </c>
      <c r="O326" s="325">
        <f>'d3'!O326-d3П!O325</f>
        <v>-3900000</v>
      </c>
      <c r="P326" s="325">
        <f>'d3'!P326-d3П!P325</f>
        <v>-3900000</v>
      </c>
      <c r="Q326" s="47"/>
      <c r="R326" s="50"/>
    </row>
    <row r="327" spans="1:18" ht="93" thickTop="1" thickBot="1" x14ac:dyDescent="0.25">
      <c r="A327" s="101" t="s">
        <v>1236</v>
      </c>
      <c r="B327" s="101" t="s">
        <v>1200</v>
      </c>
      <c r="C327" s="101" t="s">
        <v>206</v>
      </c>
      <c r="D327" s="466" t="s">
        <v>1201</v>
      </c>
      <c r="E327" s="325">
        <f>'d3'!E327-d3П!E326</f>
        <v>0</v>
      </c>
      <c r="F327" s="325">
        <f>'d3'!F327-d3П!F326</f>
        <v>0</v>
      </c>
      <c r="G327" s="325">
        <f>'d3'!G327-d3П!G326</f>
        <v>0</v>
      </c>
      <c r="H327" s="325">
        <f>'d3'!H327-d3П!H326</f>
        <v>0</v>
      </c>
      <c r="I327" s="325">
        <f>'d3'!I327-d3П!I326</f>
        <v>0</v>
      </c>
      <c r="J327" s="325">
        <f>'d3'!J327-d3П!J326</f>
        <v>-3900000</v>
      </c>
      <c r="K327" s="325">
        <f>'d3'!K327-d3П!K326</f>
        <v>-3900000</v>
      </c>
      <c r="L327" s="325">
        <f>'d3'!L327-d3П!L326</f>
        <v>0</v>
      </c>
      <c r="M327" s="325">
        <f>'d3'!M327-d3П!M326</f>
        <v>0</v>
      </c>
      <c r="N327" s="325">
        <f>'d3'!N327-d3П!N326</f>
        <v>0</v>
      </c>
      <c r="O327" s="325">
        <f>'d3'!O327-d3П!O326</f>
        <v>-3900000</v>
      </c>
      <c r="P327" s="325">
        <f>'d3'!P327-d3П!P326</f>
        <v>-3900000</v>
      </c>
      <c r="Q327" s="47"/>
      <c r="R327" s="50"/>
    </row>
    <row r="328" spans="1:18" ht="47.25" hidden="1" thickTop="1" thickBot="1" x14ac:dyDescent="0.25">
      <c r="A328" s="123" t="s">
        <v>814</v>
      </c>
      <c r="B328" s="123" t="s">
        <v>770</v>
      </c>
      <c r="C328" s="126"/>
      <c r="D328" s="123" t="s">
        <v>771</v>
      </c>
      <c r="E328" s="325">
        <f>'d3'!E328-d3П!E327</f>
        <v>0</v>
      </c>
      <c r="F328" s="325">
        <f>'d3'!F328-d3П!F327</f>
        <v>0</v>
      </c>
      <c r="G328" s="325">
        <f>'d3'!G328-d3П!G327</f>
        <v>0</v>
      </c>
      <c r="H328" s="325">
        <f>'d3'!H328-d3П!H327</f>
        <v>0</v>
      </c>
      <c r="I328" s="325">
        <f>'d3'!I328-d3П!I327</f>
        <v>0</v>
      </c>
      <c r="J328" s="325">
        <f>'d3'!J328-d3П!J327</f>
        <v>0</v>
      </c>
      <c r="K328" s="325">
        <f>'d3'!K328-d3П!K327</f>
        <v>0</v>
      </c>
      <c r="L328" s="325">
        <f>'d3'!L328-d3П!L327</f>
        <v>0</v>
      </c>
      <c r="M328" s="325">
        <f>'d3'!M328-d3П!M327</f>
        <v>0</v>
      </c>
      <c r="N328" s="325">
        <f>'d3'!N328-d3П!N327</f>
        <v>0</v>
      </c>
      <c r="O328" s="325">
        <f>'d3'!O328-d3П!O327</f>
        <v>0</v>
      </c>
      <c r="P328" s="325">
        <f>'d3'!P328-d3П!P327</f>
        <v>0</v>
      </c>
      <c r="Q328" s="47"/>
      <c r="R328" s="50"/>
    </row>
    <row r="329" spans="1:18" ht="47.25" hidden="1" thickTop="1" thickBot="1" x14ac:dyDescent="0.25">
      <c r="A329" s="138" t="s">
        <v>815</v>
      </c>
      <c r="B329" s="138" t="s">
        <v>816</v>
      </c>
      <c r="C329" s="138"/>
      <c r="D329" s="138" t="s">
        <v>817</v>
      </c>
      <c r="E329" s="325">
        <f>'d3'!E329-d3П!E328</f>
        <v>0</v>
      </c>
      <c r="F329" s="325">
        <f>'d3'!F329-d3П!F328</f>
        <v>0</v>
      </c>
      <c r="G329" s="325">
        <f>'d3'!G329-d3П!G328</f>
        <v>0</v>
      </c>
      <c r="H329" s="325">
        <f>'d3'!H329-d3П!H328</f>
        <v>0</v>
      </c>
      <c r="I329" s="325">
        <f>'d3'!I329-d3П!I328</f>
        <v>0</v>
      </c>
      <c r="J329" s="325">
        <f>'d3'!J329-d3П!J328</f>
        <v>0</v>
      </c>
      <c r="K329" s="325">
        <f>'d3'!K329-d3П!K328</f>
        <v>0</v>
      </c>
      <c r="L329" s="325">
        <f>'d3'!L329-d3П!L328</f>
        <v>0</v>
      </c>
      <c r="M329" s="325">
        <f>'d3'!M329-d3П!M328</f>
        <v>0</v>
      </c>
      <c r="N329" s="325">
        <f>'d3'!N329-d3П!N328</f>
        <v>0</v>
      </c>
      <c r="O329" s="325">
        <f>'d3'!O329-d3П!O328</f>
        <v>0</v>
      </c>
      <c r="P329" s="325">
        <f>'d3'!P329-d3П!P328</f>
        <v>0</v>
      </c>
      <c r="Q329" s="47"/>
      <c r="R329" s="50"/>
    </row>
    <row r="330" spans="1:18" ht="184.5" hidden="1" thickTop="1" thickBot="1" x14ac:dyDescent="0.25">
      <c r="A330" s="126" t="s">
        <v>433</v>
      </c>
      <c r="B330" s="126" t="s">
        <v>434</v>
      </c>
      <c r="C330" s="126" t="s">
        <v>195</v>
      </c>
      <c r="D330" s="126" t="s">
        <v>1178</v>
      </c>
      <c r="E330" s="325">
        <f>'d3'!E330-d3П!E329</f>
        <v>0</v>
      </c>
      <c r="F330" s="325">
        <f>'d3'!F330-d3П!F329</f>
        <v>0</v>
      </c>
      <c r="G330" s="325">
        <f>'d3'!G330-d3П!G329</f>
        <v>0</v>
      </c>
      <c r="H330" s="325">
        <f>'d3'!H330-d3П!H329</f>
        <v>0</v>
      </c>
      <c r="I330" s="325">
        <f>'d3'!I330-d3П!I329</f>
        <v>0</v>
      </c>
      <c r="J330" s="325">
        <f>'d3'!J330-d3П!J329</f>
        <v>0</v>
      </c>
      <c r="K330" s="325">
        <f>'d3'!K330-d3П!K329</f>
        <v>0</v>
      </c>
      <c r="L330" s="325">
        <f>'d3'!L330-d3П!L329</f>
        <v>0</v>
      </c>
      <c r="M330" s="325">
        <f>'d3'!M330-d3П!M329</f>
        <v>0</v>
      </c>
      <c r="N330" s="325">
        <f>'d3'!N330-d3П!N329</f>
        <v>0</v>
      </c>
      <c r="O330" s="325">
        <f>'d3'!O330-d3П!O329</f>
        <v>0</v>
      </c>
      <c r="P330" s="325">
        <f>'d3'!P330-d3П!P329</f>
        <v>0</v>
      </c>
      <c r="Q330" s="47"/>
      <c r="R330" s="46"/>
    </row>
    <row r="331" spans="1:18" ht="47.25" thickTop="1" thickBot="1" x14ac:dyDescent="0.25">
      <c r="A331" s="308" t="s">
        <v>818</v>
      </c>
      <c r="B331" s="308" t="s">
        <v>748</v>
      </c>
      <c r="C331" s="101"/>
      <c r="D331" s="308" t="s">
        <v>794</v>
      </c>
      <c r="E331" s="325">
        <f>'d3'!E331-d3П!E330</f>
        <v>0</v>
      </c>
      <c r="F331" s="325">
        <f>'d3'!F331-d3П!F330</f>
        <v>0</v>
      </c>
      <c r="G331" s="325">
        <f>'d3'!G331-d3П!G330</f>
        <v>0</v>
      </c>
      <c r="H331" s="325">
        <f>'d3'!H331-d3П!H330</f>
        <v>0</v>
      </c>
      <c r="I331" s="325">
        <f>'d3'!I331-d3П!I330</f>
        <v>0</v>
      </c>
      <c r="J331" s="325">
        <f>'d3'!J331-d3П!J330</f>
        <v>27599900</v>
      </c>
      <c r="K331" s="325">
        <f>'d3'!K331-d3П!K330</f>
        <v>27599900</v>
      </c>
      <c r="L331" s="325">
        <f>'d3'!L331-d3П!L330</f>
        <v>0</v>
      </c>
      <c r="M331" s="325">
        <f>'d3'!M331-d3П!M330</f>
        <v>0</v>
      </c>
      <c r="N331" s="325">
        <f>'d3'!N331-d3П!N330</f>
        <v>0</v>
      </c>
      <c r="O331" s="325">
        <f>'d3'!O331-d3П!O330</f>
        <v>27599900</v>
      </c>
      <c r="P331" s="325">
        <f>'d3'!P331-d3П!P330</f>
        <v>27599900</v>
      </c>
      <c r="Q331" s="45"/>
      <c r="R331" s="46"/>
    </row>
    <row r="332" spans="1:18" ht="47.25" thickTop="1" thickBot="1" x14ac:dyDescent="0.25">
      <c r="A332" s="310" t="s">
        <v>819</v>
      </c>
      <c r="B332" s="310" t="s">
        <v>803</v>
      </c>
      <c r="C332" s="310"/>
      <c r="D332" s="310" t="s">
        <v>804</v>
      </c>
      <c r="E332" s="325">
        <f>'d3'!E332-d3П!E331</f>
        <v>0</v>
      </c>
      <c r="F332" s="325">
        <f>'d3'!F332-d3П!F331</f>
        <v>0</v>
      </c>
      <c r="G332" s="325">
        <f>'d3'!G332-d3П!G331</f>
        <v>0</v>
      </c>
      <c r="H332" s="325">
        <f>'d3'!H332-d3П!H331</f>
        <v>0</v>
      </c>
      <c r="I332" s="325">
        <f>'d3'!I332-d3П!I331</f>
        <v>0</v>
      </c>
      <c r="J332" s="325">
        <f>'d3'!J332-d3П!J331</f>
        <v>27599900</v>
      </c>
      <c r="K332" s="325">
        <f>'d3'!K332-d3П!K331</f>
        <v>27599900</v>
      </c>
      <c r="L332" s="325">
        <f>'d3'!L332-d3П!L331</f>
        <v>0</v>
      </c>
      <c r="M332" s="325">
        <f>'d3'!M332-d3П!M331</f>
        <v>0</v>
      </c>
      <c r="N332" s="325">
        <f>'d3'!N332-d3П!N331</f>
        <v>0</v>
      </c>
      <c r="O332" s="325">
        <f>'d3'!O332-d3П!O331</f>
        <v>27599900</v>
      </c>
      <c r="P332" s="325">
        <f>'d3'!P332-d3П!P331</f>
        <v>27599900</v>
      </c>
      <c r="Q332" s="45"/>
      <c r="R332" s="46"/>
    </row>
    <row r="333" spans="1:18" ht="54" hidden="1" thickTop="1" thickBot="1" x14ac:dyDescent="0.25">
      <c r="A333" s="101" t="s">
        <v>927</v>
      </c>
      <c r="B333" s="101" t="s">
        <v>305</v>
      </c>
      <c r="C333" s="101" t="s">
        <v>304</v>
      </c>
      <c r="D333" s="101" t="s">
        <v>1497</v>
      </c>
      <c r="E333" s="325">
        <f>'d3'!E333-d3П!E332</f>
        <v>0</v>
      </c>
      <c r="F333" s="325">
        <f>'d3'!F333-d3П!F332</f>
        <v>0</v>
      </c>
      <c r="G333" s="325">
        <f>'d3'!G333-d3П!G332</f>
        <v>0</v>
      </c>
      <c r="H333" s="325">
        <f>'d3'!H333-d3П!H332</f>
        <v>0</v>
      </c>
      <c r="I333" s="325">
        <f>'d3'!I333-d3П!I332</f>
        <v>0</v>
      </c>
      <c r="J333" s="325">
        <f>'d3'!J333-d3П!J332</f>
        <v>0</v>
      </c>
      <c r="K333" s="325">
        <f>'d3'!K333-d3П!K332</f>
        <v>0</v>
      </c>
      <c r="L333" s="325">
        <f>'d3'!L333-d3П!L332</f>
        <v>0</v>
      </c>
      <c r="M333" s="325">
        <f>'d3'!M333-d3П!M332</f>
        <v>0</v>
      </c>
      <c r="N333" s="325">
        <f>'d3'!N333-d3П!N332</f>
        <v>0</v>
      </c>
      <c r="O333" s="325">
        <f>'d3'!O333-d3П!O332</f>
        <v>0</v>
      </c>
      <c r="P333" s="325">
        <f>'d3'!P333-d3П!P332</f>
        <v>0</v>
      </c>
      <c r="Q333" s="45"/>
      <c r="R333" s="46"/>
    </row>
    <row r="334" spans="1:18" ht="54.75" thickTop="1" thickBot="1" x14ac:dyDescent="0.25">
      <c r="A334" s="326" t="s">
        <v>820</v>
      </c>
      <c r="B334" s="326" t="s">
        <v>821</v>
      </c>
      <c r="C334" s="326"/>
      <c r="D334" s="326" t="s">
        <v>1503</v>
      </c>
      <c r="E334" s="325">
        <f>'d3'!E334-d3П!E333</f>
        <v>0</v>
      </c>
      <c r="F334" s="325">
        <f>'d3'!F334-d3П!F333</f>
        <v>0</v>
      </c>
      <c r="G334" s="325">
        <f>'d3'!G334-d3П!G333</f>
        <v>0</v>
      </c>
      <c r="H334" s="325">
        <f>'d3'!H334-d3П!H333</f>
        <v>0</v>
      </c>
      <c r="I334" s="325">
        <f>'d3'!I334-d3П!I333</f>
        <v>0</v>
      </c>
      <c r="J334" s="325">
        <f>'d3'!J334-d3П!J333</f>
        <v>-8400100</v>
      </c>
      <c r="K334" s="325">
        <f>'d3'!K334-d3П!K333</f>
        <v>-8400100</v>
      </c>
      <c r="L334" s="325">
        <f>'d3'!L334-d3П!L333</f>
        <v>0</v>
      </c>
      <c r="M334" s="325">
        <f>'d3'!M334-d3П!M333</f>
        <v>0</v>
      </c>
      <c r="N334" s="325">
        <f>'d3'!N334-d3П!N333</f>
        <v>0</v>
      </c>
      <c r="O334" s="325">
        <f>'d3'!O334-d3П!O333</f>
        <v>-8400100</v>
      </c>
      <c r="P334" s="325">
        <f>'d3'!P334-d3П!P333</f>
        <v>-8400100</v>
      </c>
      <c r="Q334" s="45"/>
      <c r="R334" s="46"/>
    </row>
    <row r="335" spans="1:18" ht="54" thickTop="1" thickBot="1" x14ac:dyDescent="0.25">
      <c r="A335" s="101" t="s">
        <v>310</v>
      </c>
      <c r="B335" s="101" t="s">
        <v>311</v>
      </c>
      <c r="C335" s="101" t="s">
        <v>304</v>
      </c>
      <c r="D335" s="101" t="s">
        <v>1499</v>
      </c>
      <c r="E335" s="325">
        <f>'d3'!E335-d3П!E334</f>
        <v>0</v>
      </c>
      <c r="F335" s="325">
        <f>'d3'!F335-d3П!F334</f>
        <v>0</v>
      </c>
      <c r="G335" s="325">
        <f>'d3'!G335-d3П!G334</f>
        <v>0</v>
      </c>
      <c r="H335" s="325">
        <f>'d3'!H335-d3П!H334</f>
        <v>0</v>
      </c>
      <c r="I335" s="325">
        <f>'d3'!I335-d3П!I334</f>
        <v>0</v>
      </c>
      <c r="J335" s="325">
        <f>'d3'!J335-d3П!J334</f>
        <v>-8500000</v>
      </c>
      <c r="K335" s="325">
        <f>'d3'!K335-d3П!K334</f>
        <v>-8500000</v>
      </c>
      <c r="L335" s="325">
        <f>'d3'!L335-d3П!L334</f>
        <v>0</v>
      </c>
      <c r="M335" s="325">
        <f>'d3'!M335-d3П!M334</f>
        <v>0</v>
      </c>
      <c r="N335" s="325">
        <f>'d3'!N335-d3П!N334</f>
        <v>0</v>
      </c>
      <c r="O335" s="325">
        <f>'d3'!O335-d3П!O334</f>
        <v>-8500000</v>
      </c>
      <c r="P335" s="325">
        <f>'d3'!P335-d3П!P334</f>
        <v>-8500000</v>
      </c>
      <c r="Q335" s="473"/>
      <c r="R335" s="46"/>
    </row>
    <row r="336" spans="1:18" ht="54" thickTop="1" thickBot="1" x14ac:dyDescent="0.25">
      <c r="A336" s="101" t="s">
        <v>516</v>
      </c>
      <c r="B336" s="101" t="s">
        <v>517</v>
      </c>
      <c r="C336" s="101" t="s">
        <v>304</v>
      </c>
      <c r="D336" s="101" t="s">
        <v>1504</v>
      </c>
      <c r="E336" s="325">
        <f>'d3'!E336-d3П!E335</f>
        <v>0</v>
      </c>
      <c r="F336" s="325">
        <f>'d3'!F336-d3П!F335</f>
        <v>0</v>
      </c>
      <c r="G336" s="325">
        <f>'d3'!G336-d3П!G335</f>
        <v>0</v>
      </c>
      <c r="H336" s="325">
        <f>'d3'!H336-d3П!H335</f>
        <v>0</v>
      </c>
      <c r="I336" s="325">
        <f>'d3'!I336-d3П!I335</f>
        <v>0</v>
      </c>
      <c r="J336" s="325">
        <f>'d3'!J336-d3П!J335</f>
        <v>99900</v>
      </c>
      <c r="K336" s="325">
        <f>'d3'!K336-d3П!K335</f>
        <v>99900</v>
      </c>
      <c r="L336" s="325">
        <f>'d3'!L336-d3П!L335</f>
        <v>0</v>
      </c>
      <c r="M336" s="325">
        <f>'d3'!M336-d3П!M335</f>
        <v>0</v>
      </c>
      <c r="N336" s="325">
        <f>'d3'!N336-d3П!N335</f>
        <v>0</v>
      </c>
      <c r="O336" s="325">
        <f>'d3'!O336-d3П!O335</f>
        <v>99900</v>
      </c>
      <c r="P336" s="325">
        <f>'d3'!P336-d3П!P335</f>
        <v>99900</v>
      </c>
      <c r="Q336" s="124"/>
      <c r="R336" s="46"/>
    </row>
    <row r="337" spans="1:18" ht="54" hidden="1" thickTop="1" thickBot="1" x14ac:dyDescent="0.25">
      <c r="A337" s="101" t="s">
        <v>312</v>
      </c>
      <c r="B337" s="101" t="s">
        <v>313</v>
      </c>
      <c r="C337" s="101" t="s">
        <v>304</v>
      </c>
      <c r="D337" s="101" t="s">
        <v>1505</v>
      </c>
      <c r="E337" s="325">
        <f>'d3'!E337-d3П!E336</f>
        <v>0</v>
      </c>
      <c r="F337" s="325">
        <f>'d3'!F337-d3П!F336</f>
        <v>0</v>
      </c>
      <c r="G337" s="325">
        <f>'d3'!G337-d3П!G336</f>
        <v>0</v>
      </c>
      <c r="H337" s="325">
        <f>'d3'!H337-d3П!H336</f>
        <v>0</v>
      </c>
      <c r="I337" s="325">
        <f>'d3'!I337-d3П!I336</f>
        <v>0</v>
      </c>
      <c r="J337" s="325">
        <f>'d3'!J337-d3П!J336</f>
        <v>0</v>
      </c>
      <c r="K337" s="325">
        <f>'d3'!K337-d3П!K336</f>
        <v>0</v>
      </c>
      <c r="L337" s="325">
        <f>'d3'!L337-d3П!L336</f>
        <v>0</v>
      </c>
      <c r="M337" s="325">
        <f>'d3'!M337-d3П!M336</f>
        <v>0</v>
      </c>
      <c r="N337" s="325">
        <f>'d3'!N337-d3П!N336</f>
        <v>0</v>
      </c>
      <c r="O337" s="325">
        <f>'d3'!O337-d3П!O336</f>
        <v>0</v>
      </c>
      <c r="P337" s="325">
        <f>'d3'!P337-d3П!P336</f>
        <v>0</v>
      </c>
      <c r="Q337" s="124"/>
    </row>
    <row r="338" spans="1:18" ht="54" thickTop="1" thickBot="1" x14ac:dyDescent="0.3">
      <c r="A338" s="101" t="s">
        <v>314</v>
      </c>
      <c r="B338" s="101" t="s">
        <v>315</v>
      </c>
      <c r="C338" s="101" t="s">
        <v>304</v>
      </c>
      <c r="D338" s="101" t="s">
        <v>1500</v>
      </c>
      <c r="E338" s="325">
        <f>'d3'!E338-d3П!E337</f>
        <v>0</v>
      </c>
      <c r="F338" s="325">
        <f>'d3'!F338-d3П!F337</f>
        <v>0</v>
      </c>
      <c r="G338" s="325">
        <f>'d3'!G338-d3П!G337</f>
        <v>0</v>
      </c>
      <c r="H338" s="325">
        <f>'d3'!H338-d3П!H337</f>
        <v>0</v>
      </c>
      <c r="I338" s="325">
        <f>'d3'!I338-d3П!I337</f>
        <v>0</v>
      </c>
      <c r="J338" s="325">
        <f>'d3'!J338-d3П!J337</f>
        <v>36000000</v>
      </c>
      <c r="K338" s="325">
        <f>'d3'!K338-d3П!K337</f>
        <v>36000000</v>
      </c>
      <c r="L338" s="325">
        <f>'d3'!L338-d3П!L337</f>
        <v>0</v>
      </c>
      <c r="M338" s="325">
        <f>'d3'!M338-d3П!M337</f>
        <v>0</v>
      </c>
      <c r="N338" s="325">
        <f>'d3'!N338-d3П!N337</f>
        <v>0</v>
      </c>
      <c r="O338" s="325">
        <f>'d3'!O338-d3П!O337</f>
        <v>36000000</v>
      </c>
      <c r="P338" s="325">
        <f>'d3'!P338-d3П!P337</f>
        <v>36000000</v>
      </c>
      <c r="Q338" s="160"/>
      <c r="R338" s="46"/>
    </row>
    <row r="339" spans="1:18" ht="48" hidden="1" thickTop="1" thickBot="1" x14ac:dyDescent="0.25">
      <c r="A339" s="41" t="s">
        <v>437</v>
      </c>
      <c r="B339" s="41" t="s">
        <v>350</v>
      </c>
      <c r="C339" s="41" t="s">
        <v>170</v>
      </c>
      <c r="D339" s="41" t="s">
        <v>262</v>
      </c>
      <c r="E339" s="42">
        <f>F339</f>
        <v>0</v>
      </c>
      <c r="F339" s="43"/>
      <c r="G339" s="43"/>
      <c r="H339" s="43"/>
      <c r="I339" s="43"/>
      <c r="J339" s="42">
        <f t="shared" ref="J339" si="74">L339+O339</f>
        <v>0</v>
      </c>
      <c r="K339" s="43">
        <v>0</v>
      </c>
      <c r="L339" s="43"/>
      <c r="M339" s="43"/>
      <c r="N339" s="43"/>
      <c r="O339" s="44">
        <f>K339</f>
        <v>0</v>
      </c>
      <c r="P339" s="42">
        <f t="shared" ref="P339" si="75">E339+J339</f>
        <v>0</v>
      </c>
      <c r="Q339" s="20"/>
      <c r="R339" s="46"/>
    </row>
    <row r="340" spans="1:18" ht="47.25" hidden="1" thickTop="1" thickBot="1" x14ac:dyDescent="0.25">
      <c r="A340" s="134" t="s">
        <v>989</v>
      </c>
      <c r="B340" s="134" t="s">
        <v>691</v>
      </c>
      <c r="C340" s="134"/>
      <c r="D340" s="134" t="s">
        <v>689</v>
      </c>
      <c r="E340" s="157">
        <f>E341</f>
        <v>0</v>
      </c>
      <c r="F340" s="157">
        <f>F341</f>
        <v>0</v>
      </c>
      <c r="G340" s="157">
        <f>G341</f>
        <v>0</v>
      </c>
      <c r="H340" s="157">
        <f>H341</f>
        <v>0</v>
      </c>
      <c r="I340" s="157">
        <f>I341</f>
        <v>0</v>
      </c>
      <c r="J340" s="157">
        <f t="shared" ref="J340:O340" si="76">J341</f>
        <v>0</v>
      </c>
      <c r="K340" s="157">
        <f t="shared" si="76"/>
        <v>0</v>
      </c>
      <c r="L340" s="157">
        <f t="shared" si="76"/>
        <v>0</v>
      </c>
      <c r="M340" s="157">
        <f t="shared" si="76"/>
        <v>0</v>
      </c>
      <c r="N340" s="157">
        <f t="shared" si="76"/>
        <v>0</v>
      </c>
      <c r="O340" s="157">
        <f t="shared" si="76"/>
        <v>0</v>
      </c>
      <c r="P340" s="157">
        <f>P341</f>
        <v>0</v>
      </c>
      <c r="Q340" s="20"/>
      <c r="R340" s="46"/>
    </row>
    <row r="341" spans="1:18" ht="48" hidden="1" thickTop="1" thickBot="1" x14ac:dyDescent="0.25">
      <c r="A341" s="138" t="s">
        <v>990</v>
      </c>
      <c r="B341" s="138" t="s">
        <v>694</v>
      </c>
      <c r="C341" s="138"/>
      <c r="D341" s="138" t="s">
        <v>797</v>
      </c>
      <c r="E341" s="156">
        <f>E342+E344</f>
        <v>0</v>
      </c>
      <c r="F341" s="156">
        <f t="shared" ref="F341:P341" si="77">F342+F344</f>
        <v>0</v>
      </c>
      <c r="G341" s="156">
        <f t="shared" si="77"/>
        <v>0</v>
      </c>
      <c r="H341" s="156">
        <f t="shared" si="77"/>
        <v>0</v>
      </c>
      <c r="I341" s="156">
        <f t="shared" si="77"/>
        <v>0</v>
      </c>
      <c r="J341" s="156">
        <f t="shared" si="77"/>
        <v>0</v>
      </c>
      <c r="K341" s="156">
        <f t="shared" si="77"/>
        <v>0</v>
      </c>
      <c r="L341" s="156">
        <f t="shared" si="77"/>
        <v>0</v>
      </c>
      <c r="M341" s="156">
        <f t="shared" si="77"/>
        <v>0</v>
      </c>
      <c r="N341" s="156">
        <f t="shared" si="77"/>
        <v>0</v>
      </c>
      <c r="O341" s="156">
        <f t="shared" si="77"/>
        <v>0</v>
      </c>
      <c r="P341" s="156">
        <f t="shared" si="77"/>
        <v>0</v>
      </c>
      <c r="Q341" s="20"/>
      <c r="R341" s="46"/>
    </row>
    <row r="342" spans="1:18" ht="184.5" hidden="1" thickTop="1" thickBot="1" x14ac:dyDescent="0.7">
      <c r="A342" s="788" t="s">
        <v>991</v>
      </c>
      <c r="B342" s="788" t="s">
        <v>338</v>
      </c>
      <c r="C342" s="788" t="s">
        <v>170</v>
      </c>
      <c r="D342" s="161" t="s">
        <v>440</v>
      </c>
      <c r="E342" s="789">
        <f t="shared" ref="E342" si="78">F342</f>
        <v>0</v>
      </c>
      <c r="F342" s="782"/>
      <c r="G342" s="782"/>
      <c r="H342" s="782"/>
      <c r="I342" s="782"/>
      <c r="J342" s="789">
        <f t="shared" ref="J342" si="79">L342+O342</f>
        <v>0</v>
      </c>
      <c r="K342" s="782"/>
      <c r="L342" s="782"/>
      <c r="M342" s="782"/>
      <c r="N342" s="782"/>
      <c r="O342" s="783">
        <f>K342</f>
        <v>0</v>
      </c>
      <c r="P342" s="785">
        <f>E342+J342</f>
        <v>0</v>
      </c>
      <c r="Q342" s="20"/>
      <c r="R342" s="46"/>
    </row>
    <row r="343" spans="1:18" ht="93" hidden="1" thickTop="1" thickBot="1" x14ac:dyDescent="0.25">
      <c r="A343" s="788"/>
      <c r="B343" s="788"/>
      <c r="C343" s="788"/>
      <c r="D343" s="162" t="s">
        <v>441</v>
      </c>
      <c r="E343" s="789"/>
      <c r="F343" s="782"/>
      <c r="G343" s="782"/>
      <c r="H343" s="782"/>
      <c r="I343" s="782"/>
      <c r="J343" s="789"/>
      <c r="K343" s="782"/>
      <c r="L343" s="782"/>
      <c r="M343" s="782"/>
      <c r="N343" s="782"/>
      <c r="O343" s="783"/>
      <c r="P343" s="785"/>
      <c r="Q343" s="20"/>
      <c r="R343" s="46"/>
    </row>
    <row r="344" spans="1:18" ht="48" hidden="1" thickTop="1" thickBot="1" x14ac:dyDescent="0.25">
      <c r="A344" s="126" t="s">
        <v>1193</v>
      </c>
      <c r="B344" s="126" t="s">
        <v>257</v>
      </c>
      <c r="C344" s="126" t="s">
        <v>170</v>
      </c>
      <c r="D344" s="154" t="s">
        <v>255</v>
      </c>
      <c r="E344" s="125">
        <f>F344</f>
        <v>0</v>
      </c>
      <c r="F344" s="132"/>
      <c r="G344" s="132"/>
      <c r="H344" s="132"/>
      <c r="I344" s="132"/>
      <c r="J344" s="125">
        <f t="shared" ref="J344" si="80">L344+O344</f>
        <v>0</v>
      </c>
      <c r="K344" s="132"/>
      <c r="L344" s="132"/>
      <c r="M344" s="132"/>
      <c r="N344" s="132"/>
      <c r="O344" s="130">
        <f>K344</f>
        <v>0</v>
      </c>
      <c r="P344" s="125">
        <f t="shared" ref="P344" si="81">E344+J344</f>
        <v>0</v>
      </c>
      <c r="Q344" s="20"/>
      <c r="R344" s="46"/>
    </row>
    <row r="345" spans="1:18" ht="120" customHeight="1" thickTop="1" thickBot="1" x14ac:dyDescent="0.25">
      <c r="A345" s="645" t="s">
        <v>160</v>
      </c>
      <c r="B345" s="645"/>
      <c r="C345" s="645"/>
      <c r="D345" s="646" t="s">
        <v>893</v>
      </c>
      <c r="E345" s="647">
        <f>E346</f>
        <v>0</v>
      </c>
      <c r="F345" s="648">
        <f t="shared" ref="F345:G345" si="82">F346</f>
        <v>0</v>
      </c>
      <c r="G345" s="648">
        <f t="shared" si="82"/>
        <v>0</v>
      </c>
      <c r="H345" s="648">
        <f>H346</f>
        <v>0</v>
      </c>
      <c r="I345" s="648">
        <f t="shared" ref="I345" si="83">I346</f>
        <v>0</v>
      </c>
      <c r="J345" s="647">
        <f>J346</f>
        <v>0</v>
      </c>
      <c r="K345" s="648">
        <f>K346</f>
        <v>0</v>
      </c>
      <c r="L345" s="648">
        <f>L346</f>
        <v>0</v>
      </c>
      <c r="M345" s="648">
        <f t="shared" ref="M345" si="84">M346</f>
        <v>0</v>
      </c>
      <c r="N345" s="648">
        <f>N346</f>
        <v>0</v>
      </c>
      <c r="O345" s="647">
        <f>O346</f>
        <v>0</v>
      </c>
      <c r="P345" s="648">
        <f t="shared" ref="P345" si="85">P346</f>
        <v>0</v>
      </c>
      <c r="Q345" s="20"/>
    </row>
    <row r="346" spans="1:18" ht="120" customHeight="1" thickTop="1" thickBot="1" x14ac:dyDescent="0.25">
      <c r="A346" s="642" t="s">
        <v>161</v>
      </c>
      <c r="B346" s="642"/>
      <c r="C346" s="642"/>
      <c r="D346" s="643" t="s">
        <v>894</v>
      </c>
      <c r="E346" s="644">
        <f>E347+E351</f>
        <v>0</v>
      </c>
      <c r="F346" s="644">
        <f>F347+F351</f>
        <v>0</v>
      </c>
      <c r="G346" s="644">
        <f>G347+G351</f>
        <v>0</v>
      </c>
      <c r="H346" s="644">
        <f>H347+H351</f>
        <v>0</v>
      </c>
      <c r="I346" s="644">
        <f>I347+I351</f>
        <v>0</v>
      </c>
      <c r="J346" s="644">
        <f>L346+O346</f>
        <v>0</v>
      </c>
      <c r="K346" s="644">
        <f>K347+K351</f>
        <v>0</v>
      </c>
      <c r="L346" s="644">
        <f>L347+L351</f>
        <v>0</v>
      </c>
      <c r="M346" s="644">
        <f>M347+M351</f>
        <v>0</v>
      </c>
      <c r="N346" s="644">
        <f>N347+N351</f>
        <v>0</v>
      </c>
      <c r="O346" s="644">
        <f>O347+O351</f>
        <v>0</v>
      </c>
      <c r="P346" s="644">
        <f>E346+J346</f>
        <v>0</v>
      </c>
      <c r="Q346" s="492" t="b">
        <f>P346=P348+P350</f>
        <v>1</v>
      </c>
      <c r="R346" s="46"/>
    </row>
    <row r="347" spans="1:18" ht="47.25" thickTop="1" thickBot="1" x14ac:dyDescent="0.25">
      <c r="A347" s="308" t="s">
        <v>822</v>
      </c>
      <c r="B347" s="308" t="s">
        <v>684</v>
      </c>
      <c r="C347" s="308"/>
      <c r="D347" s="308" t="s">
        <v>685</v>
      </c>
      <c r="E347" s="325">
        <f>'d3'!E347-d3П!E346</f>
        <v>0</v>
      </c>
      <c r="F347" s="325">
        <f>'d3'!F347-d3П!F346</f>
        <v>0</v>
      </c>
      <c r="G347" s="325">
        <f>'d3'!G347-d3П!G346</f>
        <v>0</v>
      </c>
      <c r="H347" s="325">
        <f>'d3'!H347-d3П!H346</f>
        <v>0</v>
      </c>
      <c r="I347" s="325">
        <f>'d3'!I347-d3П!I346</f>
        <v>0</v>
      </c>
      <c r="J347" s="325">
        <f>'d3'!J347-d3П!J346</f>
        <v>0</v>
      </c>
      <c r="K347" s="325">
        <f>'d3'!K347-d3П!K346</f>
        <v>0</v>
      </c>
      <c r="L347" s="325">
        <f>'d3'!L347-d3П!L346</f>
        <v>0</v>
      </c>
      <c r="M347" s="325">
        <f>'d3'!M347-d3П!M346</f>
        <v>0</v>
      </c>
      <c r="N347" s="325">
        <f>'d3'!N347-d3П!N346</f>
        <v>0</v>
      </c>
      <c r="O347" s="325">
        <f>'d3'!O347-d3П!O346</f>
        <v>0</v>
      </c>
      <c r="P347" s="325">
        <f>'d3'!P347-d3П!P346</f>
        <v>0</v>
      </c>
      <c r="Q347" s="47"/>
      <c r="R347" s="46"/>
    </row>
    <row r="348" spans="1:18" ht="93" thickTop="1" thickBot="1" x14ac:dyDescent="0.25">
      <c r="A348" s="101" t="s">
        <v>419</v>
      </c>
      <c r="B348" s="101" t="s">
        <v>236</v>
      </c>
      <c r="C348" s="101" t="s">
        <v>234</v>
      </c>
      <c r="D348" s="101" t="s">
        <v>235</v>
      </c>
      <c r="E348" s="325">
        <f>'d3'!E348-d3П!E347</f>
        <v>0</v>
      </c>
      <c r="F348" s="325">
        <f>'d3'!F348-d3П!F347</f>
        <v>0</v>
      </c>
      <c r="G348" s="325">
        <f>'d3'!G348-d3П!G347</f>
        <v>0</v>
      </c>
      <c r="H348" s="325">
        <f>'d3'!H348-d3П!H347</f>
        <v>0</v>
      </c>
      <c r="I348" s="325">
        <f>'d3'!I348-d3П!I347</f>
        <v>0</v>
      </c>
      <c r="J348" s="325">
        <f>'d3'!J348-d3П!J347</f>
        <v>0</v>
      </c>
      <c r="K348" s="325">
        <f>'d3'!K348-d3П!K347</f>
        <v>0</v>
      </c>
      <c r="L348" s="325">
        <f>'d3'!L348-d3П!L347</f>
        <v>0</v>
      </c>
      <c r="M348" s="325">
        <f>'d3'!M348-d3П!M347</f>
        <v>0</v>
      </c>
      <c r="N348" s="325">
        <f>'d3'!N348-d3П!N347</f>
        <v>0</v>
      </c>
      <c r="O348" s="325">
        <f>'d3'!O348-d3П!O347</f>
        <v>0</v>
      </c>
      <c r="P348" s="325">
        <f>'d3'!P348-d3П!P347</f>
        <v>0</v>
      </c>
      <c r="Q348" s="47"/>
      <c r="R348" s="46"/>
    </row>
    <row r="349" spans="1:18" ht="93" hidden="1" thickTop="1" thickBot="1" x14ac:dyDescent="0.25">
      <c r="A349" s="126" t="s">
        <v>631</v>
      </c>
      <c r="B349" s="126" t="s">
        <v>362</v>
      </c>
      <c r="C349" s="126" t="s">
        <v>625</v>
      </c>
      <c r="D349" s="126" t="s">
        <v>626</v>
      </c>
      <c r="E349" s="325">
        <f>'d3'!E349-d3П!E348</f>
        <v>0</v>
      </c>
      <c r="F349" s="325">
        <f>'d3'!F349-d3П!F348</f>
        <v>0</v>
      </c>
      <c r="G349" s="325">
        <f>'d3'!G349-d3П!G348</f>
        <v>0</v>
      </c>
      <c r="H349" s="325">
        <f>'d3'!H349-d3П!H348</f>
        <v>0</v>
      </c>
      <c r="I349" s="325">
        <f>'d3'!I349-d3П!I348</f>
        <v>0</v>
      </c>
      <c r="J349" s="325">
        <f>'d3'!J349-d3П!J348</f>
        <v>0</v>
      </c>
      <c r="K349" s="325">
        <f>'d3'!K349-d3П!K348</f>
        <v>0</v>
      </c>
      <c r="L349" s="325">
        <f>'d3'!L349-d3П!L348</f>
        <v>0</v>
      </c>
      <c r="M349" s="325">
        <f>'d3'!M349-d3П!M348</f>
        <v>0</v>
      </c>
      <c r="N349" s="325">
        <f>'d3'!N349-d3П!N348</f>
        <v>0</v>
      </c>
      <c r="O349" s="325">
        <f>'d3'!O349-d3П!O348</f>
        <v>0</v>
      </c>
      <c r="P349" s="325">
        <f>'d3'!P349-d3П!P348</f>
        <v>0</v>
      </c>
      <c r="Q349" s="47"/>
      <c r="R349" s="46"/>
    </row>
    <row r="350" spans="1:18" ht="69.75" customHeight="1" thickTop="1" thickBot="1" x14ac:dyDescent="0.25">
      <c r="A350" s="101" t="s">
        <v>1260</v>
      </c>
      <c r="B350" s="101" t="s">
        <v>43</v>
      </c>
      <c r="C350" s="101" t="s">
        <v>42</v>
      </c>
      <c r="D350" s="101" t="s">
        <v>248</v>
      </c>
      <c r="E350" s="325">
        <f>'d3'!E350-d3П!E349</f>
        <v>0</v>
      </c>
      <c r="F350" s="325">
        <f>'d3'!F350-d3П!F349</f>
        <v>0</v>
      </c>
      <c r="G350" s="325">
        <f>'d3'!G350-d3П!G349</f>
        <v>0</v>
      </c>
      <c r="H350" s="325">
        <f>'d3'!H350-d3П!H349</f>
        <v>0</v>
      </c>
      <c r="I350" s="325">
        <f>'d3'!I350-d3П!I349</f>
        <v>0</v>
      </c>
      <c r="J350" s="325">
        <f>'d3'!J350-d3П!J349</f>
        <v>0</v>
      </c>
      <c r="K350" s="325">
        <f>'d3'!K350-d3П!K349</f>
        <v>0</v>
      </c>
      <c r="L350" s="325">
        <f>'d3'!L350-d3П!L349</f>
        <v>0</v>
      </c>
      <c r="M350" s="325">
        <f>'d3'!M350-d3П!M349</f>
        <v>0</v>
      </c>
      <c r="N350" s="325">
        <f>'d3'!N350-d3П!N349</f>
        <v>0</v>
      </c>
      <c r="O350" s="325">
        <f>'d3'!O350-d3П!O349</f>
        <v>0</v>
      </c>
      <c r="P350" s="325">
        <f>'d3'!P350-d3П!P349</f>
        <v>0</v>
      </c>
      <c r="Q350" s="47"/>
      <c r="R350" s="46"/>
    </row>
    <row r="351" spans="1:18" ht="47.25" hidden="1" thickTop="1" thickBot="1" x14ac:dyDescent="0.25">
      <c r="A351" s="123" t="s">
        <v>909</v>
      </c>
      <c r="B351" s="123" t="s">
        <v>748</v>
      </c>
      <c r="C351" s="126"/>
      <c r="D351" s="123" t="s">
        <v>794</v>
      </c>
      <c r="E351" s="125">
        <f>E352</f>
        <v>0</v>
      </c>
      <c r="F351" s="125">
        <f t="shared" ref="F351:P352" si="86">F352</f>
        <v>0</v>
      </c>
      <c r="G351" s="125">
        <f t="shared" si="86"/>
        <v>0</v>
      </c>
      <c r="H351" s="125">
        <f t="shared" si="86"/>
        <v>0</v>
      </c>
      <c r="I351" s="125">
        <f t="shared" si="86"/>
        <v>0</v>
      </c>
      <c r="J351" s="125">
        <f t="shared" si="86"/>
        <v>0</v>
      </c>
      <c r="K351" s="125">
        <f t="shared" si="86"/>
        <v>0</v>
      </c>
      <c r="L351" s="125">
        <f t="shared" si="86"/>
        <v>0</v>
      </c>
      <c r="M351" s="125">
        <f t="shared" si="86"/>
        <v>0</v>
      </c>
      <c r="N351" s="125">
        <f t="shared" si="86"/>
        <v>0</v>
      </c>
      <c r="O351" s="125">
        <f t="shared" si="86"/>
        <v>0</v>
      </c>
      <c r="P351" s="125">
        <f t="shared" si="86"/>
        <v>0</v>
      </c>
      <c r="Q351" s="47"/>
      <c r="R351" s="46"/>
    </row>
    <row r="352" spans="1:18" ht="47.25" hidden="1" thickTop="1" thickBot="1" x14ac:dyDescent="0.25">
      <c r="A352" s="134" t="s">
        <v>910</v>
      </c>
      <c r="B352" s="134" t="s">
        <v>803</v>
      </c>
      <c r="C352" s="134"/>
      <c r="D352" s="134" t="s">
        <v>804</v>
      </c>
      <c r="E352" s="135">
        <f>E353</f>
        <v>0</v>
      </c>
      <c r="F352" s="135">
        <f t="shared" si="86"/>
        <v>0</v>
      </c>
      <c r="G352" s="135">
        <f t="shared" si="86"/>
        <v>0</v>
      </c>
      <c r="H352" s="135">
        <f t="shared" si="86"/>
        <v>0</v>
      </c>
      <c r="I352" s="135">
        <f t="shared" si="86"/>
        <v>0</v>
      </c>
      <c r="J352" s="135">
        <f t="shared" si="86"/>
        <v>0</v>
      </c>
      <c r="K352" s="135">
        <f t="shared" si="86"/>
        <v>0</v>
      </c>
      <c r="L352" s="135">
        <f t="shared" si="86"/>
        <v>0</v>
      </c>
      <c r="M352" s="135">
        <f t="shared" si="86"/>
        <v>0</v>
      </c>
      <c r="N352" s="135">
        <f t="shared" si="86"/>
        <v>0</v>
      </c>
      <c r="O352" s="135">
        <f t="shared" si="86"/>
        <v>0</v>
      </c>
      <c r="P352" s="135">
        <f t="shared" si="86"/>
        <v>0</v>
      </c>
      <c r="Q352" s="47"/>
      <c r="R352" s="46"/>
    </row>
    <row r="353" spans="1:18" ht="93" hidden="1" thickTop="1" thickBot="1" x14ac:dyDescent="0.25">
      <c r="A353" s="126" t="s">
        <v>911</v>
      </c>
      <c r="B353" s="126" t="s">
        <v>912</v>
      </c>
      <c r="C353" s="126" t="s">
        <v>304</v>
      </c>
      <c r="D353" s="126" t="s">
        <v>913</v>
      </c>
      <c r="E353" s="150">
        <f>F353</f>
        <v>0</v>
      </c>
      <c r="F353" s="127"/>
      <c r="G353" s="127"/>
      <c r="H353" s="127"/>
      <c r="I353" s="127"/>
      <c r="J353" s="125">
        <f t="shared" ref="J353" si="87">L353+O353</f>
        <v>0</v>
      </c>
      <c r="K353" s="127">
        <v>0</v>
      </c>
      <c r="L353" s="128"/>
      <c r="M353" s="128"/>
      <c r="N353" s="128"/>
      <c r="O353" s="130">
        <f t="shared" ref="O353" si="88">K353</f>
        <v>0</v>
      </c>
      <c r="P353" s="125">
        <f t="shared" ref="P353" si="89">+J353+E353</f>
        <v>0</v>
      </c>
      <c r="Q353" s="47"/>
      <c r="R353" s="46"/>
    </row>
    <row r="354" spans="1:18" ht="120" customHeight="1" thickTop="1" thickBot="1" x14ac:dyDescent="0.25">
      <c r="A354" s="645" t="s">
        <v>444</v>
      </c>
      <c r="B354" s="645"/>
      <c r="C354" s="645"/>
      <c r="D354" s="646" t="s">
        <v>446</v>
      </c>
      <c r="E354" s="647">
        <f>E355</f>
        <v>0</v>
      </c>
      <c r="F354" s="648">
        <f t="shared" ref="F354:G354" si="90">F355</f>
        <v>0</v>
      </c>
      <c r="G354" s="648">
        <f t="shared" si="90"/>
        <v>0</v>
      </c>
      <c r="H354" s="648">
        <f>H355</f>
        <v>0</v>
      </c>
      <c r="I354" s="648">
        <f t="shared" ref="I354" si="91">I355</f>
        <v>0</v>
      </c>
      <c r="J354" s="647">
        <f>J355</f>
        <v>0</v>
      </c>
      <c r="K354" s="648">
        <f>K355</f>
        <v>0</v>
      </c>
      <c r="L354" s="648">
        <f>L355</f>
        <v>0</v>
      </c>
      <c r="M354" s="648">
        <f t="shared" ref="M354" si="92">M355</f>
        <v>0</v>
      </c>
      <c r="N354" s="648">
        <f>N355</f>
        <v>0</v>
      </c>
      <c r="O354" s="647">
        <f>O355</f>
        <v>0</v>
      </c>
      <c r="P354" s="648">
        <f t="shared" ref="P354" si="93">P355</f>
        <v>0</v>
      </c>
      <c r="Q354" s="20"/>
    </row>
    <row r="355" spans="1:18" ht="120" customHeight="1" thickTop="1" thickBot="1" x14ac:dyDescent="0.25">
      <c r="A355" s="642" t="s">
        <v>445</v>
      </c>
      <c r="B355" s="642"/>
      <c r="C355" s="642"/>
      <c r="D355" s="643" t="s">
        <v>447</v>
      </c>
      <c r="E355" s="644">
        <f t="shared" ref="E355:O355" si="94">E356+E359+E368+E371</f>
        <v>0</v>
      </c>
      <c r="F355" s="644">
        <f t="shared" si="94"/>
        <v>0</v>
      </c>
      <c r="G355" s="644">
        <f t="shared" si="94"/>
        <v>0</v>
      </c>
      <c r="H355" s="644">
        <f t="shared" si="94"/>
        <v>0</v>
      </c>
      <c r="I355" s="644">
        <f t="shared" si="94"/>
        <v>0</v>
      </c>
      <c r="J355" s="644">
        <f t="shared" si="94"/>
        <v>0</v>
      </c>
      <c r="K355" s="644">
        <f t="shared" si="94"/>
        <v>0</v>
      </c>
      <c r="L355" s="644">
        <f t="shared" si="94"/>
        <v>0</v>
      </c>
      <c r="M355" s="644">
        <f t="shared" si="94"/>
        <v>0</v>
      </c>
      <c r="N355" s="644">
        <f t="shared" si="94"/>
        <v>0</v>
      </c>
      <c r="O355" s="644">
        <f t="shared" si="94"/>
        <v>0</v>
      </c>
      <c r="P355" s="644">
        <f>E355+J355</f>
        <v>0</v>
      </c>
      <c r="Q355" s="492" t="b">
        <f>P355=P357+P362+P364+P370+P367</f>
        <v>1</v>
      </c>
      <c r="R355" s="46"/>
    </row>
    <row r="356" spans="1:18" ht="47.25" thickTop="1" thickBot="1" x14ac:dyDescent="0.25">
      <c r="A356" s="308" t="s">
        <v>823</v>
      </c>
      <c r="B356" s="308" t="s">
        <v>684</v>
      </c>
      <c r="C356" s="308"/>
      <c r="D356" s="308" t="s">
        <v>685</v>
      </c>
      <c r="E356" s="325">
        <f>'d3'!E356-d3П!E355</f>
        <v>0</v>
      </c>
      <c r="F356" s="325">
        <f>'d3'!F356-d3П!F355</f>
        <v>0</v>
      </c>
      <c r="G356" s="325">
        <f>'d3'!G356-d3П!G355</f>
        <v>0</v>
      </c>
      <c r="H356" s="325">
        <f>'d3'!H356-d3П!H355</f>
        <v>0</v>
      </c>
      <c r="I356" s="325">
        <f>'d3'!I356-d3П!I355</f>
        <v>0</v>
      </c>
      <c r="J356" s="325">
        <f>'d3'!J356-d3П!J355</f>
        <v>0</v>
      </c>
      <c r="K356" s="325">
        <f>'d3'!K356-d3П!K355</f>
        <v>0</v>
      </c>
      <c r="L356" s="325">
        <f>'d3'!L356-d3П!L355</f>
        <v>0</v>
      </c>
      <c r="M356" s="325">
        <f>'d3'!M356-d3П!M355</f>
        <v>0</v>
      </c>
      <c r="N356" s="325">
        <f>'d3'!N356-d3П!N355</f>
        <v>0</v>
      </c>
      <c r="O356" s="325">
        <f>'d3'!O356-d3П!O355</f>
        <v>0</v>
      </c>
      <c r="P356" s="325">
        <f>'d3'!P356-d3П!P355</f>
        <v>0</v>
      </c>
      <c r="Q356" s="47"/>
      <c r="R356" s="46"/>
    </row>
    <row r="357" spans="1:18" ht="93" thickTop="1" thickBot="1" x14ac:dyDescent="0.25">
      <c r="A357" s="101" t="s">
        <v>448</v>
      </c>
      <c r="B357" s="101" t="s">
        <v>236</v>
      </c>
      <c r="C357" s="101" t="s">
        <v>234</v>
      </c>
      <c r="D357" s="101" t="s">
        <v>235</v>
      </c>
      <c r="E357" s="325">
        <f>'d3'!E357-d3П!E356</f>
        <v>0</v>
      </c>
      <c r="F357" s="325">
        <f>'d3'!F357-d3П!F356</f>
        <v>0</v>
      </c>
      <c r="G357" s="325">
        <f>'d3'!G357-d3П!G356</f>
        <v>0</v>
      </c>
      <c r="H357" s="325">
        <f>'d3'!H357-d3П!H356</f>
        <v>0</v>
      </c>
      <c r="I357" s="325">
        <f>'d3'!I357-d3П!I356</f>
        <v>0</v>
      </c>
      <c r="J357" s="325">
        <f>'d3'!J357-d3П!J356</f>
        <v>0</v>
      </c>
      <c r="K357" s="325">
        <f>'d3'!K357-d3П!K356</f>
        <v>0</v>
      </c>
      <c r="L357" s="325">
        <f>'d3'!L357-d3П!L356</f>
        <v>0</v>
      </c>
      <c r="M357" s="325">
        <f>'d3'!M357-d3П!M356</f>
        <v>0</v>
      </c>
      <c r="N357" s="325">
        <f>'d3'!N357-d3П!N356</f>
        <v>0</v>
      </c>
      <c r="O357" s="325">
        <f>'d3'!O357-d3П!O356</f>
        <v>0</v>
      </c>
      <c r="P357" s="325">
        <f>'d3'!P357-d3П!P356</f>
        <v>0</v>
      </c>
      <c r="Q357" s="47"/>
      <c r="R357" s="46"/>
    </row>
    <row r="358" spans="1:18" ht="93" hidden="1" thickTop="1" thickBot="1" x14ac:dyDescent="0.25">
      <c r="A358" s="126" t="s">
        <v>632</v>
      </c>
      <c r="B358" s="126" t="s">
        <v>362</v>
      </c>
      <c r="C358" s="126" t="s">
        <v>625</v>
      </c>
      <c r="D358" s="126" t="s">
        <v>626</v>
      </c>
      <c r="E358" s="325">
        <f>'d3'!E358-d3П!E357</f>
        <v>0</v>
      </c>
      <c r="F358" s="325">
        <f>'d3'!F358-d3П!F357</f>
        <v>0</v>
      </c>
      <c r="G358" s="325">
        <f>'d3'!G358-d3П!G357</f>
        <v>0</v>
      </c>
      <c r="H358" s="325">
        <f>'d3'!H358-d3П!H357</f>
        <v>0</v>
      </c>
      <c r="I358" s="325">
        <f>'d3'!I358-d3П!I357</f>
        <v>0</v>
      </c>
      <c r="J358" s="325">
        <f>'d3'!J358-d3П!J357</f>
        <v>0</v>
      </c>
      <c r="K358" s="325">
        <f>'d3'!K358-d3П!K357</f>
        <v>0</v>
      </c>
      <c r="L358" s="325">
        <f>'d3'!L358-d3П!L357</f>
        <v>0</v>
      </c>
      <c r="M358" s="325">
        <f>'d3'!M358-d3П!M357</f>
        <v>0</v>
      </c>
      <c r="N358" s="325">
        <f>'d3'!N358-d3П!N357</f>
        <v>0</v>
      </c>
      <c r="O358" s="325">
        <f>'d3'!O358-d3П!O357</f>
        <v>0</v>
      </c>
      <c r="P358" s="325">
        <f>'d3'!P358-d3П!P357</f>
        <v>0</v>
      </c>
      <c r="Q358" s="47"/>
      <c r="R358" s="46"/>
    </row>
    <row r="359" spans="1:18" ht="47.25" thickTop="1" thickBot="1" x14ac:dyDescent="0.25">
      <c r="A359" s="308" t="s">
        <v>824</v>
      </c>
      <c r="B359" s="308" t="s">
        <v>748</v>
      </c>
      <c r="C359" s="101"/>
      <c r="D359" s="308" t="s">
        <v>794</v>
      </c>
      <c r="E359" s="325">
        <f>'d3'!E359-d3П!E358</f>
        <v>0</v>
      </c>
      <c r="F359" s="325">
        <f>'d3'!F359-d3П!F358</f>
        <v>0</v>
      </c>
      <c r="G359" s="325">
        <f>'d3'!G359-d3П!G358</f>
        <v>0</v>
      </c>
      <c r="H359" s="325">
        <f>'d3'!H359-d3П!H358</f>
        <v>0</v>
      </c>
      <c r="I359" s="325">
        <f>'d3'!I359-d3П!I358</f>
        <v>0</v>
      </c>
      <c r="J359" s="325">
        <f>'d3'!J359-d3П!J358</f>
        <v>0</v>
      </c>
      <c r="K359" s="325">
        <f>'d3'!K359-d3П!K358</f>
        <v>0</v>
      </c>
      <c r="L359" s="325">
        <f>'d3'!L359-d3П!L358</f>
        <v>0</v>
      </c>
      <c r="M359" s="325">
        <f>'d3'!M359-d3П!M358</f>
        <v>0</v>
      </c>
      <c r="N359" s="325">
        <f>'d3'!N359-d3П!N358</f>
        <v>0</v>
      </c>
      <c r="O359" s="325">
        <f>'d3'!O359-d3П!O358</f>
        <v>0</v>
      </c>
      <c r="P359" s="325">
        <f>'d3'!P359-d3П!P358</f>
        <v>0</v>
      </c>
      <c r="Q359" s="47"/>
      <c r="R359" s="50"/>
    </row>
    <row r="360" spans="1:18" ht="47.25" thickTop="1" thickBot="1" x14ac:dyDescent="0.25">
      <c r="A360" s="310" t="s">
        <v>825</v>
      </c>
      <c r="B360" s="310" t="s">
        <v>806</v>
      </c>
      <c r="C360" s="310"/>
      <c r="D360" s="310" t="s">
        <v>807</v>
      </c>
      <c r="E360" s="325">
        <f>'d3'!E360-d3П!E359</f>
        <v>0</v>
      </c>
      <c r="F360" s="325">
        <f>'d3'!F360-d3П!F359</f>
        <v>0</v>
      </c>
      <c r="G360" s="325">
        <f>'d3'!G360-d3П!G359</f>
        <v>0</v>
      </c>
      <c r="H360" s="325">
        <f>'d3'!H360-d3П!H359</f>
        <v>0</v>
      </c>
      <c r="I360" s="325">
        <f>'d3'!I360-d3П!I359</f>
        <v>0</v>
      </c>
      <c r="J360" s="325">
        <f>'d3'!J360-d3П!J359</f>
        <v>0</v>
      </c>
      <c r="K360" s="325">
        <f>'d3'!K360-d3П!K359</f>
        <v>0</v>
      </c>
      <c r="L360" s="325">
        <f>'d3'!L360-d3П!L359</f>
        <v>0</v>
      </c>
      <c r="M360" s="325">
        <f>'d3'!M360-d3П!M359</f>
        <v>0</v>
      </c>
      <c r="N360" s="325">
        <f>'d3'!N360-d3П!N359</f>
        <v>0</v>
      </c>
      <c r="O360" s="325">
        <f>'d3'!O360-d3П!O359</f>
        <v>0</v>
      </c>
      <c r="P360" s="325">
        <f>'d3'!P360-d3П!P359</f>
        <v>0</v>
      </c>
      <c r="Q360" s="47"/>
      <c r="R360" s="50"/>
    </row>
    <row r="361" spans="1:18" ht="93" thickTop="1" thickBot="1" x14ac:dyDescent="0.25">
      <c r="A361" s="326" t="s">
        <v>1015</v>
      </c>
      <c r="B361" s="326" t="s">
        <v>1016</v>
      </c>
      <c r="C361" s="326"/>
      <c r="D361" s="326" t="s">
        <v>1014</v>
      </c>
      <c r="E361" s="325">
        <f>'d3'!E361-d3П!E360</f>
        <v>0</v>
      </c>
      <c r="F361" s="325">
        <f>'d3'!F361-d3П!F360</f>
        <v>0</v>
      </c>
      <c r="G361" s="325">
        <f>'d3'!G361-d3П!G360</f>
        <v>0</v>
      </c>
      <c r="H361" s="325">
        <f>'d3'!H361-d3П!H360</f>
        <v>0</v>
      </c>
      <c r="I361" s="325">
        <f>'d3'!I361-d3П!I360</f>
        <v>0</v>
      </c>
      <c r="J361" s="325">
        <f>'d3'!J361-d3П!J360</f>
        <v>0</v>
      </c>
      <c r="K361" s="325">
        <f>'d3'!K361-d3П!K360</f>
        <v>0</v>
      </c>
      <c r="L361" s="325">
        <f>'d3'!L361-d3П!L360</f>
        <v>0</v>
      </c>
      <c r="M361" s="325">
        <f>'d3'!M361-d3П!M360</f>
        <v>0</v>
      </c>
      <c r="N361" s="325">
        <f>'d3'!N361-d3П!N360</f>
        <v>0</v>
      </c>
      <c r="O361" s="325">
        <f>'d3'!O361-d3П!O360</f>
        <v>0</v>
      </c>
      <c r="P361" s="325">
        <f>'d3'!P361-d3П!P360</f>
        <v>0</v>
      </c>
      <c r="Q361" s="47"/>
      <c r="R361" s="50"/>
    </row>
    <row r="362" spans="1:18" ht="47.25" thickTop="1" thickBot="1" x14ac:dyDescent="0.25">
      <c r="A362" s="101" t="s">
        <v>467</v>
      </c>
      <c r="B362" s="101" t="s">
        <v>412</v>
      </c>
      <c r="C362" s="101" t="s">
        <v>413</v>
      </c>
      <c r="D362" s="101" t="s">
        <v>414</v>
      </c>
      <c r="E362" s="325">
        <f>'d3'!E362-d3П!E361</f>
        <v>0</v>
      </c>
      <c r="F362" s="325">
        <f>'d3'!F362-d3П!F361</f>
        <v>0</v>
      </c>
      <c r="G362" s="325">
        <f>'d3'!G362-d3П!G361</f>
        <v>0</v>
      </c>
      <c r="H362" s="325">
        <f>'d3'!H362-d3П!H361</f>
        <v>0</v>
      </c>
      <c r="I362" s="325">
        <f>'d3'!I362-d3П!I361</f>
        <v>0</v>
      </c>
      <c r="J362" s="325">
        <f>'d3'!J362-d3П!J361</f>
        <v>0</v>
      </c>
      <c r="K362" s="325">
        <f>'d3'!K362-d3П!K361</f>
        <v>0</v>
      </c>
      <c r="L362" s="325">
        <f>'d3'!L362-d3П!L361</f>
        <v>0</v>
      </c>
      <c r="M362" s="325">
        <f>'d3'!M362-d3П!M361</f>
        <v>0</v>
      </c>
      <c r="N362" s="325">
        <f>'d3'!N362-d3П!N361</f>
        <v>0</v>
      </c>
      <c r="O362" s="325">
        <f>'d3'!O362-d3П!O361</f>
        <v>0</v>
      </c>
      <c r="P362" s="325">
        <f>'d3'!P362-d3П!P361</f>
        <v>0</v>
      </c>
      <c r="Q362" s="47"/>
      <c r="R362" s="50"/>
    </row>
    <row r="363" spans="1:18" ht="93" thickTop="1" thickBot="1" x14ac:dyDescent="0.25">
      <c r="A363" s="326" t="s">
        <v>826</v>
      </c>
      <c r="B363" s="326" t="s">
        <v>827</v>
      </c>
      <c r="C363" s="326"/>
      <c r="D363" s="326" t="s">
        <v>828</v>
      </c>
      <c r="E363" s="325">
        <f>'d3'!E363-d3П!E362</f>
        <v>0</v>
      </c>
      <c r="F363" s="325">
        <f>'d3'!F363-d3П!F362</f>
        <v>0</v>
      </c>
      <c r="G363" s="325">
        <f>'d3'!G363-d3П!G362</f>
        <v>0</v>
      </c>
      <c r="H363" s="325">
        <f>'d3'!H363-d3П!H362</f>
        <v>0</v>
      </c>
      <c r="I363" s="325">
        <f>'d3'!I363-d3П!I362</f>
        <v>0</v>
      </c>
      <c r="J363" s="325">
        <f>'d3'!J363-d3П!J362</f>
        <v>0</v>
      </c>
      <c r="K363" s="325">
        <f>'d3'!K363-d3П!K362</f>
        <v>0</v>
      </c>
      <c r="L363" s="325">
        <f>'d3'!L363-d3П!L362</f>
        <v>0</v>
      </c>
      <c r="M363" s="325">
        <f>'d3'!M363-d3П!M362</f>
        <v>0</v>
      </c>
      <c r="N363" s="325">
        <f>'d3'!N363-d3П!N362</f>
        <v>0</v>
      </c>
      <c r="O363" s="325">
        <f>'d3'!O363-d3П!O362</f>
        <v>0</v>
      </c>
      <c r="P363" s="325">
        <f>'d3'!P363-d3П!P362</f>
        <v>0</v>
      </c>
      <c r="Q363" s="47"/>
      <c r="R363" s="50"/>
    </row>
    <row r="364" spans="1:18" ht="47.25" thickTop="1" thickBot="1" x14ac:dyDescent="0.25">
      <c r="A364" s="101" t="s">
        <v>468</v>
      </c>
      <c r="B364" s="101" t="s">
        <v>291</v>
      </c>
      <c r="C364" s="101" t="s">
        <v>1366</v>
      </c>
      <c r="D364" s="101" t="s">
        <v>292</v>
      </c>
      <c r="E364" s="325">
        <f>'d3'!E364-d3П!E363</f>
        <v>0</v>
      </c>
      <c r="F364" s="325">
        <f>'d3'!F364-d3П!F363</f>
        <v>0</v>
      </c>
      <c r="G364" s="325">
        <f>'d3'!G364-d3П!G363</f>
        <v>0</v>
      </c>
      <c r="H364" s="325">
        <f>'d3'!H364-d3П!H363</f>
        <v>0</v>
      </c>
      <c r="I364" s="325">
        <f>'d3'!I364-d3П!I363</f>
        <v>0</v>
      </c>
      <c r="J364" s="325">
        <f>'d3'!J364-d3П!J363</f>
        <v>0</v>
      </c>
      <c r="K364" s="325">
        <f>'d3'!K364-d3П!K363</f>
        <v>0</v>
      </c>
      <c r="L364" s="325">
        <f>'d3'!L364-d3П!L363</f>
        <v>0</v>
      </c>
      <c r="M364" s="325">
        <f>'d3'!M364-d3П!M363</f>
        <v>0</v>
      </c>
      <c r="N364" s="325">
        <f>'d3'!N364-d3П!N363</f>
        <v>0</v>
      </c>
      <c r="O364" s="325">
        <f>'d3'!O364-d3П!O363</f>
        <v>0</v>
      </c>
      <c r="P364" s="325">
        <f>'d3'!P364-d3П!P363</f>
        <v>0</v>
      </c>
      <c r="Q364" s="47"/>
      <c r="R364" s="50"/>
    </row>
    <row r="365" spans="1:18" ht="47.25" hidden="1" thickTop="1" thickBot="1" x14ac:dyDescent="0.25">
      <c r="A365" s="126" t="s">
        <v>1097</v>
      </c>
      <c r="B365" s="126" t="s">
        <v>1098</v>
      </c>
      <c r="C365" s="126" t="s">
        <v>295</v>
      </c>
      <c r="D365" s="126" t="s">
        <v>1096</v>
      </c>
      <c r="E365" s="325">
        <f>'d3'!E365-d3П!E364</f>
        <v>0</v>
      </c>
      <c r="F365" s="325">
        <f>'d3'!F365-d3П!F364</f>
        <v>0</v>
      </c>
      <c r="G365" s="325">
        <f>'d3'!G365-d3П!G364</f>
        <v>0</v>
      </c>
      <c r="H365" s="325">
        <f>'d3'!H365-d3П!H364</f>
        <v>0</v>
      </c>
      <c r="I365" s="325">
        <f>'d3'!I365-d3П!I364</f>
        <v>0</v>
      </c>
      <c r="J365" s="325">
        <f>'d3'!J365-d3П!J364</f>
        <v>0</v>
      </c>
      <c r="K365" s="325">
        <f>'d3'!K365-d3П!K364</f>
        <v>0</v>
      </c>
      <c r="L365" s="325">
        <f>'d3'!L365-d3П!L364</f>
        <v>0</v>
      </c>
      <c r="M365" s="325">
        <f>'d3'!M365-d3П!M364</f>
        <v>0</v>
      </c>
      <c r="N365" s="325">
        <f>'d3'!N365-d3П!N364</f>
        <v>0</v>
      </c>
      <c r="O365" s="325">
        <f>'d3'!O365-d3П!O364</f>
        <v>0</v>
      </c>
      <c r="P365" s="325">
        <f>'d3'!P365-d3П!P364</f>
        <v>0</v>
      </c>
      <c r="Q365" s="47"/>
      <c r="R365" s="50"/>
    </row>
    <row r="366" spans="1:18" ht="47.25" thickTop="1" thickBot="1" x14ac:dyDescent="0.25">
      <c r="A366" s="310" t="s">
        <v>1173</v>
      </c>
      <c r="B366" s="310" t="s">
        <v>691</v>
      </c>
      <c r="C366" s="310"/>
      <c r="D366" s="310" t="s">
        <v>689</v>
      </c>
      <c r="E366" s="325">
        <f>'d3'!E366-d3П!E365</f>
        <v>0</v>
      </c>
      <c r="F366" s="325">
        <f>'d3'!F366-d3П!F365</f>
        <v>0</v>
      </c>
      <c r="G366" s="325">
        <f>'d3'!G366-d3П!G365</f>
        <v>0</v>
      </c>
      <c r="H366" s="325">
        <f>'d3'!H366-d3П!H365</f>
        <v>0</v>
      </c>
      <c r="I366" s="325">
        <f>'d3'!I366-d3П!I365</f>
        <v>0</v>
      </c>
      <c r="J366" s="325">
        <f>'d3'!J366-d3П!J365</f>
        <v>0</v>
      </c>
      <c r="K366" s="325">
        <f>'d3'!K366-d3П!K365</f>
        <v>0</v>
      </c>
      <c r="L366" s="325">
        <f>'d3'!L366-d3П!L365</f>
        <v>0</v>
      </c>
      <c r="M366" s="325">
        <f>'d3'!M366-d3П!M365</f>
        <v>0</v>
      </c>
      <c r="N366" s="325">
        <f>'d3'!N366-d3П!N365</f>
        <v>0</v>
      </c>
      <c r="O366" s="325">
        <f>'d3'!O366-d3П!O365</f>
        <v>0</v>
      </c>
      <c r="P366" s="325">
        <f>'d3'!P366-d3П!P365</f>
        <v>0</v>
      </c>
      <c r="Q366" s="47"/>
      <c r="R366" s="50"/>
    </row>
    <row r="367" spans="1:18" ht="47.25" thickTop="1" thickBot="1" x14ac:dyDescent="0.25">
      <c r="A367" s="101" t="s">
        <v>1174</v>
      </c>
      <c r="B367" s="101" t="s">
        <v>197</v>
      </c>
      <c r="C367" s="101" t="s">
        <v>170</v>
      </c>
      <c r="D367" s="101" t="s">
        <v>1175</v>
      </c>
      <c r="E367" s="325">
        <f>'d3'!E367-d3П!E366</f>
        <v>0</v>
      </c>
      <c r="F367" s="325">
        <f>'d3'!F367-d3П!F366</f>
        <v>0</v>
      </c>
      <c r="G367" s="325">
        <f>'d3'!G367-d3П!G366</f>
        <v>0</v>
      </c>
      <c r="H367" s="325">
        <f>'d3'!H367-d3П!H366</f>
        <v>0</v>
      </c>
      <c r="I367" s="325">
        <f>'d3'!I367-d3П!I366</f>
        <v>0</v>
      </c>
      <c r="J367" s="325">
        <f>'d3'!J367-d3П!J366</f>
        <v>0</v>
      </c>
      <c r="K367" s="325">
        <f>'d3'!K367-d3П!K366</f>
        <v>0</v>
      </c>
      <c r="L367" s="325">
        <f>'d3'!L367-d3П!L366</f>
        <v>0</v>
      </c>
      <c r="M367" s="325">
        <f>'d3'!M367-d3П!M366</f>
        <v>0</v>
      </c>
      <c r="N367" s="325">
        <f>'d3'!N367-d3П!N366</f>
        <v>0</v>
      </c>
      <c r="O367" s="325">
        <f>'d3'!O367-d3П!O366</f>
        <v>0</v>
      </c>
      <c r="P367" s="325">
        <f>'d3'!P367-d3П!P366</f>
        <v>0</v>
      </c>
      <c r="Q367" s="47"/>
      <c r="R367" s="50"/>
    </row>
    <row r="368" spans="1:18" ht="47.25" thickTop="1" thickBot="1" x14ac:dyDescent="0.25">
      <c r="A368" s="308" t="s">
        <v>1219</v>
      </c>
      <c r="B368" s="308" t="s">
        <v>696</v>
      </c>
      <c r="C368" s="308"/>
      <c r="D368" s="308" t="s">
        <v>697</v>
      </c>
      <c r="E368" s="325">
        <f>'d3'!E368-d3П!E367</f>
        <v>0</v>
      </c>
      <c r="F368" s="325">
        <f>'d3'!F368-d3П!F367</f>
        <v>0</v>
      </c>
      <c r="G368" s="325">
        <f>'d3'!G368-d3П!G367</f>
        <v>0</v>
      </c>
      <c r="H368" s="325">
        <f>'d3'!H368-d3П!H367</f>
        <v>0</v>
      </c>
      <c r="I368" s="325">
        <f>'d3'!I368-d3П!I367</f>
        <v>0</v>
      </c>
      <c r="J368" s="325">
        <f>'d3'!J368-d3П!J367</f>
        <v>0</v>
      </c>
      <c r="K368" s="325">
        <f>'d3'!K368-d3П!K367</f>
        <v>0</v>
      </c>
      <c r="L368" s="325">
        <f>'d3'!L368-d3П!L367</f>
        <v>0</v>
      </c>
      <c r="M368" s="325">
        <f>'d3'!M368-d3П!M367</f>
        <v>0</v>
      </c>
      <c r="N368" s="325">
        <f>'d3'!N368-d3П!N367</f>
        <v>0</v>
      </c>
      <c r="O368" s="325">
        <f>'d3'!O368-d3П!O367</f>
        <v>0</v>
      </c>
      <c r="P368" s="325">
        <f>'d3'!P368-d3П!P367</f>
        <v>0</v>
      </c>
      <c r="Q368" s="47"/>
      <c r="R368" s="50"/>
    </row>
    <row r="369" spans="1:18" ht="47.25" thickTop="1" thickBot="1" x14ac:dyDescent="0.25">
      <c r="A369" s="310" t="s">
        <v>1220</v>
      </c>
      <c r="B369" s="310" t="s">
        <v>1186</v>
      </c>
      <c r="C369" s="310"/>
      <c r="D369" s="310" t="s">
        <v>1184</v>
      </c>
      <c r="E369" s="325">
        <f>'d3'!E369-d3П!E368</f>
        <v>0</v>
      </c>
      <c r="F369" s="325">
        <f>'d3'!F369-d3П!F368</f>
        <v>0</v>
      </c>
      <c r="G369" s="325">
        <f>'d3'!G369-d3П!G368</f>
        <v>0</v>
      </c>
      <c r="H369" s="325">
        <f>'d3'!H369-d3П!H368</f>
        <v>0</v>
      </c>
      <c r="I369" s="325">
        <f>'d3'!I369-d3П!I368</f>
        <v>0</v>
      </c>
      <c r="J369" s="325">
        <f>'d3'!J369-d3П!J368</f>
        <v>0</v>
      </c>
      <c r="K369" s="325">
        <f>'d3'!K369-d3П!K368</f>
        <v>0</v>
      </c>
      <c r="L369" s="325">
        <f>'d3'!L369-d3П!L368</f>
        <v>0</v>
      </c>
      <c r="M369" s="325">
        <f>'d3'!M369-d3П!M368</f>
        <v>0</v>
      </c>
      <c r="N369" s="325">
        <f>'d3'!N369-d3П!N368</f>
        <v>0</v>
      </c>
      <c r="O369" s="325">
        <f>'d3'!O369-d3П!O368</f>
        <v>0</v>
      </c>
      <c r="P369" s="325">
        <f>'d3'!P369-d3П!P368</f>
        <v>0</v>
      </c>
      <c r="Q369" s="47"/>
      <c r="R369" s="50"/>
    </row>
    <row r="370" spans="1:18" ht="47.25" thickTop="1" thickBot="1" x14ac:dyDescent="0.25">
      <c r="A370" s="101" t="s">
        <v>1221</v>
      </c>
      <c r="B370" s="101" t="s">
        <v>1222</v>
      </c>
      <c r="C370" s="101" t="s">
        <v>1188</v>
      </c>
      <c r="D370" s="101" t="s">
        <v>1223</v>
      </c>
      <c r="E370" s="325">
        <f>'d3'!E370-d3П!E369</f>
        <v>0</v>
      </c>
      <c r="F370" s="325">
        <f>'d3'!F370-d3П!F369</f>
        <v>0</v>
      </c>
      <c r="G370" s="325">
        <f>'d3'!G370-d3П!G369</f>
        <v>0</v>
      </c>
      <c r="H370" s="325">
        <f>'d3'!H370-d3П!H369</f>
        <v>0</v>
      </c>
      <c r="I370" s="325">
        <f>'d3'!I370-d3П!I369</f>
        <v>0</v>
      </c>
      <c r="J370" s="325">
        <f>'d3'!J370-d3П!J369</f>
        <v>0</v>
      </c>
      <c r="K370" s="325">
        <f>'d3'!K370-d3П!K369</f>
        <v>0</v>
      </c>
      <c r="L370" s="325">
        <f>'d3'!L370-d3П!L369</f>
        <v>0</v>
      </c>
      <c r="M370" s="325">
        <f>'d3'!M370-d3П!M369</f>
        <v>0</v>
      </c>
      <c r="N370" s="325">
        <f>'d3'!N370-d3П!N369</f>
        <v>0</v>
      </c>
      <c r="O370" s="325">
        <f>'d3'!O370-d3П!O369</f>
        <v>0</v>
      </c>
      <c r="P370" s="325">
        <f>'d3'!P370-d3П!P369</f>
        <v>0</v>
      </c>
      <c r="Q370" s="47"/>
      <c r="R370" s="50"/>
    </row>
    <row r="371" spans="1:18" ht="47.25" hidden="1" thickTop="1" thickBot="1" x14ac:dyDescent="0.25">
      <c r="A371" s="123" t="s">
        <v>1333</v>
      </c>
      <c r="B371" s="123" t="s">
        <v>702</v>
      </c>
      <c r="C371" s="123"/>
      <c r="D371" s="123" t="s">
        <v>703</v>
      </c>
      <c r="E371" s="125">
        <f t="shared" ref="E371:P371" si="95">E372</f>
        <v>0</v>
      </c>
      <c r="F371" s="125">
        <f t="shared" si="95"/>
        <v>0</v>
      </c>
      <c r="G371" s="125">
        <f t="shared" si="95"/>
        <v>0</v>
      </c>
      <c r="H371" s="125">
        <f t="shared" si="95"/>
        <v>0</v>
      </c>
      <c r="I371" s="125">
        <f t="shared" si="95"/>
        <v>0</v>
      </c>
      <c r="J371" s="125">
        <f t="shared" si="95"/>
        <v>0</v>
      </c>
      <c r="K371" s="125">
        <f t="shared" si="95"/>
        <v>0</v>
      </c>
      <c r="L371" s="125">
        <f t="shared" si="95"/>
        <v>0</v>
      </c>
      <c r="M371" s="125">
        <f t="shared" si="95"/>
        <v>0</v>
      </c>
      <c r="N371" s="125">
        <f t="shared" si="95"/>
        <v>0</v>
      </c>
      <c r="O371" s="125">
        <f t="shared" si="95"/>
        <v>0</v>
      </c>
      <c r="P371" s="125">
        <f t="shared" si="95"/>
        <v>0</v>
      </c>
      <c r="Q371" s="47"/>
      <c r="R371" s="50"/>
    </row>
    <row r="372" spans="1:18" ht="91.5" hidden="1" thickTop="1" thickBot="1" x14ac:dyDescent="0.25">
      <c r="A372" s="134" t="s">
        <v>1334</v>
      </c>
      <c r="B372" s="134" t="s">
        <v>514</v>
      </c>
      <c r="C372" s="134" t="s">
        <v>43</v>
      </c>
      <c r="D372" s="134" t="s">
        <v>515</v>
      </c>
      <c r="E372" s="135">
        <f t="shared" ref="E372" si="96">F372</f>
        <v>0</v>
      </c>
      <c r="F372" s="135">
        <v>0</v>
      </c>
      <c r="G372" s="135"/>
      <c r="H372" s="135"/>
      <c r="I372" s="135"/>
      <c r="J372" s="135">
        <f>L372+O372</f>
        <v>0</v>
      </c>
      <c r="K372" s="132"/>
      <c r="L372" s="135"/>
      <c r="M372" s="135"/>
      <c r="N372" s="135"/>
      <c r="O372" s="135">
        <f>(K372+0)</f>
        <v>0</v>
      </c>
      <c r="P372" s="135">
        <f>E372+J372</f>
        <v>0</v>
      </c>
      <c r="Q372" s="47"/>
      <c r="R372" s="50"/>
    </row>
    <row r="373" spans="1:18" ht="120" customHeight="1" thickTop="1" thickBot="1" x14ac:dyDescent="0.25">
      <c r="A373" s="645" t="s">
        <v>166</v>
      </c>
      <c r="B373" s="645"/>
      <c r="C373" s="645"/>
      <c r="D373" s="646" t="s">
        <v>354</v>
      </c>
      <c r="E373" s="647">
        <f>E374</f>
        <v>3803500</v>
      </c>
      <c r="F373" s="648">
        <f t="shared" ref="F373:G373" si="97">F374</f>
        <v>3803500</v>
      </c>
      <c r="G373" s="648">
        <f t="shared" si="97"/>
        <v>0</v>
      </c>
      <c r="H373" s="648">
        <f>H374</f>
        <v>0</v>
      </c>
      <c r="I373" s="648">
        <f t="shared" ref="I373" si="98">I374</f>
        <v>0</v>
      </c>
      <c r="J373" s="647">
        <f>J374</f>
        <v>-4000000</v>
      </c>
      <c r="K373" s="648">
        <f>K374</f>
        <v>-4000000</v>
      </c>
      <c r="L373" s="648">
        <f>L374</f>
        <v>0</v>
      </c>
      <c r="M373" s="648">
        <f t="shared" ref="M373" si="99">M374</f>
        <v>0</v>
      </c>
      <c r="N373" s="648">
        <f>N374</f>
        <v>0</v>
      </c>
      <c r="O373" s="647">
        <f>O374</f>
        <v>-4000000</v>
      </c>
      <c r="P373" s="648">
        <f t="shared" ref="P373" si="100">P374</f>
        <v>-196500</v>
      </c>
      <c r="Q373" s="20"/>
    </row>
    <row r="374" spans="1:18" ht="120" customHeight="1" thickTop="1" thickBot="1" x14ac:dyDescent="0.25">
      <c r="A374" s="642" t="s">
        <v>167</v>
      </c>
      <c r="B374" s="642"/>
      <c r="C374" s="642"/>
      <c r="D374" s="643" t="s">
        <v>355</v>
      </c>
      <c r="E374" s="644">
        <f>E378+E390+E387+E375</f>
        <v>3803500</v>
      </c>
      <c r="F374" s="644">
        <f>F378+F390+F387+F375</f>
        <v>3803500</v>
      </c>
      <c r="G374" s="644">
        <f>G378+G390+G387+G375</f>
        <v>0</v>
      </c>
      <c r="H374" s="644">
        <f>H378+H390+H387+H375</f>
        <v>0</v>
      </c>
      <c r="I374" s="644">
        <f>I378+I390+I387+I375</f>
        <v>0</v>
      </c>
      <c r="J374" s="644">
        <f>L374+O374</f>
        <v>-4000000</v>
      </c>
      <c r="K374" s="644">
        <f>K378+K390+K387+K375</f>
        <v>-4000000</v>
      </c>
      <c r="L374" s="644">
        <f>L378+L390+L387+L375</f>
        <v>0</v>
      </c>
      <c r="M374" s="644">
        <f>M378+M390+M387+M375</f>
        <v>0</v>
      </c>
      <c r="N374" s="644">
        <f>N378+N390+N387+N375</f>
        <v>0</v>
      </c>
      <c r="O374" s="644">
        <f>O378+O390+O387+O375</f>
        <v>-4000000</v>
      </c>
      <c r="P374" s="644">
        <f>E374+J374</f>
        <v>-196500</v>
      </c>
      <c r="Q374" s="492" t="b">
        <f>P374=P380+P382+P383+P384+P376+P389+P377</f>
        <v>1</v>
      </c>
      <c r="R374" s="46"/>
    </row>
    <row r="375" spans="1:18" ht="47.25" thickTop="1" thickBot="1" x14ac:dyDescent="0.25">
      <c r="A375" s="308" t="s">
        <v>1307</v>
      </c>
      <c r="B375" s="308" t="s">
        <v>711</v>
      </c>
      <c r="C375" s="308"/>
      <c r="D375" s="308" t="s">
        <v>712</v>
      </c>
      <c r="E375" s="325">
        <f>'d3'!E375-d3П!E374</f>
        <v>0</v>
      </c>
      <c r="F375" s="325">
        <f>'d3'!F375-d3П!F374</f>
        <v>0</v>
      </c>
      <c r="G375" s="325">
        <f>'d3'!G375-d3П!G374</f>
        <v>0</v>
      </c>
      <c r="H375" s="325">
        <f>'d3'!H375-d3П!H374</f>
        <v>0</v>
      </c>
      <c r="I375" s="325">
        <f>'d3'!I375-d3П!I374</f>
        <v>0</v>
      </c>
      <c r="J375" s="325">
        <f>'d3'!J375-d3П!J374</f>
        <v>0</v>
      </c>
      <c r="K375" s="325">
        <f>'d3'!K375-d3П!K374</f>
        <v>0</v>
      </c>
      <c r="L375" s="325">
        <f>'d3'!L375-d3П!L374</f>
        <v>0</v>
      </c>
      <c r="M375" s="325">
        <f>'d3'!M375-d3П!M374</f>
        <v>0</v>
      </c>
      <c r="N375" s="325">
        <f>'d3'!N375-d3П!N374</f>
        <v>0</v>
      </c>
      <c r="O375" s="325">
        <f>'d3'!O375-d3П!O374</f>
        <v>0</v>
      </c>
      <c r="P375" s="325">
        <f>'d3'!P375-d3П!P374</f>
        <v>0</v>
      </c>
      <c r="Q375" s="47"/>
      <c r="R375" s="46"/>
    </row>
    <row r="376" spans="1:18" ht="93" thickTop="1" thickBot="1" x14ac:dyDescent="0.25">
      <c r="A376" s="101" t="s">
        <v>1308</v>
      </c>
      <c r="B376" s="101" t="s">
        <v>1200</v>
      </c>
      <c r="C376" s="101" t="s">
        <v>206</v>
      </c>
      <c r="D376" s="466" t="s">
        <v>1201</v>
      </c>
      <c r="E376" s="325">
        <f>'d3'!E376-d3П!E375</f>
        <v>0</v>
      </c>
      <c r="F376" s="325">
        <f>'d3'!F376-d3П!F375</f>
        <v>0</v>
      </c>
      <c r="G376" s="325">
        <f>'d3'!G376-d3П!G375</f>
        <v>0</v>
      </c>
      <c r="H376" s="325">
        <f>'d3'!H376-d3П!H375</f>
        <v>0</v>
      </c>
      <c r="I376" s="325">
        <f>'d3'!I376-d3П!I375</f>
        <v>0</v>
      </c>
      <c r="J376" s="325">
        <f>'d3'!J376-d3П!J375</f>
        <v>0</v>
      </c>
      <c r="K376" s="325">
        <f>'d3'!K376-d3П!K375</f>
        <v>0</v>
      </c>
      <c r="L376" s="325">
        <f>'d3'!L376-d3П!L375</f>
        <v>0</v>
      </c>
      <c r="M376" s="325">
        <f>'d3'!M376-d3П!M375</f>
        <v>0</v>
      </c>
      <c r="N376" s="325">
        <f>'d3'!N376-d3П!N375</f>
        <v>0</v>
      </c>
      <c r="O376" s="325">
        <f>'d3'!O376-d3П!O375</f>
        <v>0</v>
      </c>
      <c r="P376" s="325">
        <f>'d3'!P376-d3П!P375</f>
        <v>0</v>
      </c>
      <c r="Q376" s="47"/>
      <c r="R376" s="46"/>
    </row>
    <row r="377" spans="1:18" ht="54" customHeight="1" thickTop="1" thickBot="1" x14ac:dyDescent="0.25">
      <c r="A377" s="101" t="s">
        <v>1620</v>
      </c>
      <c r="B377" s="101" t="s">
        <v>330</v>
      </c>
      <c r="C377" s="101" t="s">
        <v>191</v>
      </c>
      <c r="D377" s="466" t="s">
        <v>332</v>
      </c>
      <c r="E377" s="325">
        <f>'d3'!E377-d3П!E376</f>
        <v>0</v>
      </c>
      <c r="F377" s="325">
        <f>'d3'!F377-d3П!F376</f>
        <v>0</v>
      </c>
      <c r="G377" s="325">
        <f>'d3'!G377-d3П!G376</f>
        <v>0</v>
      </c>
      <c r="H377" s="325">
        <f>'d3'!H377-d3П!H376</f>
        <v>0</v>
      </c>
      <c r="I377" s="325">
        <f>'d3'!I377-d3П!I376</f>
        <v>0</v>
      </c>
      <c r="J377" s="325">
        <f>'d3'!J377-d3П!J376</f>
        <v>0</v>
      </c>
      <c r="K377" s="325">
        <f>'d3'!K377-d3П!K376</f>
        <v>0</v>
      </c>
      <c r="L377" s="325">
        <f>'d3'!L377-d3П!L376</f>
        <v>0</v>
      </c>
      <c r="M377" s="325">
        <f>'d3'!M377-d3П!M376</f>
        <v>0</v>
      </c>
      <c r="N377" s="325">
        <f>'d3'!N377-d3П!N376</f>
        <v>0</v>
      </c>
      <c r="O377" s="325">
        <f>'d3'!O377-d3П!O376</f>
        <v>0</v>
      </c>
      <c r="P377" s="325">
        <f>'d3'!P377-d3П!P376</f>
        <v>0</v>
      </c>
      <c r="Q377" s="47"/>
      <c r="R377" s="46"/>
    </row>
    <row r="378" spans="1:18" ht="44.25" customHeight="1" thickTop="1" thickBot="1" x14ac:dyDescent="0.25">
      <c r="A378" s="308" t="s">
        <v>829</v>
      </c>
      <c r="B378" s="308" t="s">
        <v>748</v>
      </c>
      <c r="C378" s="101"/>
      <c r="D378" s="308" t="s">
        <v>794</v>
      </c>
      <c r="E378" s="325">
        <f>'d3'!E378-d3П!E377</f>
        <v>3803500</v>
      </c>
      <c r="F378" s="325">
        <f>'d3'!F378-d3П!F377</f>
        <v>3803500</v>
      </c>
      <c r="G378" s="325">
        <f>'d3'!G378-d3П!G377</f>
        <v>0</v>
      </c>
      <c r="H378" s="325">
        <f>'d3'!H378-d3П!H377</f>
        <v>0</v>
      </c>
      <c r="I378" s="325">
        <f>'d3'!I378-d3П!I377</f>
        <v>0</v>
      </c>
      <c r="J378" s="325">
        <f>'d3'!J378-d3П!J377</f>
        <v>-4000000</v>
      </c>
      <c r="K378" s="325">
        <f>'d3'!K378-d3П!K377</f>
        <v>-4000000</v>
      </c>
      <c r="L378" s="325">
        <f>'d3'!L378-d3П!L377</f>
        <v>0</v>
      </c>
      <c r="M378" s="325">
        <f>'d3'!M378-d3П!M377</f>
        <v>0</v>
      </c>
      <c r="N378" s="325">
        <f>'d3'!N378-d3П!N377</f>
        <v>0</v>
      </c>
      <c r="O378" s="325">
        <f>'d3'!O378-d3П!O377</f>
        <v>-4000000</v>
      </c>
      <c r="P378" s="325">
        <f>'d3'!P378-d3П!P377</f>
        <v>-196500</v>
      </c>
      <c r="Q378" s="47"/>
      <c r="R378" s="46"/>
    </row>
    <row r="379" spans="1:18" ht="47.25" thickTop="1" thickBot="1" x14ac:dyDescent="0.25">
      <c r="A379" s="310" t="s">
        <v>1012</v>
      </c>
      <c r="B379" s="310" t="s">
        <v>803</v>
      </c>
      <c r="C379" s="310"/>
      <c r="D379" s="310" t="s">
        <v>804</v>
      </c>
      <c r="E379" s="325">
        <f>'d3'!E379-d3П!E378</f>
        <v>0</v>
      </c>
      <c r="F379" s="325">
        <f>'d3'!F379-d3П!F378</f>
        <v>0</v>
      </c>
      <c r="G379" s="325">
        <f>'d3'!G379-d3П!G378</f>
        <v>0</v>
      </c>
      <c r="H379" s="325">
        <f>'d3'!H379-d3П!H378</f>
        <v>0</v>
      </c>
      <c r="I379" s="325">
        <f>'d3'!I379-d3П!I378</f>
        <v>0</v>
      </c>
      <c r="J379" s="325">
        <f>'d3'!J379-d3П!J378</f>
        <v>-4000000</v>
      </c>
      <c r="K379" s="325">
        <f>'d3'!K379-d3П!K378</f>
        <v>-4000000</v>
      </c>
      <c r="L379" s="325">
        <f>'d3'!L379-d3П!L378</f>
        <v>0</v>
      </c>
      <c r="M379" s="325">
        <f>'d3'!M379-d3П!M378</f>
        <v>0</v>
      </c>
      <c r="N379" s="325">
        <f>'d3'!N379-d3П!N378</f>
        <v>0</v>
      </c>
      <c r="O379" s="325">
        <f>'d3'!O379-d3П!O378</f>
        <v>-4000000</v>
      </c>
      <c r="P379" s="325">
        <f>'d3'!P379-d3П!P378</f>
        <v>-4000000</v>
      </c>
      <c r="Q379" s="47"/>
      <c r="R379" s="46"/>
    </row>
    <row r="380" spans="1:18" ht="47.25" thickTop="1" thickBot="1" x14ac:dyDescent="0.25">
      <c r="A380" s="101" t="s">
        <v>1013</v>
      </c>
      <c r="B380" s="101" t="s">
        <v>350</v>
      </c>
      <c r="C380" s="101" t="s">
        <v>170</v>
      </c>
      <c r="D380" s="101" t="s">
        <v>262</v>
      </c>
      <c r="E380" s="325">
        <f>'d3'!E380-d3П!E379</f>
        <v>0</v>
      </c>
      <c r="F380" s="325">
        <f>'d3'!F380-d3П!F379</f>
        <v>0</v>
      </c>
      <c r="G380" s="325">
        <f>'d3'!G380-d3П!G379</f>
        <v>0</v>
      </c>
      <c r="H380" s="325">
        <f>'d3'!H380-d3П!H379</f>
        <v>0</v>
      </c>
      <c r="I380" s="325">
        <f>'d3'!I380-d3П!I379</f>
        <v>0</v>
      </c>
      <c r="J380" s="325">
        <f>'d3'!J380-d3П!J379</f>
        <v>-4000000</v>
      </c>
      <c r="K380" s="325">
        <f>'d3'!K380-d3П!K379</f>
        <v>-4000000</v>
      </c>
      <c r="L380" s="325">
        <f>'d3'!L380-d3П!L379</f>
        <v>0</v>
      </c>
      <c r="M380" s="325">
        <f>'d3'!M380-d3П!M379</f>
        <v>0</v>
      </c>
      <c r="N380" s="325">
        <f>'d3'!N380-d3П!N379</f>
        <v>0</v>
      </c>
      <c r="O380" s="325">
        <f>'d3'!O380-d3П!O379</f>
        <v>-4000000</v>
      </c>
      <c r="P380" s="325">
        <f>'d3'!P380-d3П!P379</f>
        <v>-4000000</v>
      </c>
      <c r="Q380" s="47"/>
      <c r="R380" s="46"/>
    </row>
    <row r="381" spans="1:18" ht="47.25" thickTop="1" thickBot="1" x14ac:dyDescent="0.25">
      <c r="A381" s="310" t="s">
        <v>830</v>
      </c>
      <c r="B381" s="310" t="s">
        <v>691</v>
      </c>
      <c r="C381" s="310"/>
      <c r="D381" s="310" t="s">
        <v>689</v>
      </c>
      <c r="E381" s="325">
        <f>'d3'!E381-d3П!E380</f>
        <v>3803500</v>
      </c>
      <c r="F381" s="325">
        <f>'d3'!F381-d3П!F380</f>
        <v>3803500</v>
      </c>
      <c r="G381" s="325">
        <f>'d3'!G381-d3П!G380</f>
        <v>0</v>
      </c>
      <c r="H381" s="325">
        <f>'d3'!H381-d3П!H380</f>
        <v>0</v>
      </c>
      <c r="I381" s="325">
        <f>'d3'!I381-d3П!I380</f>
        <v>0</v>
      </c>
      <c r="J381" s="325">
        <f>'d3'!J381-d3П!J380</f>
        <v>0</v>
      </c>
      <c r="K381" s="325">
        <f>'d3'!K381-d3П!K380</f>
        <v>0</v>
      </c>
      <c r="L381" s="325">
        <f>'d3'!L381-d3П!L380</f>
        <v>0</v>
      </c>
      <c r="M381" s="325">
        <f>'d3'!M381-d3П!M380</f>
        <v>0</v>
      </c>
      <c r="N381" s="325">
        <f>'d3'!N381-d3П!N380</f>
        <v>0</v>
      </c>
      <c r="O381" s="325">
        <f>'d3'!O381-d3П!O380</f>
        <v>0</v>
      </c>
      <c r="P381" s="325">
        <f>'d3'!P381-d3П!P380</f>
        <v>3803500</v>
      </c>
      <c r="Q381" s="47"/>
      <c r="R381" s="46"/>
    </row>
    <row r="382" spans="1:18" ht="47.25" thickTop="1" thickBot="1" x14ac:dyDescent="0.25">
      <c r="A382" s="101" t="s">
        <v>260</v>
      </c>
      <c r="B382" s="101" t="s">
        <v>261</v>
      </c>
      <c r="C382" s="101" t="s">
        <v>259</v>
      </c>
      <c r="D382" s="101" t="s">
        <v>258</v>
      </c>
      <c r="E382" s="325">
        <f>'d3'!E382-d3П!E381</f>
        <v>3703500</v>
      </c>
      <c r="F382" s="325">
        <f>'d3'!F382-d3П!F381</f>
        <v>3703500</v>
      </c>
      <c r="G382" s="325">
        <f>'d3'!G382-d3П!G381</f>
        <v>0</v>
      </c>
      <c r="H382" s="325">
        <f>'d3'!H382-d3П!H381</f>
        <v>0</v>
      </c>
      <c r="I382" s="325">
        <f>'d3'!I382-d3П!I381</f>
        <v>0</v>
      </c>
      <c r="J382" s="325">
        <f>'d3'!J382-d3П!J381</f>
        <v>0</v>
      </c>
      <c r="K382" s="325">
        <f>'d3'!K382-d3П!K381</f>
        <v>0</v>
      </c>
      <c r="L382" s="325">
        <f>'d3'!L382-d3П!L381</f>
        <v>0</v>
      </c>
      <c r="M382" s="325">
        <f>'d3'!M382-d3П!M381</f>
        <v>0</v>
      </c>
      <c r="N382" s="325">
        <f>'d3'!N382-d3П!N381</f>
        <v>0</v>
      </c>
      <c r="O382" s="325">
        <f>'d3'!O382-d3П!O381</f>
        <v>0</v>
      </c>
      <c r="P382" s="325">
        <f>'d3'!P382-d3П!P381</f>
        <v>3703500</v>
      </c>
      <c r="Q382" s="20"/>
      <c r="R382" s="46"/>
    </row>
    <row r="383" spans="1:18" ht="47.25" thickTop="1" thickBot="1" x14ac:dyDescent="0.25">
      <c r="A383" s="101" t="s">
        <v>252</v>
      </c>
      <c r="B383" s="101" t="s">
        <v>254</v>
      </c>
      <c r="C383" s="101" t="s">
        <v>213</v>
      </c>
      <c r="D383" s="101" t="s">
        <v>253</v>
      </c>
      <c r="E383" s="325">
        <f>'d3'!E383-d3П!E382</f>
        <v>100000</v>
      </c>
      <c r="F383" s="325">
        <f>'d3'!F383-d3П!F382</f>
        <v>100000</v>
      </c>
      <c r="G383" s="325">
        <f>'d3'!G383-d3П!G382</f>
        <v>0</v>
      </c>
      <c r="H383" s="325">
        <f>'d3'!H383-d3П!H382</f>
        <v>0</v>
      </c>
      <c r="I383" s="325">
        <f>'d3'!I383-d3П!I382</f>
        <v>0</v>
      </c>
      <c r="J383" s="325">
        <f>'d3'!J383-d3П!J382</f>
        <v>0</v>
      </c>
      <c r="K383" s="325">
        <f>'d3'!K383-d3П!K382</f>
        <v>0</v>
      </c>
      <c r="L383" s="325">
        <f>'d3'!L383-d3П!L382</f>
        <v>0</v>
      </c>
      <c r="M383" s="325">
        <f>'d3'!M383-d3П!M382</f>
        <v>0</v>
      </c>
      <c r="N383" s="325">
        <f>'d3'!N383-d3П!N382</f>
        <v>0</v>
      </c>
      <c r="O383" s="325">
        <f>'d3'!O383-d3П!O382</f>
        <v>0</v>
      </c>
      <c r="P383" s="325">
        <f>'d3'!P383-d3П!P382</f>
        <v>100000</v>
      </c>
      <c r="Q383" s="20"/>
      <c r="R383" s="46"/>
    </row>
    <row r="384" spans="1:18" ht="47.25" hidden="1" thickTop="1" thickBot="1" x14ac:dyDescent="0.25">
      <c r="A384" s="101" t="s">
        <v>1302</v>
      </c>
      <c r="B384" s="101" t="s">
        <v>212</v>
      </c>
      <c r="C384" s="101" t="s">
        <v>213</v>
      </c>
      <c r="D384" s="101" t="s">
        <v>41</v>
      </c>
      <c r="E384" s="325">
        <f>'d3'!E384-d3П!E383</f>
        <v>0</v>
      </c>
      <c r="F384" s="325">
        <f>'d3'!F384-d3П!F383</f>
        <v>0</v>
      </c>
      <c r="G384" s="325">
        <f>'d3'!G384-d3П!G383</f>
        <v>0</v>
      </c>
      <c r="H384" s="325">
        <f>'d3'!H384-d3П!H383</f>
        <v>0</v>
      </c>
      <c r="I384" s="325">
        <f>'d3'!I384-d3П!I383</f>
        <v>0</v>
      </c>
      <c r="J384" s="325">
        <f>'d3'!J384-d3П!J383</f>
        <v>0</v>
      </c>
      <c r="K384" s="325">
        <f>'d3'!K384-d3П!K383</f>
        <v>0</v>
      </c>
      <c r="L384" s="325">
        <f>'d3'!L384-d3П!L383</f>
        <v>0</v>
      </c>
      <c r="M384" s="325">
        <f>'d3'!M384-d3П!M383</f>
        <v>0</v>
      </c>
      <c r="N384" s="325">
        <f>'d3'!N384-d3П!N383</f>
        <v>0</v>
      </c>
      <c r="O384" s="325">
        <f>'d3'!O384-d3П!O383</f>
        <v>0</v>
      </c>
      <c r="P384" s="325">
        <f>'d3'!P384-d3П!P383</f>
        <v>0</v>
      </c>
      <c r="Q384" s="20"/>
      <c r="R384" s="46"/>
    </row>
    <row r="385" spans="1:18" ht="47.25" hidden="1" thickTop="1" thickBot="1" x14ac:dyDescent="0.25">
      <c r="A385" s="138" t="s">
        <v>831</v>
      </c>
      <c r="B385" s="138" t="s">
        <v>694</v>
      </c>
      <c r="C385" s="138"/>
      <c r="D385" s="138" t="s">
        <v>692</v>
      </c>
      <c r="E385" s="325">
        <f>'d3'!E385-d3П!E384</f>
        <v>0</v>
      </c>
      <c r="F385" s="325">
        <f>'d3'!F385-d3П!F384</f>
        <v>0</v>
      </c>
      <c r="G385" s="325">
        <f>'d3'!G385-d3П!G384</f>
        <v>0</v>
      </c>
      <c r="H385" s="325">
        <f>'d3'!H385-d3П!H384</f>
        <v>0</v>
      </c>
      <c r="I385" s="325">
        <f>'d3'!I385-d3П!I384</f>
        <v>0</v>
      </c>
      <c r="J385" s="325">
        <f>'d3'!J385-d3П!J384</f>
        <v>0</v>
      </c>
      <c r="K385" s="325">
        <f>'d3'!K385-d3П!K384</f>
        <v>0</v>
      </c>
      <c r="L385" s="325">
        <f>'d3'!L385-d3П!L384</f>
        <v>0</v>
      </c>
      <c r="M385" s="325">
        <f>'d3'!M385-d3П!M384</f>
        <v>0</v>
      </c>
      <c r="N385" s="325">
        <f>'d3'!N385-d3П!N384</f>
        <v>0</v>
      </c>
      <c r="O385" s="325">
        <f>'d3'!O385-d3П!O384</f>
        <v>0</v>
      </c>
      <c r="P385" s="325">
        <f>'d3'!P385-d3П!P384</f>
        <v>0</v>
      </c>
      <c r="Q385" s="20"/>
      <c r="R385" s="46"/>
    </row>
    <row r="386" spans="1:18" ht="47.25" hidden="1" thickTop="1" thickBot="1" x14ac:dyDescent="0.25">
      <c r="A386" s="126" t="s">
        <v>256</v>
      </c>
      <c r="B386" s="126" t="s">
        <v>257</v>
      </c>
      <c r="C386" s="126" t="s">
        <v>170</v>
      </c>
      <c r="D386" s="126" t="s">
        <v>255</v>
      </c>
      <c r="E386" s="325">
        <f>'d3'!E386-d3П!E385</f>
        <v>0</v>
      </c>
      <c r="F386" s="325">
        <f>'d3'!F386-d3П!F385</f>
        <v>0</v>
      </c>
      <c r="G386" s="325">
        <f>'d3'!G386-d3П!G385</f>
        <v>0</v>
      </c>
      <c r="H386" s="325">
        <f>'d3'!H386-d3П!H385</f>
        <v>0</v>
      </c>
      <c r="I386" s="325">
        <f>'d3'!I386-d3П!I385</f>
        <v>0</v>
      </c>
      <c r="J386" s="325">
        <f>'d3'!J386-d3П!J385</f>
        <v>0</v>
      </c>
      <c r="K386" s="325">
        <f>'d3'!K386-d3П!K385</f>
        <v>0</v>
      </c>
      <c r="L386" s="325">
        <f>'d3'!L386-d3П!L385</f>
        <v>0</v>
      </c>
      <c r="M386" s="325">
        <f>'d3'!M386-d3П!M385</f>
        <v>0</v>
      </c>
      <c r="N386" s="325">
        <f>'d3'!N386-d3П!N385</f>
        <v>0</v>
      </c>
      <c r="O386" s="325">
        <f>'d3'!O386-d3П!O385</f>
        <v>0</v>
      </c>
      <c r="P386" s="325">
        <f>'d3'!P386-d3П!P385</f>
        <v>0</v>
      </c>
      <c r="Q386" s="20"/>
      <c r="R386" s="46"/>
    </row>
    <row r="387" spans="1:18" ht="47.25" thickTop="1" thickBot="1" x14ac:dyDescent="0.25">
      <c r="A387" s="308" t="s">
        <v>1304</v>
      </c>
      <c r="B387" s="308" t="s">
        <v>696</v>
      </c>
      <c r="C387" s="308"/>
      <c r="D387" s="308" t="s">
        <v>697</v>
      </c>
      <c r="E387" s="325">
        <f>'d3'!E387-d3П!E386</f>
        <v>0</v>
      </c>
      <c r="F387" s="325">
        <f>'d3'!F387-d3П!F386</f>
        <v>0</v>
      </c>
      <c r="G387" s="325">
        <f>'d3'!G387-d3П!G386</f>
        <v>0</v>
      </c>
      <c r="H387" s="325">
        <f>'d3'!H387-d3П!H386</f>
        <v>0</v>
      </c>
      <c r="I387" s="325">
        <f>'d3'!I387-d3П!I386</f>
        <v>0</v>
      </c>
      <c r="J387" s="325">
        <f>'d3'!J387-d3П!J386</f>
        <v>0</v>
      </c>
      <c r="K387" s="325">
        <f>'d3'!K387-d3П!K386</f>
        <v>0</v>
      </c>
      <c r="L387" s="325">
        <f>'d3'!L387-d3П!L386</f>
        <v>0</v>
      </c>
      <c r="M387" s="325">
        <f>'d3'!M387-d3П!M386</f>
        <v>0</v>
      </c>
      <c r="N387" s="325">
        <f>'d3'!N387-d3П!N386</f>
        <v>0</v>
      </c>
      <c r="O387" s="325">
        <f>'d3'!O387-d3П!O386</f>
        <v>0</v>
      </c>
      <c r="P387" s="325">
        <f>'d3'!P387-d3П!P386</f>
        <v>0</v>
      </c>
      <c r="Q387" s="20"/>
      <c r="R387" s="46"/>
    </row>
    <row r="388" spans="1:18" ht="47.25" thickTop="1" thickBot="1" x14ac:dyDescent="0.25">
      <c r="A388" s="310" t="s">
        <v>1305</v>
      </c>
      <c r="B388" s="310" t="s">
        <v>1186</v>
      </c>
      <c r="C388" s="310"/>
      <c r="D388" s="310" t="s">
        <v>1184</v>
      </c>
      <c r="E388" s="325">
        <f>'d3'!E388-d3П!E387</f>
        <v>0</v>
      </c>
      <c r="F388" s="325">
        <f>'d3'!F388-d3П!F387</f>
        <v>0</v>
      </c>
      <c r="G388" s="325">
        <f>'d3'!G388-d3П!G387</f>
        <v>0</v>
      </c>
      <c r="H388" s="325">
        <f>'d3'!H388-d3П!H387</f>
        <v>0</v>
      </c>
      <c r="I388" s="325">
        <f>'d3'!I388-d3П!I387</f>
        <v>0</v>
      </c>
      <c r="J388" s="325">
        <f>'d3'!J388-d3П!J387</f>
        <v>0</v>
      </c>
      <c r="K388" s="325">
        <f>'d3'!K388-d3П!K387</f>
        <v>0</v>
      </c>
      <c r="L388" s="325">
        <f>'d3'!L388-d3П!L387</f>
        <v>0</v>
      </c>
      <c r="M388" s="325">
        <f>'d3'!M388-d3П!M387</f>
        <v>0</v>
      </c>
      <c r="N388" s="325">
        <f>'d3'!N388-d3П!N387</f>
        <v>0</v>
      </c>
      <c r="O388" s="325">
        <f>'d3'!O388-d3П!O387</f>
        <v>0</v>
      </c>
      <c r="P388" s="325">
        <f>'d3'!P388-d3П!P387</f>
        <v>0</v>
      </c>
      <c r="Q388" s="20"/>
      <c r="R388" s="46"/>
    </row>
    <row r="389" spans="1:18" ht="47.25" thickTop="1" thickBot="1" x14ac:dyDescent="0.25">
      <c r="A389" s="101" t="s">
        <v>1306</v>
      </c>
      <c r="B389" s="101" t="s">
        <v>1190</v>
      </c>
      <c r="C389" s="101" t="s">
        <v>1188</v>
      </c>
      <c r="D389" s="101" t="s">
        <v>1187</v>
      </c>
      <c r="E389" s="325">
        <f>'d3'!E389-d3П!E388</f>
        <v>0</v>
      </c>
      <c r="F389" s="325">
        <f>'d3'!F389-d3П!F388</f>
        <v>0</v>
      </c>
      <c r="G389" s="325">
        <f>'d3'!G389-d3П!G388</f>
        <v>0</v>
      </c>
      <c r="H389" s="325">
        <f>'d3'!H389-d3П!H388</f>
        <v>0</v>
      </c>
      <c r="I389" s="325">
        <f>'d3'!I389-d3П!I388</f>
        <v>0</v>
      </c>
      <c r="J389" s="325">
        <f>'d3'!J389-d3П!J388</f>
        <v>0</v>
      </c>
      <c r="K389" s="325">
        <f>'d3'!K389-d3П!K388</f>
        <v>0</v>
      </c>
      <c r="L389" s="325">
        <f>'d3'!L389-d3П!L388</f>
        <v>0</v>
      </c>
      <c r="M389" s="325">
        <f>'d3'!M389-d3П!M388</f>
        <v>0</v>
      </c>
      <c r="N389" s="325">
        <f>'d3'!N389-d3П!N388</f>
        <v>0</v>
      </c>
      <c r="O389" s="325">
        <f>'d3'!O389-d3П!O388</f>
        <v>0</v>
      </c>
      <c r="P389" s="325">
        <f>'d3'!P389-d3П!P388</f>
        <v>0</v>
      </c>
      <c r="Q389" s="20"/>
      <c r="R389" s="46"/>
    </row>
    <row r="390" spans="1:18" ht="47.25" hidden="1" thickTop="1" thickBot="1" x14ac:dyDescent="0.25">
      <c r="A390" s="123" t="s">
        <v>906</v>
      </c>
      <c r="B390" s="123" t="s">
        <v>702</v>
      </c>
      <c r="C390" s="123"/>
      <c r="D390" s="123" t="s">
        <v>703</v>
      </c>
      <c r="E390" s="125">
        <f>E391</f>
        <v>0</v>
      </c>
      <c r="F390" s="125">
        <f t="shared" ref="F390:P391" si="101">F391</f>
        <v>0</v>
      </c>
      <c r="G390" s="125">
        <f t="shared" si="101"/>
        <v>0</v>
      </c>
      <c r="H390" s="125">
        <f t="shared" si="101"/>
        <v>0</v>
      </c>
      <c r="I390" s="125">
        <f t="shared" si="101"/>
        <v>0</v>
      </c>
      <c r="J390" s="125">
        <f t="shared" si="101"/>
        <v>0</v>
      </c>
      <c r="K390" s="125">
        <f t="shared" si="101"/>
        <v>0</v>
      </c>
      <c r="L390" s="125">
        <f t="shared" si="101"/>
        <v>0</v>
      </c>
      <c r="M390" s="125">
        <f t="shared" si="101"/>
        <v>0</v>
      </c>
      <c r="N390" s="125">
        <f t="shared" si="101"/>
        <v>0</v>
      </c>
      <c r="O390" s="125">
        <f t="shared" si="101"/>
        <v>0</v>
      </c>
      <c r="P390" s="125">
        <f t="shared" si="101"/>
        <v>0</v>
      </c>
      <c r="Q390" s="20"/>
      <c r="R390" s="46"/>
    </row>
    <row r="391" spans="1:18" ht="91.5" hidden="1" thickTop="1" thickBot="1" x14ac:dyDescent="0.25">
      <c r="A391" s="134" t="s">
        <v>907</v>
      </c>
      <c r="B391" s="134" t="s">
        <v>705</v>
      </c>
      <c r="C391" s="134"/>
      <c r="D391" s="134" t="s">
        <v>706</v>
      </c>
      <c r="E391" s="135">
        <f>E392</f>
        <v>0</v>
      </c>
      <c r="F391" s="135">
        <f t="shared" si="101"/>
        <v>0</v>
      </c>
      <c r="G391" s="135">
        <f t="shared" si="101"/>
        <v>0</v>
      </c>
      <c r="H391" s="135">
        <f t="shared" si="101"/>
        <v>0</v>
      </c>
      <c r="I391" s="135">
        <f t="shared" si="101"/>
        <v>0</v>
      </c>
      <c r="J391" s="135">
        <f t="shared" si="101"/>
        <v>0</v>
      </c>
      <c r="K391" s="135">
        <f t="shared" si="101"/>
        <v>0</v>
      </c>
      <c r="L391" s="135">
        <f t="shared" si="101"/>
        <v>0</v>
      </c>
      <c r="M391" s="135">
        <f t="shared" si="101"/>
        <v>0</v>
      </c>
      <c r="N391" s="135">
        <f t="shared" si="101"/>
        <v>0</v>
      </c>
      <c r="O391" s="135">
        <f t="shared" si="101"/>
        <v>0</v>
      </c>
      <c r="P391" s="135">
        <f t="shared" si="101"/>
        <v>0</v>
      </c>
      <c r="Q391" s="20"/>
      <c r="R391" s="46"/>
    </row>
    <row r="392" spans="1:18" ht="48" hidden="1" thickTop="1" thickBot="1" x14ac:dyDescent="0.25">
      <c r="A392" s="126" t="s">
        <v>908</v>
      </c>
      <c r="B392" s="126" t="s">
        <v>363</v>
      </c>
      <c r="C392" s="126" t="s">
        <v>43</v>
      </c>
      <c r="D392" s="126" t="s">
        <v>364</v>
      </c>
      <c r="E392" s="125">
        <f t="shared" ref="E392" si="102">F392</f>
        <v>0</v>
      </c>
      <c r="F392" s="132"/>
      <c r="G392" s="132"/>
      <c r="H392" s="132"/>
      <c r="I392" s="132"/>
      <c r="J392" s="125">
        <f>L392+O392</f>
        <v>0</v>
      </c>
      <c r="K392" s="132"/>
      <c r="L392" s="132"/>
      <c r="M392" s="132"/>
      <c r="N392" s="132"/>
      <c r="O392" s="130">
        <f>K392</f>
        <v>0</v>
      </c>
      <c r="P392" s="125">
        <f>E392+J392</f>
        <v>0</v>
      </c>
      <c r="Q392" s="20"/>
      <c r="R392" s="46"/>
    </row>
    <row r="393" spans="1:18" ht="120" customHeight="1" thickTop="1" thickBot="1" x14ac:dyDescent="0.25">
      <c r="A393" s="645" t="s">
        <v>164</v>
      </c>
      <c r="B393" s="645"/>
      <c r="C393" s="645"/>
      <c r="D393" s="646" t="s">
        <v>887</v>
      </c>
      <c r="E393" s="647">
        <f>E394</f>
        <v>28860</v>
      </c>
      <c r="F393" s="648">
        <f t="shared" ref="F393:G393" si="103">F394</f>
        <v>28860</v>
      </c>
      <c r="G393" s="648">
        <f t="shared" si="103"/>
        <v>0</v>
      </c>
      <c r="H393" s="648">
        <f>H394</f>
        <v>28860</v>
      </c>
      <c r="I393" s="648">
        <f t="shared" ref="I393" si="104">I394</f>
        <v>0</v>
      </c>
      <c r="J393" s="647">
        <f>J394</f>
        <v>0</v>
      </c>
      <c r="K393" s="648">
        <f>K394</f>
        <v>0</v>
      </c>
      <c r="L393" s="648">
        <f>L394</f>
        <v>0</v>
      </c>
      <c r="M393" s="648">
        <f t="shared" ref="M393" si="105">M394</f>
        <v>0</v>
      </c>
      <c r="N393" s="648">
        <f>N394</f>
        <v>0</v>
      </c>
      <c r="O393" s="647">
        <f>O394</f>
        <v>0</v>
      </c>
      <c r="P393" s="648">
        <f t="shared" ref="P393" si="106">P394</f>
        <v>28860</v>
      </c>
      <c r="Q393" s="20"/>
    </row>
    <row r="394" spans="1:18" ht="120" customHeight="1" thickTop="1" thickBot="1" x14ac:dyDescent="0.25">
      <c r="A394" s="642" t="s">
        <v>165</v>
      </c>
      <c r="B394" s="642"/>
      <c r="C394" s="642"/>
      <c r="D394" s="643" t="s">
        <v>886</v>
      </c>
      <c r="E394" s="644">
        <f>E395+E398+E401</f>
        <v>28860</v>
      </c>
      <c r="F394" s="644">
        <f t="shared" ref="F394:P394" si="107">F395+F398+F401</f>
        <v>28860</v>
      </c>
      <c r="G394" s="644">
        <f>G395+G398+G401</f>
        <v>0</v>
      </c>
      <c r="H394" s="644">
        <f t="shared" si="107"/>
        <v>28860</v>
      </c>
      <c r="I394" s="644">
        <f t="shared" si="107"/>
        <v>0</v>
      </c>
      <c r="J394" s="644">
        <f>J395+J398+J401</f>
        <v>0</v>
      </c>
      <c r="K394" s="644">
        <f t="shared" si="107"/>
        <v>0</v>
      </c>
      <c r="L394" s="644">
        <f>L395+L398+L401</f>
        <v>0</v>
      </c>
      <c r="M394" s="644">
        <f t="shared" si="107"/>
        <v>0</v>
      </c>
      <c r="N394" s="644">
        <f t="shared" si="107"/>
        <v>0</v>
      </c>
      <c r="O394" s="644">
        <f t="shared" si="107"/>
        <v>0</v>
      </c>
      <c r="P394" s="644">
        <f t="shared" si="107"/>
        <v>28860</v>
      </c>
      <c r="Q394" s="492" t="b">
        <f>P394=P396+P400</f>
        <v>1</v>
      </c>
      <c r="R394" s="46"/>
    </row>
    <row r="395" spans="1:18" ht="47.25" thickTop="1" thickBot="1" x14ac:dyDescent="0.25">
      <c r="A395" s="308" t="s">
        <v>832</v>
      </c>
      <c r="B395" s="308" t="s">
        <v>684</v>
      </c>
      <c r="C395" s="308"/>
      <c r="D395" s="308" t="s">
        <v>685</v>
      </c>
      <c r="E395" s="325">
        <f>'d3'!E395-d3П!E394</f>
        <v>28860</v>
      </c>
      <c r="F395" s="325">
        <f>'d3'!F395-d3П!F394</f>
        <v>28860</v>
      </c>
      <c r="G395" s="325">
        <f>'d3'!G395-d3П!G394</f>
        <v>0</v>
      </c>
      <c r="H395" s="325">
        <f>'d3'!H395-d3П!H394</f>
        <v>28860</v>
      </c>
      <c r="I395" s="325">
        <f>'d3'!I395-d3П!I394</f>
        <v>0</v>
      </c>
      <c r="J395" s="325">
        <f>'d3'!J395-d3П!J394</f>
        <v>0</v>
      </c>
      <c r="K395" s="325">
        <f>'d3'!K395-d3П!K394</f>
        <v>0</v>
      </c>
      <c r="L395" s="325">
        <f>'d3'!L395-d3П!L394</f>
        <v>0</v>
      </c>
      <c r="M395" s="325">
        <f>'d3'!M395-d3П!M394</f>
        <v>0</v>
      </c>
      <c r="N395" s="325">
        <f>'d3'!N395-d3П!N394</f>
        <v>0</v>
      </c>
      <c r="O395" s="325">
        <f>'d3'!O395-d3П!O394</f>
        <v>0</v>
      </c>
      <c r="P395" s="325">
        <f>'d3'!P395-d3П!P394</f>
        <v>28860</v>
      </c>
      <c r="Q395" s="47"/>
      <c r="R395" s="46"/>
    </row>
    <row r="396" spans="1:18" ht="93" thickTop="1" thickBot="1" x14ac:dyDescent="0.25">
      <c r="A396" s="101" t="s">
        <v>422</v>
      </c>
      <c r="B396" s="101" t="s">
        <v>236</v>
      </c>
      <c r="C396" s="101" t="s">
        <v>234</v>
      </c>
      <c r="D396" s="101" t="s">
        <v>235</v>
      </c>
      <c r="E396" s="325">
        <f>'d3'!E396-d3П!E395</f>
        <v>28860</v>
      </c>
      <c r="F396" s="325">
        <f>'d3'!F396-d3П!F395</f>
        <v>28860</v>
      </c>
      <c r="G396" s="325">
        <f>'d3'!G396-d3П!G395</f>
        <v>0</v>
      </c>
      <c r="H396" s="325">
        <f>'d3'!H396-d3П!H395</f>
        <v>28860</v>
      </c>
      <c r="I396" s="325">
        <f>'d3'!I396-d3П!I395</f>
        <v>0</v>
      </c>
      <c r="J396" s="325">
        <f>'d3'!J396-d3П!J395</f>
        <v>0</v>
      </c>
      <c r="K396" s="325">
        <f>'d3'!K396-d3П!K395</f>
        <v>0</v>
      </c>
      <c r="L396" s="325">
        <f>'d3'!L396-d3П!L395</f>
        <v>0</v>
      </c>
      <c r="M396" s="325">
        <f>'d3'!M396-d3П!M395</f>
        <v>0</v>
      </c>
      <c r="N396" s="325">
        <f>'d3'!N396-d3П!N395</f>
        <v>0</v>
      </c>
      <c r="O396" s="325">
        <f>'d3'!O396-d3П!O395</f>
        <v>0</v>
      </c>
      <c r="P396" s="325">
        <f>'d3'!P396-d3П!P395</f>
        <v>28860</v>
      </c>
      <c r="Q396" s="47"/>
      <c r="R396" s="46"/>
    </row>
    <row r="397" spans="1:18" ht="93" hidden="1" thickTop="1" thickBot="1" x14ac:dyDescent="0.25">
      <c r="A397" s="41" t="s">
        <v>633</v>
      </c>
      <c r="B397" s="41" t="s">
        <v>362</v>
      </c>
      <c r="C397" s="41" t="s">
        <v>625</v>
      </c>
      <c r="D397" s="41" t="s">
        <v>626</v>
      </c>
      <c r="E397" s="325">
        <f>'d3'!E397-d3П!E396</f>
        <v>0</v>
      </c>
      <c r="F397" s="325">
        <f>'d3'!F397-d3П!F396</f>
        <v>0</v>
      </c>
      <c r="G397" s="325">
        <f>'d3'!G397-d3П!G396</f>
        <v>0</v>
      </c>
      <c r="H397" s="325">
        <f>'d3'!H397-d3П!H396</f>
        <v>0</v>
      </c>
      <c r="I397" s="325">
        <f>'d3'!I397-d3П!I396</f>
        <v>0</v>
      </c>
      <c r="J397" s="325">
        <f>'d3'!J397-d3П!J396</f>
        <v>0</v>
      </c>
      <c r="K397" s="325">
        <f>'d3'!K397-d3П!K396</f>
        <v>0</v>
      </c>
      <c r="L397" s="325">
        <f>'d3'!L397-d3П!L396</f>
        <v>0</v>
      </c>
      <c r="M397" s="325">
        <f>'d3'!M397-d3П!M396</f>
        <v>0</v>
      </c>
      <c r="N397" s="325">
        <f>'d3'!N397-d3П!N396</f>
        <v>0</v>
      </c>
      <c r="O397" s="325">
        <f>'d3'!O397-d3П!O396</f>
        <v>0</v>
      </c>
      <c r="P397" s="325">
        <f>'d3'!P397-d3П!P396</f>
        <v>0</v>
      </c>
      <c r="Q397" s="47"/>
      <c r="R397" s="46"/>
    </row>
    <row r="398" spans="1:18" ht="47.25" thickTop="1" thickBot="1" x14ac:dyDescent="0.25">
      <c r="A398" s="308" t="s">
        <v>833</v>
      </c>
      <c r="B398" s="308" t="s">
        <v>696</v>
      </c>
      <c r="C398" s="308"/>
      <c r="D398" s="308" t="s">
        <v>697</v>
      </c>
      <c r="E398" s="325">
        <f>'d3'!E398-d3П!E397</f>
        <v>0</v>
      </c>
      <c r="F398" s="325">
        <f>'d3'!F398-d3П!F397</f>
        <v>0</v>
      </c>
      <c r="G398" s="325">
        <f>'d3'!G398-d3П!G397</f>
        <v>0</v>
      </c>
      <c r="H398" s="325">
        <f>'d3'!H398-d3П!H397</f>
        <v>0</v>
      </c>
      <c r="I398" s="325">
        <f>'d3'!I398-d3П!I397</f>
        <v>0</v>
      </c>
      <c r="J398" s="325">
        <f>'d3'!J398-d3П!J397</f>
        <v>0</v>
      </c>
      <c r="K398" s="325">
        <f>'d3'!K398-d3П!K397</f>
        <v>0</v>
      </c>
      <c r="L398" s="325">
        <f>'d3'!L398-d3П!L397</f>
        <v>0</v>
      </c>
      <c r="M398" s="325">
        <f>'d3'!M398-d3П!M397</f>
        <v>0</v>
      </c>
      <c r="N398" s="325">
        <f>'d3'!N398-d3П!N397</f>
        <v>0</v>
      </c>
      <c r="O398" s="325">
        <f>'d3'!O398-d3П!O397</f>
        <v>0</v>
      </c>
      <c r="P398" s="325">
        <f>'d3'!P398-d3П!P397</f>
        <v>0</v>
      </c>
      <c r="Q398" s="47"/>
      <c r="R398" s="46"/>
    </row>
    <row r="399" spans="1:18" ht="47.25" thickTop="1" thickBot="1" x14ac:dyDescent="0.25">
      <c r="A399" s="310" t="s">
        <v>834</v>
      </c>
      <c r="B399" s="310" t="s">
        <v>835</v>
      </c>
      <c r="C399" s="310"/>
      <c r="D399" s="310" t="s">
        <v>836</v>
      </c>
      <c r="E399" s="325">
        <f>'d3'!E399-d3П!E398</f>
        <v>0</v>
      </c>
      <c r="F399" s="325">
        <f>'d3'!F399-d3П!F398</f>
        <v>0</v>
      </c>
      <c r="G399" s="325">
        <f>'d3'!G399-d3П!G398</f>
        <v>0</v>
      </c>
      <c r="H399" s="325">
        <f>'d3'!H399-d3П!H398</f>
        <v>0</v>
      </c>
      <c r="I399" s="325">
        <f>'d3'!I399-d3П!I398</f>
        <v>0</v>
      </c>
      <c r="J399" s="325">
        <f>'d3'!J399-d3П!J398</f>
        <v>0</v>
      </c>
      <c r="K399" s="325">
        <f>'d3'!K399-d3П!K398</f>
        <v>0</v>
      </c>
      <c r="L399" s="325">
        <f>'d3'!L399-d3П!L398</f>
        <v>0</v>
      </c>
      <c r="M399" s="325">
        <f>'d3'!M399-d3П!M398</f>
        <v>0</v>
      </c>
      <c r="N399" s="325">
        <f>'d3'!N399-d3П!N398</f>
        <v>0</v>
      </c>
      <c r="O399" s="325">
        <f>'d3'!O399-d3П!O398</f>
        <v>0</v>
      </c>
      <c r="P399" s="325">
        <f>'d3'!P399-d3П!P398</f>
        <v>0</v>
      </c>
      <c r="Q399" s="47"/>
      <c r="R399" s="46"/>
    </row>
    <row r="400" spans="1:18" ht="47.25" thickTop="1" thickBot="1" x14ac:dyDescent="0.25">
      <c r="A400" s="101" t="s">
        <v>1127</v>
      </c>
      <c r="B400" s="101" t="s">
        <v>1128</v>
      </c>
      <c r="C400" s="101" t="s">
        <v>51</v>
      </c>
      <c r="D400" s="101" t="s">
        <v>1129</v>
      </c>
      <c r="E400" s="325">
        <f>'d3'!E400-d3П!E399</f>
        <v>0</v>
      </c>
      <c r="F400" s="325">
        <f>'d3'!F400-d3П!F399</f>
        <v>0</v>
      </c>
      <c r="G400" s="325">
        <f>'d3'!G400-d3П!G399</f>
        <v>0</v>
      </c>
      <c r="H400" s="325">
        <f>'d3'!H400-d3П!H399</f>
        <v>0</v>
      </c>
      <c r="I400" s="325">
        <f>'d3'!I400-d3П!I399</f>
        <v>0</v>
      </c>
      <c r="J400" s="325">
        <f>'d3'!J400-d3П!J399</f>
        <v>0</v>
      </c>
      <c r="K400" s="325">
        <f>'d3'!K400-d3П!K399</f>
        <v>0</v>
      </c>
      <c r="L400" s="325">
        <f>'d3'!L400-d3П!L399</f>
        <v>0</v>
      </c>
      <c r="M400" s="325">
        <f>'d3'!M400-d3П!M399</f>
        <v>0</v>
      </c>
      <c r="N400" s="325">
        <f>'d3'!N400-d3П!N399</f>
        <v>0</v>
      </c>
      <c r="O400" s="325">
        <f>'d3'!O400-d3П!O399</f>
        <v>0</v>
      </c>
      <c r="P400" s="325">
        <f>'d3'!P400-d3П!P399</f>
        <v>0</v>
      </c>
      <c r="Q400" s="492" t="b">
        <f>J400='d9'!F20</f>
        <v>0</v>
      </c>
    </row>
    <row r="401" spans="1:19" ht="47.25" hidden="1" thickTop="1" thickBot="1" x14ac:dyDescent="0.25">
      <c r="A401" s="123" t="s">
        <v>1249</v>
      </c>
      <c r="B401" s="123" t="s">
        <v>702</v>
      </c>
      <c r="C401" s="123"/>
      <c r="D401" s="123" t="s">
        <v>703</v>
      </c>
      <c r="E401" s="125">
        <f t="shared" ref="E401:P401" si="108">E402</f>
        <v>0</v>
      </c>
      <c r="F401" s="125">
        <f t="shared" si="108"/>
        <v>0</v>
      </c>
      <c r="G401" s="125">
        <f t="shared" si="108"/>
        <v>0</v>
      </c>
      <c r="H401" s="125">
        <f t="shared" si="108"/>
        <v>0</v>
      </c>
      <c r="I401" s="125">
        <f t="shared" si="108"/>
        <v>0</v>
      </c>
      <c r="J401" s="125">
        <f t="shared" si="108"/>
        <v>0</v>
      </c>
      <c r="K401" s="125">
        <f t="shared" si="108"/>
        <v>0</v>
      </c>
      <c r="L401" s="125">
        <f t="shared" si="108"/>
        <v>0</v>
      </c>
      <c r="M401" s="125">
        <f t="shared" si="108"/>
        <v>0</v>
      </c>
      <c r="N401" s="125">
        <f t="shared" si="108"/>
        <v>0</v>
      </c>
      <c r="O401" s="125">
        <f t="shared" si="108"/>
        <v>0</v>
      </c>
      <c r="P401" s="125">
        <f t="shared" si="108"/>
        <v>0</v>
      </c>
      <c r="Q401" s="47"/>
    </row>
    <row r="402" spans="1:19" ht="91.5" hidden="1" thickTop="1" thickBot="1" x14ac:dyDescent="0.25">
      <c r="A402" s="134" t="s">
        <v>1248</v>
      </c>
      <c r="B402" s="134" t="s">
        <v>514</v>
      </c>
      <c r="C402" s="134" t="s">
        <v>43</v>
      </c>
      <c r="D402" s="134" t="s">
        <v>515</v>
      </c>
      <c r="E402" s="135">
        <f t="shared" ref="E402" si="109">F402</f>
        <v>0</v>
      </c>
      <c r="F402" s="135">
        <v>0</v>
      </c>
      <c r="G402" s="135"/>
      <c r="H402" s="135"/>
      <c r="I402" s="135"/>
      <c r="J402" s="135">
        <f>L402+O402</f>
        <v>0</v>
      </c>
      <c r="K402" s="132">
        <v>0</v>
      </c>
      <c r="L402" s="135"/>
      <c r="M402" s="135"/>
      <c r="N402" s="135"/>
      <c r="O402" s="135">
        <f>(K402+0)</f>
        <v>0</v>
      </c>
      <c r="P402" s="135">
        <f>E402+J402</f>
        <v>0</v>
      </c>
      <c r="Q402" s="47"/>
    </row>
    <row r="403" spans="1:19" ht="120" customHeight="1" thickTop="1" thickBot="1" x14ac:dyDescent="0.25">
      <c r="A403" s="645" t="s">
        <v>162</v>
      </c>
      <c r="B403" s="645"/>
      <c r="C403" s="645"/>
      <c r="D403" s="646" t="s">
        <v>896</v>
      </c>
      <c r="E403" s="647">
        <f>E404</f>
        <v>119000</v>
      </c>
      <c r="F403" s="648">
        <f t="shared" ref="F403:G403" si="110">F404</f>
        <v>119000</v>
      </c>
      <c r="G403" s="648">
        <f t="shared" si="110"/>
        <v>0</v>
      </c>
      <c r="H403" s="648">
        <f>H404</f>
        <v>0</v>
      </c>
      <c r="I403" s="648">
        <f t="shared" ref="I403" si="111">I404</f>
        <v>0</v>
      </c>
      <c r="J403" s="647">
        <f>J404</f>
        <v>20000</v>
      </c>
      <c r="K403" s="648">
        <f>K404</f>
        <v>20000</v>
      </c>
      <c r="L403" s="648">
        <f>L404</f>
        <v>0</v>
      </c>
      <c r="M403" s="648">
        <f t="shared" ref="M403" si="112">M404</f>
        <v>0</v>
      </c>
      <c r="N403" s="648">
        <f>N404</f>
        <v>0</v>
      </c>
      <c r="O403" s="647">
        <f>O404</f>
        <v>20000</v>
      </c>
      <c r="P403" s="648">
        <f t="shared" ref="P403" si="113">P404</f>
        <v>139000</v>
      </c>
      <c r="Q403" s="20"/>
    </row>
    <row r="404" spans="1:19" ht="120" customHeight="1" thickTop="1" thickBot="1" x14ac:dyDescent="0.25">
      <c r="A404" s="642" t="s">
        <v>163</v>
      </c>
      <c r="B404" s="642"/>
      <c r="C404" s="642"/>
      <c r="D404" s="643" t="s">
        <v>895</v>
      </c>
      <c r="E404" s="644">
        <f>E405+E407</f>
        <v>119000</v>
      </c>
      <c r="F404" s="644">
        <f t="shared" ref="F404:I404" si="114">F405+F407</f>
        <v>119000</v>
      </c>
      <c r="G404" s="644">
        <f t="shared" si="114"/>
        <v>0</v>
      </c>
      <c r="H404" s="644">
        <f t="shared" si="114"/>
        <v>0</v>
      </c>
      <c r="I404" s="644">
        <f t="shared" si="114"/>
        <v>0</v>
      </c>
      <c r="J404" s="644">
        <f>L404+O404</f>
        <v>20000</v>
      </c>
      <c r="K404" s="644">
        <f t="shared" ref="K404:O404" si="115">K405+K407</f>
        <v>20000</v>
      </c>
      <c r="L404" s="644">
        <f t="shared" si="115"/>
        <v>0</v>
      </c>
      <c r="M404" s="644">
        <f t="shared" si="115"/>
        <v>0</v>
      </c>
      <c r="N404" s="644">
        <f t="shared" si="115"/>
        <v>0</v>
      </c>
      <c r="O404" s="644">
        <f t="shared" si="115"/>
        <v>20000</v>
      </c>
      <c r="P404" s="644">
        <f>E404+J404</f>
        <v>139000</v>
      </c>
      <c r="Q404" s="492" t="b">
        <f>P404=P406+P409+P411</f>
        <v>1</v>
      </c>
      <c r="R404" s="45"/>
    </row>
    <row r="405" spans="1:19" ht="47.25" thickTop="1" thickBot="1" x14ac:dyDescent="0.25">
      <c r="A405" s="308" t="s">
        <v>837</v>
      </c>
      <c r="B405" s="308" t="s">
        <v>684</v>
      </c>
      <c r="C405" s="308"/>
      <c r="D405" s="308" t="s">
        <v>685</v>
      </c>
      <c r="E405" s="325">
        <f>'d3'!E405-d3П!E404</f>
        <v>9000</v>
      </c>
      <c r="F405" s="325">
        <f>'d3'!F405-d3П!F404</f>
        <v>9000</v>
      </c>
      <c r="G405" s="325">
        <f>'d3'!G405-d3П!G404</f>
        <v>0</v>
      </c>
      <c r="H405" s="325">
        <f>'d3'!H405-d3П!H404</f>
        <v>0</v>
      </c>
      <c r="I405" s="325">
        <f>'d3'!I405-d3П!I404</f>
        <v>0</v>
      </c>
      <c r="J405" s="325">
        <f>'d3'!J405-d3П!J404</f>
        <v>0</v>
      </c>
      <c r="K405" s="325">
        <f>'d3'!K405-d3П!K404</f>
        <v>0</v>
      </c>
      <c r="L405" s="325">
        <f>'d3'!L405-d3П!L404</f>
        <v>0</v>
      </c>
      <c r="M405" s="325">
        <f>'d3'!M405-d3П!M404</f>
        <v>0</v>
      </c>
      <c r="N405" s="325">
        <f>'d3'!N405-d3П!N404</f>
        <v>0</v>
      </c>
      <c r="O405" s="325">
        <f>'d3'!O405-d3П!O404</f>
        <v>0</v>
      </c>
      <c r="P405" s="325">
        <f>'d3'!P405-d3П!P404</f>
        <v>9000</v>
      </c>
      <c r="Q405" s="47"/>
      <c r="R405" s="45"/>
    </row>
    <row r="406" spans="1:19" ht="93" thickTop="1" thickBot="1" x14ac:dyDescent="0.25">
      <c r="A406" s="101" t="s">
        <v>418</v>
      </c>
      <c r="B406" s="101" t="s">
        <v>236</v>
      </c>
      <c r="C406" s="101" t="s">
        <v>234</v>
      </c>
      <c r="D406" s="101" t="s">
        <v>235</v>
      </c>
      <c r="E406" s="325">
        <f>'d3'!E406-d3П!E405</f>
        <v>9000</v>
      </c>
      <c r="F406" s="325">
        <f>'d3'!F406-d3П!F405</f>
        <v>9000</v>
      </c>
      <c r="G406" s="325">
        <f>'d3'!G406-d3П!G405</f>
        <v>0</v>
      </c>
      <c r="H406" s="325">
        <f>'d3'!H406-d3П!H405</f>
        <v>0</v>
      </c>
      <c r="I406" s="325">
        <f>'d3'!I406-d3П!I405</f>
        <v>0</v>
      </c>
      <c r="J406" s="325">
        <f>'d3'!J406-d3П!J405</f>
        <v>0</v>
      </c>
      <c r="K406" s="325">
        <f>'d3'!K406-d3П!K405</f>
        <v>0</v>
      </c>
      <c r="L406" s="325">
        <f>'d3'!L406-d3П!L405</f>
        <v>0</v>
      </c>
      <c r="M406" s="325">
        <f>'d3'!M406-d3П!M405</f>
        <v>0</v>
      </c>
      <c r="N406" s="325">
        <f>'d3'!N406-d3П!N405</f>
        <v>0</v>
      </c>
      <c r="O406" s="325">
        <f>'d3'!O406-d3П!O405</f>
        <v>0</v>
      </c>
      <c r="P406" s="325">
        <f>'d3'!P406-d3П!P405</f>
        <v>9000</v>
      </c>
      <c r="Q406" s="20"/>
      <c r="R406" s="45"/>
    </row>
    <row r="407" spans="1:19" ht="47.25" thickTop="1" thickBot="1" x14ac:dyDescent="0.25">
      <c r="A407" s="308" t="s">
        <v>838</v>
      </c>
      <c r="B407" s="308" t="s">
        <v>748</v>
      </c>
      <c r="C407" s="101"/>
      <c r="D407" s="308" t="s">
        <v>794</v>
      </c>
      <c r="E407" s="325">
        <f>'d3'!E407-d3П!E406</f>
        <v>110000</v>
      </c>
      <c r="F407" s="325">
        <f>'d3'!F407-d3П!F406</f>
        <v>110000</v>
      </c>
      <c r="G407" s="325">
        <f>'d3'!G407-d3П!G406</f>
        <v>0</v>
      </c>
      <c r="H407" s="325">
        <f>'d3'!H407-d3П!H406</f>
        <v>0</v>
      </c>
      <c r="I407" s="325">
        <f>'d3'!I407-d3П!I406</f>
        <v>0</v>
      </c>
      <c r="J407" s="325">
        <f>'d3'!J407-d3П!J406</f>
        <v>20000</v>
      </c>
      <c r="K407" s="325">
        <f>'d3'!K407-d3П!K406</f>
        <v>20000</v>
      </c>
      <c r="L407" s="325">
        <f>'d3'!L407-d3П!L406</f>
        <v>0</v>
      </c>
      <c r="M407" s="325">
        <f>'d3'!M407-d3П!M406</f>
        <v>0</v>
      </c>
      <c r="N407" s="325">
        <f>'d3'!N407-d3П!N406</f>
        <v>0</v>
      </c>
      <c r="O407" s="325">
        <f>'d3'!O407-d3П!O406</f>
        <v>20000</v>
      </c>
      <c r="P407" s="325">
        <f>'d3'!P407-d3П!P406</f>
        <v>130000</v>
      </c>
      <c r="Q407" s="20"/>
      <c r="R407" s="47"/>
    </row>
    <row r="408" spans="1:19" ht="47.25" thickTop="1" thickBot="1" x14ac:dyDescent="0.25">
      <c r="A408" s="310" t="s">
        <v>839</v>
      </c>
      <c r="B408" s="310" t="s">
        <v>840</v>
      </c>
      <c r="C408" s="310"/>
      <c r="D408" s="310" t="s">
        <v>841</v>
      </c>
      <c r="E408" s="325">
        <f>'d3'!E408-d3П!E407</f>
        <v>110000</v>
      </c>
      <c r="F408" s="325">
        <f>'d3'!F408-d3П!F407</f>
        <v>110000</v>
      </c>
      <c r="G408" s="325">
        <f>'d3'!G408-d3П!G407</f>
        <v>0</v>
      </c>
      <c r="H408" s="325">
        <f>'d3'!H408-d3П!H407</f>
        <v>0</v>
      </c>
      <c r="I408" s="325">
        <f>'d3'!I408-d3П!I407</f>
        <v>0</v>
      </c>
      <c r="J408" s="325">
        <f>'d3'!J408-d3П!J407</f>
        <v>0</v>
      </c>
      <c r="K408" s="325">
        <f>'d3'!K408-d3П!K407</f>
        <v>0</v>
      </c>
      <c r="L408" s="325">
        <f>'d3'!L408-d3П!L407</f>
        <v>0</v>
      </c>
      <c r="M408" s="325">
        <f>'d3'!M408-d3П!M407</f>
        <v>0</v>
      </c>
      <c r="N408" s="325">
        <f>'d3'!N408-d3П!N407</f>
        <v>0</v>
      </c>
      <c r="O408" s="325">
        <f>'d3'!O408-d3П!O407</f>
        <v>0</v>
      </c>
      <c r="P408" s="325">
        <f>'d3'!P408-d3П!P407</f>
        <v>110000</v>
      </c>
      <c r="Q408" s="20"/>
      <c r="R408" s="47"/>
    </row>
    <row r="409" spans="1:19" ht="47.25" thickTop="1" thickBot="1" x14ac:dyDescent="0.25">
      <c r="A409" s="101" t="s">
        <v>306</v>
      </c>
      <c r="B409" s="101" t="s">
        <v>307</v>
      </c>
      <c r="C409" s="101" t="s">
        <v>308</v>
      </c>
      <c r="D409" s="101" t="s">
        <v>461</v>
      </c>
      <c r="E409" s="325">
        <f>'d3'!E409-d3П!E408</f>
        <v>110000</v>
      </c>
      <c r="F409" s="325">
        <f>'d3'!F409-d3П!F408</f>
        <v>110000</v>
      </c>
      <c r="G409" s="325">
        <f>'d3'!G409-d3П!G408</f>
        <v>0</v>
      </c>
      <c r="H409" s="325">
        <f>'d3'!H409-d3П!H408</f>
        <v>0</v>
      </c>
      <c r="I409" s="325">
        <f>'d3'!I409-d3П!I408</f>
        <v>0</v>
      </c>
      <c r="J409" s="325">
        <f>'d3'!J409-d3П!J408</f>
        <v>0</v>
      </c>
      <c r="K409" s="325">
        <f>'d3'!K409-d3П!K408</f>
        <v>0</v>
      </c>
      <c r="L409" s="325">
        <f>'d3'!L409-d3П!L408</f>
        <v>0</v>
      </c>
      <c r="M409" s="325">
        <f>'d3'!M409-d3П!M408</f>
        <v>0</v>
      </c>
      <c r="N409" s="325">
        <f>'d3'!N409-d3П!N408</f>
        <v>0</v>
      </c>
      <c r="O409" s="325">
        <f>'d3'!O409-d3П!O408</f>
        <v>0</v>
      </c>
      <c r="P409" s="325">
        <f>'d3'!P409-d3П!P408</f>
        <v>110000</v>
      </c>
      <c r="Q409" s="20"/>
      <c r="R409" s="45"/>
    </row>
    <row r="410" spans="1:19" ht="47.25" thickTop="1" thickBot="1" x14ac:dyDescent="0.25">
      <c r="A410" s="310" t="s">
        <v>842</v>
      </c>
      <c r="B410" s="310" t="s">
        <v>691</v>
      </c>
      <c r="C410" s="101"/>
      <c r="D410" s="310" t="s">
        <v>843</v>
      </c>
      <c r="E410" s="325">
        <f>'d3'!E410-d3П!E409</f>
        <v>0</v>
      </c>
      <c r="F410" s="325">
        <f>'d3'!F410-d3П!F409</f>
        <v>0</v>
      </c>
      <c r="G410" s="325">
        <f>'d3'!G410-d3П!G409</f>
        <v>0</v>
      </c>
      <c r="H410" s="325">
        <f>'d3'!H410-d3П!H409</f>
        <v>0</v>
      </c>
      <c r="I410" s="325">
        <f>'d3'!I410-d3П!I409</f>
        <v>0</v>
      </c>
      <c r="J410" s="325">
        <f>'d3'!J410-d3П!J409</f>
        <v>20000</v>
      </c>
      <c r="K410" s="325">
        <f>'d3'!K410-d3П!K409</f>
        <v>20000</v>
      </c>
      <c r="L410" s="325">
        <f>'d3'!L410-d3П!L409</f>
        <v>0</v>
      </c>
      <c r="M410" s="325">
        <f>'d3'!M410-d3П!M409</f>
        <v>0</v>
      </c>
      <c r="N410" s="325">
        <f>'d3'!N410-d3П!N409</f>
        <v>0</v>
      </c>
      <c r="O410" s="325">
        <f>'d3'!O410-d3П!O409</f>
        <v>20000</v>
      </c>
      <c r="P410" s="325">
        <f>'d3'!P410-d3П!P409</f>
        <v>20000</v>
      </c>
      <c r="Q410" s="20"/>
    </row>
    <row r="411" spans="1:19" ht="47.25" thickTop="1" thickBot="1" x14ac:dyDescent="0.25">
      <c r="A411" s="101" t="s">
        <v>368</v>
      </c>
      <c r="B411" s="101" t="s">
        <v>369</v>
      </c>
      <c r="C411" s="101" t="s">
        <v>170</v>
      </c>
      <c r="D411" s="101" t="s">
        <v>370</v>
      </c>
      <c r="E411" s="325">
        <f>'d3'!E411-d3П!E410</f>
        <v>0</v>
      </c>
      <c r="F411" s="325">
        <f>'d3'!F411-d3П!F410</f>
        <v>0</v>
      </c>
      <c r="G411" s="325">
        <f>'d3'!G411-d3П!G410</f>
        <v>0</v>
      </c>
      <c r="H411" s="325">
        <f>'d3'!H411-d3П!H410</f>
        <v>0</v>
      </c>
      <c r="I411" s="325">
        <f>'d3'!I411-d3П!I410</f>
        <v>0</v>
      </c>
      <c r="J411" s="325">
        <f>'d3'!J411-d3П!J410</f>
        <v>20000</v>
      </c>
      <c r="K411" s="325">
        <f>'d3'!K411-d3П!K410</f>
        <v>20000</v>
      </c>
      <c r="L411" s="325">
        <f>'d3'!L411-d3П!L410</f>
        <v>0</v>
      </c>
      <c r="M411" s="325">
        <f>'d3'!M411-d3П!M410</f>
        <v>0</v>
      </c>
      <c r="N411" s="325">
        <f>'d3'!N411-d3П!N410</f>
        <v>0</v>
      </c>
      <c r="O411" s="325">
        <f>'d3'!O411-d3П!O410</f>
        <v>20000</v>
      </c>
      <c r="P411" s="325">
        <f>'d3'!P411-d3П!P410</f>
        <v>20000</v>
      </c>
      <c r="Q411" s="20"/>
      <c r="R411" s="45"/>
    </row>
    <row r="412" spans="1:19" ht="120" customHeight="1" thickTop="1" thickBot="1" x14ac:dyDescent="0.25">
      <c r="A412" s="645" t="s">
        <v>168</v>
      </c>
      <c r="B412" s="645"/>
      <c r="C412" s="645"/>
      <c r="D412" s="646" t="s">
        <v>27</v>
      </c>
      <c r="E412" s="647">
        <f>E413</f>
        <v>310006</v>
      </c>
      <c r="F412" s="648">
        <f t="shared" ref="F412:G412" si="116">F413</f>
        <v>310006</v>
      </c>
      <c r="G412" s="648">
        <f t="shared" si="116"/>
        <v>0</v>
      </c>
      <c r="H412" s="648">
        <f>H413</f>
        <v>0</v>
      </c>
      <c r="I412" s="648">
        <f t="shared" ref="I412" si="117">I413</f>
        <v>0</v>
      </c>
      <c r="J412" s="647">
        <f>J413</f>
        <v>0</v>
      </c>
      <c r="K412" s="648">
        <f>K413</f>
        <v>0</v>
      </c>
      <c r="L412" s="648">
        <f>L413</f>
        <v>0</v>
      </c>
      <c r="M412" s="648">
        <f t="shared" ref="M412" si="118">M413</f>
        <v>0</v>
      </c>
      <c r="N412" s="648">
        <f>N413</f>
        <v>0</v>
      </c>
      <c r="O412" s="647">
        <f>O413</f>
        <v>0</v>
      </c>
      <c r="P412" s="648">
        <f t="shared" ref="P412" si="119">P413</f>
        <v>310006</v>
      </c>
      <c r="Q412" s="20"/>
    </row>
    <row r="413" spans="1:19" ht="120" customHeight="1" thickTop="1" thickBot="1" x14ac:dyDescent="0.25">
      <c r="A413" s="642" t="s">
        <v>169</v>
      </c>
      <c r="B413" s="642"/>
      <c r="C413" s="642"/>
      <c r="D413" s="643" t="s">
        <v>40</v>
      </c>
      <c r="E413" s="644">
        <f>E414+E420+E427+E417</f>
        <v>310006</v>
      </c>
      <c r="F413" s="644">
        <f t="shared" ref="F413:P413" si="120">F414+F420+F427+F417</f>
        <v>310006</v>
      </c>
      <c r="G413" s="644">
        <f t="shared" si="120"/>
        <v>0</v>
      </c>
      <c r="H413" s="644">
        <f t="shared" si="120"/>
        <v>0</v>
      </c>
      <c r="I413" s="644">
        <f t="shared" si="120"/>
        <v>0</v>
      </c>
      <c r="J413" s="644">
        <f t="shared" si="120"/>
        <v>0</v>
      </c>
      <c r="K413" s="644">
        <f t="shared" si="120"/>
        <v>0</v>
      </c>
      <c r="L413" s="644">
        <f t="shared" si="120"/>
        <v>0</v>
      </c>
      <c r="M413" s="644">
        <f t="shared" si="120"/>
        <v>0</v>
      </c>
      <c r="N413" s="644">
        <f t="shared" si="120"/>
        <v>0</v>
      </c>
      <c r="O413" s="644">
        <f t="shared" si="120"/>
        <v>0</v>
      </c>
      <c r="P413" s="644">
        <f t="shared" si="120"/>
        <v>310006</v>
      </c>
      <c r="Q413" s="492" t="b">
        <f>P413=P415+P421+P423</f>
        <v>1</v>
      </c>
      <c r="R413" s="45"/>
    </row>
    <row r="414" spans="1:19" ht="47.25" thickTop="1" thickBot="1" x14ac:dyDescent="0.25">
      <c r="A414" s="308" t="s">
        <v>844</v>
      </c>
      <c r="B414" s="308" t="s">
        <v>684</v>
      </c>
      <c r="C414" s="308"/>
      <c r="D414" s="308" t="s">
        <v>685</v>
      </c>
      <c r="E414" s="325">
        <f>'d3'!E414-d3П!E413</f>
        <v>0</v>
      </c>
      <c r="F414" s="325">
        <f>'d3'!F414-d3П!F413</f>
        <v>0</v>
      </c>
      <c r="G414" s="325">
        <f>'d3'!G414-d3П!G413</f>
        <v>0</v>
      </c>
      <c r="H414" s="325">
        <f>'d3'!H414-d3П!H413</f>
        <v>0</v>
      </c>
      <c r="I414" s="325">
        <f>'d3'!I414-d3П!I413</f>
        <v>0</v>
      </c>
      <c r="J414" s="325">
        <f>'d3'!J414-d3П!J413</f>
        <v>0</v>
      </c>
      <c r="K414" s="325">
        <f>'d3'!K414-d3П!K413</f>
        <v>0</v>
      </c>
      <c r="L414" s="325">
        <f>'d3'!L414-d3П!L413</f>
        <v>0</v>
      </c>
      <c r="M414" s="325">
        <f>'d3'!M414-d3П!M413</f>
        <v>0</v>
      </c>
      <c r="N414" s="325">
        <f>'d3'!N414-d3П!N413</f>
        <v>0</v>
      </c>
      <c r="O414" s="325">
        <f>'d3'!O414-d3П!O413</f>
        <v>0</v>
      </c>
      <c r="P414" s="325">
        <f>'d3'!P414-d3П!P413</f>
        <v>0</v>
      </c>
      <c r="Q414" s="47"/>
      <c r="R414" s="50"/>
    </row>
    <row r="415" spans="1:19" ht="93" thickTop="1" thickBot="1" x14ac:dyDescent="0.25">
      <c r="A415" s="101" t="s">
        <v>420</v>
      </c>
      <c r="B415" s="101" t="s">
        <v>236</v>
      </c>
      <c r="C415" s="101" t="s">
        <v>234</v>
      </c>
      <c r="D415" s="101" t="s">
        <v>235</v>
      </c>
      <c r="E415" s="325">
        <f>'d3'!E415-d3П!E414</f>
        <v>0</v>
      </c>
      <c r="F415" s="325">
        <f>'d3'!F415-d3П!F414</f>
        <v>0</v>
      </c>
      <c r="G415" s="325">
        <f>'d3'!G415-d3П!G414</f>
        <v>0</v>
      </c>
      <c r="H415" s="325">
        <f>'d3'!H415-d3П!H414</f>
        <v>0</v>
      </c>
      <c r="I415" s="325">
        <f>'d3'!I415-d3П!I414</f>
        <v>0</v>
      </c>
      <c r="J415" s="325">
        <f>'d3'!J415-d3П!J414</f>
        <v>0</v>
      </c>
      <c r="K415" s="325">
        <f>'d3'!K415-d3П!K414</f>
        <v>0</v>
      </c>
      <c r="L415" s="325">
        <f>'d3'!L415-d3П!L414</f>
        <v>0</v>
      </c>
      <c r="M415" s="325">
        <f>'d3'!M415-d3П!M414</f>
        <v>0</v>
      </c>
      <c r="N415" s="325">
        <f>'d3'!N415-d3П!N414</f>
        <v>0</v>
      </c>
      <c r="O415" s="325">
        <f>'d3'!O415-d3П!O414</f>
        <v>0</v>
      </c>
      <c r="P415" s="325">
        <f>'d3'!P415-d3П!P414</f>
        <v>0</v>
      </c>
      <c r="Q415" s="47"/>
      <c r="R415" s="50"/>
      <c r="S415" s="47"/>
    </row>
    <row r="416" spans="1:19" ht="93" hidden="1" thickTop="1" thickBot="1" x14ac:dyDescent="0.25">
      <c r="A416" s="126" t="s">
        <v>634</v>
      </c>
      <c r="B416" s="126" t="s">
        <v>362</v>
      </c>
      <c r="C416" s="126" t="s">
        <v>625</v>
      </c>
      <c r="D416" s="126" t="s">
        <v>626</v>
      </c>
      <c r="E416" s="325">
        <f>'d3'!E416-d3П!E415</f>
        <v>0</v>
      </c>
      <c r="F416" s="325">
        <f>'d3'!F416-d3П!F415</f>
        <v>0</v>
      </c>
      <c r="G416" s="325">
        <f>'d3'!G416-d3П!G415</f>
        <v>0</v>
      </c>
      <c r="H416" s="325">
        <f>'d3'!H416-d3П!H415</f>
        <v>0</v>
      </c>
      <c r="I416" s="325">
        <f>'d3'!I416-d3П!I415</f>
        <v>0</v>
      </c>
      <c r="J416" s="325">
        <f>'d3'!J416-d3П!J415</f>
        <v>0</v>
      </c>
      <c r="K416" s="325">
        <f>'d3'!K416-d3П!K415</f>
        <v>0</v>
      </c>
      <c r="L416" s="325">
        <f>'d3'!L416-d3П!L415</f>
        <v>0</v>
      </c>
      <c r="M416" s="325">
        <f>'d3'!M416-d3П!M415</f>
        <v>0</v>
      </c>
      <c r="N416" s="325">
        <f>'d3'!N416-d3П!N415</f>
        <v>0</v>
      </c>
      <c r="O416" s="325">
        <f>'d3'!O416-d3П!O415</f>
        <v>0</v>
      </c>
      <c r="P416" s="325">
        <f>'d3'!P416-d3П!P415</f>
        <v>0</v>
      </c>
      <c r="Q416" s="47"/>
      <c r="R416" s="50"/>
    </row>
    <row r="417" spans="1:18" ht="47.25" hidden="1" thickTop="1" thickBot="1" x14ac:dyDescent="0.25">
      <c r="A417" s="134" t="s">
        <v>1204</v>
      </c>
      <c r="B417" s="134" t="s">
        <v>691</v>
      </c>
      <c r="C417" s="134"/>
      <c r="D417" s="134" t="s">
        <v>689</v>
      </c>
      <c r="E417" s="325">
        <f>'d3'!E417-d3П!E416</f>
        <v>0</v>
      </c>
      <c r="F417" s="325">
        <f>'d3'!F417-d3П!F416</f>
        <v>0</v>
      </c>
      <c r="G417" s="325">
        <f>'d3'!G417-d3П!G416</f>
        <v>0</v>
      </c>
      <c r="H417" s="325">
        <f>'d3'!H417-d3П!H416</f>
        <v>0</v>
      </c>
      <c r="I417" s="325">
        <f>'d3'!I417-d3П!I416</f>
        <v>0</v>
      </c>
      <c r="J417" s="325">
        <f>'d3'!J417-d3П!J416</f>
        <v>0</v>
      </c>
      <c r="K417" s="325">
        <f>'d3'!K417-d3П!K416</f>
        <v>0</v>
      </c>
      <c r="L417" s="325">
        <f>'d3'!L417-d3П!L416</f>
        <v>0</v>
      </c>
      <c r="M417" s="325">
        <f>'d3'!M417-d3П!M416</f>
        <v>0</v>
      </c>
      <c r="N417" s="325">
        <f>'d3'!N417-d3П!N416</f>
        <v>0</v>
      </c>
      <c r="O417" s="325">
        <f>'d3'!O417-d3П!O416</f>
        <v>0</v>
      </c>
      <c r="P417" s="325">
        <f>'d3'!P417-d3П!P416</f>
        <v>0</v>
      </c>
      <c r="Q417" s="47"/>
      <c r="R417" s="50"/>
    </row>
    <row r="418" spans="1:18" ht="47.25" hidden="1" thickTop="1" thickBot="1" x14ac:dyDescent="0.25">
      <c r="A418" s="138" t="s">
        <v>1205</v>
      </c>
      <c r="B418" s="138" t="s">
        <v>694</v>
      </c>
      <c r="C418" s="138"/>
      <c r="D418" s="138" t="s">
        <v>692</v>
      </c>
      <c r="E418" s="325">
        <f>'d3'!E418-d3П!E417</f>
        <v>0</v>
      </c>
      <c r="F418" s="325">
        <f>'d3'!F418-d3П!F417</f>
        <v>0</v>
      </c>
      <c r="G418" s="325">
        <f>'d3'!G418-d3П!G417</f>
        <v>0</v>
      </c>
      <c r="H418" s="325">
        <f>'d3'!H418-d3П!H417</f>
        <v>0</v>
      </c>
      <c r="I418" s="325">
        <f>'d3'!I418-d3П!I417</f>
        <v>0</v>
      </c>
      <c r="J418" s="325">
        <f>'d3'!J418-d3П!J417</f>
        <v>0</v>
      </c>
      <c r="K418" s="325">
        <f>'d3'!K418-d3П!K417</f>
        <v>0</v>
      </c>
      <c r="L418" s="325">
        <f>'d3'!L418-d3П!L417</f>
        <v>0</v>
      </c>
      <c r="M418" s="325">
        <f>'d3'!M418-d3П!M417</f>
        <v>0</v>
      </c>
      <c r="N418" s="325">
        <f>'d3'!N418-d3П!N417</f>
        <v>0</v>
      </c>
      <c r="O418" s="325">
        <f>'d3'!O418-d3П!O417</f>
        <v>0</v>
      </c>
      <c r="P418" s="325">
        <f>'d3'!P418-d3П!P417</f>
        <v>0</v>
      </c>
      <c r="Q418" s="47"/>
      <c r="R418" s="50"/>
    </row>
    <row r="419" spans="1:18" ht="47.25" hidden="1" thickTop="1" thickBot="1" x14ac:dyDescent="0.25">
      <c r="A419" s="126" t="s">
        <v>1206</v>
      </c>
      <c r="B419" s="126" t="s">
        <v>257</v>
      </c>
      <c r="C419" s="126" t="s">
        <v>170</v>
      </c>
      <c r="D419" s="126" t="s">
        <v>255</v>
      </c>
      <c r="E419" s="325">
        <f>'d3'!E419-d3П!E418</f>
        <v>0</v>
      </c>
      <c r="F419" s="325">
        <f>'d3'!F419-d3П!F418</f>
        <v>0</v>
      </c>
      <c r="G419" s="325">
        <f>'d3'!G419-d3П!G418</f>
        <v>0</v>
      </c>
      <c r="H419" s="325">
        <f>'d3'!H419-d3П!H418</f>
        <v>0</v>
      </c>
      <c r="I419" s="325">
        <f>'d3'!I419-d3П!I418</f>
        <v>0</v>
      </c>
      <c r="J419" s="325">
        <f>'d3'!J419-d3П!J418</f>
        <v>0</v>
      </c>
      <c r="K419" s="325">
        <f>'d3'!K419-d3П!K418</f>
        <v>0</v>
      </c>
      <c r="L419" s="325">
        <f>'d3'!L419-d3П!L418</f>
        <v>0</v>
      </c>
      <c r="M419" s="325">
        <f>'d3'!M419-d3П!M418</f>
        <v>0</v>
      </c>
      <c r="N419" s="325">
        <f>'d3'!N419-d3П!N418</f>
        <v>0</v>
      </c>
      <c r="O419" s="325">
        <f>'d3'!O419-d3П!O418</f>
        <v>0</v>
      </c>
      <c r="P419" s="325">
        <f>'d3'!P419-d3П!P418</f>
        <v>0</v>
      </c>
      <c r="Q419" s="47"/>
      <c r="R419" s="50"/>
    </row>
    <row r="420" spans="1:18" ht="47.25" thickTop="1" thickBot="1" x14ac:dyDescent="0.25">
      <c r="A420" s="308" t="s">
        <v>845</v>
      </c>
      <c r="B420" s="308" t="s">
        <v>696</v>
      </c>
      <c r="C420" s="308"/>
      <c r="D420" s="308" t="s">
        <v>697</v>
      </c>
      <c r="E420" s="325">
        <f>'d3'!E420-d3П!E419</f>
        <v>310006</v>
      </c>
      <c r="F420" s="325">
        <f>'d3'!F420-d3П!F419</f>
        <v>310006</v>
      </c>
      <c r="G420" s="325">
        <f>'d3'!G420-d3П!G419</f>
        <v>0</v>
      </c>
      <c r="H420" s="325">
        <f>'d3'!H420-d3П!H419</f>
        <v>0</v>
      </c>
      <c r="I420" s="325">
        <f>'d3'!I420-d3П!I419</f>
        <v>0</v>
      </c>
      <c r="J420" s="325">
        <f>'d3'!J420-d3П!J419</f>
        <v>0</v>
      </c>
      <c r="K420" s="325">
        <f>'d3'!K420-d3П!K419</f>
        <v>0</v>
      </c>
      <c r="L420" s="325">
        <f>'d3'!L420-d3П!L419</f>
        <v>0</v>
      </c>
      <c r="M420" s="325">
        <f>'d3'!M420-d3П!M419</f>
        <v>0</v>
      </c>
      <c r="N420" s="325">
        <f>'d3'!N420-d3П!N419</f>
        <v>0</v>
      </c>
      <c r="O420" s="325">
        <f>'d3'!O420-d3П!O419</f>
        <v>0</v>
      </c>
      <c r="P420" s="325">
        <f>'d3'!P420-d3П!P419</f>
        <v>310006</v>
      </c>
      <c r="Q420" s="47"/>
      <c r="R420" s="50"/>
    </row>
    <row r="421" spans="1:18" ht="47.25" thickTop="1" thickBot="1" x14ac:dyDescent="0.25">
      <c r="A421" s="515">
        <v>3718600</v>
      </c>
      <c r="B421" s="515">
        <v>8600</v>
      </c>
      <c r="C421" s="310" t="s">
        <v>362</v>
      </c>
      <c r="D421" s="515" t="s">
        <v>452</v>
      </c>
      <c r="E421" s="325">
        <f>'d3'!E421-d3П!E420</f>
        <v>310006</v>
      </c>
      <c r="F421" s="325">
        <f>'d3'!F421-d3П!F420</f>
        <v>310006</v>
      </c>
      <c r="G421" s="325">
        <f>'d3'!G421-d3П!G420</f>
        <v>0</v>
      </c>
      <c r="H421" s="325">
        <f>'d3'!H421-d3П!H420</f>
        <v>0</v>
      </c>
      <c r="I421" s="325">
        <f>'d3'!I421-d3П!I420</f>
        <v>0</v>
      </c>
      <c r="J421" s="325">
        <f>'d3'!J421-d3П!J420</f>
        <v>0</v>
      </c>
      <c r="K421" s="325">
        <f>'d3'!K421-d3П!K420</f>
        <v>0</v>
      </c>
      <c r="L421" s="325">
        <f>'d3'!L421-d3П!L420</f>
        <v>0</v>
      </c>
      <c r="M421" s="325">
        <f>'d3'!M421-d3П!M420</f>
        <v>0</v>
      </c>
      <c r="N421" s="325">
        <f>'d3'!N421-d3П!N420</f>
        <v>0</v>
      </c>
      <c r="O421" s="325">
        <f>'d3'!O421-d3П!O420</f>
        <v>0</v>
      </c>
      <c r="P421" s="325">
        <f>'d3'!P421-d3П!P420</f>
        <v>310006</v>
      </c>
      <c r="Q421" s="20"/>
    </row>
    <row r="422" spans="1:18" ht="47.25" thickTop="1" thickBot="1" x14ac:dyDescent="0.25">
      <c r="A422" s="515">
        <v>3718700</v>
      </c>
      <c r="B422" s="515">
        <v>8700</v>
      </c>
      <c r="C422" s="310"/>
      <c r="D422" s="515" t="s">
        <v>846</v>
      </c>
      <c r="E422" s="325">
        <f>'d3'!E422-d3П!E421</f>
        <v>0</v>
      </c>
      <c r="F422" s="325">
        <f>'d3'!F422-d3П!F421</f>
        <v>0</v>
      </c>
      <c r="G422" s="325">
        <f>'d3'!G422-d3П!G421</f>
        <v>0</v>
      </c>
      <c r="H422" s="325">
        <f>'d3'!H422-d3П!H421</f>
        <v>0</v>
      </c>
      <c r="I422" s="325">
        <f>'d3'!I422-d3П!I421</f>
        <v>0</v>
      </c>
      <c r="J422" s="325">
        <f>'d3'!J422-d3П!J421</f>
        <v>0</v>
      </c>
      <c r="K422" s="325">
        <f>'d3'!K422-d3П!K421</f>
        <v>0</v>
      </c>
      <c r="L422" s="325">
        <f>'d3'!L422-d3П!L421</f>
        <v>0</v>
      </c>
      <c r="M422" s="325">
        <f>'d3'!M422-d3П!M421</f>
        <v>0</v>
      </c>
      <c r="N422" s="325">
        <f>'d3'!N422-d3П!N421</f>
        <v>0</v>
      </c>
      <c r="O422" s="325">
        <f>'d3'!O422-d3П!O421</f>
        <v>0</v>
      </c>
      <c r="P422" s="325">
        <f>'d3'!P422-d3П!P421</f>
        <v>0</v>
      </c>
      <c r="Q422" s="20"/>
    </row>
    <row r="423" spans="1:18" ht="69" customHeight="1" thickTop="1" thickBot="1" x14ac:dyDescent="0.25">
      <c r="A423" s="327">
        <v>3718710</v>
      </c>
      <c r="B423" s="327">
        <v>8710</v>
      </c>
      <c r="C423" s="101" t="s">
        <v>42</v>
      </c>
      <c r="D423" s="466" t="s">
        <v>640</v>
      </c>
      <c r="E423" s="325">
        <f>'d3'!E423-d3П!E422</f>
        <v>0</v>
      </c>
      <c r="F423" s="325">
        <f>'d3'!F423-d3П!F422</f>
        <v>0</v>
      </c>
      <c r="G423" s="325">
        <f>'d3'!G423-d3П!G422</f>
        <v>0</v>
      </c>
      <c r="H423" s="325">
        <f>'d3'!H423-d3П!H422</f>
        <v>0</v>
      </c>
      <c r="I423" s="325">
        <f>'d3'!I423-d3П!I422</f>
        <v>0</v>
      </c>
      <c r="J423" s="325">
        <f>'d3'!J423-d3П!J422</f>
        <v>0</v>
      </c>
      <c r="K423" s="325">
        <f>'d3'!K423-d3П!K422</f>
        <v>0</v>
      </c>
      <c r="L423" s="325">
        <f>'d3'!L423-d3П!L422</f>
        <v>0</v>
      </c>
      <c r="M423" s="325">
        <f>'d3'!M423-d3П!M422</f>
        <v>0</v>
      </c>
      <c r="N423" s="325">
        <f>'d3'!N423-d3П!N422</f>
        <v>0</v>
      </c>
      <c r="O423" s="325">
        <f>'d3'!O423-d3П!O422</f>
        <v>0</v>
      </c>
      <c r="P423" s="325">
        <f>'d3'!P423-d3П!P422</f>
        <v>0</v>
      </c>
      <c r="Q423" s="20"/>
    </row>
    <row r="424" spans="1:18" ht="47.25" hidden="1" thickTop="1" thickBot="1" x14ac:dyDescent="0.25">
      <c r="A424" s="164">
        <v>3718800</v>
      </c>
      <c r="B424" s="164">
        <v>8800</v>
      </c>
      <c r="C424" s="134"/>
      <c r="D424" s="164" t="s">
        <v>854</v>
      </c>
      <c r="E424" s="135">
        <f>E425</f>
        <v>0</v>
      </c>
      <c r="F424" s="135">
        <f>F425</f>
        <v>0</v>
      </c>
      <c r="G424" s="135">
        <f t="shared" ref="G424:P425" si="121">G425</f>
        <v>0</v>
      </c>
      <c r="H424" s="135">
        <f t="shared" si="121"/>
        <v>0</v>
      </c>
      <c r="I424" s="135">
        <f t="shared" si="121"/>
        <v>0</v>
      </c>
      <c r="J424" s="135">
        <f t="shared" si="121"/>
        <v>0</v>
      </c>
      <c r="K424" s="135">
        <f t="shared" si="121"/>
        <v>0</v>
      </c>
      <c r="L424" s="135">
        <f t="shared" si="121"/>
        <v>0</v>
      </c>
      <c r="M424" s="135">
        <f t="shared" si="121"/>
        <v>0</v>
      </c>
      <c r="N424" s="135">
        <f t="shared" si="121"/>
        <v>0</v>
      </c>
      <c r="O424" s="135">
        <f t="shared" si="121"/>
        <v>0</v>
      </c>
      <c r="P424" s="135">
        <f t="shared" si="121"/>
        <v>0</v>
      </c>
      <c r="Q424" s="20"/>
    </row>
    <row r="425" spans="1:18" ht="93" hidden="1" thickTop="1" thickBot="1" x14ac:dyDescent="0.25">
      <c r="A425" s="165">
        <v>3718880</v>
      </c>
      <c r="B425" s="165">
        <v>8880</v>
      </c>
      <c r="C425" s="138"/>
      <c r="D425" s="151" t="s">
        <v>1154</v>
      </c>
      <c r="E425" s="139">
        <f>E426</f>
        <v>0</v>
      </c>
      <c r="F425" s="139">
        <f t="shared" ref="F425" si="122">F426</f>
        <v>0</v>
      </c>
      <c r="G425" s="139">
        <f t="shared" si="121"/>
        <v>0</v>
      </c>
      <c r="H425" s="139">
        <f t="shared" si="121"/>
        <v>0</v>
      </c>
      <c r="I425" s="139">
        <f t="shared" si="121"/>
        <v>0</v>
      </c>
      <c r="J425" s="139">
        <f t="shared" si="121"/>
        <v>0</v>
      </c>
      <c r="K425" s="139">
        <f t="shared" si="121"/>
        <v>0</v>
      </c>
      <c r="L425" s="139">
        <f t="shared" si="121"/>
        <v>0</v>
      </c>
      <c r="M425" s="139">
        <f t="shared" si="121"/>
        <v>0</v>
      </c>
      <c r="N425" s="139">
        <f t="shared" si="121"/>
        <v>0</v>
      </c>
      <c r="O425" s="139">
        <f t="shared" si="121"/>
        <v>0</v>
      </c>
      <c r="P425" s="139">
        <f t="shared" si="121"/>
        <v>0</v>
      </c>
      <c r="Q425" s="20"/>
    </row>
    <row r="426" spans="1:18" ht="93" hidden="1" thickTop="1" thickBot="1" x14ac:dyDescent="0.25">
      <c r="A426" s="126">
        <v>3718881</v>
      </c>
      <c r="B426" s="126">
        <v>8881</v>
      </c>
      <c r="C426" s="126" t="s">
        <v>170</v>
      </c>
      <c r="D426" s="126" t="s">
        <v>1155</v>
      </c>
      <c r="E426" s="150">
        <f>F426</f>
        <v>0</v>
      </c>
      <c r="F426" s="127">
        <f>(2500000)-2500000</f>
        <v>0</v>
      </c>
      <c r="G426" s="127"/>
      <c r="H426" s="127"/>
      <c r="I426" s="127"/>
      <c r="J426" s="125">
        <f t="shared" ref="J426" si="123">L426+O426</f>
        <v>0</v>
      </c>
      <c r="K426" s="127"/>
      <c r="L426" s="128"/>
      <c r="M426" s="128"/>
      <c r="N426" s="128"/>
      <c r="O426" s="130">
        <f t="shared" ref="O426" si="124">K426</f>
        <v>0</v>
      </c>
      <c r="P426" s="125">
        <f t="shared" ref="P426" si="125">+J426+E426</f>
        <v>0</v>
      </c>
      <c r="Q426" s="20"/>
    </row>
    <row r="427" spans="1:18" ht="47.25" hidden="1" thickTop="1" thickBot="1" x14ac:dyDescent="0.25">
      <c r="A427" s="123" t="s">
        <v>847</v>
      </c>
      <c r="B427" s="123" t="s">
        <v>702</v>
      </c>
      <c r="C427" s="123"/>
      <c r="D427" s="123" t="s">
        <v>703</v>
      </c>
      <c r="E427" s="125">
        <f>E428</f>
        <v>0</v>
      </c>
      <c r="F427" s="125">
        <f t="shared" ref="F427:P428" si="126">F428</f>
        <v>0</v>
      </c>
      <c r="G427" s="125">
        <f t="shared" si="126"/>
        <v>0</v>
      </c>
      <c r="H427" s="125">
        <f t="shared" si="126"/>
        <v>0</v>
      </c>
      <c r="I427" s="125">
        <f t="shared" si="126"/>
        <v>0</v>
      </c>
      <c r="J427" s="125">
        <f t="shared" si="126"/>
        <v>0</v>
      </c>
      <c r="K427" s="125">
        <f t="shared" si="126"/>
        <v>0</v>
      </c>
      <c r="L427" s="125">
        <f t="shared" si="126"/>
        <v>0</v>
      </c>
      <c r="M427" s="125">
        <f t="shared" si="126"/>
        <v>0</v>
      </c>
      <c r="N427" s="125">
        <f t="shared" si="126"/>
        <v>0</v>
      </c>
      <c r="O427" s="125">
        <f t="shared" si="126"/>
        <v>0</v>
      </c>
      <c r="P427" s="125">
        <f t="shared" si="126"/>
        <v>0</v>
      </c>
      <c r="Q427" s="20"/>
    </row>
    <row r="428" spans="1:18" ht="47.25" hidden="1" thickTop="1" thickBot="1" x14ac:dyDescent="0.25">
      <c r="A428" s="164">
        <v>3719100</v>
      </c>
      <c r="B428" s="134" t="s">
        <v>849</v>
      </c>
      <c r="C428" s="134"/>
      <c r="D428" s="134" t="s">
        <v>848</v>
      </c>
      <c r="E428" s="135">
        <f>E429</f>
        <v>0</v>
      </c>
      <c r="F428" s="135">
        <f t="shared" si="126"/>
        <v>0</v>
      </c>
      <c r="G428" s="135">
        <f t="shared" si="126"/>
        <v>0</v>
      </c>
      <c r="H428" s="135">
        <f t="shared" si="126"/>
        <v>0</v>
      </c>
      <c r="I428" s="135">
        <f t="shared" si="126"/>
        <v>0</v>
      </c>
      <c r="J428" s="135">
        <f t="shared" si="126"/>
        <v>0</v>
      </c>
      <c r="K428" s="135">
        <f t="shared" si="126"/>
        <v>0</v>
      </c>
      <c r="L428" s="135">
        <f t="shared" si="126"/>
        <v>0</v>
      </c>
      <c r="M428" s="135">
        <f t="shared" si="126"/>
        <v>0</v>
      </c>
      <c r="N428" s="135">
        <f t="shared" si="126"/>
        <v>0</v>
      </c>
      <c r="O428" s="135">
        <f t="shared" si="126"/>
        <v>0</v>
      </c>
      <c r="P428" s="135">
        <f t="shared" si="126"/>
        <v>0</v>
      </c>
      <c r="Q428" s="20"/>
    </row>
    <row r="429" spans="1:18" ht="51" hidden="1" customHeight="1" thickTop="1" thickBot="1" x14ac:dyDescent="0.25">
      <c r="A429" s="149">
        <v>3719110</v>
      </c>
      <c r="B429" s="149">
        <v>9110</v>
      </c>
      <c r="C429" s="126" t="s">
        <v>43</v>
      </c>
      <c r="D429" s="398" t="s">
        <v>451</v>
      </c>
      <c r="E429" s="125">
        <f>F429</f>
        <v>0</v>
      </c>
      <c r="F429" s="132">
        <v>0</v>
      </c>
      <c r="G429" s="132"/>
      <c r="H429" s="132"/>
      <c r="I429" s="132"/>
      <c r="J429" s="125">
        <f>L429+O429</f>
        <v>0</v>
      </c>
      <c r="K429" s="132"/>
      <c r="L429" s="132"/>
      <c r="M429" s="132"/>
      <c r="N429" s="132"/>
      <c r="O429" s="130">
        <f>K429</f>
        <v>0</v>
      </c>
      <c r="P429" s="125">
        <f>E429+J429</f>
        <v>0</v>
      </c>
      <c r="Q429" s="20"/>
    </row>
    <row r="430" spans="1:18" ht="111" customHeight="1" thickTop="1" thickBot="1" x14ac:dyDescent="0.25">
      <c r="A430" s="649" t="s">
        <v>381</v>
      </c>
      <c r="B430" s="649" t="s">
        <v>381</v>
      </c>
      <c r="C430" s="649" t="s">
        <v>381</v>
      </c>
      <c r="D430" s="649" t="s">
        <v>391</v>
      </c>
      <c r="E430" s="650">
        <f t="shared" ref="E430:P430" si="127">E16+E48+E222+E108+E140+E201++E321+E346+E413+E374+E394+E404+E355+E286+E258</f>
        <v>55334671.569999933</v>
      </c>
      <c r="F430" s="650">
        <f t="shared" si="127"/>
        <v>55334671.569999933</v>
      </c>
      <c r="G430" s="650">
        <f t="shared" si="127"/>
        <v>-36390527.659999847</v>
      </c>
      <c r="H430" s="650">
        <f t="shared" si="127"/>
        <v>48764.3300000038</v>
      </c>
      <c r="I430" s="650">
        <f t="shared" si="127"/>
        <v>0</v>
      </c>
      <c r="J430" s="650">
        <f t="shared" si="127"/>
        <v>197150716.08000001</v>
      </c>
      <c r="K430" s="650">
        <f t="shared" si="127"/>
        <v>195850716.08000001</v>
      </c>
      <c r="L430" s="650">
        <f t="shared" si="127"/>
        <v>1388492</v>
      </c>
      <c r="M430" s="650">
        <f t="shared" si="127"/>
        <v>-380297</v>
      </c>
      <c r="N430" s="650">
        <f t="shared" si="127"/>
        <v>370850</v>
      </c>
      <c r="O430" s="650">
        <f t="shared" si="127"/>
        <v>195762224.08000001</v>
      </c>
      <c r="P430" s="650">
        <f t="shared" si="127"/>
        <v>252485387.64999995</v>
      </c>
      <c r="Q430" s="79" t="b">
        <f>P430=J430+E430</f>
        <v>1</v>
      </c>
    </row>
    <row r="431" spans="1:18" ht="46.5" thickTop="1" x14ac:dyDescent="0.2">
      <c r="A431" s="737" t="s">
        <v>1515</v>
      </c>
      <c r="B431" s="738"/>
      <c r="C431" s="738"/>
      <c r="D431" s="738"/>
      <c r="E431" s="738"/>
      <c r="F431" s="738"/>
      <c r="G431" s="738"/>
      <c r="H431" s="738"/>
      <c r="I431" s="738"/>
      <c r="J431" s="738"/>
      <c r="K431" s="738"/>
      <c r="L431" s="738"/>
      <c r="M431" s="738"/>
      <c r="N431" s="738"/>
      <c r="O431" s="738"/>
      <c r="P431" s="738"/>
      <c r="Q431" s="56"/>
    </row>
    <row r="432" spans="1:18" ht="60.75" hidden="1" x14ac:dyDescent="0.2">
      <c r="A432" s="15"/>
      <c r="B432" s="16"/>
      <c r="C432" s="16"/>
      <c r="D432" s="16"/>
      <c r="E432" s="539">
        <f>F432</f>
        <v>4036282488.0000005</v>
      </c>
      <c r="F432" s="539">
        <f>((((((3716414441.2)+222038975.97)+1158900+4436136.01)+21294370.59-600000-300000)-7761000+280000)+73066.32+30269.34)+79217328.57</f>
        <v>4036282488.0000005</v>
      </c>
      <c r="G432" s="539">
        <f>(((95820900+1446614253+3269881+127110999+52092425+53854513+94248348+1953964)+45702476.39+3377320)+949920+3007261+436671+76680)-15000000+50000</f>
        <v>1913565611.3900001</v>
      </c>
      <c r="H432" s="539">
        <f>(((((6241293+170645348+208800+8158262+4493410+2946945+4237921+58880)+92902.78)+140989.01)+137643)+73066.32+30269.34)-513671.33+28860+430240</f>
        <v>197411158.11999997</v>
      </c>
      <c r="I432" s="539">
        <v>0</v>
      </c>
      <c r="J432" s="539">
        <f>((((((480219450.8+'d2'!E42-'d4'!O29)+268859015.4)+7672111)+156908194.41+600000+300000)+7761000-280000)+121582175)+189247046.8</f>
        <v>1229428493.4100001</v>
      </c>
      <c r="K432" s="539">
        <f>(((((480219450.8+'d2'!F42-'d4'!P29-1200000-5215800-229145152)+268859015.4-4737.15-663952)+156908194.41+600000+300000)+7761000-280000)+121582175)+189247046.8-1300000</f>
        <v>985076751.25999999</v>
      </c>
      <c r="L432" s="539">
        <f>((((2604400+176000+570000+1000000)+206347210+6239260+10895910+1888442+1200000)+4737.15)-152499)-411508+1800000</f>
        <v>232161952.15000001</v>
      </c>
      <c r="M432" s="539">
        <f>((53944610+2604685+8032370+704165)-133500)-380297</f>
        <v>64772033</v>
      </c>
      <c r="N432" s="539">
        <f>(17336870+705805+284620+524376)+370850</f>
        <v>19222521</v>
      </c>
      <c r="O432" s="539">
        <f>(((((480219450.8+'d2'!F42-'d4'!O29-1200000-5215800-229145152+865400+3487390+24000+237940+25000)+268859015.4-4737.15)+7672111)+152499+156908194.41+600000+300000)+7761000-280000)+121582175-1300000+411508-500000</f>
        <v>808869504.46000004</v>
      </c>
      <c r="P432" s="539">
        <f>(((((4196633892+'d2'!C46-'d4'!Q29)+490897991.37)+7672111+4436136.01+1158900)+178202565)+73066.32+121612444.34)+268464375.37</f>
        <v>5265710981.4099998</v>
      </c>
      <c r="Q432" s="79" t="b">
        <f>E432+J432=P432</f>
        <v>1</v>
      </c>
      <c r="R432" s="56"/>
    </row>
    <row r="433" spans="1:18" ht="45.75" x14ac:dyDescent="0.65">
      <c r="A433" s="15"/>
      <c r="B433" s="16"/>
      <c r="C433" s="16"/>
      <c r="D433" s="540" t="s">
        <v>1478</v>
      </c>
      <c r="E433" s="316"/>
      <c r="F433" s="316"/>
      <c r="G433" s="2"/>
      <c r="H433" s="3"/>
      <c r="I433" s="2"/>
      <c r="J433" s="3"/>
      <c r="K433" s="2" t="s">
        <v>1479</v>
      </c>
      <c r="L433" s="2"/>
      <c r="M433" s="2"/>
      <c r="N433" s="2"/>
      <c r="O433" s="2"/>
      <c r="P433" s="2"/>
      <c r="Q433" s="56"/>
    </row>
    <row r="434" spans="1:18" ht="45.75" hidden="1" x14ac:dyDescent="0.65">
      <c r="A434" s="166"/>
      <c r="B434" s="167"/>
      <c r="C434" s="167"/>
      <c r="D434" s="3" t="s">
        <v>1443</v>
      </c>
      <c r="E434" s="316"/>
      <c r="F434" s="316"/>
      <c r="G434" s="2"/>
      <c r="H434" s="3"/>
      <c r="I434" s="2"/>
      <c r="J434" s="3"/>
      <c r="K434" s="3" t="s">
        <v>1444</v>
      </c>
      <c r="L434" s="200"/>
      <c r="M434" s="200"/>
      <c r="N434" s="200"/>
      <c r="O434" s="200"/>
      <c r="P434" s="200"/>
      <c r="Q434" s="56"/>
    </row>
    <row r="435" spans="1:18" ht="26.25" customHeight="1" x14ac:dyDescent="0.65">
      <c r="A435" s="15"/>
      <c r="B435" s="16"/>
      <c r="C435" s="16"/>
      <c r="D435" s="780"/>
      <c r="E435" s="780"/>
      <c r="F435" s="780"/>
      <c r="G435" s="780"/>
      <c r="H435" s="780"/>
      <c r="I435" s="780"/>
      <c r="J435" s="780"/>
      <c r="K435" s="780"/>
      <c r="L435" s="780"/>
      <c r="M435" s="780"/>
      <c r="N435" s="780"/>
      <c r="O435" s="780"/>
      <c r="P435" s="780"/>
      <c r="Q435" s="83"/>
    </row>
    <row r="436" spans="1:18" ht="50.25" customHeight="1" thickBot="1" x14ac:dyDescent="0.7">
      <c r="A436" s="15"/>
      <c r="B436" s="16"/>
      <c r="C436" s="16"/>
      <c r="D436" s="794" t="s">
        <v>1627</v>
      </c>
      <c r="E436" s="795"/>
      <c r="F436" s="795"/>
      <c r="G436" s="358"/>
      <c r="H436" s="358"/>
      <c r="I436" s="2"/>
      <c r="J436" s="2"/>
      <c r="K436" s="3" t="s">
        <v>1628</v>
      </c>
      <c r="L436" s="2"/>
      <c r="M436" s="2"/>
      <c r="N436" s="2"/>
      <c r="O436" s="2"/>
      <c r="P436" s="2"/>
      <c r="Q436" s="83"/>
    </row>
    <row r="437" spans="1:18" ht="47.25" thickTop="1" thickBot="1" x14ac:dyDescent="0.7">
      <c r="A437" s="19"/>
      <c r="B437" s="19"/>
      <c r="C437" s="19"/>
      <c r="D437" s="739"/>
      <c r="E437" s="739"/>
      <c r="F437" s="739"/>
      <c r="G437" s="739"/>
      <c r="H437" s="739"/>
      <c r="I437" s="739"/>
      <c r="J437" s="739"/>
      <c r="K437" s="739"/>
      <c r="L437" s="739"/>
      <c r="M437" s="739"/>
      <c r="N437" s="739"/>
      <c r="O437" s="739"/>
      <c r="P437" s="739"/>
      <c r="Q437" s="84"/>
    </row>
    <row r="438" spans="1:18" ht="95.25" customHeight="1" thickTop="1" x14ac:dyDescent="0.55000000000000004">
      <c r="E438" s="672"/>
      <c r="G438" s="58"/>
      <c r="H438" s="58"/>
      <c r="I438" s="91"/>
      <c r="J438" s="92"/>
      <c r="K438" s="92"/>
      <c r="L438" s="91"/>
      <c r="M438" s="91"/>
      <c r="N438" s="91"/>
      <c r="O438" s="91"/>
      <c r="P438" s="92"/>
      <c r="Q438" s="82"/>
    </row>
    <row r="439" spans="1:18" x14ac:dyDescent="0.2">
      <c r="E439" s="59"/>
      <c r="F439" s="60"/>
      <c r="G439" s="58"/>
      <c r="H439" s="58"/>
      <c r="I439" s="91"/>
      <c r="J439" s="93"/>
      <c r="K439" s="93"/>
      <c r="L439" s="91"/>
      <c r="M439" s="91"/>
      <c r="N439" s="91"/>
      <c r="O439" s="91"/>
      <c r="P439" s="92"/>
    </row>
    <row r="440" spans="1:18" x14ac:dyDescent="0.2">
      <c r="E440" s="59"/>
      <c r="F440" s="60"/>
      <c r="G440" s="58"/>
      <c r="H440" s="58"/>
      <c r="I440" s="91"/>
      <c r="J440" s="93"/>
      <c r="K440" s="93"/>
      <c r="L440" s="91"/>
      <c r="M440" s="91"/>
      <c r="N440" s="91"/>
      <c r="O440" s="91"/>
      <c r="P440" s="92"/>
    </row>
    <row r="441" spans="1:18" ht="60.75" x14ac:dyDescent="0.2">
      <c r="E441" s="672" t="b">
        <f>E432=E430</f>
        <v>0</v>
      </c>
      <c r="F441" s="672" t="b">
        <f>F432=F430</f>
        <v>0</v>
      </c>
      <c r="G441" s="672" t="b">
        <f>G432=G430</f>
        <v>0</v>
      </c>
      <c r="H441" s="672" t="b">
        <f t="shared" ref="H441:O441" si="128">H432=H430</f>
        <v>0</v>
      </c>
      <c r="I441" s="672" t="b">
        <f>I432=I430</f>
        <v>1</v>
      </c>
      <c r="J441" s="672" t="b">
        <f>J432=J430</f>
        <v>0</v>
      </c>
      <c r="K441" s="672" t="b">
        <f>K432=K430</f>
        <v>0</v>
      </c>
      <c r="L441" s="672" t="b">
        <f t="shared" si="128"/>
        <v>0</v>
      </c>
      <c r="M441" s="672" t="b">
        <f t="shared" si="128"/>
        <v>0</v>
      </c>
      <c r="N441" s="672" t="b">
        <f>N432=N430</f>
        <v>0</v>
      </c>
      <c r="O441" s="672" t="b">
        <f t="shared" si="128"/>
        <v>0</v>
      </c>
      <c r="P441" s="672" t="b">
        <f>P432=P430</f>
        <v>0</v>
      </c>
    </row>
    <row r="442" spans="1:18" ht="61.5" x14ac:dyDescent="0.2">
      <c r="E442" s="672" t="b">
        <f>E430=F430</f>
        <v>1</v>
      </c>
      <c r="F442" s="673">
        <f>F423/E430</f>
        <v>0</v>
      </c>
      <c r="G442" s="86"/>
      <c r="H442" s="87"/>
      <c r="I442" s="88"/>
      <c r="J442" s="672" t="b">
        <f>J432=L432+O432</f>
        <v>0</v>
      </c>
      <c r="K442" s="94"/>
      <c r="L442" s="79"/>
      <c r="M442" s="88"/>
      <c r="N442" s="88"/>
      <c r="O442" s="79"/>
      <c r="P442" s="672" t="b">
        <f>E430+J430=P430</f>
        <v>1</v>
      </c>
    </row>
    <row r="443" spans="1:18" ht="60.75" x14ac:dyDescent="0.2">
      <c r="E443" s="89"/>
      <c r="F443" s="90"/>
      <c r="G443" s="89"/>
      <c r="H443" s="674">
        <f>H432-H430</f>
        <v>197362393.78999996</v>
      </c>
      <c r="I443" s="89"/>
      <c r="J443" s="59"/>
      <c r="K443" s="59"/>
    </row>
    <row r="444" spans="1:18" ht="61.5" x14ac:dyDescent="0.2">
      <c r="A444" s="21"/>
      <c r="B444" s="21"/>
      <c r="C444" s="21"/>
      <c r="D444" s="22"/>
      <c r="E444" s="37">
        <f>E430-E432</f>
        <v>-3980947816.4300003</v>
      </c>
      <c r="F444" s="673">
        <f>400000/E430</f>
        <v>7.2287408355535031E-3</v>
      </c>
      <c r="G444" s="86"/>
      <c r="H444" s="61"/>
      <c r="I444" s="22"/>
      <c r="J444" s="37">
        <f>J430-J432</f>
        <v>-1032277777.33</v>
      </c>
      <c r="K444" s="37">
        <f>K430-K432</f>
        <v>-789226035.17999995</v>
      </c>
      <c r="L444" s="37"/>
      <c r="M444" s="37"/>
      <c r="N444" s="37"/>
      <c r="O444" s="37">
        <f>O430-O432</f>
        <v>-613107280.38</v>
      </c>
      <c r="P444" s="37"/>
    </row>
    <row r="445" spans="1:18" ht="61.5" x14ac:dyDescent="0.2">
      <c r="D445" s="22"/>
      <c r="E445" s="37"/>
      <c r="F445" s="63"/>
      <c r="G445" s="55"/>
      <c r="H445" s="61"/>
      <c r="I445" s="22"/>
      <c r="J445" s="37"/>
      <c r="K445" s="37"/>
      <c r="L445" s="64"/>
      <c r="P445" s="55"/>
      <c r="Q445" s="85"/>
      <c r="R445" s="65"/>
    </row>
    <row r="446" spans="1:18" ht="60.75" x14ac:dyDescent="0.2">
      <c r="A446" s="21"/>
      <c r="B446" s="21"/>
      <c r="C446" s="21"/>
      <c r="D446" s="22"/>
      <c r="E446" s="26"/>
      <c r="F446" s="26"/>
      <c r="G446" s="26"/>
      <c r="H446" s="26"/>
      <c r="I446" s="66"/>
      <c r="J446" s="26"/>
      <c r="K446" s="26"/>
      <c r="L446" s="26"/>
      <c r="M446" s="26"/>
      <c r="N446" s="26"/>
      <c r="O446" s="26"/>
      <c r="P446" s="26"/>
      <c r="Q446" s="85"/>
      <c r="R446" s="65"/>
    </row>
    <row r="447" spans="1:18" ht="60.75" x14ac:dyDescent="0.2">
      <c r="D447" s="22"/>
      <c r="E447" s="37"/>
      <c r="F447" s="67"/>
      <c r="O447" s="55"/>
      <c r="P447" s="55"/>
    </row>
    <row r="448" spans="1:18" ht="60.75" x14ac:dyDescent="0.2">
      <c r="A448" s="21"/>
      <c r="B448" s="21"/>
      <c r="C448" s="21"/>
      <c r="D448" s="22"/>
      <c r="E448" s="37"/>
      <c r="F448" s="62"/>
      <c r="G448" s="64"/>
      <c r="I448" s="68"/>
      <c r="J448" s="59"/>
      <c r="K448" s="59"/>
      <c r="L448" s="21"/>
      <c r="M448" s="21"/>
      <c r="N448" s="21"/>
      <c r="O448" s="21"/>
      <c r="P448" s="55"/>
    </row>
    <row r="449" spans="1:16" ht="62.25" x14ac:dyDescent="0.8">
      <c r="A449" s="21"/>
      <c r="B449" s="21"/>
      <c r="C449" s="21"/>
      <c r="D449" s="21"/>
      <c r="E449" s="69"/>
      <c r="F449" s="62"/>
      <c r="J449" s="59"/>
      <c r="K449" s="59"/>
      <c r="L449" s="21"/>
      <c r="M449" s="21"/>
      <c r="N449" s="21"/>
      <c r="O449" s="21"/>
      <c r="P449" s="70"/>
    </row>
    <row r="450" spans="1:16" ht="45.75" x14ac:dyDescent="0.2">
      <c r="E450" s="71"/>
      <c r="F450" s="67"/>
    </row>
    <row r="451" spans="1:16" ht="45.75" x14ac:dyDescent="0.2">
      <c r="A451" s="21"/>
      <c r="B451" s="21"/>
      <c r="C451" s="21"/>
      <c r="D451" s="21"/>
      <c r="E451" s="69"/>
      <c r="F451" s="62"/>
      <c r="L451" s="21"/>
      <c r="M451" s="21"/>
      <c r="N451" s="21"/>
      <c r="O451" s="21"/>
      <c r="P451" s="21"/>
    </row>
    <row r="452" spans="1:16" ht="45.75" x14ac:dyDescent="0.2">
      <c r="E452" s="72"/>
      <c r="F452" s="67"/>
    </row>
    <row r="453" spans="1:16" ht="45.75" x14ac:dyDescent="0.2">
      <c r="E453" s="72"/>
      <c r="F453" s="67"/>
    </row>
    <row r="454" spans="1:16" ht="45.75" x14ac:dyDescent="0.2">
      <c r="E454" s="72"/>
      <c r="F454" s="67"/>
    </row>
    <row r="455" spans="1:16" ht="45.75" x14ac:dyDescent="0.2">
      <c r="A455" s="21"/>
      <c r="B455" s="21"/>
      <c r="C455" s="21"/>
      <c r="D455" s="21"/>
      <c r="E455" s="72"/>
      <c r="F455" s="67"/>
      <c r="G455" s="21"/>
      <c r="H455" s="21"/>
      <c r="I455" s="21"/>
      <c r="J455" s="21"/>
      <c r="K455" s="21"/>
      <c r="L455" s="21"/>
      <c r="M455" s="21"/>
      <c r="N455" s="21"/>
      <c r="O455" s="21"/>
      <c r="P455" s="21"/>
    </row>
    <row r="456" spans="1:16" ht="45.75" x14ac:dyDescent="0.2">
      <c r="A456" s="21"/>
      <c r="B456" s="21"/>
      <c r="C456" s="21"/>
      <c r="D456" s="21"/>
      <c r="E456" s="72"/>
      <c r="F456" s="67"/>
      <c r="G456" s="21"/>
      <c r="H456" s="21"/>
      <c r="I456" s="21"/>
      <c r="J456" s="21"/>
      <c r="K456" s="21"/>
      <c r="L456" s="21"/>
      <c r="M456" s="21"/>
      <c r="N456" s="21"/>
      <c r="O456" s="21"/>
      <c r="P456" s="21"/>
    </row>
    <row r="457" spans="1:16" ht="45.75" x14ac:dyDescent="0.2">
      <c r="A457" s="21"/>
      <c r="B457" s="21"/>
      <c r="C457" s="21"/>
      <c r="D457" s="21"/>
      <c r="E457" s="72"/>
      <c r="F457" s="67"/>
      <c r="G457" s="21"/>
      <c r="H457" s="21"/>
      <c r="I457" s="21"/>
      <c r="J457" s="21"/>
      <c r="K457" s="21"/>
      <c r="L457" s="21"/>
      <c r="M457" s="21"/>
      <c r="N457" s="21"/>
      <c r="O457" s="21"/>
      <c r="P457" s="21"/>
    </row>
    <row r="458" spans="1:16" ht="45.75" x14ac:dyDescent="0.2">
      <c r="A458" s="21"/>
      <c r="B458" s="21"/>
      <c r="C458" s="21"/>
      <c r="D458" s="21"/>
      <c r="E458" s="72"/>
      <c r="F458" s="67"/>
      <c r="G458" s="21"/>
      <c r="H458" s="21"/>
      <c r="I458" s="21"/>
      <c r="J458" s="21"/>
      <c r="K458" s="21"/>
      <c r="L458" s="21"/>
      <c r="M458" s="21"/>
      <c r="N458" s="21"/>
      <c r="O458" s="21"/>
      <c r="P458" s="21"/>
    </row>
  </sheetData>
  <mergeCells count="135">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P33:P34"/>
    <mergeCell ref="O12:O13"/>
    <mergeCell ref="A33:A34"/>
    <mergeCell ref="B33:B34"/>
    <mergeCell ref="C33:C34"/>
    <mergeCell ref="E33:E34"/>
    <mergeCell ref="F33:F34"/>
    <mergeCell ref="G33:G34"/>
    <mergeCell ref="H33:H34"/>
    <mergeCell ref="I33:I34"/>
    <mergeCell ref="J33:J34"/>
    <mergeCell ref="A76:A77"/>
    <mergeCell ref="B76:B77"/>
    <mergeCell ref="C76:C77"/>
    <mergeCell ref="D76:D77"/>
    <mergeCell ref="K33:K34"/>
    <mergeCell ref="L33:L34"/>
    <mergeCell ref="M33:M34"/>
    <mergeCell ref="N33:N34"/>
    <mergeCell ref="O33:O34"/>
    <mergeCell ref="N169:N172"/>
    <mergeCell ref="O169:O172"/>
    <mergeCell ref="P169:P172"/>
    <mergeCell ref="Q169:Q172"/>
    <mergeCell ref="R169:R172"/>
    <mergeCell ref="A173:A176"/>
    <mergeCell ref="B173:B176"/>
    <mergeCell ref="C173:C176"/>
    <mergeCell ref="E173:E176"/>
    <mergeCell ref="F173:F176"/>
    <mergeCell ref="H169:H172"/>
    <mergeCell ref="I169:I172"/>
    <mergeCell ref="J169:J172"/>
    <mergeCell ref="K169:K172"/>
    <mergeCell ref="L169:L172"/>
    <mergeCell ref="M169:M172"/>
    <mergeCell ref="A169:A172"/>
    <mergeCell ref="B169:B172"/>
    <mergeCell ref="C169:C172"/>
    <mergeCell ref="E169:E172"/>
    <mergeCell ref="F169:F172"/>
    <mergeCell ref="G169:G172"/>
    <mergeCell ref="M173:M176"/>
    <mergeCell ref="N173:N176"/>
    <mergeCell ref="O173:O176"/>
    <mergeCell ref="P173:P176"/>
    <mergeCell ref="R173:R176"/>
    <mergeCell ref="A177:A179"/>
    <mergeCell ref="B177:B179"/>
    <mergeCell ref="C177:C179"/>
    <mergeCell ref="E177:E179"/>
    <mergeCell ref="F177:F179"/>
    <mergeCell ref="G173:G176"/>
    <mergeCell ref="H173:H176"/>
    <mergeCell ref="I173:I176"/>
    <mergeCell ref="J173:J176"/>
    <mergeCell ref="K173:K176"/>
    <mergeCell ref="L173:L176"/>
    <mergeCell ref="R180:R182"/>
    <mergeCell ref="A198:A199"/>
    <mergeCell ref="B198:B199"/>
    <mergeCell ref="C198:C199"/>
    <mergeCell ref="E198:E199"/>
    <mergeCell ref="F198:F199"/>
    <mergeCell ref="M177:M179"/>
    <mergeCell ref="N177:N179"/>
    <mergeCell ref="O177:O179"/>
    <mergeCell ref="P177:P179"/>
    <mergeCell ref="R177:R179"/>
    <mergeCell ref="A180:A182"/>
    <mergeCell ref="B180:B182"/>
    <mergeCell ref="C180:C182"/>
    <mergeCell ref="G177:G179"/>
    <mergeCell ref="H177:H179"/>
    <mergeCell ref="I177:I179"/>
    <mergeCell ref="J177:J179"/>
    <mergeCell ref="K177:K179"/>
    <mergeCell ref="L177:L179"/>
    <mergeCell ref="A309:A310"/>
    <mergeCell ref="B309:B310"/>
    <mergeCell ref="C309:C310"/>
    <mergeCell ref="M198:M199"/>
    <mergeCell ref="N198:N199"/>
    <mergeCell ref="O198:O199"/>
    <mergeCell ref="P198:P199"/>
    <mergeCell ref="A278:A279"/>
    <mergeCell ref="B278:B279"/>
    <mergeCell ref="C278:C279"/>
    <mergeCell ref="G198:G199"/>
    <mergeCell ref="H198:H199"/>
    <mergeCell ref="I198:I199"/>
    <mergeCell ref="J198:J199"/>
    <mergeCell ref="K198:K199"/>
    <mergeCell ref="L198:L199"/>
    <mergeCell ref="P342:P343"/>
    <mergeCell ref="A431:P431"/>
    <mergeCell ref="D435:P435"/>
    <mergeCell ref="D436:F436"/>
    <mergeCell ref="D437:P437"/>
    <mergeCell ref="J342:J343"/>
    <mergeCell ref="K342:K343"/>
    <mergeCell ref="L342:L343"/>
    <mergeCell ref="M342:M343"/>
    <mergeCell ref="N342:N343"/>
    <mergeCell ref="O342:O343"/>
    <mergeCell ref="A342:A343"/>
    <mergeCell ref="B342:B343"/>
    <mergeCell ref="C342:C343"/>
    <mergeCell ref="E342:E343"/>
    <mergeCell ref="F342:F343"/>
    <mergeCell ref="G342:G343"/>
    <mergeCell ref="H342:H343"/>
    <mergeCell ref="I342:I343"/>
  </mergeCells>
  <conditionalFormatting sqref="Q346:Q353">
    <cfRule type="iconSet" priority="17">
      <iconSet iconSet="3Arrows">
        <cfvo type="percent" val="0"/>
        <cfvo type="percent" val="33"/>
        <cfvo type="percent" val="67"/>
      </iconSet>
    </cfRule>
  </conditionalFormatting>
  <conditionalFormatting sqref="Q355:Q356">
    <cfRule type="iconSet" priority="13">
      <iconSet iconSet="3Arrows">
        <cfvo type="percent" val="0"/>
        <cfvo type="percent" val="33"/>
        <cfvo type="percent" val="67"/>
      </iconSet>
    </cfRule>
  </conditionalFormatting>
  <conditionalFormatting sqref="Q357:Q372">
    <cfRule type="iconSet" priority="21">
      <iconSet iconSet="3Arrows">
        <cfvo type="percent" val="0"/>
        <cfvo type="percent" val="33"/>
        <cfvo type="percent" val="67"/>
      </iconSet>
    </cfRule>
  </conditionalFormatting>
  <conditionalFormatting sqref="Q394:Q399">
    <cfRule type="iconSet" priority="20">
      <iconSet iconSet="3Arrows">
        <cfvo type="percent" val="0"/>
        <cfvo type="percent" val="33"/>
        <cfvo type="percent" val="67"/>
      </iconSet>
    </cfRule>
  </conditionalFormatting>
  <conditionalFormatting sqref="Q400">
    <cfRule type="iconSet" priority="2">
      <iconSet iconSet="3Arrows">
        <cfvo type="percent" val="0"/>
        <cfvo type="percent" val="33"/>
        <cfvo type="percent" val="67"/>
      </iconSet>
    </cfRule>
  </conditionalFormatting>
  <conditionalFormatting sqref="Q401:Q402">
    <cfRule type="iconSet" priority="8">
      <iconSet iconSet="3Arrows">
        <cfvo type="percent" val="0"/>
        <cfvo type="percent" val="33"/>
        <cfvo type="percent" val="67"/>
      </iconSet>
    </cfRule>
  </conditionalFormatting>
  <conditionalFormatting sqref="Q404">
    <cfRule type="iconSet" priority="3">
      <iconSet iconSet="3Arrows">
        <cfvo type="percent" val="0"/>
        <cfvo type="percent" val="33"/>
        <cfvo type="percent" val="67"/>
      </iconSet>
    </cfRule>
  </conditionalFormatting>
  <conditionalFormatting sqref="Q413">
    <cfRule type="iconSet" priority="1">
      <iconSet iconSet="3Arrows">
        <cfvo type="percent" val="0"/>
        <cfvo type="percent" val="33"/>
        <cfvo type="percent" val="67"/>
      </iconSet>
    </cfRule>
  </conditionalFormatting>
  <conditionalFormatting sqref="Q414 Q416:R420 R415:S415">
    <cfRule type="iconSet" priority="16">
      <iconSet iconSet="3Arrows">
        <cfvo type="percent" val="0"/>
        <cfvo type="percent" val="33"/>
        <cfvo type="percent" val="67"/>
      </iconSet>
    </cfRule>
  </conditionalFormatting>
  <conditionalFormatting sqref="Q415">
    <cfRule type="iconSet" priority="7">
      <iconSet iconSet="3Arrows">
        <cfvo type="percent" val="0"/>
        <cfvo type="percent" val="33"/>
        <cfvo type="percent" val="67"/>
      </iconSet>
    </cfRule>
  </conditionalFormatting>
  <conditionalFormatting sqref="Q374:R381">
    <cfRule type="iconSet" priority="23">
      <iconSet iconSet="3Arrows">
        <cfvo type="percent" val="0"/>
        <cfvo type="percent" val="33"/>
        <cfvo type="percent" val="67"/>
      </iconSet>
    </cfRule>
  </conditionalFormatting>
  <conditionalFormatting sqref="R346:R347">
    <cfRule type="iconSet" priority="11">
      <iconSet iconSet="3Arrows">
        <cfvo type="percent" val="0"/>
        <cfvo type="percent" val="33"/>
        <cfvo type="percent" val="67"/>
      </iconSet>
    </cfRule>
  </conditionalFormatting>
  <conditionalFormatting sqref="R348:R353">
    <cfRule type="iconSet" priority="10">
      <iconSet iconSet="3Arrows">
        <cfvo type="percent" val="0"/>
        <cfvo type="percent" val="33"/>
        <cfvo type="percent" val="67"/>
      </iconSet>
    </cfRule>
  </conditionalFormatting>
  <conditionalFormatting sqref="R355:R356">
    <cfRule type="iconSet" priority="12">
      <iconSet iconSet="3Arrows">
        <cfvo type="percent" val="0"/>
        <cfvo type="percent" val="33"/>
        <cfvo type="percent" val="67"/>
      </iconSet>
    </cfRule>
  </conditionalFormatting>
  <conditionalFormatting sqref="R357:R372">
    <cfRule type="iconSet" priority="22">
      <iconSet iconSet="3Arrows">
        <cfvo type="percent" val="0"/>
        <cfvo type="percent" val="33"/>
        <cfvo type="percent" val="67"/>
      </iconSet>
    </cfRule>
  </conditionalFormatting>
  <conditionalFormatting sqref="R382:R392">
    <cfRule type="iconSet" priority="18">
      <iconSet iconSet="3Arrows">
        <cfvo type="percent" val="0"/>
        <cfvo type="percent" val="33"/>
        <cfvo type="percent" val="67"/>
      </iconSet>
    </cfRule>
  </conditionalFormatting>
  <conditionalFormatting sqref="R394:R395">
    <cfRule type="iconSet" priority="9">
      <iconSet iconSet="3Arrows">
        <cfvo type="percent" val="0"/>
        <cfvo type="percent" val="33"/>
        <cfvo type="percent" val="67"/>
      </iconSet>
    </cfRule>
  </conditionalFormatting>
  <conditionalFormatting sqref="R396:R399">
    <cfRule type="iconSet" priority="19">
      <iconSet iconSet="3Arrows">
        <cfvo type="percent" val="0"/>
        <cfvo type="percent" val="33"/>
        <cfvo type="percent" val="67"/>
      </iconSet>
    </cfRule>
  </conditionalFormatting>
  <conditionalFormatting sqref="R406:R408 Q405:R405 R404">
    <cfRule type="iconSet" priority="15">
      <iconSet iconSet="3Arrows">
        <cfvo type="percent" val="0"/>
        <cfvo type="percent" val="33"/>
        <cfvo type="percent" val="67"/>
      </iconSet>
    </cfRule>
  </conditionalFormatting>
  <conditionalFormatting sqref="R409">
    <cfRule type="iconSet" priority="5">
      <iconSet iconSet="3Arrows">
        <cfvo type="percent" val="0"/>
        <cfvo type="percent" val="33"/>
        <cfvo type="percent" val="67"/>
      </iconSet>
    </cfRule>
  </conditionalFormatting>
  <conditionalFormatting sqref="R411">
    <cfRule type="iconSet" priority="4">
      <iconSet iconSet="3Arrows">
        <cfvo type="percent" val="0"/>
        <cfvo type="percent" val="33"/>
        <cfvo type="percent" val="67"/>
      </iconSet>
    </cfRule>
  </conditionalFormatting>
  <conditionalFormatting sqref="R413">
    <cfRule type="iconSet" priority="6">
      <iconSet iconSet="3Arrows">
        <cfvo type="percent" val="0"/>
        <cfvo type="percent" val="33"/>
        <cfvo type="percent" val="67"/>
      </iconSet>
    </cfRule>
  </conditionalFormatting>
  <conditionalFormatting sqref="R414">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184" max="15" man="1"/>
    <brk id="266"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tabSelected="1" view="pageBreakPreview" topLeftCell="A32" zoomScale="90" zoomScaleSheetLayoutView="90" workbookViewId="0">
      <selection activeCell="H58" sqref="H58"/>
    </sheetView>
  </sheetViews>
  <sheetFormatPr defaultColWidth="9.140625" defaultRowHeight="12.75" x14ac:dyDescent="0.2"/>
  <cols>
    <col min="1" max="1" width="9.7109375" style="13" customWidth="1"/>
    <col min="2" max="3" width="22.140625" style="13" customWidth="1"/>
    <col min="4" max="4" width="15.5703125" style="13" customWidth="1"/>
    <col min="5" max="5" width="15.28515625" style="13" customWidth="1"/>
    <col min="6" max="6" width="15.42578125" style="13" customWidth="1"/>
    <col min="7" max="7" width="15.140625" style="13" customWidth="1"/>
    <col min="8" max="8" width="16.42578125" style="13" customWidth="1"/>
    <col min="9" max="9" width="8.28515625" style="13" customWidth="1"/>
    <col min="10" max="10" width="9.140625" style="13"/>
    <col min="11" max="11" width="9.7109375" style="13" customWidth="1"/>
    <col min="12" max="12" width="9.140625" style="13"/>
    <col min="13" max="13" width="8.140625" style="13" customWidth="1"/>
    <col min="14" max="16384" width="9.140625" style="13"/>
  </cols>
  <sheetData>
    <row r="1" spans="1:17" x14ac:dyDescent="0.2">
      <c r="A1"/>
      <c r="B1"/>
      <c r="C1"/>
      <c r="D1"/>
      <c r="E1"/>
      <c r="F1" s="320" t="s">
        <v>114</v>
      </c>
    </row>
    <row r="2" spans="1:17" x14ac:dyDescent="0.2">
      <c r="A2"/>
      <c r="B2"/>
      <c r="C2"/>
      <c r="D2"/>
      <c r="E2"/>
      <c r="F2" s="320" t="s">
        <v>960</v>
      </c>
    </row>
    <row r="3" spans="1:17" x14ac:dyDescent="0.2">
      <c r="A3"/>
      <c r="B3"/>
      <c r="C3"/>
      <c r="D3"/>
      <c r="E3"/>
      <c r="F3" s="320" t="s">
        <v>1576</v>
      </c>
    </row>
    <row r="4" spans="1:17" x14ac:dyDescent="0.2">
      <c r="A4"/>
      <c r="B4"/>
      <c r="C4"/>
      <c r="D4"/>
      <c r="E4"/>
      <c r="F4"/>
    </row>
    <row r="5" spans="1:17" ht="18.75" x14ac:dyDescent="0.2">
      <c r="A5" s="727" t="s">
        <v>572</v>
      </c>
      <c r="B5" s="727"/>
      <c r="C5" s="727"/>
      <c r="D5" s="727"/>
      <c r="E5" s="727"/>
      <c r="F5" s="727"/>
    </row>
    <row r="6" spans="1:17" ht="18.75" x14ac:dyDescent="0.2">
      <c r="A6" s="727" t="s">
        <v>1514</v>
      </c>
      <c r="B6" s="727"/>
      <c r="C6" s="727"/>
      <c r="D6" s="727"/>
      <c r="E6" s="727"/>
      <c r="F6" s="727"/>
    </row>
    <row r="7" spans="1:17" ht="18.75" x14ac:dyDescent="0.2">
      <c r="A7" s="321"/>
      <c r="B7" s="321"/>
      <c r="C7" s="321"/>
      <c r="D7" s="321"/>
      <c r="E7" s="321"/>
      <c r="F7" s="321"/>
    </row>
    <row r="8" spans="1:17" x14ac:dyDescent="0.2">
      <c r="A8" s="728">
        <v>2256400000</v>
      </c>
      <c r="B8" s="729"/>
      <c r="C8" s="730"/>
      <c r="D8" s="730"/>
      <c r="E8" s="730"/>
      <c r="F8" s="730"/>
      <c r="G8" s="20"/>
    </row>
    <row r="9" spans="1:17" ht="15" customHeight="1" x14ac:dyDescent="0.2">
      <c r="A9" s="731" t="s">
        <v>490</v>
      </c>
      <c r="B9" s="732"/>
      <c r="C9" s="730"/>
      <c r="D9" s="730"/>
      <c r="E9" s="730"/>
      <c r="F9" s="730"/>
      <c r="G9" s="20"/>
    </row>
    <row r="10" spans="1:17" ht="13.5" thickBot="1" x14ac:dyDescent="0.25">
      <c r="A10" s="517"/>
      <c r="B10" s="517"/>
      <c r="C10"/>
      <c r="D10"/>
      <c r="E10"/>
      <c r="F10" s="518" t="s">
        <v>404</v>
      </c>
      <c r="G10" s="20"/>
    </row>
    <row r="11" spans="1:17" ht="14.25" thickTop="1" thickBot="1" x14ac:dyDescent="0.25">
      <c r="A11" s="733" t="s">
        <v>57</v>
      </c>
      <c r="B11" s="733" t="s">
        <v>378</v>
      </c>
      <c r="C11" s="733" t="s">
        <v>383</v>
      </c>
      <c r="D11" s="733" t="s">
        <v>12</v>
      </c>
      <c r="E11" s="733" t="s">
        <v>52</v>
      </c>
      <c r="F11" s="733"/>
      <c r="G11" s="20"/>
    </row>
    <row r="12" spans="1:17" ht="35.450000000000003" customHeight="1" thickTop="1" thickBot="1" x14ac:dyDescent="0.25">
      <c r="A12" s="733"/>
      <c r="B12" s="733"/>
      <c r="C12" s="733"/>
      <c r="D12" s="734"/>
      <c r="E12" s="519" t="s">
        <v>384</v>
      </c>
      <c r="F12" s="519" t="s">
        <v>385</v>
      </c>
      <c r="G12" s="20"/>
    </row>
    <row r="13" spans="1:17" ht="14.25" thickTop="1" thickBot="1" x14ac:dyDescent="0.25">
      <c r="A13" s="520">
        <v>1</v>
      </c>
      <c r="B13" s="520">
        <v>2</v>
      </c>
      <c r="C13" s="520">
        <v>3</v>
      </c>
      <c r="D13" s="520">
        <v>4</v>
      </c>
      <c r="E13" s="520">
        <v>5</v>
      </c>
      <c r="F13" s="520">
        <v>6</v>
      </c>
      <c r="G13" s="20"/>
    </row>
    <row r="14" spans="1:17" ht="30.75" customHeight="1" thickTop="1" thickBot="1" x14ac:dyDescent="0.25">
      <c r="A14" s="735" t="s">
        <v>379</v>
      </c>
      <c r="B14" s="735"/>
      <c r="C14" s="736"/>
      <c r="D14" s="736"/>
      <c r="E14" s="736"/>
      <c r="F14" s="736"/>
      <c r="G14" s="20"/>
    </row>
    <row r="15" spans="1:17" ht="26.25" customHeight="1" thickTop="1" thickBot="1" x14ac:dyDescent="0.25">
      <c r="A15" s="530" t="s">
        <v>115</v>
      </c>
      <c r="B15" s="531" t="s">
        <v>116</v>
      </c>
      <c r="C15" s="530">
        <f>C16+C25+C20</f>
        <v>511297991.37</v>
      </c>
      <c r="D15" s="530">
        <f>D16+D25+D20</f>
        <v>-303561553.32999992</v>
      </c>
      <c r="E15" s="530">
        <f>E16+E25+E20</f>
        <v>814859544.69999993</v>
      </c>
      <c r="F15" s="530">
        <f>F16+F25+F20</f>
        <v>814190855.54999995</v>
      </c>
      <c r="G15" s="687">
        <f>E15-F15</f>
        <v>668689.14999997616</v>
      </c>
      <c r="H15" s="115"/>
      <c r="I15" s="115"/>
      <c r="J15" s="115"/>
      <c r="K15" s="115"/>
      <c r="L15" s="115"/>
      <c r="M15" s="115"/>
      <c r="N15" s="115"/>
      <c r="O15" s="115"/>
      <c r="P15" s="115"/>
      <c r="Q15" s="115"/>
    </row>
    <row r="16" spans="1:17" ht="42" hidden="1" thickTop="1" thickBot="1" x14ac:dyDescent="0.25">
      <c r="A16" s="527">
        <v>202000</v>
      </c>
      <c r="B16" s="532" t="s">
        <v>966</v>
      </c>
      <c r="C16" s="529">
        <f t="shared" ref="C16:C17" si="0">SUM(D16,E16)</f>
        <v>0</v>
      </c>
      <c r="D16" s="529">
        <f t="shared" ref="D16" si="1">D17</f>
        <v>0</v>
      </c>
      <c r="E16" s="529">
        <f>E17</f>
        <v>0</v>
      </c>
      <c r="F16" s="529">
        <f t="shared" ref="F16" si="2">F17</f>
        <v>0</v>
      </c>
      <c r="G16" s="383"/>
      <c r="H16" s="115"/>
      <c r="I16" s="115"/>
      <c r="J16" s="115"/>
      <c r="K16" s="115"/>
      <c r="L16" s="115"/>
      <c r="M16" s="115"/>
      <c r="N16" s="115"/>
      <c r="O16" s="115"/>
      <c r="P16" s="115"/>
      <c r="Q16" s="115"/>
    </row>
    <row r="17" spans="1:17" ht="27" hidden="1" thickTop="1" thickBot="1" x14ac:dyDescent="0.25">
      <c r="A17" s="533">
        <v>202200</v>
      </c>
      <c r="B17" s="534" t="s">
        <v>968</v>
      </c>
      <c r="C17" s="530">
        <f t="shared" si="0"/>
        <v>0</v>
      </c>
      <c r="D17" s="530">
        <f>SUM(D18:D19)</f>
        <v>0</v>
      </c>
      <c r="E17" s="530">
        <f>SUM(E18:E19)</f>
        <v>0</v>
      </c>
      <c r="F17" s="530">
        <f>SUM(F18:F19)</f>
        <v>0</v>
      </c>
      <c r="G17" s="383"/>
      <c r="H17" s="115"/>
      <c r="I17" s="115"/>
      <c r="J17" s="115"/>
      <c r="K17" s="115"/>
      <c r="L17" s="115"/>
      <c r="M17" s="115"/>
      <c r="N17" s="115"/>
      <c r="O17" s="115"/>
      <c r="P17" s="115"/>
      <c r="Q17" s="115"/>
    </row>
    <row r="18" spans="1:17" ht="14.25" hidden="1" thickTop="1" thickBot="1" x14ac:dyDescent="0.25">
      <c r="A18" s="524">
        <v>202210</v>
      </c>
      <c r="B18" s="525" t="s">
        <v>967</v>
      </c>
      <c r="C18" s="526">
        <f>SUM(D18,E18)</f>
        <v>0</v>
      </c>
      <c r="D18" s="530"/>
      <c r="E18" s="526">
        <v>0</v>
      </c>
      <c r="F18" s="526">
        <v>0</v>
      </c>
      <c r="G18" s="383"/>
      <c r="H18" s="115"/>
      <c r="I18" s="115"/>
      <c r="J18" s="115"/>
      <c r="K18" s="115"/>
      <c r="L18" s="115"/>
      <c r="M18" s="115"/>
      <c r="N18" s="115"/>
      <c r="O18" s="115"/>
      <c r="P18" s="115"/>
      <c r="Q18" s="115"/>
    </row>
    <row r="19" spans="1:17" ht="14.25" hidden="1" thickTop="1" thickBot="1" x14ac:dyDescent="0.25">
      <c r="A19" s="524">
        <v>202220</v>
      </c>
      <c r="B19" s="525" t="s">
        <v>359</v>
      </c>
      <c r="C19" s="526">
        <f>SUM(D19,E19)</f>
        <v>0</v>
      </c>
      <c r="D19" s="530"/>
      <c r="E19" s="526">
        <v>0</v>
      </c>
      <c r="F19" s="526">
        <v>0</v>
      </c>
      <c r="G19" s="383"/>
      <c r="H19" s="115"/>
      <c r="I19" s="115"/>
      <c r="J19" s="115"/>
      <c r="K19" s="115"/>
      <c r="L19" s="115"/>
      <c r="M19" s="115"/>
      <c r="N19" s="115"/>
      <c r="O19" s="115"/>
      <c r="P19" s="115"/>
      <c r="Q19" s="115"/>
    </row>
    <row r="20" spans="1:17" ht="70.5" customHeight="1" thickTop="1" thickBot="1" x14ac:dyDescent="0.25">
      <c r="A20" s="527">
        <v>206000</v>
      </c>
      <c r="B20" s="528" t="s">
        <v>1470</v>
      </c>
      <c r="C20" s="529">
        <f>C21+C23</f>
        <v>150000000</v>
      </c>
      <c r="D20" s="529">
        <f t="shared" ref="D20:F20" si="3">D21+D23</f>
        <v>150000000</v>
      </c>
      <c r="E20" s="529">
        <f t="shared" si="3"/>
        <v>0</v>
      </c>
      <c r="F20" s="529">
        <f t="shared" si="3"/>
        <v>0</v>
      </c>
      <c r="G20" s="383"/>
      <c r="H20" s="115"/>
      <c r="I20" s="115"/>
      <c r="J20" s="115"/>
      <c r="K20" s="115"/>
      <c r="L20" s="115"/>
      <c r="M20" s="115"/>
      <c r="N20" s="115"/>
      <c r="O20" s="115"/>
      <c r="P20" s="115"/>
      <c r="Q20" s="115"/>
    </row>
    <row r="21" spans="1:17" ht="65.25" thickTop="1" thickBot="1" x14ac:dyDescent="0.25">
      <c r="A21" s="521">
        <v>206100</v>
      </c>
      <c r="B21" s="522" t="s">
        <v>1471</v>
      </c>
      <c r="C21" s="523">
        <f>C22</f>
        <v>150000000</v>
      </c>
      <c r="D21" s="523">
        <f t="shared" ref="D21" si="4">D22</f>
        <v>150000000</v>
      </c>
      <c r="E21" s="523">
        <f t="shared" ref="E21" si="5">E22</f>
        <v>0</v>
      </c>
      <c r="F21" s="523">
        <f t="shared" ref="F21" si="6">F22</f>
        <v>0</v>
      </c>
      <c r="G21" s="383"/>
      <c r="H21" s="115"/>
      <c r="I21" s="115"/>
      <c r="J21" s="115"/>
      <c r="K21" s="115"/>
      <c r="L21" s="115"/>
      <c r="M21" s="115"/>
      <c r="N21" s="115"/>
      <c r="O21" s="115"/>
      <c r="P21" s="115"/>
      <c r="Q21" s="115"/>
    </row>
    <row r="22" spans="1:17" ht="39.75" thickTop="1" thickBot="1" x14ac:dyDescent="0.25">
      <c r="A22" s="524">
        <v>206120</v>
      </c>
      <c r="B22" s="525" t="s">
        <v>1473</v>
      </c>
      <c r="C22" s="526">
        <f>D22+E22</f>
        <v>150000000</v>
      </c>
      <c r="D22" s="526">
        <v>150000000</v>
      </c>
      <c r="E22" s="526">
        <v>0</v>
      </c>
      <c r="F22" s="526">
        <v>0</v>
      </c>
      <c r="G22" s="383"/>
      <c r="H22" s="115"/>
      <c r="I22" s="115"/>
      <c r="J22" s="115"/>
      <c r="K22" s="115"/>
      <c r="L22" s="115"/>
      <c r="M22" s="115"/>
      <c r="N22" s="115"/>
      <c r="O22" s="115"/>
      <c r="P22" s="115"/>
      <c r="Q22" s="115"/>
    </row>
    <row r="23" spans="1:17" ht="52.5" hidden="1" thickTop="1" thickBot="1" x14ac:dyDescent="0.25">
      <c r="A23" s="387">
        <v>206200</v>
      </c>
      <c r="B23" s="388" t="s">
        <v>1472</v>
      </c>
      <c r="C23" s="389">
        <f>C24</f>
        <v>0</v>
      </c>
      <c r="D23" s="389">
        <f t="shared" ref="D23:F23" si="7">D24</f>
        <v>0</v>
      </c>
      <c r="E23" s="389">
        <f t="shared" si="7"/>
        <v>0</v>
      </c>
      <c r="F23" s="389">
        <f t="shared" si="7"/>
        <v>0</v>
      </c>
      <c r="G23" s="383"/>
      <c r="H23" s="115"/>
      <c r="I23" s="115"/>
      <c r="J23" s="115"/>
      <c r="K23" s="115"/>
      <c r="L23" s="115"/>
      <c r="M23" s="115"/>
      <c r="N23" s="115"/>
      <c r="O23" s="115"/>
      <c r="P23" s="115"/>
      <c r="Q23" s="115"/>
    </row>
    <row r="24" spans="1:17" ht="27" hidden="1" thickTop="1" thickBot="1" x14ac:dyDescent="0.25">
      <c r="A24" s="385">
        <v>206220</v>
      </c>
      <c r="B24" s="386" t="s">
        <v>1474</v>
      </c>
      <c r="C24" s="355">
        <f>D24+E24</f>
        <v>0</v>
      </c>
      <c r="D24" s="355">
        <v>0</v>
      </c>
      <c r="E24" s="355">
        <v>0</v>
      </c>
      <c r="F24" s="355">
        <v>0</v>
      </c>
      <c r="G24" s="383"/>
      <c r="H24" s="115"/>
      <c r="I24" s="115"/>
      <c r="J24" s="115"/>
      <c r="K24" s="115"/>
      <c r="L24" s="115"/>
      <c r="M24" s="115"/>
      <c r="N24" s="115"/>
      <c r="O24" s="115"/>
      <c r="P24" s="115"/>
      <c r="Q24" s="115"/>
    </row>
    <row r="25" spans="1:17" ht="42" thickTop="1" thickBot="1" x14ac:dyDescent="0.25">
      <c r="A25" s="527">
        <v>208000</v>
      </c>
      <c r="B25" s="528" t="s">
        <v>970</v>
      </c>
      <c r="C25" s="529">
        <f>C26+C29+C27</f>
        <v>361297991.37</v>
      </c>
      <c r="D25" s="529">
        <f>D26+D29+D27</f>
        <v>-453561553.32999992</v>
      </c>
      <c r="E25" s="529">
        <f>E26+E29+E27</f>
        <v>814859544.69999993</v>
      </c>
      <c r="F25" s="529">
        <f>F26+F29+F27</f>
        <v>814190855.54999995</v>
      </c>
      <c r="G25" s="688">
        <f>E25-F25</f>
        <v>668689.14999997616</v>
      </c>
      <c r="H25" s="115"/>
      <c r="I25" s="115"/>
      <c r="J25" s="115"/>
      <c r="K25" s="115"/>
      <c r="L25" s="115"/>
      <c r="M25" s="115"/>
      <c r="N25" s="115"/>
      <c r="O25" s="115"/>
      <c r="P25" s="115"/>
      <c r="Q25" s="115"/>
    </row>
    <row r="26" spans="1:17" ht="15" thickTop="1" thickBot="1" x14ac:dyDescent="0.25">
      <c r="A26" s="527" t="s">
        <v>117</v>
      </c>
      <c r="B26" s="532" t="s">
        <v>118</v>
      </c>
      <c r="C26" s="529">
        <f>SUM(D26,E26)</f>
        <v>361297991.37</v>
      </c>
      <c r="D26" s="529">
        <v>341325281.88</v>
      </c>
      <c r="E26" s="529">
        <v>19972709.489999998</v>
      </c>
      <c r="F26" s="529">
        <f>(19972709.49)-668689.15</f>
        <v>19304020.34</v>
      </c>
      <c r="G26" s="688"/>
      <c r="H26" s="115"/>
      <c r="I26" s="115"/>
      <c r="J26" s="115"/>
      <c r="K26" s="115"/>
      <c r="L26" s="115"/>
      <c r="M26" s="115"/>
      <c r="N26" s="115"/>
      <c r="O26" s="115"/>
      <c r="P26" s="115"/>
      <c r="Q26" s="115"/>
    </row>
    <row r="27" spans="1:17" ht="15" hidden="1" thickTop="1" thickBot="1" x14ac:dyDescent="0.25">
      <c r="A27" s="390">
        <v>208300</v>
      </c>
      <c r="B27" s="391" t="s">
        <v>973</v>
      </c>
      <c r="C27" s="392">
        <f>SUM(D27,E27)</f>
        <v>0</v>
      </c>
      <c r="D27" s="384">
        <f>D28</f>
        <v>0</v>
      </c>
      <c r="E27" s="384">
        <f>E28</f>
        <v>0</v>
      </c>
      <c r="F27" s="384">
        <f>F28</f>
        <v>0</v>
      </c>
      <c r="G27" s="383"/>
      <c r="H27" s="115"/>
      <c r="I27" s="115"/>
      <c r="J27" s="115"/>
      <c r="K27" s="115"/>
      <c r="L27" s="115"/>
      <c r="M27" s="115"/>
      <c r="N27" s="115"/>
      <c r="O27" s="115"/>
      <c r="P27" s="115"/>
      <c r="Q27" s="115"/>
    </row>
    <row r="28" spans="1:17" ht="52.5" hidden="1" thickTop="1" thickBot="1" x14ac:dyDescent="0.25">
      <c r="A28" s="116">
        <v>208330</v>
      </c>
      <c r="B28" s="117" t="s">
        <v>974</v>
      </c>
      <c r="C28" s="392">
        <f>SUM(D28,E28)</f>
        <v>0</v>
      </c>
      <c r="D28" s="355"/>
      <c r="E28" s="355">
        <f>-D28</f>
        <v>0</v>
      </c>
      <c r="F28" s="355">
        <f>E28</f>
        <v>0</v>
      </c>
      <c r="G28" s="383"/>
      <c r="H28" s="115"/>
      <c r="I28" s="115"/>
      <c r="J28" s="115"/>
      <c r="K28" s="115"/>
      <c r="L28" s="115"/>
      <c r="M28" s="115"/>
      <c r="N28" s="115"/>
      <c r="O28" s="115"/>
      <c r="P28" s="115"/>
      <c r="Q28" s="115"/>
    </row>
    <row r="29" spans="1:17" ht="55.5" thickTop="1" thickBot="1" x14ac:dyDescent="0.25">
      <c r="A29" s="527">
        <v>208400</v>
      </c>
      <c r="B29" s="532" t="s">
        <v>119</v>
      </c>
      <c r="C29" s="529">
        <f>SUM(D29,E29)</f>
        <v>0</v>
      </c>
      <c r="D29" s="529">
        <f>'d3'!E430-'d1'!D152+'d4'!N29+(-D20)-D26</f>
        <v>-794886835.20999992</v>
      </c>
      <c r="E29" s="529">
        <f>-D29</f>
        <v>794886835.20999992</v>
      </c>
      <c r="F29" s="529">
        <f>E29</f>
        <v>794886835.20999992</v>
      </c>
      <c r="G29" s="688" t="b">
        <f>E29=('d3'!J430+'d4'!O29)-('d1'!E152+E30+E26)</f>
        <v>1</v>
      </c>
      <c r="H29" s="115"/>
      <c r="I29" s="115"/>
      <c r="J29" s="115"/>
      <c r="K29" s="115"/>
      <c r="L29" s="115"/>
      <c r="M29" s="115"/>
      <c r="N29" s="115"/>
      <c r="O29" s="115"/>
      <c r="P29" s="115"/>
      <c r="Q29" s="115"/>
    </row>
    <row r="30" spans="1:17" ht="14.25" thickTop="1" thickBot="1" x14ac:dyDescent="0.25">
      <c r="A30" s="533">
        <v>300000</v>
      </c>
      <c r="B30" s="534" t="s">
        <v>356</v>
      </c>
      <c r="C30" s="530">
        <f>C31</f>
        <v>6564386.9900000002</v>
      </c>
      <c r="D30" s="530">
        <f>D31</f>
        <v>0</v>
      </c>
      <c r="E30" s="530">
        <f>E31</f>
        <v>6564386.9900000002</v>
      </c>
      <c r="F30" s="530">
        <f>F31</f>
        <v>7069510</v>
      </c>
      <c r="G30" s="114"/>
      <c r="H30" s="115"/>
      <c r="I30" s="115"/>
      <c r="J30" s="115"/>
      <c r="K30" s="115"/>
      <c r="L30" s="115"/>
      <c r="M30" s="115"/>
      <c r="N30" s="115"/>
      <c r="O30" s="115"/>
      <c r="P30" s="115"/>
      <c r="Q30" s="115"/>
    </row>
    <row r="31" spans="1:17" ht="42" thickTop="1" thickBot="1" x14ac:dyDescent="0.25">
      <c r="A31" s="527">
        <v>301000</v>
      </c>
      <c r="B31" s="532" t="s">
        <v>357</v>
      </c>
      <c r="C31" s="529">
        <f>C32+C33</f>
        <v>6564386.9900000002</v>
      </c>
      <c r="D31" s="529">
        <f>D32+D33</f>
        <v>0</v>
      </c>
      <c r="E31" s="529">
        <f>E32+E33</f>
        <v>6564386.9900000002</v>
      </c>
      <c r="F31" s="529">
        <f>F32+F33</f>
        <v>7069510</v>
      </c>
      <c r="G31" s="114"/>
      <c r="H31" s="115"/>
      <c r="I31" s="115"/>
      <c r="J31" s="115"/>
      <c r="K31" s="115"/>
      <c r="L31" s="115"/>
      <c r="M31" s="115"/>
      <c r="N31" s="115"/>
      <c r="O31" s="115"/>
      <c r="P31" s="115"/>
      <c r="Q31" s="115"/>
    </row>
    <row r="32" spans="1:17" ht="14.25" thickTop="1" thickBot="1" x14ac:dyDescent="0.25">
      <c r="A32" s="524">
        <v>301100</v>
      </c>
      <c r="B32" s="525" t="s">
        <v>358</v>
      </c>
      <c r="C32" s="526">
        <f>SUM(D32,E32)</f>
        <v>10004886.99</v>
      </c>
      <c r="D32" s="526"/>
      <c r="E32" s="526">
        <f>(9660000)+344886.99</f>
        <v>10004886.99</v>
      </c>
      <c r="F32" s="526">
        <v>9660000</v>
      </c>
      <c r="G32" s="114"/>
      <c r="H32" s="115"/>
      <c r="I32" s="115"/>
      <c r="J32" s="115"/>
      <c r="K32" s="115"/>
      <c r="L32" s="115"/>
      <c r="M32" s="115"/>
      <c r="N32" s="115"/>
      <c r="O32" s="115"/>
      <c r="P32" s="115"/>
      <c r="Q32" s="115"/>
    </row>
    <row r="33" spans="1:17" ht="14.25" thickTop="1" thickBot="1" x14ac:dyDescent="0.25">
      <c r="A33" s="524">
        <v>301200</v>
      </c>
      <c r="B33" s="525" t="s">
        <v>359</v>
      </c>
      <c r="C33" s="526">
        <f>SUM(D33,E33)</f>
        <v>-3440500</v>
      </c>
      <c r="D33" s="526"/>
      <c r="E33" s="526">
        <f>(-2590490)-850010</f>
        <v>-3440500</v>
      </c>
      <c r="F33" s="526">
        <v>-2590490</v>
      </c>
      <c r="G33" s="114"/>
      <c r="H33" s="115"/>
      <c r="I33" s="115"/>
      <c r="J33" s="115"/>
      <c r="K33" s="115"/>
      <c r="L33" s="115"/>
      <c r="M33" s="115"/>
      <c r="N33" s="115"/>
      <c r="O33" s="115"/>
      <c r="P33" s="115"/>
      <c r="Q33" s="115"/>
    </row>
    <row r="34" spans="1:17" ht="24" customHeight="1" thickTop="1" thickBot="1" x14ac:dyDescent="0.25">
      <c r="A34" s="535" t="s">
        <v>381</v>
      </c>
      <c r="B34" s="536" t="s">
        <v>380</v>
      </c>
      <c r="C34" s="537">
        <f>C15+C30</f>
        <v>517862378.36000001</v>
      </c>
      <c r="D34" s="537">
        <f>D15+D30</f>
        <v>-303561553.32999992</v>
      </c>
      <c r="E34" s="537">
        <f>E15+E30</f>
        <v>821423931.68999994</v>
      </c>
      <c r="F34" s="537">
        <f>F15+F30</f>
        <v>821260365.54999995</v>
      </c>
      <c r="G34" s="114"/>
      <c r="H34" s="115"/>
      <c r="I34" s="115"/>
      <c r="J34" s="115"/>
      <c r="K34" s="115"/>
      <c r="L34" s="115"/>
      <c r="M34" s="115"/>
      <c r="N34" s="115"/>
      <c r="O34" s="115"/>
      <c r="P34" s="115"/>
      <c r="Q34" s="115"/>
    </row>
    <row r="35" spans="1:17" ht="35.450000000000003" customHeight="1" thickTop="1" thickBot="1" x14ac:dyDescent="0.25">
      <c r="A35" s="735" t="s">
        <v>382</v>
      </c>
      <c r="B35" s="735"/>
      <c r="C35" s="736"/>
      <c r="D35" s="736"/>
      <c r="E35" s="736"/>
      <c r="F35" s="736"/>
      <c r="G35" s="114"/>
      <c r="H35" s="115"/>
      <c r="I35" s="115"/>
      <c r="J35" s="115"/>
      <c r="K35" s="115"/>
      <c r="L35" s="115"/>
      <c r="M35" s="115"/>
      <c r="N35" s="115"/>
      <c r="O35" s="115"/>
      <c r="P35" s="115"/>
      <c r="Q35" s="115"/>
    </row>
    <row r="36" spans="1:17" ht="27" thickTop="1" thickBot="1" x14ac:dyDescent="0.25">
      <c r="A36" s="533">
        <v>400000</v>
      </c>
      <c r="B36" s="534" t="s">
        <v>120</v>
      </c>
      <c r="C36" s="530">
        <f>C37+C42</f>
        <v>6564386.9900000002</v>
      </c>
      <c r="D36" s="530">
        <f>D37+D42</f>
        <v>0</v>
      </c>
      <c r="E36" s="530">
        <f>E37+E42</f>
        <v>6564386.9900000002</v>
      </c>
      <c r="F36" s="530">
        <f>F37+F42</f>
        <v>7069510</v>
      </c>
      <c r="G36" s="114"/>
      <c r="H36" s="115"/>
      <c r="I36" s="115"/>
      <c r="J36" s="115"/>
      <c r="K36" s="115"/>
      <c r="L36" s="115"/>
      <c r="M36" s="115"/>
      <c r="N36" s="115"/>
      <c r="O36" s="115"/>
      <c r="P36" s="115"/>
      <c r="Q36" s="115"/>
    </row>
    <row r="37" spans="1:17" ht="15" thickTop="1" thickBot="1" x14ac:dyDescent="0.25">
      <c r="A37" s="527">
        <v>401000</v>
      </c>
      <c r="B37" s="532" t="s">
        <v>121</v>
      </c>
      <c r="C37" s="529">
        <f>C38+C40</f>
        <v>10004886.99</v>
      </c>
      <c r="D37" s="529">
        <f>D38+D40</f>
        <v>0</v>
      </c>
      <c r="E37" s="529">
        <f>E38+E40</f>
        <v>10004886.99</v>
      </c>
      <c r="F37" s="529">
        <f>F38+F40</f>
        <v>9660000</v>
      </c>
      <c r="G37" s="114"/>
      <c r="H37" s="115"/>
      <c r="I37" s="115"/>
      <c r="J37" s="115"/>
      <c r="K37" s="115"/>
      <c r="L37" s="115"/>
      <c r="M37" s="115"/>
      <c r="N37" s="115"/>
      <c r="O37" s="115"/>
      <c r="P37" s="115"/>
      <c r="Q37" s="115"/>
    </row>
    <row r="38" spans="1:17" ht="14.25" hidden="1" thickTop="1" thickBot="1" x14ac:dyDescent="0.25">
      <c r="A38" s="521">
        <v>401100</v>
      </c>
      <c r="B38" s="538" t="s">
        <v>969</v>
      </c>
      <c r="C38" s="523">
        <f>C39</f>
        <v>0</v>
      </c>
      <c r="D38" s="523">
        <f>D39</f>
        <v>0</v>
      </c>
      <c r="E38" s="523">
        <f>E39</f>
        <v>0</v>
      </c>
      <c r="F38" s="523">
        <f>F39</f>
        <v>0</v>
      </c>
      <c r="G38" s="114"/>
      <c r="H38" s="115"/>
      <c r="I38" s="115"/>
      <c r="J38" s="115"/>
      <c r="K38" s="115"/>
      <c r="L38" s="115"/>
      <c r="M38" s="115"/>
      <c r="N38" s="115"/>
      <c r="O38" s="115"/>
      <c r="P38" s="115"/>
      <c r="Q38" s="115"/>
    </row>
    <row r="39" spans="1:17" ht="27" hidden="1" thickTop="1" thickBot="1" x14ac:dyDescent="0.25">
      <c r="A39" s="524">
        <v>401101</v>
      </c>
      <c r="B39" s="525" t="s">
        <v>964</v>
      </c>
      <c r="C39" s="526">
        <f>SUM(D39,E39)</f>
        <v>0</v>
      </c>
      <c r="D39" s="530"/>
      <c r="E39" s="526">
        <v>0</v>
      </c>
      <c r="F39" s="526">
        <v>0</v>
      </c>
      <c r="G39" s="114"/>
      <c r="H39" s="115"/>
      <c r="I39" s="115"/>
      <c r="J39" s="115"/>
      <c r="K39" s="115"/>
      <c r="L39" s="115"/>
      <c r="M39" s="115"/>
      <c r="N39" s="115"/>
      <c r="O39" s="115"/>
      <c r="P39" s="115"/>
      <c r="Q39" s="115"/>
    </row>
    <row r="40" spans="1:17" s="4" customFormat="1" ht="14.25" thickTop="1" thickBot="1" x14ac:dyDescent="0.25">
      <c r="A40" s="521">
        <v>401200</v>
      </c>
      <c r="B40" s="538" t="s">
        <v>360</v>
      </c>
      <c r="C40" s="523">
        <f>SUM(D40,E40)</f>
        <v>10004886.99</v>
      </c>
      <c r="D40" s="523"/>
      <c r="E40" s="523">
        <f>E41</f>
        <v>10004886.99</v>
      </c>
      <c r="F40" s="523">
        <f>F41</f>
        <v>9660000</v>
      </c>
      <c r="G40" s="119"/>
      <c r="H40" s="120"/>
      <c r="I40" s="120"/>
      <c r="J40" s="120"/>
      <c r="K40" s="120"/>
      <c r="L40" s="120"/>
      <c r="M40" s="120"/>
      <c r="N40" s="120"/>
      <c r="O40" s="120"/>
      <c r="P40" s="120"/>
      <c r="Q40" s="120"/>
    </row>
    <row r="41" spans="1:17" ht="27" thickTop="1" thickBot="1" x14ac:dyDescent="0.25">
      <c r="A41" s="524">
        <v>401201</v>
      </c>
      <c r="B41" s="525" t="s">
        <v>964</v>
      </c>
      <c r="C41" s="526">
        <f>SUM(D41,E41)</f>
        <v>10004886.99</v>
      </c>
      <c r="D41" s="530"/>
      <c r="E41" s="526">
        <f>(9660000)+344886.99</f>
        <v>10004886.99</v>
      </c>
      <c r="F41" s="526">
        <v>9660000</v>
      </c>
      <c r="G41" s="114"/>
      <c r="H41" s="115"/>
      <c r="I41" s="115"/>
      <c r="J41" s="115"/>
      <c r="K41" s="115"/>
      <c r="L41" s="115"/>
      <c r="M41" s="115"/>
      <c r="N41" s="115"/>
      <c r="O41" s="115"/>
      <c r="P41" s="115"/>
      <c r="Q41" s="115"/>
    </row>
    <row r="42" spans="1:17" s="4" customFormat="1" ht="15" thickTop="1" thickBot="1" x14ac:dyDescent="0.25">
      <c r="A42" s="527">
        <v>402000</v>
      </c>
      <c r="B42" s="532" t="s">
        <v>361</v>
      </c>
      <c r="C42" s="529">
        <f>C45+C43</f>
        <v>-3440500</v>
      </c>
      <c r="D42" s="529">
        <f>D45+D43</f>
        <v>0</v>
      </c>
      <c r="E42" s="529">
        <f>E45+E43</f>
        <v>-3440500</v>
      </c>
      <c r="F42" s="529">
        <f>F45+F43</f>
        <v>-2590490</v>
      </c>
      <c r="G42" s="119"/>
      <c r="H42" s="120"/>
      <c r="I42" s="120"/>
      <c r="J42" s="120"/>
      <c r="K42" s="120"/>
      <c r="L42" s="120"/>
      <c r="M42" s="120"/>
      <c r="N42" s="120"/>
      <c r="O42" s="120"/>
      <c r="P42" s="120"/>
      <c r="Q42" s="120"/>
    </row>
    <row r="43" spans="1:17" s="4" customFormat="1" ht="14.25" hidden="1" thickTop="1" thickBot="1" x14ac:dyDescent="0.25">
      <c r="A43" s="521">
        <v>402100</v>
      </c>
      <c r="B43" s="538" t="s">
        <v>1025</v>
      </c>
      <c r="C43" s="523">
        <f>C44</f>
        <v>0</v>
      </c>
      <c r="D43" s="523">
        <f>D44</f>
        <v>0</v>
      </c>
      <c r="E43" s="523">
        <f>E44</f>
        <v>0</v>
      </c>
      <c r="F43" s="523">
        <f>F44</f>
        <v>0</v>
      </c>
      <c r="G43" s="119"/>
      <c r="H43" s="120"/>
      <c r="I43" s="120"/>
      <c r="J43" s="120"/>
      <c r="K43" s="120"/>
      <c r="L43" s="120"/>
      <c r="M43" s="120"/>
      <c r="N43" s="120"/>
      <c r="O43" s="120"/>
      <c r="P43" s="120"/>
      <c r="Q43" s="120"/>
    </row>
    <row r="44" spans="1:17" s="4" customFormat="1" ht="27" hidden="1" thickTop="1" thickBot="1" x14ac:dyDescent="0.25">
      <c r="A44" s="524">
        <v>402101</v>
      </c>
      <c r="B44" s="525" t="s">
        <v>964</v>
      </c>
      <c r="C44" s="526">
        <f>SUM(D44,E44)</f>
        <v>0</v>
      </c>
      <c r="D44" s="530"/>
      <c r="E44" s="526">
        <v>0</v>
      </c>
      <c r="F44" s="526">
        <v>0</v>
      </c>
      <c r="G44" s="119"/>
      <c r="H44" s="120"/>
      <c r="I44" s="120"/>
      <c r="J44" s="120"/>
      <c r="K44" s="120"/>
      <c r="L44" s="120"/>
      <c r="M44" s="120"/>
      <c r="N44" s="120"/>
      <c r="O44" s="120"/>
      <c r="P44" s="120"/>
      <c r="Q44" s="120"/>
    </row>
    <row r="45" spans="1:17" s="4" customFormat="1" ht="14.25" thickTop="1" thickBot="1" x14ac:dyDescent="0.25">
      <c r="A45" s="521">
        <v>402200</v>
      </c>
      <c r="B45" s="538" t="s">
        <v>963</v>
      </c>
      <c r="C45" s="523">
        <f>SUM(C46,C47)</f>
        <v>-3440500</v>
      </c>
      <c r="D45" s="523"/>
      <c r="E45" s="523">
        <f>SUM(E46,E47)</f>
        <v>-3440500</v>
      </c>
      <c r="F45" s="523">
        <f>SUM(F46,F47)</f>
        <v>-2590490</v>
      </c>
      <c r="G45" s="119"/>
      <c r="H45" s="120"/>
      <c r="I45" s="120"/>
      <c r="J45" s="120"/>
      <c r="K45" s="120"/>
      <c r="L45" s="120"/>
      <c r="M45" s="120"/>
      <c r="N45" s="120"/>
      <c r="O45" s="120"/>
      <c r="P45" s="120"/>
      <c r="Q45" s="120"/>
    </row>
    <row r="46" spans="1:17" s="4" customFormat="1" ht="27" thickTop="1" thickBot="1" x14ac:dyDescent="0.25">
      <c r="A46" s="524">
        <v>402201</v>
      </c>
      <c r="B46" s="525" t="s">
        <v>964</v>
      </c>
      <c r="C46" s="526">
        <f>SUM(D46,E46)</f>
        <v>-3440500</v>
      </c>
      <c r="D46" s="530"/>
      <c r="E46" s="526">
        <f>(-2590490)-850010</f>
        <v>-3440500</v>
      </c>
      <c r="F46" s="526">
        <v>-2590490</v>
      </c>
      <c r="G46" s="119"/>
      <c r="H46" s="120"/>
      <c r="I46" s="120"/>
      <c r="J46" s="120"/>
      <c r="K46" s="120"/>
      <c r="L46" s="120"/>
      <c r="M46" s="120"/>
      <c r="N46" s="120"/>
      <c r="O46" s="120"/>
      <c r="P46" s="120"/>
      <c r="Q46" s="120"/>
    </row>
    <row r="47" spans="1:17" ht="27" hidden="1" thickTop="1" thickBot="1" x14ac:dyDescent="0.25">
      <c r="A47" s="116">
        <v>402202</v>
      </c>
      <c r="B47" s="117" t="s">
        <v>965</v>
      </c>
      <c r="C47" s="118">
        <f>SUM(D47,E47)</f>
        <v>0</v>
      </c>
      <c r="D47" s="354"/>
      <c r="E47" s="355">
        <v>0</v>
      </c>
      <c r="F47" s="118">
        <v>0</v>
      </c>
      <c r="G47" s="114"/>
      <c r="H47" s="115"/>
      <c r="I47" s="115"/>
      <c r="J47" s="115"/>
      <c r="K47" s="115"/>
      <c r="L47" s="115"/>
      <c r="M47" s="115"/>
      <c r="N47" s="115"/>
      <c r="O47" s="115"/>
      <c r="P47" s="115"/>
      <c r="Q47" s="115"/>
    </row>
    <row r="48" spans="1:17" ht="27" thickTop="1" thickBot="1" x14ac:dyDescent="0.25">
      <c r="A48" s="533" t="s">
        <v>122</v>
      </c>
      <c r="B48" s="534" t="s">
        <v>123</v>
      </c>
      <c r="C48" s="530">
        <f>C54+C49</f>
        <v>511297991.37</v>
      </c>
      <c r="D48" s="530">
        <f t="shared" ref="D48:F48" si="8">D54+D49</f>
        <v>-303561553.32999992</v>
      </c>
      <c r="E48" s="530">
        <f t="shared" si="8"/>
        <v>814859544.69999993</v>
      </c>
      <c r="F48" s="530">
        <f t="shared" si="8"/>
        <v>814190855.54999995</v>
      </c>
      <c r="G48" s="114"/>
      <c r="H48" s="115"/>
      <c r="I48" s="115"/>
      <c r="J48" s="115"/>
      <c r="K48" s="115"/>
      <c r="L48" s="115"/>
      <c r="M48" s="115"/>
      <c r="N48" s="115"/>
      <c r="O48" s="115"/>
      <c r="P48" s="115"/>
      <c r="Q48" s="115"/>
    </row>
    <row r="49" spans="1:17" ht="64.5" customHeight="1" thickTop="1" thickBot="1" x14ac:dyDescent="0.25">
      <c r="A49" s="527">
        <v>601000</v>
      </c>
      <c r="B49" s="532" t="s">
        <v>1475</v>
      </c>
      <c r="C49" s="529">
        <f>C50+C52</f>
        <v>150000000</v>
      </c>
      <c r="D49" s="529">
        <f t="shared" ref="D49:F49" si="9">D50+D52</f>
        <v>150000000</v>
      </c>
      <c r="E49" s="529">
        <f t="shared" si="9"/>
        <v>0</v>
      </c>
      <c r="F49" s="529">
        <f t="shared" si="9"/>
        <v>0</v>
      </c>
      <c r="G49" s="114"/>
      <c r="H49" s="115"/>
      <c r="I49" s="115"/>
      <c r="J49" s="115"/>
      <c r="K49" s="115"/>
      <c r="L49" s="115"/>
      <c r="M49" s="115"/>
      <c r="N49" s="115"/>
      <c r="O49" s="115"/>
      <c r="P49" s="115"/>
      <c r="Q49" s="115"/>
    </row>
    <row r="50" spans="1:17" ht="73.5" customHeight="1" thickTop="1" thickBot="1" x14ac:dyDescent="0.25">
      <c r="A50" s="521">
        <v>601100</v>
      </c>
      <c r="B50" s="538" t="s">
        <v>1471</v>
      </c>
      <c r="C50" s="523">
        <f>C51</f>
        <v>150000000</v>
      </c>
      <c r="D50" s="523">
        <f t="shared" ref="D50:F50" si="10">D51</f>
        <v>150000000</v>
      </c>
      <c r="E50" s="523">
        <f t="shared" si="10"/>
        <v>0</v>
      </c>
      <c r="F50" s="523">
        <f t="shared" si="10"/>
        <v>0</v>
      </c>
      <c r="G50" s="114"/>
      <c r="H50" s="115"/>
      <c r="I50" s="115"/>
      <c r="J50" s="115"/>
      <c r="K50" s="115"/>
      <c r="L50" s="115"/>
      <c r="M50" s="115"/>
      <c r="N50" s="115"/>
      <c r="O50" s="115"/>
      <c r="P50" s="115"/>
      <c r="Q50" s="115"/>
    </row>
    <row r="51" spans="1:17" ht="39.75" thickTop="1" thickBot="1" x14ac:dyDescent="0.25">
      <c r="A51" s="524">
        <v>601120</v>
      </c>
      <c r="B51" s="525" t="s">
        <v>1473</v>
      </c>
      <c r="C51" s="526">
        <f>D51+E51</f>
        <v>150000000</v>
      </c>
      <c r="D51" s="526">
        <v>150000000</v>
      </c>
      <c r="E51" s="526">
        <v>0</v>
      </c>
      <c r="F51" s="526">
        <v>0</v>
      </c>
      <c r="G51" s="114"/>
      <c r="H51" s="115"/>
      <c r="I51" s="115"/>
      <c r="J51" s="115"/>
      <c r="K51" s="115"/>
      <c r="L51" s="115"/>
      <c r="M51" s="115"/>
      <c r="N51" s="115"/>
      <c r="O51" s="115"/>
      <c r="P51" s="115"/>
      <c r="Q51" s="115"/>
    </row>
    <row r="52" spans="1:17" ht="52.5" hidden="1" thickTop="1" thickBot="1" x14ac:dyDescent="0.25">
      <c r="A52" s="387">
        <v>601200</v>
      </c>
      <c r="B52" s="393" t="s">
        <v>1476</v>
      </c>
      <c r="C52" s="389">
        <f>C53</f>
        <v>0</v>
      </c>
      <c r="D52" s="389">
        <f t="shared" ref="D52" si="11">D53</f>
        <v>0</v>
      </c>
      <c r="E52" s="389">
        <f t="shared" ref="E52" si="12">E53</f>
        <v>0</v>
      </c>
      <c r="F52" s="389">
        <f t="shared" ref="F52" si="13">F53</f>
        <v>0</v>
      </c>
      <c r="G52" s="114"/>
      <c r="H52" s="115"/>
      <c r="I52" s="115"/>
      <c r="J52" s="115"/>
      <c r="K52" s="115"/>
      <c r="L52" s="115"/>
      <c r="M52" s="115"/>
      <c r="N52" s="115"/>
      <c r="O52" s="115"/>
      <c r="P52" s="115"/>
      <c r="Q52" s="115"/>
    </row>
    <row r="53" spans="1:17" ht="27" hidden="1" thickTop="1" thickBot="1" x14ac:dyDescent="0.25">
      <c r="A53" s="385">
        <v>601220</v>
      </c>
      <c r="B53" s="386" t="s">
        <v>1477</v>
      </c>
      <c r="C53" s="355">
        <f>D53+E53</f>
        <v>0</v>
      </c>
      <c r="D53" s="355">
        <v>0</v>
      </c>
      <c r="E53" s="355">
        <v>0</v>
      </c>
      <c r="F53" s="355">
        <v>0</v>
      </c>
      <c r="G53" s="114"/>
      <c r="H53" s="115"/>
      <c r="I53" s="115"/>
      <c r="J53" s="115"/>
      <c r="K53" s="115"/>
      <c r="L53" s="115"/>
      <c r="M53" s="115"/>
      <c r="N53" s="115"/>
      <c r="O53" s="115"/>
      <c r="P53" s="115"/>
      <c r="Q53" s="115"/>
    </row>
    <row r="54" spans="1:17" ht="28.5" thickTop="1" thickBot="1" x14ac:dyDescent="0.25">
      <c r="A54" s="527">
        <v>602000</v>
      </c>
      <c r="B54" s="532" t="s">
        <v>971</v>
      </c>
      <c r="C54" s="529">
        <f>C55+C58+C56</f>
        <v>361297991.37</v>
      </c>
      <c r="D54" s="529">
        <f>D55+D58+D56</f>
        <v>-453561553.32999992</v>
      </c>
      <c r="E54" s="529">
        <f>E55+E58+E56</f>
        <v>814859544.69999993</v>
      </c>
      <c r="F54" s="529">
        <f>F55+F58+F56</f>
        <v>814190855.54999995</v>
      </c>
      <c r="G54" s="114"/>
      <c r="H54" s="115"/>
      <c r="I54" s="115"/>
      <c r="J54" s="115"/>
      <c r="K54" s="115"/>
      <c r="L54" s="115"/>
      <c r="M54" s="115"/>
      <c r="N54" s="115"/>
      <c r="O54" s="115"/>
      <c r="P54" s="115"/>
      <c r="Q54" s="115"/>
    </row>
    <row r="55" spans="1:17" ht="14.25" thickTop="1" thickBot="1" x14ac:dyDescent="0.25">
      <c r="A55" s="521">
        <v>602100</v>
      </c>
      <c r="B55" s="538" t="s">
        <v>972</v>
      </c>
      <c r="C55" s="523">
        <f>SUM(D55,E55)</f>
        <v>361297991.37</v>
      </c>
      <c r="D55" s="523">
        <f>D26</f>
        <v>341325281.88</v>
      </c>
      <c r="E55" s="523">
        <f>E26</f>
        <v>19972709.489999998</v>
      </c>
      <c r="F55" s="523">
        <f>F26</f>
        <v>19304020.34</v>
      </c>
      <c r="G55" s="114"/>
      <c r="H55" s="115"/>
      <c r="I55" s="115"/>
      <c r="J55" s="115"/>
      <c r="K55" s="115"/>
      <c r="L55" s="115"/>
      <c r="M55" s="115"/>
      <c r="N55" s="115"/>
      <c r="O55" s="115"/>
      <c r="P55" s="115"/>
      <c r="Q55" s="115"/>
    </row>
    <row r="56" spans="1:17" ht="14.25" hidden="1" thickTop="1" thickBot="1" x14ac:dyDescent="0.25">
      <c r="A56" s="521">
        <v>602300</v>
      </c>
      <c r="B56" s="538" t="s">
        <v>973</v>
      </c>
      <c r="C56" s="523">
        <f>SUM(D56,E56)</f>
        <v>0</v>
      </c>
      <c r="D56" s="523">
        <f>D57</f>
        <v>0</v>
      </c>
      <c r="E56" s="523">
        <f>E57</f>
        <v>0</v>
      </c>
      <c r="F56" s="523">
        <f>E56</f>
        <v>0</v>
      </c>
      <c r="G56" s="114"/>
      <c r="H56" s="115"/>
      <c r="I56" s="115"/>
      <c r="J56" s="115"/>
      <c r="K56" s="115"/>
      <c r="L56" s="115"/>
      <c r="M56" s="115"/>
      <c r="N56" s="115"/>
      <c r="O56" s="115"/>
      <c r="P56" s="115"/>
      <c r="Q56" s="115"/>
    </row>
    <row r="57" spans="1:17" ht="52.5" hidden="1" thickTop="1" thickBot="1" x14ac:dyDescent="0.25">
      <c r="A57" s="524">
        <v>602303</v>
      </c>
      <c r="B57" s="525" t="s">
        <v>974</v>
      </c>
      <c r="C57" s="526">
        <f>SUM(D57,E57)</f>
        <v>0</v>
      </c>
      <c r="D57" s="526"/>
      <c r="E57" s="526">
        <f>-D57</f>
        <v>0</v>
      </c>
      <c r="F57" s="526">
        <f>E57</f>
        <v>0</v>
      </c>
      <c r="G57" s="114"/>
      <c r="H57" s="115"/>
      <c r="I57" s="115"/>
      <c r="J57" s="115"/>
      <c r="K57" s="115"/>
      <c r="L57" s="115"/>
      <c r="M57" s="115"/>
      <c r="N57" s="115"/>
      <c r="O57" s="115"/>
      <c r="P57" s="115"/>
      <c r="Q57" s="115"/>
    </row>
    <row r="58" spans="1:17" ht="52.5" thickTop="1" thickBot="1" x14ac:dyDescent="0.25">
      <c r="A58" s="521">
        <v>602400</v>
      </c>
      <c r="B58" s="538" t="s">
        <v>119</v>
      </c>
      <c r="C58" s="523">
        <f>SUM(D58,E58)</f>
        <v>0</v>
      </c>
      <c r="D58" s="523">
        <f>D29</f>
        <v>-794886835.20999992</v>
      </c>
      <c r="E58" s="523">
        <f>E29</f>
        <v>794886835.20999992</v>
      </c>
      <c r="F58" s="523">
        <f>F29</f>
        <v>794886835.20999992</v>
      </c>
      <c r="G58" s="114"/>
      <c r="H58" s="115"/>
      <c r="I58" s="115"/>
      <c r="J58" s="115"/>
      <c r="K58" s="115"/>
      <c r="L58" s="115"/>
      <c r="M58" s="115"/>
      <c r="N58" s="115"/>
      <c r="O58" s="115"/>
      <c r="P58" s="115"/>
      <c r="Q58" s="115"/>
    </row>
    <row r="59" spans="1:17" ht="30" customHeight="1" thickTop="1" thickBot="1" x14ac:dyDescent="0.25">
      <c r="A59" s="535" t="s">
        <v>381</v>
      </c>
      <c r="B59" s="536" t="s">
        <v>380</v>
      </c>
      <c r="C59" s="537">
        <f>C36+C48</f>
        <v>517862378.36000001</v>
      </c>
      <c r="D59" s="537">
        <f>D36+D48</f>
        <v>-303561553.32999992</v>
      </c>
      <c r="E59" s="537">
        <f>E36+E48</f>
        <v>821423931.68999994</v>
      </c>
      <c r="F59" s="537">
        <f>F36+F48</f>
        <v>821260365.54999995</v>
      </c>
      <c r="G59" s="114"/>
      <c r="H59" s="115"/>
      <c r="I59" s="115"/>
      <c r="J59" s="115"/>
      <c r="K59" s="115"/>
      <c r="L59" s="115"/>
      <c r="M59" s="115"/>
      <c r="N59" s="115"/>
      <c r="O59" s="115"/>
      <c r="P59" s="115"/>
      <c r="Q59" s="115"/>
    </row>
    <row r="60" spans="1:17" ht="13.5" thickTop="1" x14ac:dyDescent="0.2">
      <c r="A60" s="121"/>
      <c r="B60" s="121"/>
      <c r="C60" s="121"/>
      <c r="D60" s="121"/>
      <c r="E60" s="121"/>
      <c r="F60" s="121"/>
      <c r="G60" s="121"/>
      <c r="H60" s="121"/>
      <c r="I60" s="121"/>
    </row>
    <row r="61" spans="1:17" ht="45.75" x14ac:dyDescent="0.65">
      <c r="A61" s="121"/>
      <c r="B61" s="364" t="s">
        <v>1478</v>
      </c>
      <c r="C61"/>
      <c r="D61"/>
      <c r="E61" s="14" t="s">
        <v>1479</v>
      </c>
      <c r="F61" s="14"/>
      <c r="G61" s="122"/>
      <c r="H61" s="122"/>
      <c r="I61" s="122"/>
      <c r="J61" s="122"/>
      <c r="K61" s="122"/>
      <c r="L61" s="122"/>
      <c r="M61" s="122"/>
      <c r="N61" s="122"/>
      <c r="O61" s="122"/>
    </row>
    <row r="62" spans="1:17" ht="31.5" hidden="1" x14ac:dyDescent="0.25">
      <c r="A62" s="121"/>
      <c r="B62" s="362" t="s">
        <v>1443</v>
      </c>
      <c r="C62"/>
      <c r="D62"/>
      <c r="E62" s="363" t="s">
        <v>1444</v>
      </c>
      <c r="F62" s="349"/>
      <c r="G62" s="121"/>
      <c r="H62" s="121"/>
      <c r="I62" s="121"/>
    </row>
    <row r="63" spans="1:17" ht="15.75" x14ac:dyDescent="0.25">
      <c r="A63" s="121"/>
      <c r="B63" s="360"/>
      <c r="C63" s="360"/>
      <c r="D63" s="361"/>
      <c r="E63" s="349"/>
      <c r="F63" s="349"/>
      <c r="G63" s="121"/>
      <c r="H63" s="121"/>
      <c r="I63" s="121"/>
    </row>
    <row r="64" spans="1:17" ht="15.75" customHeight="1" x14ac:dyDescent="0.25">
      <c r="B64" s="725" t="s">
        <v>523</v>
      </c>
      <c r="C64" s="726"/>
      <c r="D64" s="726"/>
      <c r="E64" s="1" t="s">
        <v>1345</v>
      </c>
      <c r="F64" s="1"/>
    </row>
  </sheetData>
  <mergeCells count="12">
    <mergeCell ref="B64:D64"/>
    <mergeCell ref="A5:F5"/>
    <mergeCell ref="A6:F6"/>
    <mergeCell ref="A8:F8"/>
    <mergeCell ref="A9:F9"/>
    <mergeCell ref="A11:A12"/>
    <mergeCell ref="B11:B12"/>
    <mergeCell ref="C11:C12"/>
    <mergeCell ref="D11:D12"/>
    <mergeCell ref="E11:F11"/>
    <mergeCell ref="A14:F14"/>
    <mergeCell ref="A35:F35"/>
  </mergeCells>
  <pageMargins left="1.1811023622047245" right="0.44" top="0.39370078740157483" bottom="0.19685039370078741" header="0.39370078740157483" footer="0.1574803149606299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8"/>
  <sheetViews>
    <sheetView view="pageBreakPreview" zoomScale="25" zoomScaleNormal="25" zoomScaleSheetLayoutView="25" zoomScalePageLayoutView="10" workbookViewId="0">
      <pane ySplit="14" topLeftCell="A420" activePane="bottomLeft" state="frozen"/>
      <selection activeCell="H66" sqref="H63:H66"/>
      <selection pane="bottomLeft" activeCell="A434" sqref="A434:XFD434"/>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6.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753" t="s">
        <v>493</v>
      </c>
      <c r="O1" s="754"/>
      <c r="P1" s="754"/>
      <c r="Q1" s="754"/>
    </row>
    <row r="2" spans="1:18" ht="45.75" x14ac:dyDescent="0.2">
      <c r="A2" s="76"/>
      <c r="B2" s="76"/>
      <c r="C2" s="76"/>
      <c r="D2" s="76"/>
      <c r="E2" s="77"/>
      <c r="F2" s="78"/>
      <c r="G2" s="77"/>
      <c r="H2" s="77"/>
      <c r="I2" s="77"/>
      <c r="J2" s="77"/>
      <c r="K2" s="77"/>
      <c r="L2" s="77"/>
      <c r="M2" s="77"/>
      <c r="N2" s="753" t="s">
        <v>1577</v>
      </c>
      <c r="O2" s="755"/>
      <c r="P2" s="755"/>
      <c r="Q2" s="755"/>
    </row>
    <row r="3" spans="1:18" ht="40.700000000000003" customHeight="1" x14ac:dyDescent="0.2">
      <c r="A3" s="76"/>
      <c r="B3" s="76"/>
      <c r="C3" s="76"/>
      <c r="D3" s="76"/>
      <c r="E3" s="77"/>
      <c r="F3" s="78"/>
      <c r="G3" s="77"/>
      <c r="H3" s="77"/>
      <c r="I3" s="77"/>
      <c r="J3" s="77"/>
      <c r="K3" s="77"/>
      <c r="L3" s="77"/>
      <c r="M3" s="77"/>
      <c r="N3" s="77"/>
      <c r="O3" s="753"/>
      <c r="P3" s="756"/>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757" t="s">
        <v>565</v>
      </c>
      <c r="B5" s="757"/>
      <c r="C5" s="757"/>
      <c r="D5" s="757"/>
      <c r="E5" s="757"/>
      <c r="F5" s="757"/>
      <c r="G5" s="757"/>
      <c r="H5" s="757"/>
      <c r="I5" s="757"/>
      <c r="J5" s="757"/>
      <c r="K5" s="757"/>
      <c r="L5" s="757"/>
      <c r="M5" s="757"/>
      <c r="N5" s="757"/>
      <c r="O5" s="757"/>
      <c r="P5" s="757"/>
      <c r="Q5" s="80"/>
    </row>
    <row r="6" spans="1:18" ht="45" x14ac:dyDescent="0.2">
      <c r="A6" s="757" t="s">
        <v>1493</v>
      </c>
      <c r="B6" s="757"/>
      <c r="C6" s="757"/>
      <c r="D6" s="757"/>
      <c r="E6" s="757"/>
      <c r="F6" s="757"/>
      <c r="G6" s="757"/>
      <c r="H6" s="757"/>
      <c r="I6" s="757"/>
      <c r="J6" s="757"/>
      <c r="K6" s="757"/>
      <c r="L6" s="757"/>
      <c r="M6" s="757"/>
      <c r="N6" s="757"/>
      <c r="O6" s="757"/>
      <c r="P6" s="757"/>
      <c r="Q6" s="80"/>
    </row>
    <row r="7" spans="1:18" ht="45" x14ac:dyDescent="0.2">
      <c r="A7" s="77"/>
      <c r="B7" s="77"/>
      <c r="C7" s="77"/>
      <c r="D7" s="77"/>
      <c r="E7" s="77"/>
      <c r="F7" s="77"/>
      <c r="G7" s="77"/>
      <c r="H7" s="77"/>
      <c r="I7" s="77"/>
      <c r="J7" s="77"/>
      <c r="K7" s="77"/>
      <c r="L7" s="77"/>
      <c r="M7" s="77"/>
      <c r="N7" s="77"/>
      <c r="O7" s="77"/>
      <c r="P7" s="77"/>
      <c r="Q7" s="80"/>
    </row>
    <row r="8" spans="1:18" ht="45.75" x14ac:dyDescent="0.65">
      <c r="A8" s="758">
        <v>2256400000</v>
      </c>
      <c r="B8" s="759"/>
      <c r="C8" s="77"/>
      <c r="D8" s="394"/>
      <c r="E8" s="394"/>
      <c r="F8" s="394"/>
      <c r="G8" s="394"/>
      <c r="H8" s="394"/>
      <c r="I8" s="394"/>
      <c r="J8" s="394"/>
      <c r="K8" s="394"/>
      <c r="L8" s="394"/>
      <c r="M8" s="394"/>
      <c r="N8" s="394"/>
      <c r="O8" s="394"/>
      <c r="P8" s="394"/>
      <c r="Q8" s="13"/>
    </row>
    <row r="9" spans="1:18" ht="45.75" x14ac:dyDescent="0.2">
      <c r="A9" s="763" t="s">
        <v>490</v>
      </c>
      <c r="B9" s="764"/>
      <c r="C9" s="77"/>
      <c r="D9" s="394"/>
      <c r="E9" s="394"/>
      <c r="F9" s="394"/>
      <c r="G9" s="394"/>
      <c r="H9" s="394"/>
      <c r="I9" s="394"/>
      <c r="J9" s="394"/>
      <c r="K9" s="394"/>
      <c r="L9" s="394"/>
      <c r="M9" s="394"/>
      <c r="N9" s="394"/>
      <c r="O9" s="394"/>
      <c r="P9" s="394"/>
      <c r="Q9" s="13"/>
    </row>
    <row r="10" spans="1:18" ht="53.45" customHeight="1" thickBot="1" x14ac:dyDescent="0.25">
      <c r="A10" s="77"/>
      <c r="B10" s="77"/>
      <c r="C10" s="77"/>
      <c r="D10" s="394"/>
      <c r="E10" s="394"/>
      <c r="F10" s="395"/>
      <c r="G10" s="394"/>
      <c r="H10" s="394"/>
      <c r="I10" s="394"/>
      <c r="J10" s="394"/>
      <c r="K10" s="394"/>
      <c r="L10" s="394"/>
      <c r="M10" s="394"/>
      <c r="N10" s="394"/>
      <c r="O10" s="394"/>
      <c r="P10" s="313" t="s">
        <v>404</v>
      </c>
      <c r="Q10" s="13"/>
    </row>
    <row r="11" spans="1:18" ht="62.45" customHeight="1" thickTop="1" thickBot="1" x14ac:dyDescent="0.25">
      <c r="A11" s="762" t="s">
        <v>491</v>
      </c>
      <c r="B11" s="762" t="s">
        <v>492</v>
      </c>
      <c r="C11" s="762" t="s">
        <v>390</v>
      </c>
      <c r="D11" s="762" t="s">
        <v>573</v>
      </c>
      <c r="E11" s="760" t="s">
        <v>12</v>
      </c>
      <c r="F11" s="760"/>
      <c r="G11" s="760"/>
      <c r="H11" s="760"/>
      <c r="I11" s="760"/>
      <c r="J11" s="760" t="s">
        <v>52</v>
      </c>
      <c r="K11" s="760"/>
      <c r="L11" s="760"/>
      <c r="M11" s="760"/>
      <c r="N11" s="760"/>
      <c r="O11" s="761"/>
      <c r="P11" s="760" t="s">
        <v>11</v>
      </c>
      <c r="Q11" s="20"/>
    </row>
    <row r="12" spans="1:18" ht="96" customHeight="1" thickTop="1" thickBot="1" x14ac:dyDescent="0.25">
      <c r="A12" s="760"/>
      <c r="B12" s="765"/>
      <c r="C12" s="765"/>
      <c r="D12" s="760"/>
      <c r="E12" s="762" t="s">
        <v>384</v>
      </c>
      <c r="F12" s="762" t="s">
        <v>53</v>
      </c>
      <c r="G12" s="762" t="s">
        <v>13</v>
      </c>
      <c r="H12" s="762"/>
      <c r="I12" s="762" t="s">
        <v>55</v>
      </c>
      <c r="J12" s="762" t="s">
        <v>384</v>
      </c>
      <c r="K12" s="762" t="s">
        <v>385</v>
      </c>
      <c r="L12" s="762" t="s">
        <v>53</v>
      </c>
      <c r="M12" s="762" t="s">
        <v>13</v>
      </c>
      <c r="N12" s="762"/>
      <c r="O12" s="762" t="s">
        <v>55</v>
      </c>
      <c r="P12" s="760"/>
      <c r="Q12" s="20"/>
    </row>
    <row r="13" spans="1:18" ht="328.7" customHeight="1" thickTop="1" thickBot="1" x14ac:dyDescent="0.25">
      <c r="A13" s="765"/>
      <c r="B13" s="765"/>
      <c r="C13" s="765"/>
      <c r="D13" s="765"/>
      <c r="E13" s="762"/>
      <c r="F13" s="762"/>
      <c r="G13" s="314" t="s">
        <v>54</v>
      </c>
      <c r="H13" s="314" t="s">
        <v>15</v>
      </c>
      <c r="I13" s="762"/>
      <c r="J13" s="762"/>
      <c r="K13" s="762"/>
      <c r="L13" s="762"/>
      <c r="M13" s="314" t="s">
        <v>54</v>
      </c>
      <c r="N13" s="314" t="s">
        <v>15</v>
      </c>
      <c r="O13" s="762"/>
      <c r="P13" s="760"/>
      <c r="Q13" s="20"/>
    </row>
    <row r="14" spans="1:18" s="24" customFormat="1" ht="47.25" thickTop="1" thickBot="1" x14ac:dyDescent="0.25">
      <c r="A14" s="308" t="s">
        <v>2</v>
      </c>
      <c r="B14" s="308" t="s">
        <v>3</v>
      </c>
      <c r="C14" s="308" t="s">
        <v>14</v>
      </c>
      <c r="D14" s="308" t="s">
        <v>5</v>
      </c>
      <c r="E14" s="308" t="s">
        <v>392</v>
      </c>
      <c r="F14" s="308" t="s">
        <v>393</v>
      </c>
      <c r="G14" s="308" t="s">
        <v>394</v>
      </c>
      <c r="H14" s="308" t="s">
        <v>395</v>
      </c>
      <c r="I14" s="308" t="s">
        <v>396</v>
      </c>
      <c r="J14" s="308" t="s">
        <v>397</v>
      </c>
      <c r="K14" s="308" t="s">
        <v>398</v>
      </c>
      <c r="L14" s="308" t="s">
        <v>399</v>
      </c>
      <c r="M14" s="308" t="s">
        <v>400</v>
      </c>
      <c r="N14" s="308" t="s">
        <v>401</v>
      </c>
      <c r="O14" s="308" t="s">
        <v>402</v>
      </c>
      <c r="P14" s="308" t="s">
        <v>403</v>
      </c>
      <c r="Q14" s="124"/>
      <c r="R14" s="23"/>
    </row>
    <row r="15" spans="1:18" s="24" customFormat="1" ht="120" customHeight="1" thickTop="1" thickBot="1" x14ac:dyDescent="0.25">
      <c r="A15" s="645" t="s">
        <v>148</v>
      </c>
      <c r="B15" s="645"/>
      <c r="C15" s="645"/>
      <c r="D15" s="646" t="s">
        <v>150</v>
      </c>
      <c r="E15" s="647">
        <f>E16</f>
        <v>364784316.63999999</v>
      </c>
      <c r="F15" s="648">
        <f t="shared" ref="F15:N15" si="0">F16</f>
        <v>364784316.63999999</v>
      </c>
      <c r="G15" s="648">
        <f t="shared" si="0"/>
        <v>98820900</v>
      </c>
      <c r="H15" s="648">
        <f t="shared" si="0"/>
        <v>6241293</v>
      </c>
      <c r="I15" s="648">
        <f t="shared" si="0"/>
        <v>0</v>
      </c>
      <c r="J15" s="647">
        <f t="shared" si="0"/>
        <v>327583056.70000005</v>
      </c>
      <c r="K15" s="648">
        <f t="shared" si="0"/>
        <v>321067256.70000005</v>
      </c>
      <c r="L15" s="648">
        <f t="shared" si="0"/>
        <v>6150400</v>
      </c>
      <c r="M15" s="648">
        <f t="shared" si="0"/>
        <v>0</v>
      </c>
      <c r="N15" s="648">
        <f t="shared" si="0"/>
        <v>0</v>
      </c>
      <c r="O15" s="647">
        <f>O16</f>
        <v>321432656.70000005</v>
      </c>
      <c r="P15" s="648">
        <f t="shared" ref="P15" si="1">P16</f>
        <v>692367373.34000003</v>
      </c>
      <c r="Q15" s="25"/>
      <c r="R15" s="25"/>
    </row>
    <row r="16" spans="1:18" s="24" customFormat="1" ht="120" customHeight="1" thickTop="1" thickBot="1" x14ac:dyDescent="0.25">
      <c r="A16" s="642" t="s">
        <v>149</v>
      </c>
      <c r="B16" s="642"/>
      <c r="C16" s="642"/>
      <c r="D16" s="643" t="s">
        <v>151</v>
      </c>
      <c r="E16" s="644">
        <f>E17+E25+E36+E42+E22</f>
        <v>364784316.63999999</v>
      </c>
      <c r="F16" s="644">
        <f>F17+F25+F36+F42+F22</f>
        <v>364784316.63999999</v>
      </c>
      <c r="G16" s="644">
        <f>G17+G25+G36+G42+G22</f>
        <v>98820900</v>
      </c>
      <c r="H16" s="644">
        <f>H17+H25+H36+H42+H22</f>
        <v>6241293</v>
      </c>
      <c r="I16" s="644">
        <f>I17+I25+I36+I42+I22</f>
        <v>0</v>
      </c>
      <c r="J16" s="644">
        <f>L16+O16</f>
        <v>327583056.70000005</v>
      </c>
      <c r="K16" s="644">
        <f>K17+K25+K36+K42+K22</f>
        <v>321067256.70000005</v>
      </c>
      <c r="L16" s="644">
        <f>L17+L25+L36+L42+L22</f>
        <v>6150400</v>
      </c>
      <c r="M16" s="644">
        <f>M17+M25+M36+M42+M22</f>
        <v>0</v>
      </c>
      <c r="N16" s="644">
        <f>N17+N25+N36+N42+N22</f>
        <v>0</v>
      </c>
      <c r="O16" s="644">
        <f>O17+O25+O36+O42+O22</f>
        <v>321432656.70000005</v>
      </c>
      <c r="P16" s="644">
        <f>E16+J16</f>
        <v>692367373.34000003</v>
      </c>
      <c r="Q16" s="554" t="b">
        <f>P16=P18+P21+P27+P31+P33+P35+P38+P39+P41+P44+P45+P46+P24</f>
        <v>1</v>
      </c>
      <c r="R16" s="26"/>
    </row>
    <row r="17" spans="1:18" s="28" customFormat="1" ht="47.25" thickTop="1" thickBot="1" x14ac:dyDescent="0.25">
      <c r="A17" s="308" t="s">
        <v>683</v>
      </c>
      <c r="B17" s="308" t="s">
        <v>684</v>
      </c>
      <c r="C17" s="308"/>
      <c r="D17" s="308" t="s">
        <v>685</v>
      </c>
      <c r="E17" s="325">
        <f>SUM(E18:E21)</f>
        <v>167283106</v>
      </c>
      <c r="F17" s="325">
        <f>SUM(F18:F21)</f>
        <v>167283106</v>
      </c>
      <c r="G17" s="325">
        <f t="shared" ref="G17:P17" si="2">SUM(G18:G21)</f>
        <v>98820900</v>
      </c>
      <c r="H17" s="325">
        <f t="shared" si="2"/>
        <v>6241293</v>
      </c>
      <c r="I17" s="325">
        <f t="shared" si="2"/>
        <v>0</v>
      </c>
      <c r="J17" s="325">
        <f t="shared" si="2"/>
        <v>465000</v>
      </c>
      <c r="K17" s="325">
        <f t="shared" si="2"/>
        <v>465000</v>
      </c>
      <c r="L17" s="325">
        <f t="shared" si="2"/>
        <v>0</v>
      </c>
      <c r="M17" s="325">
        <f t="shared" si="2"/>
        <v>0</v>
      </c>
      <c r="N17" s="325">
        <f t="shared" si="2"/>
        <v>0</v>
      </c>
      <c r="O17" s="325">
        <f t="shared" si="2"/>
        <v>465000</v>
      </c>
      <c r="P17" s="325">
        <f t="shared" si="2"/>
        <v>167748106</v>
      </c>
      <c r="Q17" s="31"/>
      <c r="R17" s="27"/>
    </row>
    <row r="18" spans="1:18" ht="173.25" customHeight="1" thickTop="1" thickBot="1" x14ac:dyDescent="0.25">
      <c r="A18" s="101" t="s">
        <v>232</v>
      </c>
      <c r="B18" s="101" t="s">
        <v>233</v>
      </c>
      <c r="C18" s="101" t="s">
        <v>234</v>
      </c>
      <c r="D18" s="101" t="s">
        <v>231</v>
      </c>
      <c r="E18" s="325">
        <f t="shared" ref="E18:E44" si="3">F18</f>
        <v>133291386</v>
      </c>
      <c r="F18" s="323">
        <f>(130683646)-502260+110000+3000000</f>
        <v>133291386</v>
      </c>
      <c r="G18" s="323">
        <f>(95820900)+3000000</f>
        <v>98820900</v>
      </c>
      <c r="H18" s="323">
        <f>3417000+111000+2275293+350000+88000</f>
        <v>6241293</v>
      </c>
      <c r="I18" s="323"/>
      <c r="J18" s="325">
        <f t="shared" ref="J18:J31" si="4">L18+O18</f>
        <v>465000</v>
      </c>
      <c r="K18" s="323">
        <f>((0)+435000)+30000</f>
        <v>465000</v>
      </c>
      <c r="L18" s="454"/>
      <c r="M18" s="553"/>
      <c r="N18" s="553"/>
      <c r="O18" s="455">
        <f t="shared" ref="O18:O31" si="5">K18</f>
        <v>465000</v>
      </c>
      <c r="P18" s="325">
        <f>+J18+E18</f>
        <v>133756386</v>
      </c>
      <c r="Q18" s="131"/>
      <c r="R18" s="29"/>
    </row>
    <row r="19" spans="1:18" ht="93" hidden="1" thickTop="1" thickBot="1" x14ac:dyDescent="0.25">
      <c r="A19" s="126" t="s">
        <v>584</v>
      </c>
      <c r="B19" s="126" t="s">
        <v>236</v>
      </c>
      <c r="C19" s="126" t="s">
        <v>234</v>
      </c>
      <c r="D19" s="126" t="s">
        <v>235</v>
      </c>
      <c r="E19" s="125">
        <f t="shared" ref="E19" si="6">F19</f>
        <v>0</v>
      </c>
      <c r="F19" s="127"/>
      <c r="G19" s="127"/>
      <c r="H19" s="127"/>
      <c r="I19" s="127"/>
      <c r="J19" s="125">
        <f t="shared" ref="J19" si="7">L19+O19</f>
        <v>0</v>
      </c>
      <c r="K19" s="127"/>
      <c r="L19" s="128"/>
      <c r="M19" s="129"/>
      <c r="N19" s="129"/>
      <c r="O19" s="130">
        <f t="shared" si="5"/>
        <v>0</v>
      </c>
      <c r="P19" s="125">
        <f>+J19+E19</f>
        <v>0</v>
      </c>
      <c r="Q19" s="131"/>
      <c r="R19" s="29"/>
    </row>
    <row r="20" spans="1:18" ht="93" hidden="1" thickTop="1" thickBot="1" x14ac:dyDescent="0.25">
      <c r="A20" s="126" t="s">
        <v>624</v>
      </c>
      <c r="B20" s="126" t="s">
        <v>362</v>
      </c>
      <c r="C20" s="126" t="s">
        <v>625</v>
      </c>
      <c r="D20" s="126" t="s">
        <v>626</v>
      </c>
      <c r="E20" s="125">
        <f t="shared" ref="E20" si="8">F20</f>
        <v>0</v>
      </c>
      <c r="F20" s="127">
        <v>0</v>
      </c>
      <c r="G20" s="127"/>
      <c r="H20" s="127"/>
      <c r="I20" s="127"/>
      <c r="J20" s="125">
        <f t="shared" ref="J20" si="9">L20+O20</f>
        <v>0</v>
      </c>
      <c r="K20" s="127"/>
      <c r="L20" s="128"/>
      <c r="M20" s="129"/>
      <c r="N20" s="129"/>
      <c r="O20" s="130">
        <f t="shared" si="5"/>
        <v>0</v>
      </c>
      <c r="P20" s="125">
        <f>+J20+E20</f>
        <v>0</v>
      </c>
      <c r="Q20" s="131"/>
      <c r="R20" s="30"/>
    </row>
    <row r="21" spans="1:18" ht="48" thickTop="1" thickBot="1" x14ac:dyDescent="0.25">
      <c r="A21" s="101" t="s">
        <v>247</v>
      </c>
      <c r="B21" s="101" t="s">
        <v>43</v>
      </c>
      <c r="C21" s="101" t="s">
        <v>42</v>
      </c>
      <c r="D21" s="101" t="s">
        <v>248</v>
      </c>
      <c r="E21" s="325">
        <f t="shared" si="3"/>
        <v>33991720</v>
      </c>
      <c r="F21" s="458">
        <f>((((105141400+20000000-10000000+32000000-67690000+1000000-2000000+30000000)-23310000)-36450000)-7182000)-7517680</f>
        <v>33991720</v>
      </c>
      <c r="G21" s="458"/>
      <c r="H21" s="458"/>
      <c r="I21" s="458"/>
      <c r="J21" s="325">
        <f t="shared" si="4"/>
        <v>0</v>
      </c>
      <c r="K21" s="458"/>
      <c r="L21" s="458"/>
      <c r="M21" s="458"/>
      <c r="N21" s="458"/>
      <c r="O21" s="455">
        <f t="shared" si="5"/>
        <v>0</v>
      </c>
      <c r="P21" s="325">
        <f>E21+J21</f>
        <v>33991720</v>
      </c>
      <c r="Q21" s="131"/>
      <c r="R21" s="30"/>
    </row>
    <row r="22" spans="1:18" ht="47.25" thickTop="1" thickBot="1" x14ac:dyDescent="0.25">
      <c r="A22" s="308" t="s">
        <v>1623</v>
      </c>
      <c r="B22" s="308" t="s">
        <v>711</v>
      </c>
      <c r="C22" s="308"/>
      <c r="D22" s="308" t="s">
        <v>712</v>
      </c>
      <c r="E22" s="325">
        <f>E23</f>
        <v>1900000</v>
      </c>
      <c r="F22" s="325">
        <f t="shared" ref="F22:P22" si="10">F23</f>
        <v>1900000</v>
      </c>
      <c r="G22" s="325">
        <f t="shared" si="10"/>
        <v>0</v>
      </c>
      <c r="H22" s="325">
        <f t="shared" si="10"/>
        <v>0</v>
      </c>
      <c r="I22" s="325">
        <f t="shared" si="10"/>
        <v>0</v>
      </c>
      <c r="J22" s="325">
        <f t="shared" si="10"/>
        <v>0</v>
      </c>
      <c r="K22" s="325">
        <f t="shared" si="10"/>
        <v>0</v>
      </c>
      <c r="L22" s="325">
        <f t="shared" si="10"/>
        <v>0</v>
      </c>
      <c r="M22" s="325">
        <f t="shared" si="10"/>
        <v>0</v>
      </c>
      <c r="N22" s="325">
        <f t="shared" si="10"/>
        <v>0</v>
      </c>
      <c r="O22" s="325">
        <f t="shared" si="10"/>
        <v>0</v>
      </c>
      <c r="P22" s="325">
        <f t="shared" si="10"/>
        <v>1900000</v>
      </c>
      <c r="Q22" s="131"/>
      <c r="R22" s="30"/>
    </row>
    <row r="23" spans="1:18" ht="48" thickTop="1" thickBot="1" x14ac:dyDescent="0.25">
      <c r="A23" s="326" t="s">
        <v>1624</v>
      </c>
      <c r="B23" s="326" t="s">
        <v>739</v>
      </c>
      <c r="C23" s="326"/>
      <c r="D23" s="326" t="s">
        <v>740</v>
      </c>
      <c r="E23" s="322">
        <f>E24</f>
        <v>1900000</v>
      </c>
      <c r="F23" s="322">
        <f t="shared" ref="F23:P23" si="11">F24</f>
        <v>1900000</v>
      </c>
      <c r="G23" s="322">
        <f t="shared" si="11"/>
        <v>0</v>
      </c>
      <c r="H23" s="322">
        <f t="shared" si="11"/>
        <v>0</v>
      </c>
      <c r="I23" s="322">
        <f t="shared" si="11"/>
        <v>0</v>
      </c>
      <c r="J23" s="322">
        <f t="shared" si="11"/>
        <v>0</v>
      </c>
      <c r="K23" s="322">
        <f t="shared" si="11"/>
        <v>0</v>
      </c>
      <c r="L23" s="322">
        <f t="shared" si="11"/>
        <v>0</v>
      </c>
      <c r="M23" s="322">
        <f t="shared" si="11"/>
        <v>0</v>
      </c>
      <c r="N23" s="322">
        <f t="shared" si="11"/>
        <v>0</v>
      </c>
      <c r="O23" s="322">
        <f t="shared" si="11"/>
        <v>0</v>
      </c>
      <c r="P23" s="322">
        <f t="shared" si="11"/>
        <v>1900000</v>
      </c>
      <c r="Q23" s="131"/>
      <c r="R23" s="30"/>
    </row>
    <row r="24" spans="1:18" ht="93" thickTop="1" thickBot="1" x14ac:dyDescent="0.25">
      <c r="A24" s="101" t="s">
        <v>1625</v>
      </c>
      <c r="B24" s="101" t="s">
        <v>329</v>
      </c>
      <c r="C24" s="101" t="s">
        <v>191</v>
      </c>
      <c r="D24" s="466" t="s">
        <v>331</v>
      </c>
      <c r="E24" s="325">
        <f t="shared" ref="E24" si="12">F24</f>
        <v>1900000</v>
      </c>
      <c r="F24" s="458">
        <f>(1000000)+900000</f>
        <v>1900000</v>
      </c>
      <c r="G24" s="323"/>
      <c r="H24" s="323"/>
      <c r="I24" s="458"/>
      <c r="J24" s="325">
        <f t="shared" ref="J24" si="13">L24+O24</f>
        <v>0</v>
      </c>
      <c r="K24" s="458"/>
      <c r="L24" s="458"/>
      <c r="M24" s="458"/>
      <c r="N24" s="458"/>
      <c r="O24" s="455">
        <f>(K24)</f>
        <v>0</v>
      </c>
      <c r="P24" s="325">
        <f t="shared" ref="P24" si="14">E24+J24</f>
        <v>1900000</v>
      </c>
      <c r="Q24" s="131"/>
      <c r="R24" s="30"/>
    </row>
    <row r="25" spans="1:18" s="28" customFormat="1" ht="47.25" thickTop="1" thickBot="1" x14ac:dyDescent="0.3">
      <c r="A25" s="308" t="s">
        <v>747</v>
      </c>
      <c r="B25" s="308" t="s">
        <v>748</v>
      </c>
      <c r="C25" s="308"/>
      <c r="D25" s="308" t="s">
        <v>749</v>
      </c>
      <c r="E25" s="325">
        <f t="shared" ref="E25:P25" si="15">SUM(E26:E35)-E26-E29-E32</f>
        <v>8074335</v>
      </c>
      <c r="F25" s="325">
        <f t="shared" si="15"/>
        <v>8074335</v>
      </c>
      <c r="G25" s="325">
        <f t="shared" si="15"/>
        <v>0</v>
      </c>
      <c r="H25" s="325">
        <f t="shared" si="15"/>
        <v>0</v>
      </c>
      <c r="I25" s="325">
        <f t="shared" si="15"/>
        <v>0</v>
      </c>
      <c r="J25" s="325">
        <f t="shared" si="15"/>
        <v>6515800</v>
      </c>
      <c r="K25" s="325">
        <f t="shared" si="15"/>
        <v>0</v>
      </c>
      <c r="L25" s="325">
        <f t="shared" si="15"/>
        <v>6150400</v>
      </c>
      <c r="M25" s="325">
        <f t="shared" si="15"/>
        <v>0</v>
      </c>
      <c r="N25" s="325">
        <f t="shared" si="15"/>
        <v>0</v>
      </c>
      <c r="O25" s="325">
        <f t="shared" si="15"/>
        <v>365400</v>
      </c>
      <c r="P25" s="325">
        <f t="shared" si="15"/>
        <v>14590135</v>
      </c>
      <c r="Q25" s="133"/>
      <c r="R25" s="31"/>
    </row>
    <row r="26" spans="1:18" s="33" customFormat="1" ht="47.25" thickTop="1" thickBot="1" x14ac:dyDescent="0.25">
      <c r="A26" s="310" t="s">
        <v>686</v>
      </c>
      <c r="B26" s="310" t="s">
        <v>687</v>
      </c>
      <c r="C26" s="310"/>
      <c r="D26" s="310" t="s">
        <v>688</v>
      </c>
      <c r="E26" s="312">
        <f t="shared" ref="E26:P26" si="16">SUM(E27:E28)</f>
        <v>5383000</v>
      </c>
      <c r="F26" s="312">
        <f t="shared" si="16"/>
        <v>5383000</v>
      </c>
      <c r="G26" s="312">
        <f t="shared" si="16"/>
        <v>0</v>
      </c>
      <c r="H26" s="312">
        <f t="shared" si="16"/>
        <v>0</v>
      </c>
      <c r="I26" s="312">
        <f t="shared" si="16"/>
        <v>0</v>
      </c>
      <c r="J26" s="312">
        <f t="shared" si="16"/>
        <v>0</v>
      </c>
      <c r="K26" s="312">
        <f t="shared" si="16"/>
        <v>0</v>
      </c>
      <c r="L26" s="312">
        <f t="shared" si="16"/>
        <v>0</v>
      </c>
      <c r="M26" s="312">
        <f t="shared" si="16"/>
        <v>0</v>
      </c>
      <c r="N26" s="312">
        <f t="shared" si="16"/>
        <v>0</v>
      </c>
      <c r="O26" s="312">
        <f t="shared" si="16"/>
        <v>0</v>
      </c>
      <c r="P26" s="312">
        <f t="shared" si="16"/>
        <v>5383000</v>
      </c>
      <c r="Q26" s="136"/>
      <c r="R26" s="32"/>
    </row>
    <row r="27" spans="1:18" ht="48" thickTop="1" thickBot="1" x14ac:dyDescent="0.25">
      <c r="A27" s="101" t="s">
        <v>238</v>
      </c>
      <c r="B27" s="101" t="s">
        <v>239</v>
      </c>
      <c r="C27" s="101" t="s">
        <v>240</v>
      </c>
      <c r="D27" s="101" t="s">
        <v>237</v>
      </c>
      <c r="E27" s="325">
        <f t="shared" si="3"/>
        <v>5383000</v>
      </c>
      <c r="F27" s="458">
        <f>(4883000)+500000</f>
        <v>5383000</v>
      </c>
      <c r="G27" s="458"/>
      <c r="H27" s="458"/>
      <c r="I27" s="458"/>
      <c r="J27" s="325">
        <f t="shared" si="4"/>
        <v>0</v>
      </c>
      <c r="K27" s="458"/>
      <c r="L27" s="458"/>
      <c r="M27" s="458"/>
      <c r="N27" s="458"/>
      <c r="O27" s="455">
        <f t="shared" si="5"/>
        <v>0</v>
      </c>
      <c r="P27" s="325">
        <f>+J27+E27</f>
        <v>5383000</v>
      </c>
      <c r="Q27" s="131"/>
      <c r="R27" s="29"/>
    </row>
    <row r="28" spans="1:18" ht="93" hidden="1" thickTop="1" thickBot="1" x14ac:dyDescent="0.25">
      <c r="A28" s="41" t="s">
        <v>977</v>
      </c>
      <c r="B28" s="41" t="s">
        <v>978</v>
      </c>
      <c r="C28" s="41" t="s">
        <v>240</v>
      </c>
      <c r="D28" s="41" t="s">
        <v>979</v>
      </c>
      <c r="E28" s="125">
        <f t="shared" si="3"/>
        <v>0</v>
      </c>
      <c r="F28" s="132">
        <v>0</v>
      </c>
      <c r="G28" s="132"/>
      <c r="H28" s="132"/>
      <c r="I28" s="132"/>
      <c r="J28" s="125">
        <f t="shared" si="4"/>
        <v>0</v>
      </c>
      <c r="K28" s="43"/>
      <c r="L28" s="43"/>
      <c r="M28" s="43"/>
      <c r="N28" s="43"/>
      <c r="O28" s="44"/>
      <c r="P28" s="42">
        <f>+J28+E28</f>
        <v>0</v>
      </c>
      <c r="Q28" s="131"/>
      <c r="R28" s="29"/>
    </row>
    <row r="29" spans="1:18" ht="47.25" thickTop="1" thickBot="1" x14ac:dyDescent="0.25">
      <c r="A29" s="310" t="s">
        <v>690</v>
      </c>
      <c r="B29" s="310" t="s">
        <v>691</v>
      </c>
      <c r="C29" s="310"/>
      <c r="D29" s="310" t="s">
        <v>689</v>
      </c>
      <c r="E29" s="312">
        <f>SUM(E31)+E32+E30</f>
        <v>2691335</v>
      </c>
      <c r="F29" s="312">
        <f t="shared" ref="F29:P29" si="17">SUM(F31)+F32+F30</f>
        <v>2691335</v>
      </c>
      <c r="G29" s="312">
        <f t="shared" si="17"/>
        <v>0</v>
      </c>
      <c r="H29" s="312">
        <f t="shared" si="17"/>
        <v>0</v>
      </c>
      <c r="I29" s="312">
        <f t="shared" si="17"/>
        <v>0</v>
      </c>
      <c r="J29" s="312">
        <f t="shared" si="17"/>
        <v>6515800</v>
      </c>
      <c r="K29" s="312">
        <f t="shared" si="17"/>
        <v>0</v>
      </c>
      <c r="L29" s="312">
        <f t="shared" si="17"/>
        <v>6150400</v>
      </c>
      <c r="M29" s="312">
        <f t="shared" si="17"/>
        <v>0</v>
      </c>
      <c r="N29" s="312">
        <f t="shared" si="17"/>
        <v>0</v>
      </c>
      <c r="O29" s="312">
        <f t="shared" si="17"/>
        <v>365400</v>
      </c>
      <c r="P29" s="312">
        <f t="shared" si="17"/>
        <v>9207135</v>
      </c>
      <c r="Q29" s="137"/>
      <c r="R29" s="34"/>
    </row>
    <row r="30" spans="1:18" ht="48" hidden="1" thickTop="1" thickBot="1" x14ac:dyDescent="0.25">
      <c r="A30" s="101" t="s">
        <v>1403</v>
      </c>
      <c r="B30" s="101" t="s">
        <v>212</v>
      </c>
      <c r="C30" s="101" t="s">
        <v>213</v>
      </c>
      <c r="D30" s="101" t="s">
        <v>41</v>
      </c>
      <c r="E30" s="325">
        <f t="shared" si="3"/>
        <v>0</v>
      </c>
      <c r="F30" s="458"/>
      <c r="G30" s="458"/>
      <c r="H30" s="458"/>
      <c r="I30" s="458"/>
      <c r="J30" s="325">
        <f t="shared" si="4"/>
        <v>0</v>
      </c>
      <c r="K30" s="458"/>
      <c r="L30" s="458"/>
      <c r="M30" s="458"/>
      <c r="N30" s="458"/>
      <c r="O30" s="455">
        <f t="shared" si="5"/>
        <v>0</v>
      </c>
      <c r="P30" s="325">
        <f>+J30+E30</f>
        <v>0</v>
      </c>
      <c r="Q30" s="137"/>
      <c r="R30" s="34"/>
    </row>
    <row r="31" spans="1:18" ht="48" thickTop="1" thickBot="1" x14ac:dyDescent="0.25">
      <c r="A31" s="101" t="s">
        <v>299</v>
      </c>
      <c r="B31" s="101" t="s">
        <v>300</v>
      </c>
      <c r="C31" s="101" t="s">
        <v>170</v>
      </c>
      <c r="D31" s="101" t="s">
        <v>442</v>
      </c>
      <c r="E31" s="325">
        <f t="shared" si="3"/>
        <v>329335</v>
      </c>
      <c r="F31" s="458">
        <v>329335</v>
      </c>
      <c r="G31" s="458"/>
      <c r="H31" s="458"/>
      <c r="I31" s="458"/>
      <c r="J31" s="325">
        <f t="shared" si="4"/>
        <v>0</v>
      </c>
      <c r="K31" s="458"/>
      <c r="L31" s="458"/>
      <c r="M31" s="458"/>
      <c r="N31" s="458"/>
      <c r="O31" s="455">
        <f t="shared" si="5"/>
        <v>0</v>
      </c>
      <c r="P31" s="325">
        <f>+J31+E31</f>
        <v>329335</v>
      </c>
      <c r="Q31" s="131"/>
      <c r="R31" s="30"/>
    </row>
    <row r="32" spans="1:18" ht="48" thickTop="1" thickBot="1" x14ac:dyDescent="0.25">
      <c r="A32" s="326" t="s">
        <v>693</v>
      </c>
      <c r="B32" s="326" t="s">
        <v>694</v>
      </c>
      <c r="C32" s="326"/>
      <c r="D32" s="555" t="s">
        <v>692</v>
      </c>
      <c r="E32" s="322">
        <f>SUM(E33:E35)</f>
        <v>2362000</v>
      </c>
      <c r="F32" s="322">
        <f t="shared" ref="F32:O32" si="18">SUM(F33:F35)</f>
        <v>2362000</v>
      </c>
      <c r="G32" s="322">
        <f t="shared" si="18"/>
        <v>0</v>
      </c>
      <c r="H32" s="322">
        <f t="shared" si="18"/>
        <v>0</v>
      </c>
      <c r="I32" s="322">
        <f t="shared" si="18"/>
        <v>0</v>
      </c>
      <c r="J32" s="322">
        <f t="shared" si="18"/>
        <v>6515800</v>
      </c>
      <c r="K32" s="322">
        <f t="shared" si="18"/>
        <v>0</v>
      </c>
      <c r="L32" s="322">
        <f t="shared" si="18"/>
        <v>6150400</v>
      </c>
      <c r="M32" s="322">
        <f t="shared" si="18"/>
        <v>0</v>
      </c>
      <c r="N32" s="322">
        <f t="shared" si="18"/>
        <v>0</v>
      </c>
      <c r="O32" s="322">
        <f t="shared" si="18"/>
        <v>365400</v>
      </c>
      <c r="P32" s="322">
        <f>E32+J32</f>
        <v>8877800</v>
      </c>
      <c r="Q32" s="137"/>
      <c r="R32" s="35"/>
    </row>
    <row r="33" spans="1:18" s="33" customFormat="1" ht="156.75" customHeight="1" thickTop="1" thickBot="1" x14ac:dyDescent="0.7">
      <c r="A33" s="748" t="s">
        <v>339</v>
      </c>
      <c r="B33" s="748" t="s">
        <v>338</v>
      </c>
      <c r="C33" s="748" t="s">
        <v>170</v>
      </c>
      <c r="D33" s="556" t="s">
        <v>440</v>
      </c>
      <c r="E33" s="750">
        <f t="shared" si="3"/>
        <v>0</v>
      </c>
      <c r="F33" s="740"/>
      <c r="G33" s="740"/>
      <c r="H33" s="740"/>
      <c r="I33" s="740"/>
      <c r="J33" s="751">
        <f>L33+O33</f>
        <v>6515800</v>
      </c>
      <c r="K33" s="740"/>
      <c r="L33" s="740">
        <f>(2604400+176000+570000+1000000)+3400000-1500000-50000-50000</f>
        <v>6150400</v>
      </c>
      <c r="M33" s="740"/>
      <c r="N33" s="740"/>
      <c r="O33" s="742">
        <f>(865400)-500000</f>
        <v>365400</v>
      </c>
      <c r="P33" s="744">
        <f>E33+J33</f>
        <v>6515800</v>
      </c>
      <c r="Q33" s="140"/>
      <c r="R33" s="36"/>
    </row>
    <row r="34" spans="1:18" s="33" customFormat="1" ht="120.75" customHeight="1" thickTop="1" thickBot="1" x14ac:dyDescent="0.25">
      <c r="A34" s="749"/>
      <c r="B34" s="777"/>
      <c r="C34" s="749"/>
      <c r="D34" s="557" t="s">
        <v>441</v>
      </c>
      <c r="E34" s="749"/>
      <c r="F34" s="741"/>
      <c r="G34" s="741"/>
      <c r="H34" s="741"/>
      <c r="I34" s="741"/>
      <c r="J34" s="752"/>
      <c r="K34" s="741"/>
      <c r="L34" s="741"/>
      <c r="M34" s="741"/>
      <c r="N34" s="741"/>
      <c r="O34" s="743"/>
      <c r="P34" s="745"/>
      <c r="Q34" s="36"/>
      <c r="R34" s="36"/>
    </row>
    <row r="35" spans="1:18" s="33" customFormat="1" ht="79.5" customHeight="1" thickTop="1" thickBot="1" x14ac:dyDescent="0.25">
      <c r="A35" s="101" t="s">
        <v>914</v>
      </c>
      <c r="B35" s="101" t="s">
        <v>257</v>
      </c>
      <c r="C35" s="101" t="s">
        <v>170</v>
      </c>
      <c r="D35" s="101" t="s">
        <v>255</v>
      </c>
      <c r="E35" s="325">
        <f>F35</f>
        <v>2362000</v>
      </c>
      <c r="F35" s="458">
        <v>2362000</v>
      </c>
      <c r="G35" s="458"/>
      <c r="H35" s="458"/>
      <c r="I35" s="458"/>
      <c r="J35" s="325">
        <f>L35+O35</f>
        <v>0</v>
      </c>
      <c r="K35" s="458"/>
      <c r="L35" s="458"/>
      <c r="M35" s="458"/>
      <c r="N35" s="458"/>
      <c r="O35" s="455"/>
      <c r="P35" s="325">
        <f>E35+J35</f>
        <v>2362000</v>
      </c>
      <c r="Q35" s="36"/>
      <c r="R35" s="36"/>
    </row>
    <row r="36" spans="1:18" s="33" customFormat="1" ht="65.25" customHeight="1" thickTop="1" thickBot="1" x14ac:dyDescent="0.25">
      <c r="A36" s="308" t="s">
        <v>695</v>
      </c>
      <c r="B36" s="308" t="s">
        <v>696</v>
      </c>
      <c r="C36" s="308"/>
      <c r="D36" s="308" t="s">
        <v>697</v>
      </c>
      <c r="E36" s="325">
        <f t="shared" ref="E36:P36" si="19">E40+E37</f>
        <v>63222104.5</v>
      </c>
      <c r="F36" s="325">
        <f t="shared" si="19"/>
        <v>63222104.5</v>
      </c>
      <c r="G36" s="325">
        <f t="shared" si="19"/>
        <v>0</v>
      </c>
      <c r="H36" s="325">
        <f t="shared" si="19"/>
        <v>0</v>
      </c>
      <c r="I36" s="325">
        <f t="shared" si="19"/>
        <v>0</v>
      </c>
      <c r="J36" s="325">
        <f t="shared" si="19"/>
        <v>144085300.84</v>
      </c>
      <c r="K36" s="325">
        <f t="shared" si="19"/>
        <v>144085300.84</v>
      </c>
      <c r="L36" s="325">
        <f t="shared" si="19"/>
        <v>0</v>
      </c>
      <c r="M36" s="325">
        <f t="shared" si="19"/>
        <v>0</v>
      </c>
      <c r="N36" s="325">
        <f t="shared" si="19"/>
        <v>0</v>
      </c>
      <c r="O36" s="325">
        <f t="shared" si="19"/>
        <v>144085300.84</v>
      </c>
      <c r="P36" s="325">
        <f t="shared" si="19"/>
        <v>207307405.34</v>
      </c>
      <c r="Q36" s="36"/>
      <c r="R36" s="36"/>
    </row>
    <row r="37" spans="1:18" s="33" customFormat="1" ht="75.75" customHeight="1" thickTop="1" thickBot="1" x14ac:dyDescent="0.25">
      <c r="A37" s="310" t="s">
        <v>1185</v>
      </c>
      <c r="B37" s="310" t="s">
        <v>1186</v>
      </c>
      <c r="C37" s="310"/>
      <c r="D37" s="310" t="s">
        <v>1184</v>
      </c>
      <c r="E37" s="312">
        <f t="shared" ref="E37:P37" si="20">SUM(E38:E39)</f>
        <v>53022104.5</v>
      </c>
      <c r="F37" s="312">
        <f t="shared" si="20"/>
        <v>53022104.5</v>
      </c>
      <c r="G37" s="312">
        <f t="shared" si="20"/>
        <v>0</v>
      </c>
      <c r="H37" s="312">
        <f t="shared" si="20"/>
        <v>0</v>
      </c>
      <c r="I37" s="312">
        <f t="shared" si="20"/>
        <v>0</v>
      </c>
      <c r="J37" s="312">
        <f t="shared" si="20"/>
        <v>144085300.84</v>
      </c>
      <c r="K37" s="312">
        <f t="shared" si="20"/>
        <v>144085300.84</v>
      </c>
      <c r="L37" s="312">
        <f t="shared" si="20"/>
        <v>0</v>
      </c>
      <c r="M37" s="312">
        <f t="shared" si="20"/>
        <v>0</v>
      </c>
      <c r="N37" s="312">
        <f t="shared" si="20"/>
        <v>0</v>
      </c>
      <c r="O37" s="312">
        <f t="shared" si="20"/>
        <v>144085300.84</v>
      </c>
      <c r="P37" s="312">
        <f t="shared" si="20"/>
        <v>197107405.34</v>
      </c>
      <c r="Q37" s="36"/>
      <c r="R37" s="36"/>
    </row>
    <row r="38" spans="1:18" s="33" customFormat="1" ht="60.75" customHeight="1" thickTop="1" thickBot="1" x14ac:dyDescent="0.25">
      <c r="A38" s="101" t="s">
        <v>1212</v>
      </c>
      <c r="B38" s="101" t="s">
        <v>1213</v>
      </c>
      <c r="C38" s="101" t="s">
        <v>1188</v>
      </c>
      <c r="D38" s="101" t="s">
        <v>1214</v>
      </c>
      <c r="E38" s="325">
        <f>F38</f>
        <v>42074105.5</v>
      </c>
      <c r="F38" s="458">
        <f>((5000000+3000000+8000000+10000000)+6000000)+1074105.5+9000000</f>
        <v>42074105.5</v>
      </c>
      <c r="G38" s="458"/>
      <c r="H38" s="458"/>
      <c r="I38" s="458"/>
      <c r="J38" s="325">
        <f>L38+O38</f>
        <v>140425894.5</v>
      </c>
      <c r="K38" s="458">
        <f>(((25000000+15000000)+60500000)+25000000)-1074105.5+16000000</f>
        <v>140425894.5</v>
      </c>
      <c r="L38" s="458"/>
      <c r="M38" s="458"/>
      <c r="N38" s="458"/>
      <c r="O38" s="455">
        <f>K38</f>
        <v>140425894.5</v>
      </c>
      <c r="P38" s="325">
        <f>E38+J38</f>
        <v>182500000</v>
      </c>
      <c r="Q38" s="36"/>
      <c r="R38" s="36"/>
    </row>
    <row r="39" spans="1:18" s="33" customFormat="1" ht="72.75" customHeight="1" thickTop="1" thickBot="1" x14ac:dyDescent="0.25">
      <c r="A39" s="101" t="s">
        <v>1189</v>
      </c>
      <c r="B39" s="101" t="s">
        <v>1190</v>
      </c>
      <c r="C39" s="101" t="s">
        <v>1188</v>
      </c>
      <c r="D39" s="101" t="s">
        <v>1187</v>
      </c>
      <c r="E39" s="325">
        <f>F39</f>
        <v>10947999</v>
      </c>
      <c r="F39" s="458">
        <f>((8862000)+760769+200000+370480+40000+435000+49750)+230000</f>
        <v>10947999</v>
      </c>
      <c r="G39" s="458"/>
      <c r="H39" s="458"/>
      <c r="I39" s="458"/>
      <c r="J39" s="325">
        <f>L39+O39</f>
        <v>3659406.34</v>
      </c>
      <c r="K39" s="458">
        <f>((0)+739231+1266175.34+1250000+124000+25000+485000)-230000</f>
        <v>3659406.34</v>
      </c>
      <c r="L39" s="458"/>
      <c r="M39" s="458"/>
      <c r="N39" s="458"/>
      <c r="O39" s="455">
        <f>K39</f>
        <v>3659406.34</v>
      </c>
      <c r="P39" s="325">
        <f>E39+J39</f>
        <v>14607405.34</v>
      </c>
      <c r="Q39" s="36"/>
      <c r="R39" s="36"/>
    </row>
    <row r="40" spans="1:18" s="33" customFormat="1" ht="47.25" thickTop="1" thickBot="1" x14ac:dyDescent="0.25">
      <c r="A40" s="310" t="s">
        <v>698</v>
      </c>
      <c r="B40" s="310" t="s">
        <v>699</v>
      </c>
      <c r="C40" s="310"/>
      <c r="D40" s="310" t="s">
        <v>700</v>
      </c>
      <c r="E40" s="312">
        <f>SUM(E41)</f>
        <v>10200000</v>
      </c>
      <c r="F40" s="312">
        <f t="shared" ref="F40:P40" si="21">SUM(F41)</f>
        <v>10200000</v>
      </c>
      <c r="G40" s="312">
        <f t="shared" si="21"/>
        <v>0</v>
      </c>
      <c r="H40" s="312">
        <f t="shared" si="21"/>
        <v>0</v>
      </c>
      <c r="I40" s="312">
        <f t="shared" si="21"/>
        <v>0</v>
      </c>
      <c r="J40" s="312">
        <f t="shared" si="21"/>
        <v>0</v>
      </c>
      <c r="K40" s="312">
        <f t="shared" si="21"/>
        <v>0</v>
      </c>
      <c r="L40" s="312">
        <f t="shared" si="21"/>
        <v>0</v>
      </c>
      <c r="M40" s="312">
        <f t="shared" si="21"/>
        <v>0</v>
      </c>
      <c r="N40" s="312">
        <f t="shared" si="21"/>
        <v>0</v>
      </c>
      <c r="O40" s="312">
        <f t="shared" si="21"/>
        <v>0</v>
      </c>
      <c r="P40" s="312">
        <f t="shared" si="21"/>
        <v>10200000</v>
      </c>
      <c r="Q40" s="36"/>
    </row>
    <row r="41" spans="1:18" ht="48" thickTop="1" thickBot="1" x14ac:dyDescent="0.25">
      <c r="A41" s="101" t="s">
        <v>241</v>
      </c>
      <c r="B41" s="101" t="s">
        <v>242</v>
      </c>
      <c r="C41" s="101" t="s">
        <v>243</v>
      </c>
      <c r="D41" s="101" t="s">
        <v>244</v>
      </c>
      <c r="E41" s="325">
        <f>F41</f>
        <v>10200000</v>
      </c>
      <c r="F41" s="458">
        <v>10200000</v>
      </c>
      <c r="G41" s="458"/>
      <c r="H41" s="458"/>
      <c r="I41" s="458"/>
      <c r="J41" s="325">
        <f>L41+O41</f>
        <v>0</v>
      </c>
      <c r="K41" s="458">
        <v>0</v>
      </c>
      <c r="L41" s="458"/>
      <c r="M41" s="458"/>
      <c r="N41" s="458"/>
      <c r="O41" s="455">
        <f>K41</f>
        <v>0</v>
      </c>
      <c r="P41" s="325">
        <f>E41+J41</f>
        <v>10200000</v>
      </c>
      <c r="Q41" s="20"/>
    </row>
    <row r="42" spans="1:18" ht="72" customHeight="1" thickTop="1" thickBot="1" x14ac:dyDescent="0.25">
      <c r="A42" s="308" t="s">
        <v>701</v>
      </c>
      <c r="B42" s="308" t="s">
        <v>702</v>
      </c>
      <c r="C42" s="308"/>
      <c r="D42" s="308" t="s">
        <v>703</v>
      </c>
      <c r="E42" s="325">
        <f>E43+E46</f>
        <v>124304771.14</v>
      </c>
      <c r="F42" s="325">
        <f t="shared" ref="F42:P42" si="22">F43+F46</f>
        <v>124304771.14</v>
      </c>
      <c r="G42" s="325">
        <f t="shared" si="22"/>
        <v>0</v>
      </c>
      <c r="H42" s="325">
        <f t="shared" si="22"/>
        <v>0</v>
      </c>
      <c r="I42" s="325">
        <f t="shared" si="22"/>
        <v>0</v>
      </c>
      <c r="J42" s="325">
        <f t="shared" si="22"/>
        <v>176516955.86000001</v>
      </c>
      <c r="K42" s="325">
        <f t="shared" si="22"/>
        <v>176516955.86000001</v>
      </c>
      <c r="L42" s="325">
        <f t="shared" si="22"/>
        <v>0</v>
      </c>
      <c r="M42" s="325">
        <f t="shared" si="22"/>
        <v>0</v>
      </c>
      <c r="N42" s="325">
        <f t="shared" si="22"/>
        <v>0</v>
      </c>
      <c r="O42" s="325">
        <f t="shared" si="22"/>
        <v>176516955.86000001</v>
      </c>
      <c r="P42" s="325">
        <f t="shared" si="22"/>
        <v>300821727</v>
      </c>
      <c r="Q42" s="20"/>
    </row>
    <row r="43" spans="1:18" s="33" customFormat="1" ht="91.5" thickTop="1" thickBot="1" x14ac:dyDescent="0.25">
      <c r="A43" s="310" t="s">
        <v>704</v>
      </c>
      <c r="B43" s="310" t="s">
        <v>705</v>
      </c>
      <c r="C43" s="310"/>
      <c r="D43" s="310" t="s">
        <v>706</v>
      </c>
      <c r="E43" s="312">
        <f>SUM(E44:E45)</f>
        <v>1333600</v>
      </c>
      <c r="F43" s="312">
        <f t="shared" ref="F43:P43" si="23">SUM(F44:F45)</f>
        <v>1333600</v>
      </c>
      <c r="G43" s="312">
        <f t="shared" si="23"/>
        <v>0</v>
      </c>
      <c r="H43" s="312">
        <f t="shared" si="23"/>
        <v>0</v>
      </c>
      <c r="I43" s="312">
        <f t="shared" si="23"/>
        <v>0</v>
      </c>
      <c r="J43" s="312">
        <f t="shared" si="23"/>
        <v>0</v>
      </c>
      <c r="K43" s="312">
        <f t="shared" si="23"/>
        <v>0</v>
      </c>
      <c r="L43" s="312">
        <f t="shared" si="23"/>
        <v>0</v>
      </c>
      <c r="M43" s="312">
        <f t="shared" si="23"/>
        <v>0</v>
      </c>
      <c r="N43" s="312">
        <f t="shared" si="23"/>
        <v>0</v>
      </c>
      <c r="O43" s="312">
        <f t="shared" si="23"/>
        <v>0</v>
      </c>
      <c r="P43" s="312">
        <f t="shared" si="23"/>
        <v>1333600</v>
      </c>
      <c r="Q43" s="36"/>
      <c r="R43" s="36"/>
    </row>
    <row r="44" spans="1:18" ht="138.75" thickTop="1" thickBot="1" x14ac:dyDescent="0.25">
      <c r="A44" s="101" t="s">
        <v>245</v>
      </c>
      <c r="B44" s="101" t="s">
        <v>246</v>
      </c>
      <c r="C44" s="101" t="s">
        <v>43</v>
      </c>
      <c r="D44" s="101" t="s">
        <v>443</v>
      </c>
      <c r="E44" s="325">
        <f t="shared" si="3"/>
        <v>1178000</v>
      </c>
      <c r="F44" s="458">
        <v>1178000</v>
      </c>
      <c r="G44" s="458"/>
      <c r="H44" s="458"/>
      <c r="I44" s="458"/>
      <c r="J44" s="325">
        <f>L44+O44</f>
        <v>0</v>
      </c>
      <c r="K44" s="458"/>
      <c r="L44" s="458"/>
      <c r="M44" s="458"/>
      <c r="N44" s="458"/>
      <c r="O44" s="455">
        <f>K44</f>
        <v>0</v>
      </c>
      <c r="P44" s="325">
        <f>E44+J44</f>
        <v>1178000</v>
      </c>
      <c r="Q44" s="20"/>
    </row>
    <row r="45" spans="1:18" ht="48" thickTop="1" thickBot="1" x14ac:dyDescent="0.25">
      <c r="A45" s="101" t="s">
        <v>575</v>
      </c>
      <c r="B45" s="101" t="s">
        <v>363</v>
      </c>
      <c r="C45" s="101" t="s">
        <v>43</v>
      </c>
      <c r="D45" s="101" t="s">
        <v>364</v>
      </c>
      <c r="E45" s="325">
        <f t="shared" ref="E45:E46" si="24">F45</f>
        <v>155600</v>
      </c>
      <c r="F45" s="458">
        <v>155600</v>
      </c>
      <c r="G45" s="458"/>
      <c r="H45" s="458"/>
      <c r="I45" s="458"/>
      <c r="J45" s="325">
        <f>L45+O45</f>
        <v>0</v>
      </c>
      <c r="K45" s="458">
        <f>(1000000)-1000000</f>
        <v>0</v>
      </c>
      <c r="L45" s="458"/>
      <c r="M45" s="458"/>
      <c r="N45" s="458"/>
      <c r="O45" s="455">
        <f>K45</f>
        <v>0</v>
      </c>
      <c r="P45" s="325">
        <f>E45+J45</f>
        <v>155600</v>
      </c>
      <c r="Q45" s="20"/>
    </row>
    <row r="46" spans="1:18" ht="91.5" thickTop="1" thickBot="1" x14ac:dyDescent="0.25">
      <c r="A46" s="310" t="s">
        <v>513</v>
      </c>
      <c r="B46" s="310" t="s">
        <v>514</v>
      </c>
      <c r="C46" s="310" t="s">
        <v>43</v>
      </c>
      <c r="D46" s="310" t="s">
        <v>515</v>
      </c>
      <c r="E46" s="312">
        <f t="shared" si="24"/>
        <v>122971171.14</v>
      </c>
      <c r="F46" s="312">
        <f>((((40873318.14-300000+2000000)+58713600)+5262218-400000+225000-600000)-4000000+3000000-1000000+1000000+421000+280000)+16496035+1000000</f>
        <v>122971171.14</v>
      </c>
      <c r="G46" s="135"/>
      <c r="H46" s="135"/>
      <c r="I46" s="135"/>
      <c r="J46" s="312">
        <f>L46+O46</f>
        <v>176516955.86000001</v>
      </c>
      <c r="K46" s="458">
        <f>((((26816681.86-700000)+100285900)+28871250-800000-10025000+9800000+600000+300000)+4000000-3000000+6155000+326000+280000-280000)+13887124</f>
        <v>176516955.86000001</v>
      </c>
      <c r="L46" s="312"/>
      <c r="M46" s="312"/>
      <c r="N46" s="312"/>
      <c r="O46" s="312">
        <f>K46</f>
        <v>176516955.86000001</v>
      </c>
      <c r="P46" s="312">
        <f>E46+J46</f>
        <v>299488127</v>
      </c>
      <c r="Q46" s="20"/>
      <c r="R46" s="26"/>
    </row>
    <row r="47" spans="1:18" ht="120" customHeight="1" thickTop="1" thickBot="1" x14ac:dyDescent="0.25">
      <c r="A47" s="645" t="s">
        <v>152</v>
      </c>
      <c r="B47" s="645"/>
      <c r="C47" s="645"/>
      <c r="D47" s="646" t="s">
        <v>0</v>
      </c>
      <c r="E47" s="647">
        <f>E48</f>
        <v>2175600382.1799998</v>
      </c>
      <c r="F47" s="648">
        <f t="shared" ref="F47" si="25">F48</f>
        <v>2175600382.1799998</v>
      </c>
      <c r="G47" s="648">
        <f>G48</f>
        <v>1457270053.73</v>
      </c>
      <c r="H47" s="648">
        <f>H48</f>
        <v>170353399.13</v>
      </c>
      <c r="I47" s="648">
        <f t="shared" ref="I47" si="26">I48</f>
        <v>0</v>
      </c>
      <c r="J47" s="647">
        <f>J48</f>
        <v>353967147.13999999</v>
      </c>
      <c r="K47" s="648">
        <f>K48</f>
        <v>135791746.99000001</v>
      </c>
      <c r="L47" s="648">
        <f>L48</f>
        <v>205787940.15000001</v>
      </c>
      <c r="M47" s="648">
        <f t="shared" ref="M47" si="27">M48</f>
        <v>53430813</v>
      </c>
      <c r="N47" s="648">
        <f>N48</f>
        <v>17707720</v>
      </c>
      <c r="O47" s="647">
        <f>O48</f>
        <v>148179206.99000001</v>
      </c>
      <c r="P47" s="648">
        <f t="shared" ref="P47" si="28">P48</f>
        <v>2529567529.3199997</v>
      </c>
      <c r="Q47" s="20"/>
    </row>
    <row r="48" spans="1:18" ht="120" customHeight="1" thickTop="1" thickBot="1" x14ac:dyDescent="0.25">
      <c r="A48" s="642" t="s">
        <v>153</v>
      </c>
      <c r="B48" s="642"/>
      <c r="C48" s="642"/>
      <c r="D48" s="643" t="s">
        <v>1</v>
      </c>
      <c r="E48" s="644">
        <f>E49+E92+E104+E95+E101</f>
        <v>2175600382.1799998</v>
      </c>
      <c r="F48" s="644">
        <f>F49+F92+F104+F95+F101</f>
        <v>2175600382.1799998</v>
      </c>
      <c r="G48" s="644">
        <f>G49+G92+G104+G95+G101</f>
        <v>1457270053.73</v>
      </c>
      <c r="H48" s="644">
        <f>H49+H92+H104+H95+H101</f>
        <v>170353399.13</v>
      </c>
      <c r="I48" s="644">
        <f>I49+I92+I104+I95+I101</f>
        <v>0</v>
      </c>
      <c r="J48" s="644">
        <f>L48+O48</f>
        <v>353967147.13999999</v>
      </c>
      <c r="K48" s="644">
        <f>K49+K92+K104+K95+K101</f>
        <v>135791746.99000001</v>
      </c>
      <c r="L48" s="644">
        <f>L49+L92+L104+L95+L101</f>
        <v>205787940.15000001</v>
      </c>
      <c r="M48" s="644">
        <f>M49+M92+M104+M95+M101</f>
        <v>53430813</v>
      </c>
      <c r="N48" s="644">
        <f>N49+N92+N104+N95+N101</f>
        <v>17707720</v>
      </c>
      <c r="O48" s="644">
        <f>O49+O92+O104+O95+O101</f>
        <v>148179206.99000001</v>
      </c>
      <c r="P48" s="644">
        <f>E48+J48</f>
        <v>2529567529.3199997</v>
      </c>
      <c r="Q48" s="554" t="b">
        <f>P48=P50+P52+P53+P54+P56+P57+P60+P62+P63+P65+P66+P68+P69+P70+P84+P93+P94+P98+P100+P59+P90+P91+P78+P79+P81+P82</f>
        <v>1</v>
      </c>
      <c r="R48" s="26"/>
    </row>
    <row r="49" spans="1:20" ht="47.25" thickTop="1" thickBot="1" x14ac:dyDescent="0.25">
      <c r="A49" s="308" t="s">
        <v>707</v>
      </c>
      <c r="B49" s="308" t="s">
        <v>708</v>
      </c>
      <c r="C49" s="308"/>
      <c r="D49" s="308" t="s">
        <v>709</v>
      </c>
      <c r="E49" s="325">
        <f>E50+E51+E55+E60+E61+E64+E67+E70+E71+E78+E58+E79+E74+E80+E83+E86+E89</f>
        <v>2173125782.1799998</v>
      </c>
      <c r="F49" s="325">
        <f t="shared" ref="F49:I49" si="29">F50+F51+F55+F60+F61+F64+F67+F70+F71+F78+F58+F79+F74+F80+F83+F86+F89</f>
        <v>2173125782.1799998</v>
      </c>
      <c r="G49" s="325">
        <f t="shared" si="29"/>
        <v>1457270053.73</v>
      </c>
      <c r="H49" s="325">
        <f t="shared" si="29"/>
        <v>169762799.13</v>
      </c>
      <c r="I49" s="325">
        <f t="shared" si="29"/>
        <v>0</v>
      </c>
      <c r="J49" s="325">
        <f t="shared" ref="J49:P49" si="30">J50+J51+J55+J60+J61+J64+J67+J70+J71+J78+J58+J79+J74+J80+J83+J86+J89</f>
        <v>282343129.40999997</v>
      </c>
      <c r="K49" s="325">
        <f t="shared" si="30"/>
        <v>64167729.259999998</v>
      </c>
      <c r="L49" s="325">
        <f t="shared" si="30"/>
        <v>205787940.15000001</v>
      </c>
      <c r="M49" s="325">
        <f t="shared" si="30"/>
        <v>53430813</v>
      </c>
      <c r="N49" s="325">
        <f t="shared" si="30"/>
        <v>17707720</v>
      </c>
      <c r="O49" s="325">
        <f t="shared" si="30"/>
        <v>76555189.25999999</v>
      </c>
      <c r="P49" s="325">
        <f t="shared" si="30"/>
        <v>2455468911.5900002</v>
      </c>
      <c r="Q49" s="30"/>
      <c r="R49" s="26"/>
    </row>
    <row r="50" spans="1:20" ht="48" thickTop="1" thickBot="1" x14ac:dyDescent="0.6">
      <c r="A50" s="101" t="s">
        <v>198</v>
      </c>
      <c r="B50" s="101" t="s">
        <v>199</v>
      </c>
      <c r="C50" s="101" t="s">
        <v>201</v>
      </c>
      <c r="D50" s="101" t="s">
        <v>202</v>
      </c>
      <c r="E50" s="325">
        <f>F50</f>
        <v>598708927</v>
      </c>
      <c r="F50" s="458">
        <f>((518100000+6834000+121810+46482400+5516000+34247960+1883491+20029153+1410722+1453964+1539752+121850+3930+500000+95000+100000+300000-5000000-45500000-36876000)+44459370+694434-60000+199000+190036+107781+500000)-3725+60000+39744+76095+126083+46659+30889+50000+100000+81631+29892+47038+235238+334730</f>
        <v>598708927</v>
      </c>
      <c r="G50" s="458">
        <f>(424700000-45500000)+20333842</f>
        <v>399533842</v>
      </c>
      <c r="H50" s="458">
        <f>34247960+1883491+20029153+1410722+1453964+1539752</f>
        <v>60565042</v>
      </c>
      <c r="I50" s="458"/>
      <c r="J50" s="325">
        <f t="shared" ref="J50:J73" si="31">L50+O50</f>
        <v>96361438</v>
      </c>
      <c r="K50" s="458">
        <f>((500000)+60000)+100000+14768</f>
        <v>674768</v>
      </c>
      <c r="L50" s="458">
        <f>((94139890)+89700+22385+83361-7100-626500+413055-1000-4500-500)-200270</f>
        <v>93908521</v>
      </c>
      <c r="M50" s="458">
        <f>((17927390)+89700)-257700</f>
        <v>17759390</v>
      </c>
      <c r="N50" s="458">
        <f>(4628330)+11000-6000+3000</f>
        <v>4636330</v>
      </c>
      <c r="O50" s="455">
        <f>((K50+1546780)+31099)+200270</f>
        <v>2452917</v>
      </c>
      <c r="P50" s="325">
        <f t="shared" ref="P50:P62" si="32">E50+J50</f>
        <v>695070365</v>
      </c>
      <c r="Q50" s="141"/>
      <c r="R50" s="26"/>
    </row>
    <row r="51" spans="1:20" ht="48" thickTop="1" thickBot="1" x14ac:dyDescent="0.6">
      <c r="A51" s="326" t="s">
        <v>203</v>
      </c>
      <c r="B51" s="326" t="s">
        <v>200</v>
      </c>
      <c r="C51" s="326"/>
      <c r="D51" s="326" t="s">
        <v>643</v>
      </c>
      <c r="E51" s="322">
        <f>E52+E53+E54</f>
        <v>566699955.10000002</v>
      </c>
      <c r="F51" s="322">
        <f>F52+F53+F54</f>
        <v>566699955.10000002</v>
      </c>
      <c r="G51" s="322">
        <f t="shared" ref="G51:I51" si="33">G52+G53+G54</f>
        <v>298639514.96000004</v>
      </c>
      <c r="H51" s="322">
        <f t="shared" si="33"/>
        <v>81514646</v>
      </c>
      <c r="I51" s="322">
        <f t="shared" si="33"/>
        <v>0</v>
      </c>
      <c r="J51" s="322">
        <f t="shared" ref="J51" si="34">J52+J53+J54</f>
        <v>103206669.13</v>
      </c>
      <c r="K51" s="322">
        <f t="shared" ref="K51" si="35">K52+K53+K54</f>
        <v>25412299.129999999</v>
      </c>
      <c r="L51" s="322">
        <f t="shared" ref="L51" si="36">L52+L53+L54</f>
        <v>76229122</v>
      </c>
      <c r="M51" s="322">
        <f t="shared" ref="M51" si="37">M52+M53+M54</f>
        <v>24306843</v>
      </c>
      <c r="N51" s="322">
        <f t="shared" ref="N51" si="38">N52+N53+N54</f>
        <v>1908470</v>
      </c>
      <c r="O51" s="322">
        <f t="shared" ref="O51" si="39">O52+O53+O54</f>
        <v>26977547.129999999</v>
      </c>
      <c r="P51" s="322">
        <f>E51+J51</f>
        <v>669906624.23000002</v>
      </c>
      <c r="Q51" s="141"/>
      <c r="R51" s="37"/>
    </row>
    <row r="52" spans="1:20" ht="93" thickTop="1" thickBot="1" x14ac:dyDescent="0.6">
      <c r="A52" s="101" t="s">
        <v>641</v>
      </c>
      <c r="B52" s="101" t="s">
        <v>642</v>
      </c>
      <c r="C52" s="101" t="s">
        <v>204</v>
      </c>
      <c r="D52" s="101" t="s">
        <v>1275</v>
      </c>
      <c r="E52" s="325">
        <f t="shared" ref="E52:E62" si="40">F52</f>
        <v>513809913.10000002</v>
      </c>
      <c r="F52" s="458">
        <f>(((291024550+15000600+229878+80712500+7004000+45443420+1405040+21980904+4836961+2727144+242950+6050+666880+10740+500000+90000+200000+500000-5000000+100000000-36500000-29674000)+45137822.62+6050+1224752-95530-50000+5596)+835955.14+133640+257600+353974+405200+600000+150000+120000+150000-11725+1000000)-39440527.66+28196+289630+108000-14319+391210+6400+252942+100000+130000+38016+28312+150000+82720+24382+4000</f>
        <v>513809913.10000002</v>
      </c>
      <c r="G52" s="458">
        <f>((238511902+82000000-36500000)+23163291.62)-39440527.66</f>
        <v>267734665.96000001</v>
      </c>
      <c r="H52" s="458">
        <f>45443420+1405040+21980904+4836961+2727144</f>
        <v>76393469</v>
      </c>
      <c r="I52" s="458"/>
      <c r="J52" s="325">
        <f t="shared" si="31"/>
        <v>102184519.13</v>
      </c>
      <c r="K52" s="458">
        <f>(((500000+500000+500000+483297.98+449851.94+260000+1158336+669262+663111+879754+412299+5700000+1750000+3800000)+873801.16-100000-500000-483297.98+1249446.24+95530+50000)+236960-353974+1000000+1371885.29+900000+11725+400000+69420+1500000)+14319-141525.5-500000+108790+594900+300000+78800+7840+51768</f>
        <v>24562299.129999999</v>
      </c>
      <c r="L52" s="458">
        <f>((76269610)+42800+11040-238120-4000-200000+354442+5000+2198+25240)-211238</f>
        <v>76056972</v>
      </c>
      <c r="M52" s="458">
        <f>((24386640)+42800)-122597</f>
        <v>24306843</v>
      </c>
      <c r="N52" s="458">
        <f>(1771070)+48500-6000+14350</f>
        <v>1827920</v>
      </c>
      <c r="O52" s="455">
        <f>((K52+1352610)+7400-6000)+211238</f>
        <v>26127547.129999999</v>
      </c>
      <c r="P52" s="325">
        <f t="shared" si="32"/>
        <v>615994432.23000002</v>
      </c>
      <c r="Q52" s="141"/>
      <c r="R52" s="26"/>
      <c r="T52" s="38"/>
    </row>
    <row r="53" spans="1:20" ht="138.75" thickTop="1" thickBot="1" x14ac:dyDescent="0.25">
      <c r="A53" s="101" t="s">
        <v>650</v>
      </c>
      <c r="B53" s="101" t="s">
        <v>651</v>
      </c>
      <c r="C53" s="101" t="s">
        <v>207</v>
      </c>
      <c r="D53" s="101" t="s">
        <v>1276</v>
      </c>
      <c r="E53" s="325">
        <f t="shared" si="40"/>
        <v>32241551</v>
      </c>
      <c r="F53" s="458">
        <f>((28544020+292110+8100+1142200+237500+2100+1338370+19817+268500+10435+41600+5920+200000+10000+10660)+103949)+5370+900</f>
        <v>32241551</v>
      </c>
      <c r="G53" s="458">
        <v>23779110</v>
      </c>
      <c r="H53" s="458">
        <f>1338370+19817+268500+10435</f>
        <v>1637122</v>
      </c>
      <c r="I53" s="458"/>
      <c r="J53" s="325">
        <f t="shared" si="31"/>
        <v>272150</v>
      </c>
      <c r="K53" s="458">
        <f>(0)+100000</f>
        <v>100000</v>
      </c>
      <c r="L53" s="458">
        <v>172150</v>
      </c>
      <c r="M53" s="458"/>
      <c r="N53" s="458">
        <v>80550</v>
      </c>
      <c r="O53" s="455">
        <f>K53</f>
        <v>100000</v>
      </c>
      <c r="P53" s="325">
        <f t="shared" si="32"/>
        <v>32513701</v>
      </c>
      <c r="Q53" s="20"/>
      <c r="R53" s="27"/>
    </row>
    <row r="54" spans="1:20" ht="93" thickTop="1" thickBot="1" x14ac:dyDescent="0.25">
      <c r="A54" s="101" t="s">
        <v>997</v>
      </c>
      <c r="B54" s="101" t="s">
        <v>998</v>
      </c>
      <c r="C54" s="101" t="s">
        <v>207</v>
      </c>
      <c r="D54" s="101" t="s">
        <v>1277</v>
      </c>
      <c r="E54" s="325">
        <f t="shared" ref="E54" si="41">F54</f>
        <v>20648491</v>
      </c>
      <c r="F54" s="458">
        <f>((8569752+424160+12728+6393800+359900+300000+2400640+93745+970870+18800+9450+2960+200000+5000+35000)+751686)+50000+50000</f>
        <v>20648491</v>
      </c>
      <c r="G54" s="458">
        <v>7125739</v>
      </c>
      <c r="H54" s="458">
        <f>2400640+93745+970870+18800</f>
        <v>3484055</v>
      </c>
      <c r="I54" s="458"/>
      <c r="J54" s="325">
        <f t="shared" ref="J54" si="42">L54+O54</f>
        <v>750000</v>
      </c>
      <c r="K54" s="458">
        <f>300000+250000+200000</f>
        <v>750000</v>
      </c>
      <c r="L54" s="458"/>
      <c r="M54" s="458"/>
      <c r="N54" s="458"/>
      <c r="O54" s="455">
        <f>K54</f>
        <v>750000</v>
      </c>
      <c r="P54" s="325">
        <f t="shared" ref="P54" si="43">E54+J54</f>
        <v>21398491</v>
      </c>
      <c r="Q54" s="20"/>
      <c r="R54" s="27"/>
    </row>
    <row r="55" spans="1:20" ht="48" thickTop="1" thickBot="1" x14ac:dyDescent="0.25">
      <c r="A55" s="326" t="s">
        <v>498</v>
      </c>
      <c r="B55" s="326" t="s">
        <v>205</v>
      </c>
      <c r="C55" s="326"/>
      <c r="D55" s="326" t="s">
        <v>658</v>
      </c>
      <c r="E55" s="322">
        <f>SUM(E56:E57)</f>
        <v>734225903</v>
      </c>
      <c r="F55" s="322">
        <f>SUM(F56:F57)</f>
        <v>734225903</v>
      </c>
      <c r="G55" s="322">
        <f>SUM(G56:G57)</f>
        <v>596742650</v>
      </c>
      <c r="H55" s="322">
        <f>SUM(H56:H57)</f>
        <v>0</v>
      </c>
      <c r="I55" s="322">
        <f>SUM(I56:I57)</f>
        <v>0</v>
      </c>
      <c r="J55" s="322">
        <f t="shared" ref="J55:P55" si="44">SUM(J56:J57)</f>
        <v>0</v>
      </c>
      <c r="K55" s="322">
        <f t="shared" si="44"/>
        <v>0</v>
      </c>
      <c r="L55" s="322">
        <f t="shared" si="44"/>
        <v>0</v>
      </c>
      <c r="M55" s="322">
        <f t="shared" si="44"/>
        <v>0</v>
      </c>
      <c r="N55" s="322">
        <f t="shared" si="44"/>
        <v>0</v>
      </c>
      <c r="O55" s="322">
        <f t="shared" si="44"/>
        <v>0</v>
      </c>
      <c r="P55" s="322">
        <f t="shared" si="44"/>
        <v>734225903</v>
      </c>
      <c r="Q55" s="20"/>
      <c r="R55" s="35"/>
    </row>
    <row r="56" spans="1:20" ht="93" thickTop="1" thickBot="1" x14ac:dyDescent="0.25">
      <c r="A56" s="101" t="s">
        <v>659</v>
      </c>
      <c r="B56" s="101" t="s">
        <v>660</v>
      </c>
      <c r="C56" s="101" t="s">
        <v>204</v>
      </c>
      <c r="D56" s="101" t="s">
        <v>1278</v>
      </c>
      <c r="E56" s="325">
        <f t="shared" ref="E56:E57" si="45">F56</f>
        <v>723235253</v>
      </c>
      <c r="F56" s="458">
        <v>723235253</v>
      </c>
      <c r="G56" s="458">
        <v>587733920</v>
      </c>
      <c r="H56" s="458"/>
      <c r="I56" s="458"/>
      <c r="J56" s="325">
        <f t="shared" ref="J56:J57" si="46">L56+O56</f>
        <v>0</v>
      </c>
      <c r="K56" s="458"/>
      <c r="L56" s="458"/>
      <c r="M56" s="458"/>
      <c r="N56" s="458"/>
      <c r="O56" s="455">
        <f>K56</f>
        <v>0</v>
      </c>
      <c r="P56" s="325">
        <f t="shared" ref="P56:P59" si="47">E56+J56</f>
        <v>723235253</v>
      </c>
      <c r="Q56" s="20"/>
      <c r="R56" s="30"/>
    </row>
    <row r="57" spans="1:20" ht="93" thickTop="1" thickBot="1" x14ac:dyDescent="0.25">
      <c r="A57" s="101" t="s">
        <v>1130</v>
      </c>
      <c r="B57" s="340" t="s">
        <v>1131</v>
      </c>
      <c r="C57" s="101" t="s">
        <v>207</v>
      </c>
      <c r="D57" s="101" t="s">
        <v>1279</v>
      </c>
      <c r="E57" s="325">
        <f t="shared" si="45"/>
        <v>10990650</v>
      </c>
      <c r="F57" s="543">
        <f>10990650</f>
        <v>10990650</v>
      </c>
      <c r="G57" s="543">
        <v>9008730</v>
      </c>
      <c r="H57" s="543"/>
      <c r="I57" s="543"/>
      <c r="J57" s="325">
        <f t="shared" si="46"/>
        <v>0</v>
      </c>
      <c r="K57" s="543"/>
      <c r="L57" s="543"/>
      <c r="M57" s="543"/>
      <c r="N57" s="543"/>
      <c r="O57" s="544"/>
      <c r="P57" s="325">
        <f t="shared" si="47"/>
        <v>10990650</v>
      </c>
      <c r="Q57" s="20"/>
      <c r="R57" s="30"/>
    </row>
    <row r="58" spans="1:20" ht="276" thickTop="1" thickBot="1" x14ac:dyDescent="0.25">
      <c r="A58" s="555" t="s">
        <v>930</v>
      </c>
      <c r="B58" s="555" t="s">
        <v>50</v>
      </c>
      <c r="C58" s="555"/>
      <c r="D58" s="640" t="s">
        <v>1558</v>
      </c>
      <c r="E58" s="641">
        <f t="shared" ref="E58:O58" si="48">E59</f>
        <v>128512.77</v>
      </c>
      <c r="F58" s="641">
        <f t="shared" si="48"/>
        <v>128512.77</v>
      </c>
      <c r="G58" s="641">
        <f t="shared" si="48"/>
        <v>105342.77</v>
      </c>
      <c r="H58" s="641">
        <f t="shared" si="48"/>
        <v>0</v>
      </c>
      <c r="I58" s="641">
        <f t="shared" si="48"/>
        <v>0</v>
      </c>
      <c r="J58" s="641">
        <f t="shared" si="48"/>
        <v>0</v>
      </c>
      <c r="K58" s="641">
        <f t="shared" si="48"/>
        <v>0</v>
      </c>
      <c r="L58" s="641">
        <f t="shared" si="48"/>
        <v>0</v>
      </c>
      <c r="M58" s="641">
        <f t="shared" si="48"/>
        <v>0</v>
      </c>
      <c r="N58" s="641">
        <f t="shared" si="48"/>
        <v>0</v>
      </c>
      <c r="O58" s="641">
        <f t="shared" si="48"/>
        <v>0</v>
      </c>
      <c r="P58" s="641">
        <f>E58+J58</f>
        <v>128512.77</v>
      </c>
      <c r="Q58" s="20"/>
      <c r="R58" s="30"/>
    </row>
    <row r="59" spans="1:20" ht="310.5" customHeight="1" thickTop="1" thickBot="1" x14ac:dyDescent="0.25">
      <c r="A59" s="101" t="s">
        <v>931</v>
      </c>
      <c r="B59" s="101" t="s">
        <v>932</v>
      </c>
      <c r="C59" s="101" t="s">
        <v>204</v>
      </c>
      <c r="D59" s="101" t="s">
        <v>1559</v>
      </c>
      <c r="E59" s="325">
        <f t="shared" ref="E59" si="49">F59</f>
        <v>128512.77</v>
      </c>
      <c r="F59" s="458">
        <v>128512.77</v>
      </c>
      <c r="G59" s="458">
        <v>105342.77</v>
      </c>
      <c r="H59" s="458"/>
      <c r="I59" s="458"/>
      <c r="J59" s="325">
        <f t="shared" ref="J59" si="50">L59+O59</f>
        <v>0</v>
      </c>
      <c r="K59" s="458"/>
      <c r="L59" s="458"/>
      <c r="M59" s="458"/>
      <c r="N59" s="458"/>
      <c r="O59" s="455">
        <f>K59</f>
        <v>0</v>
      </c>
      <c r="P59" s="325">
        <f t="shared" si="47"/>
        <v>128512.77</v>
      </c>
      <c r="Q59" s="20"/>
      <c r="R59" s="26"/>
    </row>
    <row r="60" spans="1:20" ht="93" thickTop="1" thickBot="1" x14ac:dyDescent="0.25">
      <c r="A60" s="101" t="s">
        <v>661</v>
      </c>
      <c r="B60" s="101" t="s">
        <v>206</v>
      </c>
      <c r="C60" s="101" t="s">
        <v>181</v>
      </c>
      <c r="D60" s="101" t="s">
        <v>499</v>
      </c>
      <c r="E60" s="325">
        <f t="shared" si="40"/>
        <v>38868684</v>
      </c>
      <c r="F60" s="458">
        <f>(33713454+543690+17600+529000+174450+2166040+44713+824782+82818+13383+5450+213660+320+50000)+487838+1486</f>
        <v>38868684</v>
      </c>
      <c r="G60" s="458">
        <v>27858536</v>
      </c>
      <c r="H60" s="458">
        <f>2166040+44713+824782+82818+13383</f>
        <v>3131736</v>
      </c>
      <c r="I60" s="458"/>
      <c r="J60" s="325">
        <f t="shared" si="31"/>
        <v>2179494</v>
      </c>
      <c r="K60" s="458">
        <f>((0)+1000000+75834)</f>
        <v>1075834</v>
      </c>
      <c r="L60" s="458">
        <v>745660</v>
      </c>
      <c r="M60" s="458">
        <v>38710</v>
      </c>
      <c r="N60" s="458">
        <v>117220</v>
      </c>
      <c r="O60" s="455">
        <f>(K60+358000)</f>
        <v>1433834</v>
      </c>
      <c r="P60" s="325">
        <f t="shared" si="32"/>
        <v>41048178</v>
      </c>
      <c r="Q60" s="20"/>
      <c r="R60" s="26"/>
    </row>
    <row r="61" spans="1:20" ht="93" thickTop="1" thickBot="1" x14ac:dyDescent="0.25">
      <c r="A61" s="326" t="s">
        <v>208</v>
      </c>
      <c r="B61" s="326" t="s">
        <v>191</v>
      </c>
      <c r="C61" s="326"/>
      <c r="D61" s="326" t="s">
        <v>500</v>
      </c>
      <c r="E61" s="322">
        <f>E62+E63</f>
        <v>191701110.45999998</v>
      </c>
      <c r="F61" s="322">
        <f t="shared" ref="F61:O61" si="51">F62+F63</f>
        <v>191701110.45999998</v>
      </c>
      <c r="G61" s="322">
        <f t="shared" si="51"/>
        <v>104778899</v>
      </c>
      <c r="H61" s="322">
        <f t="shared" si="51"/>
        <v>22319441.130000006</v>
      </c>
      <c r="I61" s="322">
        <f t="shared" si="51"/>
        <v>0</v>
      </c>
      <c r="J61" s="322">
        <f t="shared" si="51"/>
        <v>36620878</v>
      </c>
      <c r="K61" s="322">
        <f t="shared" si="51"/>
        <v>1582818</v>
      </c>
      <c r="L61" s="322">
        <f t="shared" si="51"/>
        <v>34688060</v>
      </c>
      <c r="M61" s="322">
        <f t="shared" si="51"/>
        <v>11325870</v>
      </c>
      <c r="N61" s="322">
        <f t="shared" si="51"/>
        <v>11045700</v>
      </c>
      <c r="O61" s="322">
        <f t="shared" si="51"/>
        <v>1932818</v>
      </c>
      <c r="P61" s="322">
        <f t="shared" si="32"/>
        <v>228321988.45999998</v>
      </c>
      <c r="Q61" s="20"/>
      <c r="R61" s="35"/>
    </row>
    <row r="62" spans="1:20" ht="93" thickTop="1" thickBot="1" x14ac:dyDescent="0.25">
      <c r="A62" s="101" t="s">
        <v>662</v>
      </c>
      <c r="B62" s="101" t="s">
        <v>663</v>
      </c>
      <c r="C62" s="101" t="s">
        <v>209</v>
      </c>
      <c r="D62" s="101" t="s">
        <v>664</v>
      </c>
      <c r="E62" s="325">
        <f t="shared" si="40"/>
        <v>165970710.45999998</v>
      </c>
      <c r="F62" s="458">
        <f>((166319425.51)+60257.19+27737.76)+107923+26316-729671.33+158722.33</f>
        <v>165970710.45999998</v>
      </c>
      <c r="G62" s="458">
        <v>83514099</v>
      </c>
      <c r="H62" s="458">
        <f>((22961117.51)+60257.19+27737.76)-729671.33</f>
        <v>22319441.130000006</v>
      </c>
      <c r="I62" s="458"/>
      <c r="J62" s="325">
        <f>L62+O62</f>
        <v>36620878</v>
      </c>
      <c r="K62" s="458">
        <f>(300000)+320808+570949+391061</f>
        <v>1582818</v>
      </c>
      <c r="L62" s="458">
        <f>(34808060)-266000-58520+200000+22600-5000-13080-5000-2000+15000-8000</f>
        <v>34688060</v>
      </c>
      <c r="M62" s="458">
        <f>(11591870)-266000</f>
        <v>11325870</v>
      </c>
      <c r="N62" s="458">
        <f>(10739700)+120000+60000+120000+6000</f>
        <v>11045700</v>
      </c>
      <c r="O62" s="455">
        <f>(K62+230000)+120000</f>
        <v>1932818</v>
      </c>
      <c r="P62" s="325">
        <f t="shared" si="32"/>
        <v>202591588.45999998</v>
      </c>
      <c r="Q62" s="20"/>
      <c r="R62" s="26"/>
    </row>
    <row r="63" spans="1:20" ht="93" thickTop="1" thickBot="1" x14ac:dyDescent="0.25">
      <c r="A63" s="101" t="s">
        <v>666</v>
      </c>
      <c r="B63" s="101" t="s">
        <v>665</v>
      </c>
      <c r="C63" s="101" t="s">
        <v>209</v>
      </c>
      <c r="D63" s="101" t="s">
        <v>667</v>
      </c>
      <c r="E63" s="325">
        <f t="shared" ref="E63" si="52">F63</f>
        <v>25730400</v>
      </c>
      <c r="F63" s="458">
        <f>25730400</f>
        <v>25730400</v>
      </c>
      <c r="G63" s="458">
        <v>21264800</v>
      </c>
      <c r="H63" s="458"/>
      <c r="I63" s="458"/>
      <c r="J63" s="325">
        <f>L63+O63</f>
        <v>0</v>
      </c>
      <c r="K63" s="458"/>
      <c r="L63" s="458"/>
      <c r="M63" s="458"/>
      <c r="N63" s="458"/>
      <c r="O63" s="455"/>
      <c r="P63" s="325">
        <f t="shared" ref="P63" si="53">E63+J63</f>
        <v>25730400</v>
      </c>
      <c r="Q63" s="20"/>
      <c r="R63" s="30"/>
    </row>
    <row r="64" spans="1:20" ht="48" thickTop="1" thickBot="1" x14ac:dyDescent="0.25">
      <c r="A64" s="326" t="s">
        <v>669</v>
      </c>
      <c r="B64" s="326" t="s">
        <v>668</v>
      </c>
      <c r="C64" s="326"/>
      <c r="D64" s="326" t="s">
        <v>670</v>
      </c>
      <c r="E64" s="322">
        <f>E65+E66</f>
        <v>28310424</v>
      </c>
      <c r="F64" s="322">
        <f t="shared" ref="F64:O64" si="54">F65+F66</f>
        <v>28310424</v>
      </c>
      <c r="G64" s="322">
        <f t="shared" si="54"/>
        <v>18564976</v>
      </c>
      <c r="H64" s="322">
        <f t="shared" si="54"/>
        <v>1790626</v>
      </c>
      <c r="I64" s="322">
        <f t="shared" si="54"/>
        <v>0</v>
      </c>
      <c r="J64" s="322">
        <f t="shared" si="54"/>
        <v>778596.13000000012</v>
      </c>
      <c r="K64" s="322">
        <f t="shared" si="54"/>
        <v>566756.13000000012</v>
      </c>
      <c r="L64" s="322">
        <f t="shared" si="54"/>
        <v>211840</v>
      </c>
      <c r="M64" s="322">
        <f t="shared" si="54"/>
        <v>0</v>
      </c>
      <c r="N64" s="322">
        <f t="shared" si="54"/>
        <v>0</v>
      </c>
      <c r="O64" s="322">
        <f t="shared" si="54"/>
        <v>566756.13000000012</v>
      </c>
      <c r="P64" s="322">
        <f>E64+J64</f>
        <v>29089020.129999999</v>
      </c>
      <c r="Q64" s="20"/>
      <c r="R64" s="35"/>
    </row>
    <row r="65" spans="1:18" ht="48" thickTop="1" thickBot="1" x14ac:dyDescent="0.25">
      <c r="A65" s="101" t="s">
        <v>671</v>
      </c>
      <c r="B65" s="101" t="s">
        <v>672</v>
      </c>
      <c r="C65" s="101" t="s">
        <v>210</v>
      </c>
      <c r="D65" s="101" t="s">
        <v>501</v>
      </c>
      <c r="E65" s="325">
        <f>F65</f>
        <v>27658124</v>
      </c>
      <c r="F65" s="458">
        <f>(((19846132+754290+2035+1354150+1028432+15761+726715+19718+1550+100000)+2560000+98632+1042739)+55800)+18600+33570</f>
        <v>27658124</v>
      </c>
      <c r="G65" s="458">
        <f>(16464976)+2100000</f>
        <v>18564976</v>
      </c>
      <c r="H65" s="458">
        <f>1028432+15761+726715+19718</f>
        <v>1790626</v>
      </c>
      <c r="I65" s="458"/>
      <c r="J65" s="325">
        <f>L65+O65</f>
        <v>778596.13000000012</v>
      </c>
      <c r="K65" s="458">
        <f>((300000)+1133704.59-993704.59)+126756.13</f>
        <v>566756.13000000012</v>
      </c>
      <c r="L65" s="458">
        <v>211840</v>
      </c>
      <c r="M65" s="458"/>
      <c r="N65" s="458"/>
      <c r="O65" s="455">
        <f>K65</f>
        <v>566756.13000000012</v>
      </c>
      <c r="P65" s="325">
        <f>E65+J65</f>
        <v>28436720.129999999</v>
      </c>
      <c r="Q65" s="20"/>
      <c r="R65" s="30"/>
    </row>
    <row r="66" spans="1:18" ht="48" thickTop="1" thickBot="1" x14ac:dyDescent="0.25">
      <c r="A66" s="101" t="s">
        <v>673</v>
      </c>
      <c r="B66" s="101" t="s">
        <v>674</v>
      </c>
      <c r="C66" s="101" t="s">
        <v>210</v>
      </c>
      <c r="D66" s="101" t="s">
        <v>337</v>
      </c>
      <c r="E66" s="325">
        <f>F66</f>
        <v>652300</v>
      </c>
      <c r="F66" s="458">
        <f>(534300)+118000</f>
        <v>652300</v>
      </c>
      <c r="G66" s="458"/>
      <c r="H66" s="458"/>
      <c r="I66" s="458"/>
      <c r="J66" s="325">
        <f>L66+O66</f>
        <v>0</v>
      </c>
      <c r="K66" s="458"/>
      <c r="L66" s="458"/>
      <c r="M66" s="458"/>
      <c r="N66" s="458"/>
      <c r="O66" s="455">
        <f>K66</f>
        <v>0</v>
      </c>
      <c r="P66" s="325">
        <f>E66+J66</f>
        <v>652300</v>
      </c>
      <c r="Q66" s="20"/>
      <c r="R66" s="30"/>
    </row>
    <row r="67" spans="1:18" ht="48" thickTop="1" thickBot="1" x14ac:dyDescent="0.25">
      <c r="A67" s="326" t="s">
        <v>675</v>
      </c>
      <c r="B67" s="326" t="s">
        <v>676</v>
      </c>
      <c r="C67" s="326"/>
      <c r="D67" s="326" t="s">
        <v>429</v>
      </c>
      <c r="E67" s="322">
        <f>E68+E69</f>
        <v>6257423</v>
      </c>
      <c r="F67" s="322">
        <f>F68+F69</f>
        <v>6257423</v>
      </c>
      <c r="G67" s="322">
        <f t="shared" ref="G67:O67" si="55">G68+G69</f>
        <v>4611970</v>
      </c>
      <c r="H67" s="322">
        <f t="shared" si="55"/>
        <v>372942</v>
      </c>
      <c r="I67" s="322">
        <f t="shared" si="55"/>
        <v>0</v>
      </c>
      <c r="J67" s="322">
        <f t="shared" si="55"/>
        <v>0</v>
      </c>
      <c r="K67" s="322">
        <f t="shared" si="55"/>
        <v>0</v>
      </c>
      <c r="L67" s="322">
        <f t="shared" si="55"/>
        <v>0</v>
      </c>
      <c r="M67" s="322">
        <f t="shared" si="55"/>
        <v>0</v>
      </c>
      <c r="N67" s="322">
        <f t="shared" si="55"/>
        <v>0</v>
      </c>
      <c r="O67" s="322">
        <f t="shared" si="55"/>
        <v>0</v>
      </c>
      <c r="P67" s="322">
        <f>E67+J67</f>
        <v>6257423</v>
      </c>
      <c r="Q67" s="20"/>
      <c r="R67" s="35"/>
    </row>
    <row r="68" spans="1:18" ht="93" thickTop="1" thickBot="1" x14ac:dyDescent="0.25">
      <c r="A68" s="101" t="s">
        <v>677</v>
      </c>
      <c r="B68" s="101" t="s">
        <v>678</v>
      </c>
      <c r="C68" s="101" t="s">
        <v>210</v>
      </c>
      <c r="D68" s="101" t="s">
        <v>679</v>
      </c>
      <c r="E68" s="325">
        <f>F68</f>
        <v>1330123</v>
      </c>
      <c r="F68" s="458">
        <f>(694997+184000+3254+67900+5480+126800+3835+24307+2000+1550)+216000</f>
        <v>1330123</v>
      </c>
      <c r="G68" s="458">
        <v>573200</v>
      </c>
      <c r="H68" s="458">
        <f>(126800+3835+24307+2000)+216000</f>
        <v>372942</v>
      </c>
      <c r="I68" s="458"/>
      <c r="J68" s="325">
        <f>L68+O68</f>
        <v>0</v>
      </c>
      <c r="K68" s="458"/>
      <c r="L68" s="458"/>
      <c r="M68" s="458"/>
      <c r="N68" s="458"/>
      <c r="O68" s="455">
        <f>K68</f>
        <v>0</v>
      </c>
      <c r="P68" s="325">
        <f>E68+J68</f>
        <v>1330123</v>
      </c>
      <c r="Q68" s="20"/>
      <c r="R68" s="26"/>
    </row>
    <row r="69" spans="1:18" ht="93" thickTop="1" thickBot="1" x14ac:dyDescent="0.25">
      <c r="A69" s="101" t="s">
        <v>680</v>
      </c>
      <c r="B69" s="101" t="s">
        <v>681</v>
      </c>
      <c r="C69" s="101" t="s">
        <v>210</v>
      </c>
      <c r="D69" s="101" t="s">
        <v>682</v>
      </c>
      <c r="E69" s="325">
        <f>F69</f>
        <v>4927300</v>
      </c>
      <c r="F69" s="458">
        <f>4927300</f>
        <v>4927300</v>
      </c>
      <c r="G69" s="458">
        <v>4038770</v>
      </c>
      <c r="H69" s="458"/>
      <c r="I69" s="458"/>
      <c r="J69" s="325">
        <f t="shared" ref="J69" si="56">L69+O69</f>
        <v>0</v>
      </c>
      <c r="K69" s="458"/>
      <c r="L69" s="458"/>
      <c r="M69" s="458"/>
      <c r="N69" s="458"/>
      <c r="O69" s="455">
        <f t="shared" ref="O69" si="57">K69</f>
        <v>0</v>
      </c>
      <c r="P69" s="325">
        <f t="shared" ref="P69" si="58">E69+J69</f>
        <v>4927300</v>
      </c>
      <c r="Q69" s="20"/>
      <c r="R69" s="30"/>
    </row>
    <row r="70" spans="1:18" ht="93" thickTop="1" thickBot="1" x14ac:dyDescent="0.25">
      <c r="A70" s="101" t="s">
        <v>647</v>
      </c>
      <c r="B70" s="101" t="s">
        <v>648</v>
      </c>
      <c r="C70" s="101" t="s">
        <v>210</v>
      </c>
      <c r="D70" s="101" t="s">
        <v>649</v>
      </c>
      <c r="E70" s="325">
        <f t="shared" ref="E70" si="59">F70</f>
        <v>4021213</v>
      </c>
      <c r="F70" s="458">
        <f>3648277+246000+47200+10970+37890+5200+24476+800+400</f>
        <v>4021213</v>
      </c>
      <c r="G70" s="458">
        <v>2990391</v>
      </c>
      <c r="H70" s="458">
        <f>37890+5200+24476+800</f>
        <v>68366</v>
      </c>
      <c r="I70" s="458"/>
      <c r="J70" s="325">
        <f t="shared" ref="J70" si="60">L70+O70</f>
        <v>0</v>
      </c>
      <c r="K70" s="458"/>
      <c r="L70" s="458"/>
      <c r="M70" s="458"/>
      <c r="N70" s="458"/>
      <c r="O70" s="455">
        <f t="shared" ref="O70" si="61">K70</f>
        <v>0</v>
      </c>
      <c r="P70" s="325">
        <f t="shared" ref="P70" si="62">E70+J70</f>
        <v>4021213</v>
      </c>
      <c r="Q70" s="20"/>
      <c r="R70" s="26"/>
    </row>
    <row r="71" spans="1:18" s="33" customFormat="1" ht="93" hidden="1" thickTop="1" thickBot="1" x14ac:dyDescent="0.25">
      <c r="A71" s="142" t="s">
        <v>652</v>
      </c>
      <c r="B71" s="142" t="s">
        <v>653</v>
      </c>
      <c r="C71" s="142"/>
      <c r="D71" s="142" t="s">
        <v>654</v>
      </c>
      <c r="E71" s="143">
        <f t="shared" ref="E71:E94" si="63">F71</f>
        <v>0</v>
      </c>
      <c r="F71" s="143">
        <f>SUM(F72:F73)</f>
        <v>0</v>
      </c>
      <c r="G71" s="143">
        <f t="shared" ref="G71:I71" si="64">SUM(G72:G73)</f>
        <v>0</v>
      </c>
      <c r="H71" s="143">
        <f t="shared" si="64"/>
        <v>0</v>
      </c>
      <c r="I71" s="143">
        <f t="shared" si="64"/>
        <v>0</v>
      </c>
      <c r="J71" s="143">
        <f t="shared" si="31"/>
        <v>0</v>
      </c>
      <c r="K71" s="139">
        <f>SUM(K72:K73)</f>
        <v>0</v>
      </c>
      <c r="L71" s="143">
        <f t="shared" ref="L71:N71" si="65">SUM(L72:L73)</f>
        <v>0</v>
      </c>
      <c r="M71" s="143">
        <f t="shared" si="65"/>
        <v>0</v>
      </c>
      <c r="N71" s="143">
        <f t="shared" si="65"/>
        <v>0</v>
      </c>
      <c r="O71" s="143">
        <f>SUM(O72:O73)</f>
        <v>0</v>
      </c>
      <c r="P71" s="143">
        <f t="shared" ref="P71:P76" si="66">E71+J71</f>
        <v>0</v>
      </c>
      <c r="Q71" s="36"/>
      <c r="R71" s="37"/>
    </row>
    <row r="72" spans="1:18" s="33" customFormat="1" ht="138.75" hidden="1" thickTop="1" thickBot="1" x14ac:dyDescent="0.25">
      <c r="A72" s="41" t="s">
        <v>655</v>
      </c>
      <c r="B72" s="41" t="s">
        <v>656</v>
      </c>
      <c r="C72" s="41" t="s">
        <v>210</v>
      </c>
      <c r="D72" s="41" t="s">
        <v>657</v>
      </c>
      <c r="E72" s="42">
        <f t="shared" si="63"/>
        <v>0</v>
      </c>
      <c r="F72" s="43"/>
      <c r="G72" s="43"/>
      <c r="H72" s="43"/>
      <c r="I72" s="43"/>
      <c r="J72" s="42">
        <f t="shared" si="31"/>
        <v>0</v>
      </c>
      <c r="K72" s="132"/>
      <c r="L72" s="43"/>
      <c r="M72" s="43"/>
      <c r="N72" s="43"/>
      <c r="O72" s="44">
        <f t="shared" ref="O72:O73" si="67">K72</f>
        <v>0</v>
      </c>
      <c r="P72" s="42">
        <f t="shared" si="66"/>
        <v>0</v>
      </c>
      <c r="Q72" s="36"/>
      <c r="R72" s="26"/>
    </row>
    <row r="73" spans="1:18" s="33" customFormat="1" ht="138.75" hidden="1" thickTop="1" thickBot="1" x14ac:dyDescent="0.25">
      <c r="A73" s="41" t="s">
        <v>980</v>
      </c>
      <c r="B73" s="41" t="s">
        <v>981</v>
      </c>
      <c r="C73" s="41" t="s">
        <v>210</v>
      </c>
      <c r="D73" s="41" t="s">
        <v>982</v>
      </c>
      <c r="E73" s="42">
        <f t="shared" si="63"/>
        <v>0</v>
      </c>
      <c r="F73" s="43"/>
      <c r="G73" s="43"/>
      <c r="H73" s="43"/>
      <c r="I73" s="43"/>
      <c r="J73" s="42">
        <f t="shared" si="31"/>
        <v>0</v>
      </c>
      <c r="K73" s="132"/>
      <c r="L73" s="43"/>
      <c r="M73" s="43"/>
      <c r="N73" s="43"/>
      <c r="O73" s="44">
        <f t="shared" si="67"/>
        <v>0</v>
      </c>
      <c r="P73" s="42">
        <f t="shared" si="66"/>
        <v>0</v>
      </c>
      <c r="Q73" s="36"/>
      <c r="R73" s="26"/>
    </row>
    <row r="74" spans="1:18" s="33" customFormat="1" ht="184.5" hidden="1" thickTop="1" thickBot="1" x14ac:dyDescent="0.25">
      <c r="A74" s="142" t="s">
        <v>999</v>
      </c>
      <c r="B74" s="142" t="s">
        <v>1001</v>
      </c>
      <c r="C74" s="142"/>
      <c r="D74" s="142" t="s">
        <v>1003</v>
      </c>
      <c r="E74" s="143">
        <f>E75+E76</f>
        <v>0</v>
      </c>
      <c r="F74" s="143">
        <f>F75+F76</f>
        <v>0</v>
      </c>
      <c r="G74" s="143">
        <f t="shared" ref="G74:I74" si="68">G75+G76</f>
        <v>0</v>
      </c>
      <c r="H74" s="143">
        <f t="shared" si="68"/>
        <v>0</v>
      </c>
      <c r="I74" s="143">
        <f t="shared" si="68"/>
        <v>0</v>
      </c>
      <c r="J74" s="143">
        <f>L74+O74</f>
        <v>0</v>
      </c>
      <c r="K74" s="139">
        <f t="shared" ref="K74:O74" si="69">K75+K76</f>
        <v>0</v>
      </c>
      <c r="L74" s="143">
        <f t="shared" si="69"/>
        <v>0</v>
      </c>
      <c r="M74" s="143">
        <f t="shared" si="69"/>
        <v>0</v>
      </c>
      <c r="N74" s="143">
        <f t="shared" si="69"/>
        <v>0</v>
      </c>
      <c r="O74" s="143">
        <f t="shared" si="69"/>
        <v>0</v>
      </c>
      <c r="P74" s="143">
        <f t="shared" si="66"/>
        <v>0</v>
      </c>
      <c r="Q74" s="36"/>
      <c r="R74" s="26"/>
    </row>
    <row r="75" spans="1:18" s="33" customFormat="1" ht="230.25" hidden="1" thickTop="1" thickBot="1" x14ac:dyDescent="0.25">
      <c r="A75" s="41" t="s">
        <v>1000</v>
      </c>
      <c r="B75" s="41" t="s">
        <v>1002</v>
      </c>
      <c r="C75" s="41" t="s">
        <v>210</v>
      </c>
      <c r="D75" s="41" t="s">
        <v>1004</v>
      </c>
      <c r="E75" s="42">
        <f t="shared" ref="E75" si="70">F75</f>
        <v>0</v>
      </c>
      <c r="F75" s="43"/>
      <c r="G75" s="43"/>
      <c r="H75" s="43"/>
      <c r="I75" s="43"/>
      <c r="J75" s="42">
        <f t="shared" ref="J75" si="71">L75+O75</f>
        <v>0</v>
      </c>
      <c r="K75" s="132">
        <f>4547046.18-4547046.18</f>
        <v>0</v>
      </c>
      <c r="L75" s="43"/>
      <c r="M75" s="43"/>
      <c r="N75" s="43"/>
      <c r="O75" s="44">
        <f t="shared" ref="O75" si="72">K75</f>
        <v>0</v>
      </c>
      <c r="P75" s="42">
        <f t="shared" si="66"/>
        <v>0</v>
      </c>
      <c r="Q75" s="36"/>
      <c r="R75" s="26"/>
    </row>
    <row r="76" spans="1:18" s="33" customFormat="1" ht="45.75" hidden="1" thickTop="1" x14ac:dyDescent="0.2">
      <c r="A76" s="770" t="s">
        <v>1018</v>
      </c>
      <c r="B76" s="770" t="s">
        <v>1019</v>
      </c>
      <c r="C76" s="770" t="s">
        <v>210</v>
      </c>
      <c r="D76" s="770" t="s">
        <v>1020</v>
      </c>
      <c r="E76" s="772">
        <f t="shared" ref="E76" si="73">F76</f>
        <v>0</v>
      </c>
      <c r="F76" s="772"/>
      <c r="G76" s="772"/>
      <c r="H76" s="772"/>
      <c r="I76" s="772"/>
      <c r="J76" s="772">
        <f t="shared" ref="J76" si="74">L76+O76</f>
        <v>0</v>
      </c>
      <c r="K76" s="786">
        <f>10623233.82-10623233.82</f>
        <v>0</v>
      </c>
      <c r="L76" s="772"/>
      <c r="M76" s="772"/>
      <c r="N76" s="772"/>
      <c r="O76" s="790">
        <f t="shared" ref="O76" si="75">K76</f>
        <v>0</v>
      </c>
      <c r="P76" s="772">
        <f t="shared" si="66"/>
        <v>0</v>
      </c>
      <c r="Q76" s="36"/>
      <c r="R76" s="26"/>
    </row>
    <row r="77" spans="1:18" s="33" customFormat="1" ht="45.75" hidden="1" thickBot="1" x14ac:dyDescent="0.25">
      <c r="A77" s="771"/>
      <c r="B77" s="771"/>
      <c r="C77" s="771"/>
      <c r="D77" s="771"/>
      <c r="E77" s="771"/>
      <c r="F77" s="771"/>
      <c r="G77" s="771"/>
      <c r="H77" s="771"/>
      <c r="I77" s="771"/>
      <c r="J77" s="771"/>
      <c r="K77" s="787"/>
      <c r="L77" s="771"/>
      <c r="M77" s="771"/>
      <c r="N77" s="771"/>
      <c r="O77" s="771"/>
      <c r="P77" s="771"/>
      <c r="Q77" s="36"/>
      <c r="R77" s="26"/>
    </row>
    <row r="78" spans="1:18" s="33" customFormat="1" ht="138.75" thickTop="1" thickBot="1" x14ac:dyDescent="0.25">
      <c r="A78" s="101" t="s">
        <v>644</v>
      </c>
      <c r="B78" s="101" t="s">
        <v>645</v>
      </c>
      <c r="C78" s="101" t="s">
        <v>210</v>
      </c>
      <c r="D78" s="101" t="s">
        <v>646</v>
      </c>
      <c r="E78" s="325">
        <f t="shared" si="63"/>
        <v>3668858</v>
      </c>
      <c r="F78" s="458">
        <v>3668858</v>
      </c>
      <c r="G78" s="458">
        <v>3007261</v>
      </c>
      <c r="H78" s="458"/>
      <c r="I78" s="458"/>
      <c r="J78" s="325">
        <f t="shared" ref="J78" si="76">L78+O78</f>
        <v>0</v>
      </c>
      <c r="K78" s="458"/>
      <c r="L78" s="458"/>
      <c r="M78" s="458"/>
      <c r="N78" s="458"/>
      <c r="O78" s="455">
        <f t="shared" ref="O78" si="77">K78</f>
        <v>0</v>
      </c>
      <c r="P78" s="325">
        <f t="shared" ref="P78" si="78">E78+J78</f>
        <v>3668858</v>
      </c>
      <c r="Q78" s="36"/>
      <c r="R78" s="26"/>
    </row>
    <row r="79" spans="1:18" s="33" customFormat="1" ht="160.5" customHeight="1" thickTop="1" thickBot="1" x14ac:dyDescent="0.25">
      <c r="A79" s="101" t="s">
        <v>941</v>
      </c>
      <c r="B79" s="101" t="s">
        <v>942</v>
      </c>
      <c r="C79" s="101" t="s">
        <v>210</v>
      </c>
      <c r="D79" s="101" t="s">
        <v>1447</v>
      </c>
      <c r="E79" s="325">
        <f t="shared" ref="E79" si="79">F79</f>
        <v>532739</v>
      </c>
      <c r="F79" s="458">
        <v>532739</v>
      </c>
      <c r="G79" s="458">
        <v>436671</v>
      </c>
      <c r="H79" s="458"/>
      <c r="I79" s="458"/>
      <c r="J79" s="325">
        <f t="shared" ref="J79" si="80">L79+O79</f>
        <v>0</v>
      </c>
      <c r="K79" s="458">
        <v>0</v>
      </c>
      <c r="L79" s="458"/>
      <c r="M79" s="458"/>
      <c r="N79" s="458"/>
      <c r="O79" s="455">
        <f t="shared" ref="O79" si="81">K79</f>
        <v>0</v>
      </c>
      <c r="P79" s="325">
        <f t="shared" ref="P79" si="82">E79+J79</f>
        <v>532739</v>
      </c>
      <c r="Q79" s="36"/>
      <c r="R79" s="26"/>
    </row>
    <row r="80" spans="1:18" s="33" customFormat="1" ht="93" thickTop="1" thickBot="1" x14ac:dyDescent="0.25">
      <c r="A80" s="326" t="s">
        <v>1005</v>
      </c>
      <c r="B80" s="326" t="s">
        <v>1007</v>
      </c>
      <c r="C80" s="326"/>
      <c r="D80" s="326" t="s">
        <v>1439</v>
      </c>
      <c r="E80" s="322">
        <f>F80</f>
        <v>0</v>
      </c>
      <c r="F80" s="322">
        <f>SUM(F81:F82)</f>
        <v>0</v>
      </c>
      <c r="G80" s="322">
        <f>SUM(G81:G82)</f>
        <v>0</v>
      </c>
      <c r="H80" s="322">
        <f>SUM(H81:H82)</f>
        <v>0</v>
      </c>
      <c r="I80" s="322">
        <f>SUM(I81:I82)</f>
        <v>0</v>
      </c>
      <c r="J80" s="322">
        <f>L80+O80</f>
        <v>14416500</v>
      </c>
      <c r="K80" s="322">
        <f>SUM(K81:K82)</f>
        <v>14416500</v>
      </c>
      <c r="L80" s="322">
        <f>SUM(L81:L82)</f>
        <v>0</v>
      </c>
      <c r="M80" s="322">
        <f>SUM(M81:M82)</f>
        <v>0</v>
      </c>
      <c r="N80" s="322">
        <f>SUM(N81:N82)</f>
        <v>0</v>
      </c>
      <c r="O80" s="322">
        <f>SUM(O81:O82)</f>
        <v>14416500</v>
      </c>
      <c r="P80" s="322">
        <f>E80+J80</f>
        <v>14416500</v>
      </c>
      <c r="Q80" s="36"/>
      <c r="R80" s="26"/>
    </row>
    <row r="81" spans="1:18" s="33" customFormat="1" ht="189" customHeight="1" thickTop="1" thickBot="1" x14ac:dyDescent="0.25">
      <c r="A81" s="101" t="s">
        <v>1006</v>
      </c>
      <c r="B81" s="101" t="s">
        <v>1008</v>
      </c>
      <c r="C81" s="101" t="s">
        <v>210</v>
      </c>
      <c r="D81" s="101" t="s">
        <v>1251</v>
      </c>
      <c r="E81" s="325">
        <f>F81</f>
        <v>0</v>
      </c>
      <c r="F81" s="458"/>
      <c r="G81" s="458"/>
      <c r="H81" s="458"/>
      <c r="I81" s="458"/>
      <c r="J81" s="325">
        <f t="shared" ref="J81:J82" si="83">L81+O81</f>
        <v>5766600</v>
      </c>
      <c r="K81" s="458">
        <v>5766600</v>
      </c>
      <c r="L81" s="458"/>
      <c r="M81" s="458"/>
      <c r="N81" s="458"/>
      <c r="O81" s="455">
        <f t="shared" ref="O81:O82" si="84">K81</f>
        <v>5766600</v>
      </c>
      <c r="P81" s="325">
        <f>E81+J81</f>
        <v>5766600</v>
      </c>
      <c r="Q81" s="36"/>
      <c r="R81" s="26"/>
    </row>
    <row r="82" spans="1:18" s="33" customFormat="1" ht="176.25" customHeight="1" thickTop="1" thickBot="1" x14ac:dyDescent="0.25">
      <c r="A82" s="101" t="s">
        <v>1049</v>
      </c>
      <c r="B82" s="101" t="s">
        <v>1050</v>
      </c>
      <c r="C82" s="101" t="s">
        <v>210</v>
      </c>
      <c r="D82" s="101" t="s">
        <v>1595</v>
      </c>
      <c r="E82" s="325">
        <f>F82</f>
        <v>0</v>
      </c>
      <c r="F82" s="458">
        <f>(553900)-553900</f>
        <v>0</v>
      </c>
      <c r="G82" s="458"/>
      <c r="H82" s="458"/>
      <c r="I82" s="458"/>
      <c r="J82" s="325">
        <f t="shared" si="83"/>
        <v>8649900</v>
      </c>
      <c r="K82" s="458">
        <v>8649900</v>
      </c>
      <c r="L82" s="458"/>
      <c r="M82" s="458"/>
      <c r="N82" s="458"/>
      <c r="O82" s="455">
        <f t="shared" si="84"/>
        <v>8649900</v>
      </c>
      <c r="P82" s="325">
        <f>E82+J82</f>
        <v>8649900</v>
      </c>
      <c r="Q82" s="36"/>
      <c r="R82" s="26"/>
    </row>
    <row r="83" spans="1:18" s="33" customFormat="1" ht="114.75" customHeight="1" thickTop="1" thickBot="1" x14ac:dyDescent="0.25">
      <c r="A83" s="326" t="s">
        <v>1390</v>
      </c>
      <c r="B83" s="326" t="s">
        <v>1391</v>
      </c>
      <c r="C83" s="326"/>
      <c r="D83" s="326" t="s">
        <v>1547</v>
      </c>
      <c r="E83" s="322">
        <f>SUM(E84:E85)</f>
        <v>0</v>
      </c>
      <c r="F83" s="322">
        <f t="shared" ref="F83:P83" si="85">SUM(F84:F85)</f>
        <v>0</v>
      </c>
      <c r="G83" s="322">
        <f t="shared" si="85"/>
        <v>0</v>
      </c>
      <c r="H83" s="322">
        <f t="shared" si="85"/>
        <v>0</v>
      </c>
      <c r="I83" s="322">
        <f t="shared" si="85"/>
        <v>0</v>
      </c>
      <c r="J83" s="322">
        <f t="shared" si="85"/>
        <v>17000000</v>
      </c>
      <c r="K83" s="322">
        <f t="shared" si="85"/>
        <v>17000000</v>
      </c>
      <c r="L83" s="322">
        <f t="shared" si="85"/>
        <v>0</v>
      </c>
      <c r="M83" s="322">
        <f t="shared" si="85"/>
        <v>0</v>
      </c>
      <c r="N83" s="322">
        <f t="shared" si="85"/>
        <v>0</v>
      </c>
      <c r="O83" s="322">
        <f t="shared" si="85"/>
        <v>17000000</v>
      </c>
      <c r="P83" s="322">
        <f t="shared" si="85"/>
        <v>17000000</v>
      </c>
      <c r="Q83" s="36"/>
      <c r="R83" s="26"/>
    </row>
    <row r="84" spans="1:18" s="33" customFormat="1" ht="163.5" customHeight="1" thickTop="1" thickBot="1" x14ac:dyDescent="0.25">
      <c r="A84" s="101" t="s">
        <v>1392</v>
      </c>
      <c r="B84" s="101" t="s">
        <v>1393</v>
      </c>
      <c r="C84" s="101" t="s">
        <v>210</v>
      </c>
      <c r="D84" s="101" t="s">
        <v>1548</v>
      </c>
      <c r="E84" s="325">
        <f>F84</f>
        <v>0</v>
      </c>
      <c r="F84" s="458"/>
      <c r="G84" s="458"/>
      <c r="H84" s="458"/>
      <c r="I84" s="458"/>
      <c r="J84" s="325">
        <f t="shared" ref="J84:J85" si="86">L84+O84</f>
        <v>17000000</v>
      </c>
      <c r="K84" s="458">
        <f>(((5000000)+10000000)+12000000)-10000000</f>
        <v>17000000</v>
      </c>
      <c r="L84" s="458"/>
      <c r="M84" s="458"/>
      <c r="N84" s="458"/>
      <c r="O84" s="455">
        <f t="shared" ref="O84:O85" si="87">K84</f>
        <v>17000000</v>
      </c>
      <c r="P84" s="325">
        <f>E84+J84</f>
        <v>17000000</v>
      </c>
      <c r="Q84" s="36"/>
      <c r="R84" s="26"/>
    </row>
    <row r="85" spans="1:18" s="33" customFormat="1" ht="138.75" hidden="1" thickTop="1" thickBot="1" x14ac:dyDescent="0.25">
      <c r="A85" s="126" t="s">
        <v>1394</v>
      </c>
      <c r="B85" s="126" t="s">
        <v>1395</v>
      </c>
      <c r="C85" s="126" t="s">
        <v>210</v>
      </c>
      <c r="D85" s="126" t="s">
        <v>1396</v>
      </c>
      <c r="E85" s="125">
        <f>F85</f>
        <v>0</v>
      </c>
      <c r="F85" s="132"/>
      <c r="G85" s="132"/>
      <c r="H85" s="132"/>
      <c r="I85" s="132"/>
      <c r="J85" s="125">
        <f t="shared" si="86"/>
        <v>0</v>
      </c>
      <c r="K85" s="132"/>
      <c r="L85" s="132"/>
      <c r="M85" s="132"/>
      <c r="N85" s="132"/>
      <c r="O85" s="130">
        <f t="shared" si="87"/>
        <v>0</v>
      </c>
      <c r="P85" s="125">
        <f>E85+J85</f>
        <v>0</v>
      </c>
      <c r="Q85" s="36"/>
      <c r="R85" s="26"/>
    </row>
    <row r="86" spans="1:18" s="33" customFormat="1" ht="138.75" hidden="1" thickTop="1" thickBot="1" x14ac:dyDescent="0.25">
      <c r="A86" s="138" t="s">
        <v>1460</v>
      </c>
      <c r="B86" s="138" t="s">
        <v>1459</v>
      </c>
      <c r="C86" s="138"/>
      <c r="D86" s="138" t="s">
        <v>1461</v>
      </c>
      <c r="E86" s="139">
        <f>SUM(E87:E88)</f>
        <v>0</v>
      </c>
      <c r="F86" s="139">
        <f t="shared" ref="F86:O86" si="88">SUM(F87:F88)</f>
        <v>0</v>
      </c>
      <c r="G86" s="139">
        <f t="shared" si="88"/>
        <v>0</v>
      </c>
      <c r="H86" s="139">
        <f t="shared" si="88"/>
        <v>0</v>
      </c>
      <c r="I86" s="139">
        <f t="shared" si="88"/>
        <v>0</v>
      </c>
      <c r="J86" s="139">
        <f t="shared" si="88"/>
        <v>0</v>
      </c>
      <c r="K86" s="139">
        <f t="shared" si="88"/>
        <v>0</v>
      </c>
      <c r="L86" s="139">
        <f t="shared" si="88"/>
        <v>0</v>
      </c>
      <c r="M86" s="139">
        <f t="shared" si="88"/>
        <v>0</v>
      </c>
      <c r="N86" s="139">
        <f t="shared" si="88"/>
        <v>0</v>
      </c>
      <c r="O86" s="139">
        <f t="shared" si="88"/>
        <v>0</v>
      </c>
      <c r="P86" s="139">
        <f>SUM(P87:P88)</f>
        <v>0</v>
      </c>
      <c r="Q86" s="36"/>
      <c r="R86" s="26"/>
    </row>
    <row r="87" spans="1:18" s="33" customFormat="1" ht="93" hidden="1" thickTop="1" thickBot="1" x14ac:dyDescent="0.25">
      <c r="A87" s="126" t="s">
        <v>1462</v>
      </c>
      <c r="B87" s="126" t="s">
        <v>1463</v>
      </c>
      <c r="C87" s="126" t="s">
        <v>210</v>
      </c>
      <c r="D87" s="126" t="s">
        <v>1467</v>
      </c>
      <c r="E87" s="125">
        <f t="shared" ref="E87:E88" si="89">F87</f>
        <v>0</v>
      </c>
      <c r="F87" s="132">
        <v>0</v>
      </c>
      <c r="G87" s="132"/>
      <c r="H87" s="132"/>
      <c r="I87" s="132"/>
      <c r="J87" s="125">
        <f t="shared" ref="J87:J88" si="90">L87+O87</f>
        <v>0</v>
      </c>
      <c r="K87" s="132"/>
      <c r="L87" s="132"/>
      <c r="M87" s="132"/>
      <c r="N87" s="132"/>
      <c r="O87" s="130">
        <f t="shared" ref="O87" si="91">K87</f>
        <v>0</v>
      </c>
      <c r="P87" s="125">
        <f t="shared" ref="P87:P88" si="92">E87+J87</f>
        <v>0</v>
      </c>
      <c r="Q87" s="36"/>
      <c r="R87" s="26"/>
    </row>
    <row r="88" spans="1:18" s="33" customFormat="1" ht="138.75" hidden="1" thickTop="1" thickBot="1" x14ac:dyDescent="0.25">
      <c r="A88" s="126" t="s">
        <v>1464</v>
      </c>
      <c r="B88" s="126" t="s">
        <v>1465</v>
      </c>
      <c r="C88" s="126" t="s">
        <v>210</v>
      </c>
      <c r="D88" s="126" t="s">
        <v>1466</v>
      </c>
      <c r="E88" s="125">
        <f t="shared" si="89"/>
        <v>0</v>
      </c>
      <c r="F88" s="132"/>
      <c r="G88" s="132"/>
      <c r="H88" s="132"/>
      <c r="I88" s="132"/>
      <c r="J88" s="125">
        <f t="shared" si="90"/>
        <v>0</v>
      </c>
      <c r="K88" s="132"/>
      <c r="L88" s="132"/>
      <c r="M88" s="132"/>
      <c r="N88" s="132"/>
      <c r="O88" s="130">
        <f>K88</f>
        <v>0</v>
      </c>
      <c r="P88" s="125">
        <f t="shared" si="92"/>
        <v>0</v>
      </c>
      <c r="Q88" s="36"/>
      <c r="R88" s="26"/>
    </row>
    <row r="89" spans="1:18" s="33" customFormat="1" ht="213" customHeight="1" thickTop="1" thickBot="1" x14ac:dyDescent="0.25">
      <c r="A89" s="326" t="s">
        <v>1561</v>
      </c>
      <c r="B89" s="326" t="s">
        <v>1563</v>
      </c>
      <c r="C89" s="126"/>
      <c r="D89" s="326" t="s">
        <v>1560</v>
      </c>
      <c r="E89" s="322">
        <f>SUM(E90:E91)</f>
        <v>2032.85</v>
      </c>
      <c r="F89" s="322">
        <f t="shared" ref="F89:P89" si="93">SUM(F90:F91)</f>
        <v>2032.85</v>
      </c>
      <c r="G89" s="322">
        <f t="shared" si="93"/>
        <v>0</v>
      </c>
      <c r="H89" s="322">
        <f t="shared" si="93"/>
        <v>0</v>
      </c>
      <c r="I89" s="322">
        <f t="shared" si="93"/>
        <v>0</v>
      </c>
      <c r="J89" s="322">
        <f t="shared" si="93"/>
        <v>11779554.15</v>
      </c>
      <c r="K89" s="322">
        <f t="shared" si="93"/>
        <v>3438754</v>
      </c>
      <c r="L89" s="322">
        <f t="shared" si="93"/>
        <v>4737.1499999999996</v>
      </c>
      <c r="M89" s="322">
        <f t="shared" si="93"/>
        <v>0</v>
      </c>
      <c r="N89" s="322">
        <f t="shared" si="93"/>
        <v>0</v>
      </c>
      <c r="O89" s="322">
        <f t="shared" si="93"/>
        <v>11774817</v>
      </c>
      <c r="P89" s="322">
        <f t="shared" si="93"/>
        <v>11781587</v>
      </c>
      <c r="Q89" s="36"/>
      <c r="R89" s="26"/>
    </row>
    <row r="90" spans="1:18" s="33" customFormat="1" ht="230.25" thickTop="1" thickBot="1" x14ac:dyDescent="0.25">
      <c r="A90" s="101" t="s">
        <v>1564</v>
      </c>
      <c r="B90" s="101" t="s">
        <v>1562</v>
      </c>
      <c r="C90" s="101" t="s">
        <v>210</v>
      </c>
      <c r="D90" s="101" t="s">
        <v>1565</v>
      </c>
      <c r="E90" s="325">
        <f>F90</f>
        <v>2032.85</v>
      </c>
      <c r="F90" s="458">
        <v>2032.85</v>
      </c>
      <c r="G90" s="458"/>
      <c r="H90" s="458"/>
      <c r="I90" s="458"/>
      <c r="J90" s="325">
        <f t="shared" ref="J90:J91" si="94">L90+O90</f>
        <v>3438754</v>
      </c>
      <c r="K90" s="458">
        <f>(150704)+3288050</f>
        <v>3438754</v>
      </c>
      <c r="L90" s="458"/>
      <c r="M90" s="458"/>
      <c r="N90" s="458"/>
      <c r="O90" s="455">
        <f t="shared" ref="O90" si="95">K90</f>
        <v>3438754</v>
      </c>
      <c r="P90" s="325">
        <f>E90+J90</f>
        <v>3440786.85</v>
      </c>
      <c r="Q90" s="36"/>
      <c r="R90" s="26"/>
    </row>
    <row r="91" spans="1:18" s="33" customFormat="1" ht="219" customHeight="1" thickTop="1" thickBot="1" x14ac:dyDescent="0.25">
      <c r="A91" s="101" t="s">
        <v>1566</v>
      </c>
      <c r="B91" s="101" t="s">
        <v>1567</v>
      </c>
      <c r="C91" s="101" t="s">
        <v>210</v>
      </c>
      <c r="D91" s="101" t="s">
        <v>1568</v>
      </c>
      <c r="E91" s="325">
        <f>F91</f>
        <v>0</v>
      </c>
      <c r="F91" s="458"/>
      <c r="G91" s="458"/>
      <c r="H91" s="458"/>
      <c r="I91" s="458"/>
      <c r="J91" s="325">
        <f t="shared" si="94"/>
        <v>8340800.1500000004</v>
      </c>
      <c r="K91" s="458"/>
      <c r="L91" s="458">
        <v>4737.1499999999996</v>
      </c>
      <c r="M91" s="458"/>
      <c r="N91" s="458"/>
      <c r="O91" s="455">
        <f>K91+8336063</f>
        <v>8336063</v>
      </c>
      <c r="P91" s="325">
        <f>E91+J91</f>
        <v>8340800.1500000004</v>
      </c>
      <c r="Q91" s="36"/>
      <c r="R91" s="26"/>
    </row>
    <row r="92" spans="1:18" s="33" customFormat="1" ht="47.25" thickTop="1" thickBot="1" x14ac:dyDescent="0.25">
      <c r="A92" s="308" t="s">
        <v>710</v>
      </c>
      <c r="B92" s="308" t="s">
        <v>711</v>
      </c>
      <c r="C92" s="308"/>
      <c r="D92" s="308" t="s">
        <v>712</v>
      </c>
      <c r="E92" s="325">
        <f>SUM(E93:E94)</f>
        <v>2474600</v>
      </c>
      <c r="F92" s="325">
        <f t="shared" ref="F92:P92" si="96">SUM(F93:F94)</f>
        <v>2474600</v>
      </c>
      <c r="G92" s="325">
        <f t="shared" si="96"/>
        <v>0</v>
      </c>
      <c r="H92" s="325">
        <f t="shared" si="96"/>
        <v>590600</v>
      </c>
      <c r="I92" s="325">
        <f t="shared" si="96"/>
        <v>0</v>
      </c>
      <c r="J92" s="325">
        <f t="shared" si="96"/>
        <v>0</v>
      </c>
      <c r="K92" s="325">
        <f t="shared" si="96"/>
        <v>0</v>
      </c>
      <c r="L92" s="325">
        <f t="shared" si="96"/>
        <v>0</v>
      </c>
      <c r="M92" s="325">
        <f t="shared" si="96"/>
        <v>0</v>
      </c>
      <c r="N92" s="325">
        <f t="shared" si="96"/>
        <v>0</v>
      </c>
      <c r="O92" s="325">
        <f t="shared" si="96"/>
        <v>0</v>
      </c>
      <c r="P92" s="325">
        <f t="shared" si="96"/>
        <v>2474600</v>
      </c>
      <c r="Q92" s="36"/>
      <c r="R92" s="26"/>
    </row>
    <row r="93" spans="1:18" s="33" customFormat="1" ht="167.25" customHeight="1" thickTop="1" thickBot="1" x14ac:dyDescent="0.25">
      <c r="A93" s="101" t="s">
        <v>431</v>
      </c>
      <c r="B93" s="101" t="s">
        <v>432</v>
      </c>
      <c r="C93" s="101" t="s">
        <v>185</v>
      </c>
      <c r="D93" s="101" t="s">
        <v>430</v>
      </c>
      <c r="E93" s="325">
        <f t="shared" si="63"/>
        <v>715000</v>
      </c>
      <c r="F93" s="458">
        <v>715000</v>
      </c>
      <c r="G93" s="458"/>
      <c r="H93" s="458"/>
      <c r="I93" s="458"/>
      <c r="J93" s="325">
        <f>L93+O93</f>
        <v>0</v>
      </c>
      <c r="K93" s="458"/>
      <c r="L93" s="458"/>
      <c r="M93" s="458"/>
      <c r="N93" s="458"/>
      <c r="O93" s="455">
        <f>K93</f>
        <v>0</v>
      </c>
      <c r="P93" s="325">
        <f>E93+J93</f>
        <v>715000</v>
      </c>
      <c r="Q93" s="36"/>
      <c r="R93" s="39"/>
    </row>
    <row r="94" spans="1:18" s="33" customFormat="1" ht="114.75" customHeight="1" thickTop="1" thickBot="1" x14ac:dyDescent="0.25">
      <c r="A94" s="101" t="s">
        <v>1233</v>
      </c>
      <c r="B94" s="101" t="s">
        <v>1200</v>
      </c>
      <c r="C94" s="101" t="s">
        <v>206</v>
      </c>
      <c r="D94" s="466" t="s">
        <v>1201</v>
      </c>
      <c r="E94" s="325">
        <f t="shared" si="63"/>
        <v>1759600</v>
      </c>
      <c r="F94" s="458">
        <v>1759600</v>
      </c>
      <c r="G94" s="458"/>
      <c r="H94" s="458">
        <v>590600</v>
      </c>
      <c r="I94" s="458"/>
      <c r="J94" s="325">
        <f>L94+O94</f>
        <v>0</v>
      </c>
      <c r="K94" s="458"/>
      <c r="L94" s="458"/>
      <c r="M94" s="458"/>
      <c r="N94" s="458"/>
      <c r="O94" s="455">
        <f>K94</f>
        <v>0</v>
      </c>
      <c r="P94" s="325">
        <f>E94+J94</f>
        <v>1759600</v>
      </c>
      <c r="Q94" s="36"/>
      <c r="R94" s="39"/>
    </row>
    <row r="95" spans="1:18" s="33" customFormat="1" ht="57" customHeight="1" thickTop="1" thickBot="1" x14ac:dyDescent="0.25">
      <c r="A95" s="308" t="s">
        <v>1089</v>
      </c>
      <c r="B95" s="308" t="s">
        <v>748</v>
      </c>
      <c r="C95" s="308"/>
      <c r="D95" s="308" t="s">
        <v>1088</v>
      </c>
      <c r="E95" s="325">
        <f>E96+E99</f>
        <v>0</v>
      </c>
      <c r="F95" s="325">
        <f t="shared" ref="F95:P95" si="97">F96+F99</f>
        <v>0</v>
      </c>
      <c r="G95" s="325">
        <f t="shared" si="97"/>
        <v>0</v>
      </c>
      <c r="H95" s="325">
        <f t="shared" si="97"/>
        <v>0</v>
      </c>
      <c r="I95" s="325">
        <f t="shared" si="97"/>
        <v>0</v>
      </c>
      <c r="J95" s="325">
        <f t="shared" si="97"/>
        <v>71624017.730000019</v>
      </c>
      <c r="K95" s="325">
        <f t="shared" si="97"/>
        <v>71624017.730000019</v>
      </c>
      <c r="L95" s="325">
        <f t="shared" si="97"/>
        <v>0</v>
      </c>
      <c r="M95" s="325">
        <f t="shared" si="97"/>
        <v>0</v>
      </c>
      <c r="N95" s="325">
        <f t="shared" si="97"/>
        <v>0</v>
      </c>
      <c r="O95" s="325">
        <f t="shared" si="97"/>
        <v>71624017.730000019</v>
      </c>
      <c r="P95" s="325">
        <f t="shared" si="97"/>
        <v>71624017.730000019</v>
      </c>
      <c r="Q95" s="36"/>
      <c r="R95" s="26"/>
    </row>
    <row r="96" spans="1:18" s="33" customFormat="1" ht="57" customHeight="1" thickTop="1" thickBot="1" x14ac:dyDescent="0.25">
      <c r="A96" s="310" t="s">
        <v>1087</v>
      </c>
      <c r="B96" s="310" t="s">
        <v>803</v>
      </c>
      <c r="C96" s="310"/>
      <c r="D96" s="310" t="s">
        <v>804</v>
      </c>
      <c r="E96" s="312">
        <f>E97</f>
        <v>0</v>
      </c>
      <c r="F96" s="312">
        <f t="shared" ref="F96:P97" si="98">F97</f>
        <v>0</v>
      </c>
      <c r="G96" s="312">
        <f t="shared" si="98"/>
        <v>0</v>
      </c>
      <c r="H96" s="312">
        <f t="shared" si="98"/>
        <v>0</v>
      </c>
      <c r="I96" s="312">
        <f t="shared" si="98"/>
        <v>0</v>
      </c>
      <c r="J96" s="312">
        <f t="shared" si="98"/>
        <v>37468761.830000006</v>
      </c>
      <c r="K96" s="312">
        <f t="shared" si="98"/>
        <v>37468761.830000006</v>
      </c>
      <c r="L96" s="312">
        <f t="shared" si="98"/>
        <v>0</v>
      </c>
      <c r="M96" s="312">
        <f t="shared" si="98"/>
        <v>0</v>
      </c>
      <c r="N96" s="312">
        <f t="shared" si="98"/>
        <v>0</v>
      </c>
      <c r="O96" s="312">
        <f t="shared" si="98"/>
        <v>37468761.830000006</v>
      </c>
      <c r="P96" s="312">
        <f t="shared" si="98"/>
        <v>37468761.830000006</v>
      </c>
      <c r="Q96" s="36"/>
      <c r="R96" s="26"/>
    </row>
    <row r="97" spans="1:18" s="33" customFormat="1" ht="54" thickTop="1" thickBot="1" x14ac:dyDescent="0.25">
      <c r="A97" s="326" t="s">
        <v>1090</v>
      </c>
      <c r="B97" s="326" t="s">
        <v>821</v>
      </c>
      <c r="C97" s="326"/>
      <c r="D97" s="326" t="s">
        <v>1519</v>
      </c>
      <c r="E97" s="322">
        <f>E98</f>
        <v>0</v>
      </c>
      <c r="F97" s="322">
        <f t="shared" si="98"/>
        <v>0</v>
      </c>
      <c r="G97" s="322">
        <f t="shared" si="98"/>
        <v>0</v>
      </c>
      <c r="H97" s="322">
        <f t="shared" si="98"/>
        <v>0</v>
      </c>
      <c r="I97" s="322">
        <f t="shared" si="98"/>
        <v>0</v>
      </c>
      <c r="J97" s="322">
        <f t="shared" si="98"/>
        <v>37468761.830000006</v>
      </c>
      <c r="K97" s="322">
        <f t="shared" si="98"/>
        <v>37468761.830000006</v>
      </c>
      <c r="L97" s="322">
        <f t="shared" si="98"/>
        <v>0</v>
      </c>
      <c r="M97" s="322">
        <f t="shared" si="98"/>
        <v>0</v>
      </c>
      <c r="N97" s="322">
        <f t="shared" si="98"/>
        <v>0</v>
      </c>
      <c r="O97" s="322">
        <f t="shared" si="98"/>
        <v>37468761.830000006</v>
      </c>
      <c r="P97" s="322">
        <f t="shared" si="98"/>
        <v>37468761.830000006</v>
      </c>
      <c r="Q97" s="36"/>
      <c r="R97" s="26"/>
    </row>
    <row r="98" spans="1:18" s="33" customFormat="1" ht="57" customHeight="1" thickTop="1" thickBot="1" x14ac:dyDescent="0.25">
      <c r="A98" s="101" t="s">
        <v>1102</v>
      </c>
      <c r="B98" s="101" t="s">
        <v>311</v>
      </c>
      <c r="C98" s="101" t="s">
        <v>304</v>
      </c>
      <c r="D98" s="101" t="s">
        <v>1499</v>
      </c>
      <c r="E98" s="325">
        <f t="shared" ref="E98" si="99">F98</f>
        <v>0</v>
      </c>
      <c r="F98" s="458"/>
      <c r="G98" s="458"/>
      <c r="H98" s="458"/>
      <c r="I98" s="458"/>
      <c r="J98" s="325">
        <f t="shared" ref="J98" si="100">L98+O98</f>
        <v>37468761.830000006</v>
      </c>
      <c r="K98" s="458">
        <f>(((2000000+5000000+2000000+2000000)+20260227.26)-400000)+6500000+108534.57</f>
        <v>37468761.830000006</v>
      </c>
      <c r="L98" s="458"/>
      <c r="M98" s="458"/>
      <c r="N98" s="458"/>
      <c r="O98" s="455">
        <f t="shared" ref="O98" si="101">K98</f>
        <v>37468761.830000006</v>
      </c>
      <c r="P98" s="325">
        <f>E98+J98</f>
        <v>37468761.830000006</v>
      </c>
      <c r="Q98" s="30"/>
      <c r="R98" s="26"/>
    </row>
    <row r="99" spans="1:18" s="33" customFormat="1" ht="57" customHeight="1" thickTop="1" thickBot="1" x14ac:dyDescent="0.25">
      <c r="A99" s="310" t="s">
        <v>1091</v>
      </c>
      <c r="B99" s="310" t="s">
        <v>691</v>
      </c>
      <c r="C99" s="310"/>
      <c r="D99" s="310" t="s">
        <v>689</v>
      </c>
      <c r="E99" s="312">
        <f>E100</f>
        <v>0</v>
      </c>
      <c r="F99" s="312">
        <f t="shared" ref="F99:P99" si="102">F100</f>
        <v>0</v>
      </c>
      <c r="G99" s="312">
        <f t="shared" si="102"/>
        <v>0</v>
      </c>
      <c r="H99" s="312">
        <f t="shared" si="102"/>
        <v>0</v>
      </c>
      <c r="I99" s="312">
        <f t="shared" si="102"/>
        <v>0</v>
      </c>
      <c r="J99" s="312">
        <f t="shared" si="102"/>
        <v>34155255.900000006</v>
      </c>
      <c r="K99" s="312">
        <f t="shared" si="102"/>
        <v>34155255.900000006</v>
      </c>
      <c r="L99" s="312">
        <f t="shared" si="102"/>
        <v>0</v>
      </c>
      <c r="M99" s="312">
        <f t="shared" si="102"/>
        <v>0</v>
      </c>
      <c r="N99" s="312">
        <f t="shared" si="102"/>
        <v>0</v>
      </c>
      <c r="O99" s="312">
        <f t="shared" si="102"/>
        <v>34155255.900000006</v>
      </c>
      <c r="P99" s="312">
        <f t="shared" si="102"/>
        <v>34155255.900000006</v>
      </c>
      <c r="Q99" s="30"/>
      <c r="R99" s="26"/>
    </row>
    <row r="100" spans="1:18" s="33" customFormat="1" ht="57" customHeight="1" thickTop="1" thickBot="1" x14ac:dyDescent="0.25">
      <c r="A100" s="101" t="s">
        <v>1092</v>
      </c>
      <c r="B100" s="101" t="s">
        <v>212</v>
      </c>
      <c r="C100" s="101" t="s">
        <v>213</v>
      </c>
      <c r="D100" s="101" t="s">
        <v>41</v>
      </c>
      <c r="E100" s="325">
        <f t="shared" ref="E100" si="103">F100</f>
        <v>0</v>
      </c>
      <c r="F100" s="458"/>
      <c r="G100" s="458"/>
      <c r="H100" s="458"/>
      <c r="I100" s="458"/>
      <c r="J100" s="325">
        <f t="shared" ref="J100" si="104">L100+O100</f>
        <v>34155255.900000006</v>
      </c>
      <c r="K100" s="458">
        <f>(((7500000+7500000)+3455977.12)+4000000+5000000+1199278.78)+5500000</f>
        <v>34155255.900000006</v>
      </c>
      <c r="L100" s="458"/>
      <c r="M100" s="458"/>
      <c r="N100" s="458"/>
      <c r="O100" s="455">
        <f t="shared" ref="O100" si="105">K100</f>
        <v>34155255.900000006</v>
      </c>
      <c r="P100" s="325">
        <f>E100+J100</f>
        <v>34155255.900000006</v>
      </c>
      <c r="Q100" s="30"/>
      <c r="R100" s="26"/>
    </row>
    <row r="101" spans="1:18" s="33" customFormat="1" ht="47.25" hidden="1" thickTop="1" thickBot="1" x14ac:dyDescent="0.25">
      <c r="A101" s="123" t="s">
        <v>1224</v>
      </c>
      <c r="B101" s="123" t="s">
        <v>696</v>
      </c>
      <c r="C101" s="123"/>
      <c r="D101" s="123" t="s">
        <v>697</v>
      </c>
      <c r="E101" s="125">
        <f t="shared" ref="E101:P102" si="106">E102</f>
        <v>0</v>
      </c>
      <c r="F101" s="125">
        <f t="shared" si="106"/>
        <v>0</v>
      </c>
      <c r="G101" s="125">
        <f t="shared" si="106"/>
        <v>0</v>
      </c>
      <c r="H101" s="125">
        <f t="shared" si="106"/>
        <v>0</v>
      </c>
      <c r="I101" s="125">
        <f t="shared" si="106"/>
        <v>0</v>
      </c>
      <c r="J101" s="125">
        <f t="shared" si="106"/>
        <v>0</v>
      </c>
      <c r="K101" s="125">
        <f t="shared" si="106"/>
        <v>0</v>
      </c>
      <c r="L101" s="125">
        <f t="shared" si="106"/>
        <v>0</v>
      </c>
      <c r="M101" s="125">
        <f t="shared" si="106"/>
        <v>0</v>
      </c>
      <c r="N101" s="125">
        <f t="shared" si="106"/>
        <v>0</v>
      </c>
      <c r="O101" s="125">
        <f t="shared" si="106"/>
        <v>0</v>
      </c>
      <c r="P101" s="125">
        <f t="shared" si="106"/>
        <v>0</v>
      </c>
      <c r="Q101" s="30"/>
      <c r="R101" s="26"/>
    </row>
    <row r="102" spans="1:18" s="33" customFormat="1" ht="47.25" hidden="1" thickTop="1" thickBot="1" x14ac:dyDescent="0.25">
      <c r="A102" s="134" t="s">
        <v>1225</v>
      </c>
      <c r="B102" s="134" t="s">
        <v>1186</v>
      </c>
      <c r="C102" s="134"/>
      <c r="D102" s="134" t="s">
        <v>1184</v>
      </c>
      <c r="E102" s="135">
        <f t="shared" si="106"/>
        <v>0</v>
      </c>
      <c r="F102" s="135">
        <f t="shared" si="106"/>
        <v>0</v>
      </c>
      <c r="G102" s="135">
        <f t="shared" si="106"/>
        <v>0</v>
      </c>
      <c r="H102" s="135">
        <f t="shared" si="106"/>
        <v>0</v>
      </c>
      <c r="I102" s="135">
        <f t="shared" si="106"/>
        <v>0</v>
      </c>
      <c r="J102" s="135">
        <f t="shared" si="106"/>
        <v>0</v>
      </c>
      <c r="K102" s="135">
        <f t="shared" si="106"/>
        <v>0</v>
      </c>
      <c r="L102" s="135">
        <f t="shared" si="106"/>
        <v>0</v>
      </c>
      <c r="M102" s="135">
        <f t="shared" si="106"/>
        <v>0</v>
      </c>
      <c r="N102" s="135">
        <f t="shared" si="106"/>
        <v>0</v>
      </c>
      <c r="O102" s="135">
        <f t="shared" si="106"/>
        <v>0</v>
      </c>
      <c r="P102" s="135">
        <f t="shared" si="106"/>
        <v>0</v>
      </c>
      <c r="Q102" s="30"/>
      <c r="R102" s="26"/>
    </row>
    <row r="103" spans="1:18" s="33" customFormat="1" ht="48" hidden="1" thickTop="1" thickBot="1" x14ac:dyDescent="0.25">
      <c r="A103" s="126" t="s">
        <v>1226</v>
      </c>
      <c r="B103" s="126" t="s">
        <v>1190</v>
      </c>
      <c r="C103" s="126" t="s">
        <v>1188</v>
      </c>
      <c r="D103" s="126" t="s">
        <v>1187</v>
      </c>
      <c r="E103" s="125">
        <f>F103</f>
        <v>0</v>
      </c>
      <c r="F103" s="132"/>
      <c r="G103" s="132"/>
      <c r="H103" s="132"/>
      <c r="I103" s="132"/>
      <c r="J103" s="125">
        <f>L103+O103</f>
        <v>0</v>
      </c>
      <c r="K103" s="132">
        <v>0</v>
      </c>
      <c r="L103" s="132"/>
      <c r="M103" s="132"/>
      <c r="N103" s="132"/>
      <c r="O103" s="130">
        <f>K103</f>
        <v>0</v>
      </c>
      <c r="P103" s="125">
        <f>E103+J103</f>
        <v>0</v>
      </c>
      <c r="Q103" s="30"/>
      <c r="R103" s="26"/>
    </row>
    <row r="104" spans="1:18" s="33" customFormat="1" ht="47.25" hidden="1" customHeight="1" thickTop="1" thickBot="1" x14ac:dyDescent="0.25">
      <c r="A104" s="144" t="s">
        <v>1029</v>
      </c>
      <c r="B104" s="144" t="s">
        <v>702</v>
      </c>
      <c r="C104" s="144"/>
      <c r="D104" s="144" t="s">
        <v>703</v>
      </c>
      <c r="E104" s="42">
        <f>E105</f>
        <v>0</v>
      </c>
      <c r="F104" s="42">
        <f t="shared" ref="F104:P105" si="107">F105</f>
        <v>0</v>
      </c>
      <c r="G104" s="42">
        <f t="shared" si="107"/>
        <v>0</v>
      </c>
      <c r="H104" s="42">
        <f t="shared" si="107"/>
        <v>0</v>
      </c>
      <c r="I104" s="42">
        <f t="shared" si="107"/>
        <v>0</v>
      </c>
      <c r="J104" s="42">
        <f t="shared" si="107"/>
        <v>0</v>
      </c>
      <c r="K104" s="42">
        <f t="shared" si="107"/>
        <v>0</v>
      </c>
      <c r="L104" s="42">
        <f t="shared" si="107"/>
        <v>0</v>
      </c>
      <c r="M104" s="42">
        <f t="shared" si="107"/>
        <v>0</v>
      </c>
      <c r="N104" s="42">
        <f t="shared" si="107"/>
        <v>0</v>
      </c>
      <c r="O104" s="42">
        <f t="shared" si="107"/>
        <v>0</v>
      </c>
      <c r="P104" s="42">
        <f t="shared" si="107"/>
        <v>0</v>
      </c>
      <c r="Q104" s="36"/>
      <c r="R104" s="26"/>
    </row>
    <row r="105" spans="1:18" s="33" customFormat="1" ht="91.5" hidden="1" thickTop="1" thickBot="1" x14ac:dyDescent="0.25">
      <c r="A105" s="145" t="s">
        <v>1030</v>
      </c>
      <c r="B105" s="145" t="s">
        <v>705</v>
      </c>
      <c r="C105" s="145"/>
      <c r="D105" s="145" t="s">
        <v>706</v>
      </c>
      <c r="E105" s="146">
        <f>E106</f>
        <v>0</v>
      </c>
      <c r="F105" s="146">
        <f t="shared" si="107"/>
        <v>0</v>
      </c>
      <c r="G105" s="146">
        <f t="shared" si="107"/>
        <v>0</v>
      </c>
      <c r="H105" s="146">
        <f t="shared" si="107"/>
        <v>0</v>
      </c>
      <c r="I105" s="146">
        <f t="shared" si="107"/>
        <v>0</v>
      </c>
      <c r="J105" s="146">
        <f t="shared" si="107"/>
        <v>0</v>
      </c>
      <c r="K105" s="146">
        <f t="shared" si="107"/>
        <v>0</v>
      </c>
      <c r="L105" s="146">
        <f t="shared" si="107"/>
        <v>0</v>
      </c>
      <c r="M105" s="146">
        <f t="shared" si="107"/>
        <v>0</v>
      </c>
      <c r="N105" s="146">
        <f t="shared" si="107"/>
        <v>0</v>
      </c>
      <c r="O105" s="146">
        <f t="shared" si="107"/>
        <v>0</v>
      </c>
      <c r="P105" s="146">
        <f t="shared" si="107"/>
        <v>0</v>
      </c>
      <c r="Q105" s="36"/>
      <c r="R105" s="26"/>
    </row>
    <row r="106" spans="1:18" s="33" customFormat="1" ht="48" hidden="1" thickTop="1" thickBot="1" x14ac:dyDescent="0.25">
      <c r="A106" s="41" t="s">
        <v>1031</v>
      </c>
      <c r="B106" s="41" t="s">
        <v>363</v>
      </c>
      <c r="C106" s="41" t="s">
        <v>43</v>
      </c>
      <c r="D106" s="41" t="s">
        <v>364</v>
      </c>
      <c r="E106" s="42">
        <f t="shared" ref="E106" si="108">F106</f>
        <v>0</v>
      </c>
      <c r="F106" s="43"/>
      <c r="G106" s="43"/>
      <c r="H106" s="43"/>
      <c r="I106" s="43"/>
      <c r="J106" s="42">
        <f>L106+O106</f>
        <v>0</v>
      </c>
      <c r="K106" s="43"/>
      <c r="L106" s="43"/>
      <c r="M106" s="43"/>
      <c r="N106" s="43"/>
      <c r="O106" s="44">
        <f>K106</f>
        <v>0</v>
      </c>
      <c r="P106" s="42">
        <f>E106+J106</f>
        <v>0</v>
      </c>
      <c r="Q106" s="36"/>
      <c r="R106" s="26"/>
    </row>
    <row r="107" spans="1:18" ht="120" customHeight="1" thickTop="1" thickBot="1" x14ac:dyDescent="0.25">
      <c r="A107" s="645" t="s">
        <v>154</v>
      </c>
      <c r="B107" s="645"/>
      <c r="C107" s="645"/>
      <c r="D107" s="646" t="s">
        <v>18</v>
      </c>
      <c r="E107" s="647">
        <f>E108</f>
        <v>105273592</v>
      </c>
      <c r="F107" s="648">
        <f t="shared" ref="F107:G107" si="109">F108</f>
        <v>105273592</v>
      </c>
      <c r="G107" s="648">
        <f t="shared" si="109"/>
        <v>5749881</v>
      </c>
      <c r="H107" s="648">
        <f>H108</f>
        <v>399960</v>
      </c>
      <c r="I107" s="648">
        <f t="shared" ref="I107" si="110">I108</f>
        <v>0</v>
      </c>
      <c r="J107" s="647">
        <f>J108</f>
        <v>36095193.990000002</v>
      </c>
      <c r="K107" s="648">
        <f>K108</f>
        <v>36095193.990000002</v>
      </c>
      <c r="L107" s="648">
        <f>L108</f>
        <v>0</v>
      </c>
      <c r="M107" s="648">
        <f t="shared" ref="M107" si="111">M108</f>
        <v>0</v>
      </c>
      <c r="N107" s="648">
        <f>N108</f>
        <v>0</v>
      </c>
      <c r="O107" s="647">
        <f>O108</f>
        <v>36095193.990000002</v>
      </c>
      <c r="P107" s="648">
        <f>P108</f>
        <v>141368785.99000001</v>
      </c>
      <c r="Q107" s="20"/>
    </row>
    <row r="108" spans="1:18" ht="120" customHeight="1" thickTop="1" thickBot="1" x14ac:dyDescent="0.25">
      <c r="A108" s="642" t="s">
        <v>155</v>
      </c>
      <c r="B108" s="642"/>
      <c r="C108" s="642"/>
      <c r="D108" s="643" t="s">
        <v>36</v>
      </c>
      <c r="E108" s="644">
        <f>E109+E112+E129+E127</f>
        <v>105273592</v>
      </c>
      <c r="F108" s="644">
        <f t="shared" ref="F108:P108" si="112">F109+F112+F129+F127</f>
        <v>105273592</v>
      </c>
      <c r="G108" s="644">
        <f t="shared" si="112"/>
        <v>5749881</v>
      </c>
      <c r="H108" s="644">
        <f t="shared" si="112"/>
        <v>399960</v>
      </c>
      <c r="I108" s="644">
        <f t="shared" si="112"/>
        <v>0</v>
      </c>
      <c r="J108" s="644">
        <f t="shared" si="112"/>
        <v>36095193.990000002</v>
      </c>
      <c r="K108" s="644">
        <f t="shared" si="112"/>
        <v>36095193.990000002</v>
      </c>
      <c r="L108" s="644">
        <f t="shared" si="112"/>
        <v>0</v>
      </c>
      <c r="M108" s="644">
        <f t="shared" si="112"/>
        <v>0</v>
      </c>
      <c r="N108" s="644">
        <f t="shared" si="112"/>
        <v>0</v>
      </c>
      <c r="O108" s="644">
        <f t="shared" si="112"/>
        <v>36095193.990000002</v>
      </c>
      <c r="P108" s="644">
        <f t="shared" si="112"/>
        <v>141368785.99000001</v>
      </c>
      <c r="Q108" s="554" t="b">
        <f>P108=P110+P113+P114+P115+P116+P119+P123+P124+P128+P132+P126+P136</f>
        <v>1</v>
      </c>
      <c r="R108" s="26"/>
    </row>
    <row r="109" spans="1:18" ht="47.25" thickTop="1" thickBot="1" x14ac:dyDescent="0.25">
      <c r="A109" s="308" t="s">
        <v>713</v>
      </c>
      <c r="B109" s="308" t="s">
        <v>684</v>
      </c>
      <c r="C109" s="308"/>
      <c r="D109" s="308" t="s">
        <v>685</v>
      </c>
      <c r="E109" s="325">
        <f>SUM(E110:E111)</f>
        <v>3390311</v>
      </c>
      <c r="F109" s="325">
        <f t="shared" ref="F109:P109" si="113">SUM(F110:F111)</f>
        <v>3390311</v>
      </c>
      <c r="G109" s="325">
        <f t="shared" si="113"/>
        <v>2480000</v>
      </c>
      <c r="H109" s="325">
        <f t="shared" si="113"/>
        <v>191160</v>
      </c>
      <c r="I109" s="325">
        <f t="shared" si="113"/>
        <v>0</v>
      </c>
      <c r="J109" s="325">
        <f t="shared" si="113"/>
        <v>0</v>
      </c>
      <c r="K109" s="325">
        <f t="shared" si="113"/>
        <v>0</v>
      </c>
      <c r="L109" s="325">
        <f t="shared" si="113"/>
        <v>0</v>
      </c>
      <c r="M109" s="325">
        <f t="shared" si="113"/>
        <v>0</v>
      </c>
      <c r="N109" s="325">
        <f t="shared" si="113"/>
        <v>0</v>
      </c>
      <c r="O109" s="325">
        <f t="shared" si="113"/>
        <v>0</v>
      </c>
      <c r="P109" s="325">
        <f t="shared" si="113"/>
        <v>3390311</v>
      </c>
      <c r="Q109" s="30"/>
      <c r="R109" s="26"/>
    </row>
    <row r="110" spans="1:18" ht="93" thickTop="1" thickBot="1" x14ac:dyDescent="0.25">
      <c r="A110" s="101" t="s">
        <v>416</v>
      </c>
      <c r="B110" s="101" t="s">
        <v>236</v>
      </c>
      <c r="C110" s="101" t="s">
        <v>234</v>
      </c>
      <c r="D110" s="101" t="s">
        <v>235</v>
      </c>
      <c r="E110" s="325">
        <f>F110</f>
        <v>3390311</v>
      </c>
      <c r="F110" s="458">
        <v>3390311</v>
      </c>
      <c r="G110" s="458">
        <v>2480000</v>
      </c>
      <c r="H110" s="458">
        <v>191160</v>
      </c>
      <c r="I110" s="458"/>
      <c r="J110" s="325">
        <f t="shared" ref="J110:J138" si="114">L110+O110</f>
        <v>0</v>
      </c>
      <c r="K110" s="458">
        <v>0</v>
      </c>
      <c r="L110" s="458"/>
      <c r="M110" s="458"/>
      <c r="N110" s="458"/>
      <c r="O110" s="455">
        <f>K110</f>
        <v>0</v>
      </c>
      <c r="P110" s="325">
        <f t="shared" ref="P110:P138" si="115">E110+J110</f>
        <v>3390311</v>
      </c>
      <c r="Q110" s="39"/>
      <c r="R110" s="26"/>
    </row>
    <row r="111" spans="1:18" ht="93" hidden="1" thickTop="1" thickBot="1" x14ac:dyDescent="0.25">
      <c r="A111" s="126" t="s">
        <v>1257</v>
      </c>
      <c r="B111" s="126" t="s">
        <v>362</v>
      </c>
      <c r="C111" s="126" t="s">
        <v>625</v>
      </c>
      <c r="D111" s="126" t="s">
        <v>626</v>
      </c>
      <c r="E111" s="125">
        <f>F111</f>
        <v>0</v>
      </c>
      <c r="F111" s="132">
        <v>0</v>
      </c>
      <c r="G111" s="132"/>
      <c r="H111" s="132"/>
      <c r="I111" s="132"/>
      <c r="J111" s="125">
        <f t="shared" si="114"/>
        <v>0</v>
      </c>
      <c r="K111" s="132"/>
      <c r="L111" s="132"/>
      <c r="M111" s="132"/>
      <c r="N111" s="132"/>
      <c r="O111" s="130">
        <f>K111</f>
        <v>0</v>
      </c>
      <c r="P111" s="125">
        <f t="shared" si="115"/>
        <v>0</v>
      </c>
      <c r="Q111" s="39"/>
      <c r="R111" s="26"/>
    </row>
    <row r="112" spans="1:18" ht="47.25" thickTop="1" thickBot="1" x14ac:dyDescent="0.25">
      <c r="A112" s="308" t="s">
        <v>714</v>
      </c>
      <c r="B112" s="308" t="s">
        <v>715</v>
      </c>
      <c r="C112" s="308"/>
      <c r="D112" s="308" t="s">
        <v>716</v>
      </c>
      <c r="E112" s="325">
        <f>SUM(E113:E126)-E118-E120-E122-E125</f>
        <v>101783281</v>
      </c>
      <c r="F112" s="325">
        <f t="shared" ref="F112:P112" si="116">SUM(F113:F126)-F118-F120-F122-F125</f>
        <v>101783281</v>
      </c>
      <c r="G112" s="325">
        <f t="shared" si="116"/>
        <v>3269881</v>
      </c>
      <c r="H112" s="325">
        <f t="shared" si="116"/>
        <v>208800</v>
      </c>
      <c r="I112" s="325">
        <f t="shared" si="116"/>
        <v>0</v>
      </c>
      <c r="J112" s="325">
        <f t="shared" si="116"/>
        <v>31036269</v>
      </c>
      <c r="K112" s="325">
        <f t="shared" si="116"/>
        <v>31036269</v>
      </c>
      <c r="L112" s="325">
        <f t="shared" si="116"/>
        <v>0</v>
      </c>
      <c r="M112" s="325">
        <f t="shared" si="116"/>
        <v>0</v>
      </c>
      <c r="N112" s="325">
        <f t="shared" si="116"/>
        <v>0</v>
      </c>
      <c r="O112" s="325">
        <f t="shared" si="116"/>
        <v>31036269</v>
      </c>
      <c r="P112" s="325">
        <f t="shared" si="116"/>
        <v>132819550</v>
      </c>
      <c r="Q112" s="39"/>
      <c r="R112" s="39"/>
    </row>
    <row r="113" spans="1:18" ht="48" thickTop="1" thickBot="1" x14ac:dyDescent="0.25">
      <c r="A113" s="101" t="s">
        <v>214</v>
      </c>
      <c r="B113" s="101" t="s">
        <v>211</v>
      </c>
      <c r="C113" s="101" t="s">
        <v>215</v>
      </c>
      <c r="D113" s="101" t="s">
        <v>19</v>
      </c>
      <c r="E113" s="325">
        <f>F113</f>
        <v>24035580</v>
      </c>
      <c r="F113" s="458">
        <f>((24239100-5400000)+625000)+4500000+71480</f>
        <v>24035580</v>
      </c>
      <c r="G113" s="458"/>
      <c r="H113" s="458"/>
      <c r="I113" s="458"/>
      <c r="J113" s="325">
        <f t="shared" si="114"/>
        <v>16260700</v>
      </c>
      <c r="K113" s="458">
        <f>(((6800000)+5212000)+1000000)+2994000+254700</f>
        <v>16260700</v>
      </c>
      <c r="L113" s="458"/>
      <c r="M113" s="458"/>
      <c r="N113" s="458"/>
      <c r="O113" s="455">
        <f>K113</f>
        <v>16260700</v>
      </c>
      <c r="P113" s="325">
        <f t="shared" si="115"/>
        <v>40296280</v>
      </c>
      <c r="Q113" s="20"/>
      <c r="R113" s="30"/>
    </row>
    <row r="114" spans="1:18" ht="48" thickTop="1" thickBot="1" x14ac:dyDescent="0.25">
      <c r="A114" s="101" t="s">
        <v>505</v>
      </c>
      <c r="B114" s="101" t="s">
        <v>508</v>
      </c>
      <c r="C114" s="101" t="s">
        <v>507</v>
      </c>
      <c r="D114" s="101" t="s">
        <v>506</v>
      </c>
      <c r="E114" s="325">
        <f>F114</f>
        <v>12536600</v>
      </c>
      <c r="F114" s="458">
        <f>((10860600-1200000)+450000+426000)+1000000+1000000</f>
        <v>12536600</v>
      </c>
      <c r="G114" s="458"/>
      <c r="H114" s="458"/>
      <c r="I114" s="458"/>
      <c r="J114" s="325">
        <f t="shared" si="114"/>
        <v>0</v>
      </c>
      <c r="K114" s="458"/>
      <c r="L114" s="458"/>
      <c r="M114" s="458"/>
      <c r="N114" s="458"/>
      <c r="O114" s="455">
        <f>K114</f>
        <v>0</v>
      </c>
      <c r="P114" s="325">
        <f t="shared" si="115"/>
        <v>12536600</v>
      </c>
      <c r="Q114" s="20"/>
      <c r="R114" s="39"/>
    </row>
    <row r="115" spans="1:18" ht="48" thickTop="1" thickBot="1" x14ac:dyDescent="0.25">
      <c r="A115" s="101" t="s">
        <v>216</v>
      </c>
      <c r="B115" s="101" t="s">
        <v>217</v>
      </c>
      <c r="C115" s="101" t="s">
        <v>218</v>
      </c>
      <c r="D115" s="101" t="s">
        <v>219</v>
      </c>
      <c r="E115" s="325">
        <f t="shared" ref="E115:E138" si="117">F115</f>
        <v>10381900</v>
      </c>
      <c r="F115" s="458">
        <f>(9381900-1300000)+1500000+300000+500000</f>
        <v>10381900</v>
      </c>
      <c r="G115" s="458"/>
      <c r="H115" s="458"/>
      <c r="I115" s="458"/>
      <c r="J115" s="325">
        <f t="shared" si="114"/>
        <v>13233781</v>
      </c>
      <c r="K115" s="458">
        <f>((2400000)+4029711)+1089138+1606348+2108584+2000000</f>
        <v>13233781</v>
      </c>
      <c r="L115" s="458"/>
      <c r="M115" s="458"/>
      <c r="N115" s="458"/>
      <c r="O115" s="455">
        <f>K115</f>
        <v>13233781</v>
      </c>
      <c r="P115" s="325">
        <f t="shared" si="115"/>
        <v>23615681</v>
      </c>
      <c r="Q115" s="20"/>
      <c r="R115" s="39"/>
    </row>
    <row r="116" spans="1:18" ht="93" thickTop="1" thickBot="1" x14ac:dyDescent="0.25">
      <c r="A116" s="101" t="s">
        <v>220</v>
      </c>
      <c r="B116" s="101" t="s">
        <v>221</v>
      </c>
      <c r="C116" s="101" t="s">
        <v>222</v>
      </c>
      <c r="D116" s="101" t="s">
        <v>345</v>
      </c>
      <c r="E116" s="325">
        <f t="shared" si="117"/>
        <v>25552146</v>
      </c>
      <c r="F116" s="458">
        <f>(26512900-1500000)+500000+39246</f>
        <v>25552146</v>
      </c>
      <c r="G116" s="132"/>
      <c r="H116" s="132"/>
      <c r="I116" s="132"/>
      <c r="J116" s="325">
        <f t="shared" si="114"/>
        <v>541788</v>
      </c>
      <c r="K116" s="458">
        <f>(0)+308038+233750</f>
        <v>541788</v>
      </c>
      <c r="L116" s="458"/>
      <c r="M116" s="458"/>
      <c r="N116" s="458"/>
      <c r="O116" s="455">
        <f>K116</f>
        <v>541788</v>
      </c>
      <c r="P116" s="325">
        <f t="shared" si="115"/>
        <v>26093934</v>
      </c>
      <c r="Q116" s="20"/>
      <c r="R116" s="39"/>
    </row>
    <row r="117" spans="1:18" ht="48" hidden="1" thickTop="1" thickBot="1" x14ac:dyDescent="0.25">
      <c r="A117" s="126" t="s">
        <v>223</v>
      </c>
      <c r="B117" s="126" t="s">
        <v>224</v>
      </c>
      <c r="C117" s="126" t="s">
        <v>225</v>
      </c>
      <c r="D117" s="126" t="s">
        <v>226</v>
      </c>
      <c r="E117" s="125">
        <f t="shared" si="117"/>
        <v>0</v>
      </c>
      <c r="F117" s="132">
        <f>(7556300)-7556300</f>
        <v>0</v>
      </c>
      <c r="G117" s="132"/>
      <c r="H117" s="132"/>
      <c r="I117" s="132"/>
      <c r="J117" s="325">
        <f t="shared" si="114"/>
        <v>0</v>
      </c>
      <c r="K117" s="458">
        <f>(200000)-200000</f>
        <v>0</v>
      </c>
      <c r="L117" s="458"/>
      <c r="M117" s="458"/>
      <c r="N117" s="458"/>
      <c r="O117" s="455">
        <f>K117</f>
        <v>0</v>
      </c>
      <c r="P117" s="325">
        <f t="shared" si="115"/>
        <v>0</v>
      </c>
      <c r="Q117" s="20"/>
      <c r="R117" s="39"/>
    </row>
    <row r="118" spans="1:18" ht="48" thickTop="1" thickBot="1" x14ac:dyDescent="0.25">
      <c r="A118" s="326" t="s">
        <v>717</v>
      </c>
      <c r="B118" s="326" t="s">
        <v>718</v>
      </c>
      <c r="C118" s="326"/>
      <c r="D118" s="326" t="s">
        <v>719</v>
      </c>
      <c r="E118" s="322">
        <f>E119</f>
        <v>19427800</v>
      </c>
      <c r="F118" s="322">
        <f t="shared" ref="F118:P118" si="118">F119</f>
        <v>19427800</v>
      </c>
      <c r="G118" s="322">
        <f t="shared" si="118"/>
        <v>0</v>
      </c>
      <c r="H118" s="322">
        <f t="shared" si="118"/>
        <v>0</v>
      </c>
      <c r="I118" s="322">
        <f t="shared" si="118"/>
        <v>0</v>
      </c>
      <c r="J118" s="322">
        <f t="shared" si="118"/>
        <v>1000000</v>
      </c>
      <c r="K118" s="322">
        <f t="shared" si="118"/>
        <v>1000000</v>
      </c>
      <c r="L118" s="322">
        <f t="shared" si="118"/>
        <v>0</v>
      </c>
      <c r="M118" s="322">
        <f t="shared" si="118"/>
        <v>0</v>
      </c>
      <c r="N118" s="322">
        <f t="shared" si="118"/>
        <v>0</v>
      </c>
      <c r="O118" s="322">
        <f t="shared" si="118"/>
        <v>1000000</v>
      </c>
      <c r="P118" s="322">
        <f t="shared" si="118"/>
        <v>20427800</v>
      </c>
      <c r="Q118" s="20"/>
      <c r="R118" s="39"/>
    </row>
    <row r="119" spans="1:18" ht="93" thickTop="1" thickBot="1" x14ac:dyDescent="0.25">
      <c r="A119" s="101" t="s">
        <v>227</v>
      </c>
      <c r="B119" s="101" t="s">
        <v>228</v>
      </c>
      <c r="C119" s="101" t="s">
        <v>346</v>
      </c>
      <c r="D119" s="101" t="s">
        <v>229</v>
      </c>
      <c r="E119" s="325">
        <f t="shared" si="117"/>
        <v>19427800</v>
      </c>
      <c r="F119" s="458">
        <f>(19727800-600000)+300000</f>
        <v>19427800</v>
      </c>
      <c r="G119" s="458"/>
      <c r="H119" s="458"/>
      <c r="I119" s="458"/>
      <c r="J119" s="325">
        <f t="shared" si="114"/>
        <v>1000000</v>
      </c>
      <c r="K119" s="458">
        <f>(0)+1000000</f>
        <v>1000000</v>
      </c>
      <c r="L119" s="458"/>
      <c r="M119" s="458"/>
      <c r="N119" s="458"/>
      <c r="O119" s="455">
        <f t="shared" ref="O119:O138" si="119">K119</f>
        <v>1000000</v>
      </c>
      <c r="P119" s="325">
        <f t="shared" si="115"/>
        <v>20427800</v>
      </c>
      <c r="Q119" s="20"/>
      <c r="R119" s="39"/>
    </row>
    <row r="120" spans="1:18" ht="48" hidden="1" thickTop="1" thickBot="1" x14ac:dyDescent="0.25">
      <c r="A120" s="138" t="s">
        <v>720</v>
      </c>
      <c r="B120" s="138" t="s">
        <v>721</v>
      </c>
      <c r="C120" s="138"/>
      <c r="D120" s="138" t="s">
        <v>722</v>
      </c>
      <c r="E120" s="139">
        <f>E121</f>
        <v>0</v>
      </c>
      <c r="F120" s="139">
        <f t="shared" ref="F120:P120" si="120">F121</f>
        <v>0</v>
      </c>
      <c r="G120" s="139">
        <f t="shared" si="120"/>
        <v>0</v>
      </c>
      <c r="H120" s="139">
        <f t="shared" si="120"/>
        <v>0</v>
      </c>
      <c r="I120" s="139">
        <f t="shared" si="120"/>
        <v>0</v>
      </c>
      <c r="J120" s="580">
        <f t="shared" si="120"/>
        <v>0</v>
      </c>
      <c r="K120" s="580">
        <f t="shared" si="120"/>
        <v>0</v>
      </c>
      <c r="L120" s="580">
        <f t="shared" si="120"/>
        <v>0</v>
      </c>
      <c r="M120" s="580">
        <f t="shared" si="120"/>
        <v>0</v>
      </c>
      <c r="N120" s="580">
        <f t="shared" si="120"/>
        <v>0</v>
      </c>
      <c r="O120" s="580">
        <f t="shared" si="120"/>
        <v>0</v>
      </c>
      <c r="P120" s="580">
        <f t="shared" si="120"/>
        <v>0</v>
      </c>
      <c r="Q120" s="20"/>
      <c r="R120" s="39"/>
    </row>
    <row r="121" spans="1:18" ht="48" hidden="1" thickTop="1" thickBot="1" x14ac:dyDescent="0.25">
      <c r="A121" s="126" t="s">
        <v>475</v>
      </c>
      <c r="B121" s="126" t="s">
        <v>476</v>
      </c>
      <c r="C121" s="126" t="s">
        <v>230</v>
      </c>
      <c r="D121" s="126" t="s">
        <v>477</v>
      </c>
      <c r="E121" s="125">
        <f t="shared" si="117"/>
        <v>0</v>
      </c>
      <c r="F121" s="132">
        <v>0</v>
      </c>
      <c r="G121" s="132"/>
      <c r="H121" s="132"/>
      <c r="I121" s="132"/>
      <c r="J121" s="581">
        <f t="shared" si="114"/>
        <v>0</v>
      </c>
      <c r="K121" s="582"/>
      <c r="L121" s="582"/>
      <c r="M121" s="582"/>
      <c r="N121" s="582"/>
      <c r="O121" s="583">
        <f t="shared" si="119"/>
        <v>0</v>
      </c>
      <c r="P121" s="581">
        <f t="shared" si="115"/>
        <v>0</v>
      </c>
      <c r="Q121" s="20"/>
      <c r="R121" s="39"/>
    </row>
    <row r="122" spans="1:18" ht="48" thickTop="1" thickBot="1" x14ac:dyDescent="0.25">
      <c r="A122" s="326" t="s">
        <v>723</v>
      </c>
      <c r="B122" s="326" t="s">
        <v>724</v>
      </c>
      <c r="C122" s="326"/>
      <c r="D122" s="326" t="s">
        <v>725</v>
      </c>
      <c r="E122" s="322">
        <f>SUM(E123:E124)</f>
        <v>9849255</v>
      </c>
      <c r="F122" s="322">
        <f t="shared" ref="F122:P122" si="121">SUM(F123:F124)</f>
        <v>9849255</v>
      </c>
      <c r="G122" s="322">
        <f t="shared" si="121"/>
        <v>3269881</v>
      </c>
      <c r="H122" s="322">
        <f t="shared" si="121"/>
        <v>208800</v>
      </c>
      <c r="I122" s="322">
        <f t="shared" si="121"/>
        <v>0</v>
      </c>
      <c r="J122" s="322">
        <f t="shared" si="121"/>
        <v>0</v>
      </c>
      <c r="K122" s="322">
        <f t="shared" si="121"/>
        <v>0</v>
      </c>
      <c r="L122" s="322">
        <f t="shared" si="121"/>
        <v>0</v>
      </c>
      <c r="M122" s="322">
        <f t="shared" si="121"/>
        <v>0</v>
      </c>
      <c r="N122" s="322">
        <f t="shared" si="121"/>
        <v>0</v>
      </c>
      <c r="O122" s="322">
        <f t="shared" si="121"/>
        <v>0</v>
      </c>
      <c r="P122" s="322">
        <f t="shared" si="121"/>
        <v>9849255</v>
      </c>
      <c r="Q122" s="20"/>
      <c r="R122" s="39"/>
    </row>
    <row r="123" spans="1:18" s="33" customFormat="1" ht="48" thickTop="1" thickBot="1" x14ac:dyDescent="0.25">
      <c r="A123" s="101" t="s">
        <v>321</v>
      </c>
      <c r="B123" s="101" t="s">
        <v>323</v>
      </c>
      <c r="C123" s="101" t="s">
        <v>230</v>
      </c>
      <c r="D123" s="466" t="s">
        <v>319</v>
      </c>
      <c r="E123" s="325">
        <f t="shared" si="117"/>
        <v>4423055</v>
      </c>
      <c r="F123" s="458">
        <v>4423055</v>
      </c>
      <c r="G123" s="458">
        <v>3269881</v>
      </c>
      <c r="H123" s="458">
        <v>208800</v>
      </c>
      <c r="I123" s="458"/>
      <c r="J123" s="325">
        <f t="shared" si="114"/>
        <v>0</v>
      </c>
      <c r="K123" s="458"/>
      <c r="L123" s="458"/>
      <c r="M123" s="458"/>
      <c r="N123" s="458"/>
      <c r="O123" s="455">
        <f t="shared" si="119"/>
        <v>0</v>
      </c>
      <c r="P123" s="325">
        <f t="shared" si="115"/>
        <v>4423055</v>
      </c>
      <c r="Q123" s="36"/>
      <c r="R123" s="26"/>
    </row>
    <row r="124" spans="1:18" s="33" customFormat="1" ht="48" thickTop="1" thickBot="1" x14ac:dyDescent="0.25">
      <c r="A124" s="101" t="s">
        <v>322</v>
      </c>
      <c r="B124" s="101" t="s">
        <v>324</v>
      </c>
      <c r="C124" s="101" t="s">
        <v>230</v>
      </c>
      <c r="D124" s="466" t="s">
        <v>320</v>
      </c>
      <c r="E124" s="325">
        <f t="shared" si="117"/>
        <v>5426200</v>
      </c>
      <c r="F124" s="458">
        <v>5426200</v>
      </c>
      <c r="G124" s="458"/>
      <c r="H124" s="458"/>
      <c r="I124" s="458"/>
      <c r="J124" s="325">
        <f t="shared" si="114"/>
        <v>0</v>
      </c>
      <c r="K124" s="458"/>
      <c r="L124" s="458"/>
      <c r="M124" s="458"/>
      <c r="N124" s="458"/>
      <c r="O124" s="455">
        <f t="shared" si="119"/>
        <v>0</v>
      </c>
      <c r="P124" s="325">
        <f t="shared" si="115"/>
        <v>5426200</v>
      </c>
      <c r="Q124" s="36"/>
      <c r="R124" s="39"/>
    </row>
    <row r="125" spans="1:18" s="33" customFormat="1" ht="127.5" customHeight="1" thickTop="1" thickBot="1" x14ac:dyDescent="0.25">
      <c r="A125" s="326" t="s">
        <v>1597</v>
      </c>
      <c r="B125" s="326" t="s">
        <v>1598</v>
      </c>
      <c r="C125" s="326"/>
      <c r="D125" s="326" t="s">
        <v>1596</v>
      </c>
      <c r="E125" s="322">
        <f>E126</f>
        <v>0</v>
      </c>
      <c r="F125" s="322">
        <f t="shared" ref="F125:P125" si="122">F126</f>
        <v>0</v>
      </c>
      <c r="G125" s="322">
        <f t="shared" si="122"/>
        <v>0</v>
      </c>
      <c r="H125" s="322">
        <f t="shared" si="122"/>
        <v>0</v>
      </c>
      <c r="I125" s="322">
        <f t="shared" si="122"/>
        <v>0</v>
      </c>
      <c r="J125" s="322">
        <f t="shared" si="122"/>
        <v>0</v>
      </c>
      <c r="K125" s="322">
        <f t="shared" si="122"/>
        <v>0</v>
      </c>
      <c r="L125" s="322">
        <f t="shared" si="122"/>
        <v>0</v>
      </c>
      <c r="M125" s="322">
        <f t="shared" si="122"/>
        <v>0</v>
      </c>
      <c r="N125" s="322">
        <f t="shared" si="122"/>
        <v>0</v>
      </c>
      <c r="O125" s="322">
        <f t="shared" si="122"/>
        <v>0</v>
      </c>
      <c r="P125" s="322">
        <f t="shared" si="122"/>
        <v>0</v>
      </c>
      <c r="Q125" s="36"/>
      <c r="R125" s="39"/>
    </row>
    <row r="126" spans="1:18" s="709" customFormat="1" ht="138.75" hidden="1" thickTop="1" thickBot="1" x14ac:dyDescent="0.25">
      <c r="A126" s="101" t="s">
        <v>1600</v>
      </c>
      <c r="B126" s="101" t="s">
        <v>1601</v>
      </c>
      <c r="C126" s="101" t="s">
        <v>230</v>
      </c>
      <c r="D126" s="466" t="s">
        <v>1599</v>
      </c>
      <c r="E126" s="325">
        <f t="shared" ref="E126" si="123">F126</f>
        <v>0</v>
      </c>
      <c r="F126" s="458"/>
      <c r="G126" s="458"/>
      <c r="H126" s="458"/>
      <c r="I126" s="458"/>
      <c r="J126" s="325">
        <f t="shared" ref="J126" si="124">L126+O126</f>
        <v>0</v>
      </c>
      <c r="K126" s="458">
        <f>(2994000)-2994000</f>
        <v>0</v>
      </c>
      <c r="L126" s="458"/>
      <c r="M126" s="458"/>
      <c r="N126" s="458"/>
      <c r="O126" s="455">
        <f t="shared" ref="O126" si="125">K126</f>
        <v>0</v>
      </c>
      <c r="P126" s="325">
        <f t="shared" ref="P126" si="126">E126+J126</f>
        <v>0</v>
      </c>
      <c r="Q126" s="707"/>
      <c r="R126" s="708"/>
    </row>
    <row r="127" spans="1:18" s="33" customFormat="1" ht="47.25" thickTop="1" thickBot="1" x14ac:dyDescent="0.25">
      <c r="A127" s="308" t="s">
        <v>1198</v>
      </c>
      <c r="B127" s="308" t="s">
        <v>711</v>
      </c>
      <c r="C127" s="308"/>
      <c r="D127" s="308" t="s">
        <v>712</v>
      </c>
      <c r="E127" s="325">
        <f>E128</f>
        <v>100000</v>
      </c>
      <c r="F127" s="325">
        <f t="shared" ref="F127:P127" si="127">F128</f>
        <v>100000</v>
      </c>
      <c r="G127" s="325">
        <f t="shared" si="127"/>
        <v>0</v>
      </c>
      <c r="H127" s="325">
        <f t="shared" si="127"/>
        <v>0</v>
      </c>
      <c r="I127" s="325">
        <f t="shared" si="127"/>
        <v>0</v>
      </c>
      <c r="J127" s="325">
        <f t="shared" si="127"/>
        <v>0</v>
      </c>
      <c r="K127" s="325">
        <f t="shared" si="127"/>
        <v>0</v>
      </c>
      <c r="L127" s="325">
        <f t="shared" si="127"/>
        <v>0</v>
      </c>
      <c r="M127" s="325">
        <f t="shared" si="127"/>
        <v>0</v>
      </c>
      <c r="N127" s="325">
        <f t="shared" si="127"/>
        <v>0</v>
      </c>
      <c r="O127" s="325">
        <f t="shared" si="127"/>
        <v>0</v>
      </c>
      <c r="P127" s="325">
        <f t="shared" si="127"/>
        <v>100000</v>
      </c>
      <c r="Q127" s="36"/>
      <c r="R127" s="39"/>
    </row>
    <row r="128" spans="1:18" s="33" customFormat="1" ht="93" thickTop="1" thickBot="1" x14ac:dyDescent="0.25">
      <c r="A128" s="101" t="s">
        <v>1199</v>
      </c>
      <c r="B128" s="101" t="s">
        <v>1200</v>
      </c>
      <c r="C128" s="101" t="s">
        <v>206</v>
      </c>
      <c r="D128" s="466" t="s">
        <v>1201</v>
      </c>
      <c r="E128" s="325">
        <f t="shared" ref="E128" si="128">F128</f>
        <v>100000</v>
      </c>
      <c r="F128" s="458">
        <v>100000</v>
      </c>
      <c r="G128" s="458"/>
      <c r="H128" s="458"/>
      <c r="I128" s="458"/>
      <c r="J128" s="325">
        <f t="shared" ref="J128" si="129">L128+O128</f>
        <v>0</v>
      </c>
      <c r="K128" s="458"/>
      <c r="L128" s="458"/>
      <c r="M128" s="458"/>
      <c r="N128" s="458"/>
      <c r="O128" s="455">
        <f t="shared" ref="O128" si="130">K128</f>
        <v>0</v>
      </c>
      <c r="P128" s="325">
        <f t="shared" ref="P128" si="131">E128+J128</f>
        <v>100000</v>
      </c>
      <c r="Q128" s="36"/>
      <c r="R128" s="39"/>
    </row>
    <row r="129" spans="1:20" s="33" customFormat="1" ht="47.25" thickTop="1" thickBot="1" x14ac:dyDescent="0.25">
      <c r="A129" s="308" t="s">
        <v>750</v>
      </c>
      <c r="B129" s="308" t="s">
        <v>748</v>
      </c>
      <c r="C129" s="308"/>
      <c r="D129" s="308" t="s">
        <v>749</v>
      </c>
      <c r="E129" s="325">
        <f>SUM(E135)+E130</f>
        <v>0</v>
      </c>
      <c r="F129" s="325">
        <f t="shared" ref="F129:P129" si="132">SUM(F135)+F130</f>
        <v>0</v>
      </c>
      <c r="G129" s="325">
        <f t="shared" si="132"/>
        <v>0</v>
      </c>
      <c r="H129" s="325">
        <f t="shared" si="132"/>
        <v>0</v>
      </c>
      <c r="I129" s="325">
        <f t="shared" si="132"/>
        <v>0</v>
      </c>
      <c r="J129" s="325">
        <f t="shared" si="132"/>
        <v>5058924.99</v>
      </c>
      <c r="K129" s="325">
        <f t="shared" si="132"/>
        <v>5058924.99</v>
      </c>
      <c r="L129" s="325">
        <f t="shared" si="132"/>
        <v>0</v>
      </c>
      <c r="M129" s="325">
        <f t="shared" si="132"/>
        <v>0</v>
      </c>
      <c r="N129" s="325">
        <f t="shared" si="132"/>
        <v>0</v>
      </c>
      <c r="O129" s="325">
        <f t="shared" si="132"/>
        <v>5058924.99</v>
      </c>
      <c r="P129" s="325">
        <f t="shared" si="132"/>
        <v>5058924.99</v>
      </c>
      <c r="Q129" s="36"/>
      <c r="R129" s="39"/>
    </row>
    <row r="130" spans="1:20" s="33" customFormat="1" ht="47.25" thickTop="1" thickBot="1" x14ac:dyDescent="0.25">
      <c r="A130" s="310" t="s">
        <v>1053</v>
      </c>
      <c r="B130" s="310" t="s">
        <v>803</v>
      </c>
      <c r="C130" s="310"/>
      <c r="D130" s="310" t="s">
        <v>804</v>
      </c>
      <c r="E130" s="312">
        <f>E133+E131</f>
        <v>0</v>
      </c>
      <c r="F130" s="312">
        <f t="shared" ref="F130:P130" si="133">F133+F131</f>
        <v>0</v>
      </c>
      <c r="G130" s="312">
        <f t="shared" si="133"/>
        <v>0</v>
      </c>
      <c r="H130" s="312">
        <f t="shared" si="133"/>
        <v>0</v>
      </c>
      <c r="I130" s="312">
        <f t="shared" si="133"/>
        <v>0</v>
      </c>
      <c r="J130" s="312">
        <f t="shared" si="133"/>
        <v>3058924.99</v>
      </c>
      <c r="K130" s="312">
        <f t="shared" si="133"/>
        <v>3058924.99</v>
      </c>
      <c r="L130" s="312">
        <f t="shared" si="133"/>
        <v>0</v>
      </c>
      <c r="M130" s="312">
        <f t="shared" si="133"/>
        <v>0</v>
      </c>
      <c r="N130" s="312">
        <f t="shared" si="133"/>
        <v>0</v>
      </c>
      <c r="O130" s="312">
        <f t="shared" si="133"/>
        <v>3058924.99</v>
      </c>
      <c r="P130" s="312">
        <f t="shared" si="133"/>
        <v>3058924.99</v>
      </c>
      <c r="Q130" s="36"/>
      <c r="R130" s="39"/>
    </row>
    <row r="131" spans="1:20" s="33" customFormat="1" ht="54.75" thickTop="1" thickBot="1" x14ac:dyDescent="0.25">
      <c r="A131" s="326" t="s">
        <v>1180</v>
      </c>
      <c r="B131" s="326" t="s">
        <v>821</v>
      </c>
      <c r="C131" s="326"/>
      <c r="D131" s="326" t="s">
        <v>1503</v>
      </c>
      <c r="E131" s="322">
        <f>E132</f>
        <v>0</v>
      </c>
      <c r="F131" s="322">
        <f t="shared" ref="F131:P131" si="134">F132</f>
        <v>0</v>
      </c>
      <c r="G131" s="322">
        <f t="shared" si="134"/>
        <v>0</v>
      </c>
      <c r="H131" s="322">
        <f t="shared" si="134"/>
        <v>0</v>
      </c>
      <c r="I131" s="322">
        <f t="shared" si="134"/>
        <v>0</v>
      </c>
      <c r="J131" s="322">
        <f t="shared" si="134"/>
        <v>3058924.99</v>
      </c>
      <c r="K131" s="322">
        <f t="shared" si="134"/>
        <v>3058924.99</v>
      </c>
      <c r="L131" s="322">
        <f t="shared" si="134"/>
        <v>0</v>
      </c>
      <c r="M131" s="322">
        <f t="shared" si="134"/>
        <v>0</v>
      </c>
      <c r="N131" s="322">
        <f t="shared" si="134"/>
        <v>0</v>
      </c>
      <c r="O131" s="322">
        <f t="shared" si="134"/>
        <v>3058924.99</v>
      </c>
      <c r="P131" s="322">
        <f t="shared" si="134"/>
        <v>3058924.99</v>
      </c>
      <c r="Q131" s="36"/>
      <c r="R131" s="39"/>
    </row>
    <row r="132" spans="1:20" s="33" customFormat="1" ht="54" thickTop="1" thickBot="1" x14ac:dyDescent="0.25">
      <c r="A132" s="101" t="s">
        <v>1179</v>
      </c>
      <c r="B132" s="101" t="s">
        <v>1181</v>
      </c>
      <c r="C132" s="101" t="s">
        <v>304</v>
      </c>
      <c r="D132" s="101" t="s">
        <v>1525</v>
      </c>
      <c r="E132" s="325">
        <f t="shared" ref="E132" si="135">F132</f>
        <v>0</v>
      </c>
      <c r="F132" s="458"/>
      <c r="G132" s="458"/>
      <c r="H132" s="458"/>
      <c r="I132" s="458"/>
      <c r="J132" s="325">
        <f t="shared" ref="J132" si="136">L132+O132</f>
        <v>3058924.99</v>
      </c>
      <c r="K132" s="458">
        <f>(1000000)+2058924.99</f>
        <v>3058924.99</v>
      </c>
      <c r="L132" s="458"/>
      <c r="M132" s="458"/>
      <c r="N132" s="458"/>
      <c r="O132" s="455">
        <f>K132</f>
        <v>3058924.99</v>
      </c>
      <c r="P132" s="325">
        <f t="shared" ref="P132" si="137">E132+J132</f>
        <v>3058924.99</v>
      </c>
      <c r="Q132" s="36"/>
      <c r="R132" s="39"/>
    </row>
    <row r="133" spans="1:20" s="33" customFormat="1" ht="48" hidden="1" thickTop="1" thickBot="1" x14ac:dyDescent="0.25">
      <c r="A133" s="142" t="s">
        <v>1054</v>
      </c>
      <c r="B133" s="142" t="s">
        <v>1052</v>
      </c>
      <c r="C133" s="142"/>
      <c r="D133" s="142" t="s">
        <v>1051</v>
      </c>
      <c r="E133" s="143">
        <f>E134</f>
        <v>0</v>
      </c>
      <c r="F133" s="143">
        <f t="shared" ref="F133:P133" si="138">F134</f>
        <v>0</v>
      </c>
      <c r="G133" s="143">
        <f t="shared" si="138"/>
        <v>0</v>
      </c>
      <c r="H133" s="143">
        <f t="shared" si="138"/>
        <v>0</v>
      </c>
      <c r="I133" s="143">
        <f t="shared" si="138"/>
        <v>0</v>
      </c>
      <c r="J133" s="143">
        <f t="shared" si="138"/>
        <v>0</v>
      </c>
      <c r="K133" s="143">
        <f t="shared" si="138"/>
        <v>0</v>
      </c>
      <c r="L133" s="143">
        <f t="shared" si="138"/>
        <v>0</v>
      </c>
      <c r="M133" s="143">
        <f t="shared" si="138"/>
        <v>0</v>
      </c>
      <c r="N133" s="143">
        <f t="shared" si="138"/>
        <v>0</v>
      </c>
      <c r="O133" s="143">
        <f t="shared" si="138"/>
        <v>0</v>
      </c>
      <c r="P133" s="143">
        <f t="shared" si="138"/>
        <v>0</v>
      </c>
      <c r="Q133" s="36"/>
      <c r="R133" s="39"/>
    </row>
    <row r="134" spans="1:20" s="33" customFormat="1" ht="93" hidden="1" thickTop="1" thickBot="1" x14ac:dyDescent="0.25">
      <c r="A134" s="41" t="s">
        <v>1055</v>
      </c>
      <c r="B134" s="41" t="s">
        <v>1056</v>
      </c>
      <c r="C134" s="41" t="s">
        <v>170</v>
      </c>
      <c r="D134" s="41" t="s">
        <v>1057</v>
      </c>
      <c r="E134" s="42">
        <f t="shared" si="117"/>
        <v>0</v>
      </c>
      <c r="F134" s="43"/>
      <c r="G134" s="43"/>
      <c r="H134" s="43"/>
      <c r="I134" s="43"/>
      <c r="J134" s="42">
        <f t="shared" si="114"/>
        <v>0</v>
      </c>
      <c r="K134" s="43"/>
      <c r="L134" s="43"/>
      <c r="M134" s="43"/>
      <c r="N134" s="43"/>
      <c r="O134" s="44">
        <f>K134</f>
        <v>0</v>
      </c>
      <c r="P134" s="42">
        <f t="shared" si="115"/>
        <v>0</v>
      </c>
      <c r="Q134" s="36"/>
      <c r="R134" s="26"/>
    </row>
    <row r="135" spans="1:20" s="28" customFormat="1" ht="47.25" thickTop="1" thickBot="1" x14ac:dyDescent="0.25">
      <c r="A135" s="310" t="s">
        <v>726</v>
      </c>
      <c r="B135" s="310" t="s">
        <v>691</v>
      </c>
      <c r="C135" s="310"/>
      <c r="D135" s="310" t="s">
        <v>689</v>
      </c>
      <c r="E135" s="312">
        <f>E136</f>
        <v>0</v>
      </c>
      <c r="F135" s="312">
        <f t="shared" ref="F135:P135" si="139">F136</f>
        <v>0</v>
      </c>
      <c r="G135" s="312">
        <f t="shared" si="139"/>
        <v>0</v>
      </c>
      <c r="H135" s="312">
        <f t="shared" si="139"/>
        <v>0</v>
      </c>
      <c r="I135" s="312">
        <f t="shared" si="139"/>
        <v>0</v>
      </c>
      <c r="J135" s="312">
        <f t="shared" si="139"/>
        <v>2000000</v>
      </c>
      <c r="K135" s="312">
        <f t="shared" si="139"/>
        <v>2000000</v>
      </c>
      <c r="L135" s="312">
        <f t="shared" si="139"/>
        <v>0</v>
      </c>
      <c r="M135" s="312">
        <f t="shared" si="139"/>
        <v>0</v>
      </c>
      <c r="N135" s="312">
        <f t="shared" si="139"/>
        <v>0</v>
      </c>
      <c r="O135" s="312">
        <f t="shared" si="139"/>
        <v>2000000</v>
      </c>
      <c r="P135" s="312">
        <f t="shared" si="139"/>
        <v>2000000</v>
      </c>
      <c r="Q135" s="147"/>
      <c r="R135" s="40"/>
    </row>
    <row r="136" spans="1:20" s="28" customFormat="1" ht="48" thickTop="1" thickBot="1" x14ac:dyDescent="0.25">
      <c r="A136" s="101" t="s">
        <v>1255</v>
      </c>
      <c r="B136" s="101" t="s">
        <v>212</v>
      </c>
      <c r="C136" s="101" t="s">
        <v>213</v>
      </c>
      <c r="D136" s="101" t="s">
        <v>41</v>
      </c>
      <c r="E136" s="325">
        <f t="shared" si="117"/>
        <v>0</v>
      </c>
      <c r="F136" s="458"/>
      <c r="G136" s="458"/>
      <c r="H136" s="458"/>
      <c r="I136" s="458"/>
      <c r="J136" s="325">
        <f t="shared" ref="J136" si="140">L136+O136</f>
        <v>2000000</v>
      </c>
      <c r="K136" s="458">
        <f>(0)+2000000</f>
        <v>2000000</v>
      </c>
      <c r="L136" s="458"/>
      <c r="M136" s="458"/>
      <c r="N136" s="458"/>
      <c r="O136" s="455">
        <f t="shared" ref="O136" si="141">K136</f>
        <v>2000000</v>
      </c>
      <c r="P136" s="325">
        <f t="shared" si="115"/>
        <v>2000000</v>
      </c>
      <c r="Q136" s="147"/>
      <c r="R136" s="40"/>
    </row>
    <row r="137" spans="1:20" s="33" customFormat="1" ht="48" hidden="1" thickTop="1" thickBot="1" x14ac:dyDescent="0.25">
      <c r="A137" s="41" t="s">
        <v>435</v>
      </c>
      <c r="B137" s="41" t="s">
        <v>197</v>
      </c>
      <c r="C137" s="41" t="s">
        <v>170</v>
      </c>
      <c r="D137" s="41" t="s">
        <v>34</v>
      </c>
      <c r="E137" s="42">
        <f t="shared" si="117"/>
        <v>0</v>
      </c>
      <c r="F137" s="43"/>
      <c r="G137" s="43"/>
      <c r="H137" s="43"/>
      <c r="I137" s="43"/>
      <c r="J137" s="42">
        <f t="shared" si="114"/>
        <v>0</v>
      </c>
      <c r="K137" s="43"/>
      <c r="L137" s="43"/>
      <c r="M137" s="43"/>
      <c r="N137" s="43"/>
      <c r="O137" s="44">
        <f t="shared" si="119"/>
        <v>0</v>
      </c>
      <c r="P137" s="42">
        <f t="shared" si="115"/>
        <v>0</v>
      </c>
      <c r="Q137" s="36"/>
      <c r="R137" s="26"/>
    </row>
    <row r="138" spans="1:20" s="33" customFormat="1" ht="48" hidden="1" thickTop="1" thickBot="1" x14ac:dyDescent="0.25">
      <c r="A138" s="41" t="s">
        <v>509</v>
      </c>
      <c r="B138" s="41" t="s">
        <v>363</v>
      </c>
      <c r="C138" s="41" t="s">
        <v>43</v>
      </c>
      <c r="D138" s="41" t="s">
        <v>364</v>
      </c>
      <c r="E138" s="42">
        <f t="shared" si="117"/>
        <v>0</v>
      </c>
      <c r="F138" s="43"/>
      <c r="G138" s="43"/>
      <c r="H138" s="43"/>
      <c r="I138" s="43"/>
      <c r="J138" s="42">
        <f t="shared" si="114"/>
        <v>0</v>
      </c>
      <c r="K138" s="43"/>
      <c r="L138" s="43"/>
      <c r="M138" s="43"/>
      <c r="N138" s="43"/>
      <c r="O138" s="44">
        <f t="shared" si="119"/>
        <v>0</v>
      </c>
      <c r="P138" s="42">
        <f t="shared" si="115"/>
        <v>0</v>
      </c>
      <c r="Q138" s="36"/>
      <c r="R138" s="30"/>
    </row>
    <row r="139" spans="1:20" ht="120" customHeight="1" thickTop="1" thickBot="1" x14ac:dyDescent="0.25">
      <c r="A139" s="645" t="s">
        <v>156</v>
      </c>
      <c r="B139" s="645"/>
      <c r="C139" s="645"/>
      <c r="D139" s="646" t="s">
        <v>37</v>
      </c>
      <c r="E139" s="647">
        <f>E140</f>
        <v>356623747.50999999</v>
      </c>
      <c r="F139" s="648">
        <f t="shared" ref="F139:G139" si="142">F140</f>
        <v>356623747.50999999</v>
      </c>
      <c r="G139" s="648">
        <f t="shared" si="142"/>
        <v>100966833</v>
      </c>
      <c r="H139" s="648">
        <f>H140</f>
        <v>5711214.9900000002</v>
      </c>
      <c r="I139" s="648">
        <f t="shared" ref="I139" si="143">I140</f>
        <v>0</v>
      </c>
      <c r="J139" s="647">
        <f>J140</f>
        <v>238553202.92999998</v>
      </c>
      <c r="K139" s="648">
        <f>K140</f>
        <v>232289942.92999998</v>
      </c>
      <c r="L139" s="648">
        <f>L140</f>
        <v>6239260</v>
      </c>
      <c r="M139" s="648">
        <f t="shared" ref="M139" si="144">M140</f>
        <v>2604685</v>
      </c>
      <c r="N139" s="648">
        <f>N140</f>
        <v>705805</v>
      </c>
      <c r="O139" s="647">
        <f>O140</f>
        <v>232313942.92999998</v>
      </c>
      <c r="P139" s="648">
        <f>P140</f>
        <v>595176950.43999994</v>
      </c>
      <c r="Q139" s="20"/>
    </row>
    <row r="140" spans="1:20" ht="120" customHeight="1" thickTop="1" thickBot="1" x14ac:dyDescent="0.25">
      <c r="A140" s="642" t="s">
        <v>157</v>
      </c>
      <c r="B140" s="642"/>
      <c r="C140" s="642"/>
      <c r="D140" s="643" t="s">
        <v>38</v>
      </c>
      <c r="E140" s="644">
        <f>E141+E145+E187+E191</f>
        <v>356623747.50999999</v>
      </c>
      <c r="F140" s="644">
        <f>F141+F145+F187+F191</f>
        <v>356623747.50999999</v>
      </c>
      <c r="G140" s="644">
        <f>G141+G145+G187+G191</f>
        <v>100966833</v>
      </c>
      <c r="H140" s="644">
        <f>H141+H145+H187+H191</f>
        <v>5711214.9900000002</v>
      </c>
      <c r="I140" s="644">
        <f>I141+I145+I187+I191</f>
        <v>0</v>
      </c>
      <c r="J140" s="644">
        <f t="shared" ref="J140:J167" si="145">L140+O140</f>
        <v>238553202.92999998</v>
      </c>
      <c r="K140" s="644">
        <f>K141+K145+K187+K191</f>
        <v>232289942.92999998</v>
      </c>
      <c r="L140" s="644">
        <f>L141+L145+L187+L191</f>
        <v>6239260</v>
      </c>
      <c r="M140" s="644">
        <f>M141+M145+M187+M191</f>
        <v>2604685</v>
      </c>
      <c r="N140" s="644">
        <f>N141+N145+N187+N191</f>
        <v>705805</v>
      </c>
      <c r="O140" s="644">
        <f>O141+O145+O187+O191</f>
        <v>232313942.92999998</v>
      </c>
      <c r="P140" s="644">
        <f>E140+J140</f>
        <v>595176950.43999994</v>
      </c>
      <c r="Q140" s="492" t="b">
        <f>P140=P142+P144+P147+P148+P149+P150+P151+P152+P153+P154+P156+P157+P159+P161+P163+P164+P166+P167+P183+P185+P186+P189+P196+P194+P169+P173+P177+P160</f>
        <v>1</v>
      </c>
      <c r="R140" s="46"/>
      <c r="S140" s="46"/>
      <c r="T140" s="45"/>
    </row>
    <row r="141" spans="1:20" ht="47.25" thickTop="1" thickBot="1" x14ac:dyDescent="0.25">
      <c r="A141" s="308" t="s">
        <v>727</v>
      </c>
      <c r="B141" s="308" t="s">
        <v>684</v>
      </c>
      <c r="C141" s="308"/>
      <c r="D141" s="308" t="s">
        <v>685</v>
      </c>
      <c r="E141" s="325">
        <f t="shared" ref="E141:P141" si="146">SUM(E142:E144)</f>
        <v>59656582</v>
      </c>
      <c r="F141" s="325">
        <f t="shared" si="146"/>
        <v>59656582</v>
      </c>
      <c r="G141" s="325">
        <f t="shared" si="146"/>
        <v>43735000</v>
      </c>
      <c r="H141" s="325">
        <f t="shared" si="146"/>
        <v>2080882</v>
      </c>
      <c r="I141" s="325">
        <f t="shared" si="146"/>
        <v>0</v>
      </c>
      <c r="J141" s="325">
        <f t="shared" si="146"/>
        <v>579000</v>
      </c>
      <c r="K141" s="325">
        <f t="shared" si="146"/>
        <v>579000</v>
      </c>
      <c r="L141" s="325">
        <f t="shared" si="146"/>
        <v>0</v>
      </c>
      <c r="M141" s="325">
        <f t="shared" si="146"/>
        <v>0</v>
      </c>
      <c r="N141" s="325">
        <f t="shared" si="146"/>
        <v>0</v>
      </c>
      <c r="O141" s="325">
        <f t="shared" si="146"/>
        <v>579000</v>
      </c>
      <c r="P141" s="325">
        <f t="shared" si="146"/>
        <v>60235582</v>
      </c>
      <c r="Q141" s="47"/>
      <c r="R141" s="46"/>
      <c r="T141" s="45"/>
    </row>
    <row r="142" spans="1:20" ht="93" thickTop="1" thickBot="1" x14ac:dyDescent="0.25">
      <c r="A142" s="101" t="s">
        <v>415</v>
      </c>
      <c r="B142" s="101" t="s">
        <v>236</v>
      </c>
      <c r="C142" s="101" t="s">
        <v>234</v>
      </c>
      <c r="D142" s="101" t="s">
        <v>235</v>
      </c>
      <c r="E142" s="325">
        <f t="shared" ref="E142" si="147">F142</f>
        <v>59626582</v>
      </c>
      <c r="F142" s="458">
        <f>(58802582)+308000+318000+198000</f>
        <v>59626582</v>
      </c>
      <c r="G142" s="458">
        <v>43735000</v>
      </c>
      <c r="H142" s="458">
        <v>2080882</v>
      </c>
      <c r="I142" s="458"/>
      <c r="J142" s="325">
        <f t="shared" si="145"/>
        <v>579000</v>
      </c>
      <c r="K142" s="458">
        <f>(700000)-121000</f>
        <v>579000</v>
      </c>
      <c r="L142" s="458"/>
      <c r="M142" s="458"/>
      <c r="N142" s="458"/>
      <c r="O142" s="455">
        <f>K142</f>
        <v>579000</v>
      </c>
      <c r="P142" s="325">
        <f t="shared" ref="P142:P157" si="148">E142+J142</f>
        <v>60205582</v>
      </c>
      <c r="Q142" s="47"/>
      <c r="R142" s="46"/>
      <c r="T142" s="45"/>
    </row>
    <row r="143" spans="1:20" ht="93" hidden="1" thickTop="1" thickBot="1" x14ac:dyDescent="0.25">
      <c r="A143" s="101" t="s">
        <v>628</v>
      </c>
      <c r="B143" s="101" t="s">
        <v>362</v>
      </c>
      <c r="C143" s="101" t="s">
        <v>625</v>
      </c>
      <c r="D143" s="101" t="s">
        <v>626</v>
      </c>
      <c r="E143" s="325">
        <f t="shared" ref="E143:E144" si="149">F143</f>
        <v>0</v>
      </c>
      <c r="F143" s="458">
        <v>0</v>
      </c>
      <c r="G143" s="458"/>
      <c r="H143" s="458"/>
      <c r="I143" s="458"/>
      <c r="J143" s="325">
        <f t="shared" ref="J143:J144" si="150">L143+O143</f>
        <v>0</v>
      </c>
      <c r="K143" s="458"/>
      <c r="L143" s="458"/>
      <c r="M143" s="458"/>
      <c r="N143" s="458"/>
      <c r="O143" s="455">
        <f>K143</f>
        <v>0</v>
      </c>
      <c r="P143" s="325">
        <f t="shared" ref="P143:P144" si="151">E143+J143</f>
        <v>0</v>
      </c>
      <c r="Q143" s="47"/>
      <c r="R143" s="46"/>
      <c r="T143" s="45"/>
    </row>
    <row r="144" spans="1:20" ht="48" thickTop="1" thickBot="1" x14ac:dyDescent="0.25">
      <c r="A144" s="101" t="s">
        <v>919</v>
      </c>
      <c r="B144" s="101" t="s">
        <v>43</v>
      </c>
      <c r="C144" s="101" t="s">
        <v>42</v>
      </c>
      <c r="D144" s="101" t="s">
        <v>248</v>
      </c>
      <c r="E144" s="325">
        <f t="shared" si="149"/>
        <v>30000</v>
      </c>
      <c r="F144" s="458">
        <v>30000</v>
      </c>
      <c r="G144" s="458"/>
      <c r="H144" s="458"/>
      <c r="I144" s="458"/>
      <c r="J144" s="325">
        <f t="shared" si="150"/>
        <v>0</v>
      </c>
      <c r="K144" s="458"/>
      <c r="L144" s="458"/>
      <c r="M144" s="458"/>
      <c r="N144" s="458"/>
      <c r="O144" s="455"/>
      <c r="P144" s="325">
        <f t="shared" si="151"/>
        <v>30000</v>
      </c>
      <c r="Q144" s="47"/>
      <c r="R144" s="46"/>
      <c r="T144" s="45"/>
    </row>
    <row r="145" spans="1:20" ht="47.25" thickTop="1" thickBot="1" x14ac:dyDescent="0.25">
      <c r="A145" s="308" t="s">
        <v>728</v>
      </c>
      <c r="B145" s="308" t="s">
        <v>711</v>
      </c>
      <c r="C145" s="308"/>
      <c r="D145" s="308" t="s">
        <v>712</v>
      </c>
      <c r="E145" s="325">
        <f t="shared" ref="E145:P145" si="152">SUM(E146:E186)-E146-E155-E165-E168-E184-E162-E158</f>
        <v>296967165.50999999</v>
      </c>
      <c r="F145" s="325">
        <f t="shared" si="152"/>
        <v>296967165.50999999</v>
      </c>
      <c r="G145" s="325">
        <f t="shared" si="152"/>
        <v>57231833</v>
      </c>
      <c r="H145" s="325">
        <f t="shared" si="152"/>
        <v>3630332.9899999998</v>
      </c>
      <c r="I145" s="325">
        <f t="shared" si="152"/>
        <v>0</v>
      </c>
      <c r="J145" s="325">
        <f t="shared" si="152"/>
        <v>205108737.57999998</v>
      </c>
      <c r="K145" s="325">
        <f t="shared" si="152"/>
        <v>198845477.57999998</v>
      </c>
      <c r="L145" s="325">
        <f t="shared" si="152"/>
        <v>6239260</v>
      </c>
      <c r="M145" s="325">
        <f t="shared" si="152"/>
        <v>2604685</v>
      </c>
      <c r="N145" s="325">
        <f t="shared" si="152"/>
        <v>705805</v>
      </c>
      <c r="O145" s="325">
        <f t="shared" si="152"/>
        <v>198869477.57999998</v>
      </c>
      <c r="P145" s="325">
        <f t="shared" si="152"/>
        <v>502075903.08999997</v>
      </c>
      <c r="Q145" s="47"/>
      <c r="R145" s="46"/>
      <c r="T145" s="45"/>
    </row>
    <row r="146" spans="1:20" ht="138.75" thickTop="1" thickBot="1" x14ac:dyDescent="0.25">
      <c r="A146" s="326" t="s">
        <v>729</v>
      </c>
      <c r="B146" s="326" t="s">
        <v>730</v>
      </c>
      <c r="C146" s="326"/>
      <c r="D146" s="326" t="s">
        <v>731</v>
      </c>
      <c r="E146" s="322">
        <f>SUM(E147:E151)</f>
        <v>79408000</v>
      </c>
      <c r="F146" s="322">
        <f t="shared" ref="F146:P146" si="153">SUM(F147:F151)</f>
        <v>79408000</v>
      </c>
      <c r="G146" s="322">
        <f t="shared" si="153"/>
        <v>0</v>
      </c>
      <c r="H146" s="322">
        <f t="shared" si="153"/>
        <v>0</v>
      </c>
      <c r="I146" s="322">
        <f t="shared" si="153"/>
        <v>0</v>
      </c>
      <c r="J146" s="322">
        <f t="shared" si="153"/>
        <v>50000</v>
      </c>
      <c r="K146" s="322">
        <f t="shared" si="153"/>
        <v>50000</v>
      </c>
      <c r="L146" s="322">
        <f t="shared" si="153"/>
        <v>0</v>
      </c>
      <c r="M146" s="322">
        <f t="shared" si="153"/>
        <v>0</v>
      </c>
      <c r="N146" s="322">
        <f t="shared" si="153"/>
        <v>0</v>
      </c>
      <c r="O146" s="322">
        <f t="shared" si="153"/>
        <v>50000</v>
      </c>
      <c r="P146" s="322">
        <f t="shared" si="153"/>
        <v>79458000</v>
      </c>
      <c r="Q146" s="148"/>
      <c r="R146" s="48"/>
      <c r="T146" s="49"/>
    </row>
    <row r="147" spans="1:20" s="33" customFormat="1" ht="93" thickTop="1" thickBot="1" x14ac:dyDescent="0.25">
      <c r="A147" s="101" t="s">
        <v>269</v>
      </c>
      <c r="B147" s="101" t="s">
        <v>270</v>
      </c>
      <c r="C147" s="101" t="s">
        <v>205</v>
      </c>
      <c r="D147" s="327" t="s">
        <v>271</v>
      </c>
      <c r="E147" s="325">
        <f>F147</f>
        <v>858000</v>
      </c>
      <c r="F147" s="458">
        <f>(835000)+23000</f>
        <v>858000</v>
      </c>
      <c r="G147" s="458"/>
      <c r="H147" s="458"/>
      <c r="I147" s="458"/>
      <c r="J147" s="325">
        <f t="shared" si="145"/>
        <v>50000</v>
      </c>
      <c r="K147" s="458">
        <v>50000</v>
      </c>
      <c r="L147" s="458"/>
      <c r="M147" s="458"/>
      <c r="N147" s="458"/>
      <c r="O147" s="455">
        <f t="shared" ref="O147:O167" si="154">K147</f>
        <v>50000</v>
      </c>
      <c r="P147" s="325">
        <f t="shared" si="148"/>
        <v>908000</v>
      </c>
      <c r="Q147" s="36"/>
      <c r="R147" s="46"/>
    </row>
    <row r="148" spans="1:20" s="33" customFormat="1" ht="48" thickTop="1" thickBot="1" x14ac:dyDescent="0.25">
      <c r="A148" s="101" t="s">
        <v>272</v>
      </c>
      <c r="B148" s="101" t="s">
        <v>273</v>
      </c>
      <c r="C148" s="101" t="s">
        <v>206</v>
      </c>
      <c r="D148" s="101" t="s">
        <v>6</v>
      </c>
      <c r="E148" s="325">
        <f t="shared" ref="E148:E198" si="155">F148</f>
        <v>650000</v>
      </c>
      <c r="F148" s="458">
        <v>650000</v>
      </c>
      <c r="G148" s="458"/>
      <c r="H148" s="458"/>
      <c r="I148" s="458"/>
      <c r="J148" s="325">
        <f t="shared" si="145"/>
        <v>0</v>
      </c>
      <c r="K148" s="458"/>
      <c r="L148" s="458"/>
      <c r="M148" s="458"/>
      <c r="N148" s="458"/>
      <c r="O148" s="455">
        <f t="shared" si="154"/>
        <v>0</v>
      </c>
      <c r="P148" s="325">
        <f t="shared" si="148"/>
        <v>650000</v>
      </c>
      <c r="Q148" s="36"/>
      <c r="R148" s="50"/>
    </row>
    <row r="149" spans="1:20" s="33" customFormat="1" ht="93" thickTop="1" thickBot="1" x14ac:dyDescent="0.25">
      <c r="A149" s="101" t="s">
        <v>275</v>
      </c>
      <c r="B149" s="101" t="s">
        <v>276</v>
      </c>
      <c r="C149" s="101" t="s">
        <v>206</v>
      </c>
      <c r="D149" s="101" t="s">
        <v>7</v>
      </c>
      <c r="E149" s="325">
        <f t="shared" si="155"/>
        <v>22200000</v>
      </c>
      <c r="F149" s="458">
        <f>19200000+3000000</f>
        <v>22200000</v>
      </c>
      <c r="G149" s="458"/>
      <c r="H149" s="458"/>
      <c r="I149" s="458"/>
      <c r="J149" s="325">
        <f t="shared" si="145"/>
        <v>0</v>
      </c>
      <c r="K149" s="458"/>
      <c r="L149" s="458"/>
      <c r="M149" s="458"/>
      <c r="N149" s="458"/>
      <c r="O149" s="455">
        <f t="shared" si="154"/>
        <v>0</v>
      </c>
      <c r="P149" s="325">
        <f t="shared" si="148"/>
        <v>22200000</v>
      </c>
      <c r="Q149" s="36"/>
      <c r="R149" s="50"/>
    </row>
    <row r="150" spans="1:20" s="33" customFormat="1" ht="93" thickTop="1" thickBot="1" x14ac:dyDescent="0.25">
      <c r="A150" s="101" t="s">
        <v>277</v>
      </c>
      <c r="B150" s="101" t="s">
        <v>274</v>
      </c>
      <c r="C150" s="101" t="s">
        <v>206</v>
      </c>
      <c r="D150" s="101" t="s">
        <v>8</v>
      </c>
      <c r="E150" s="325">
        <f t="shared" si="155"/>
        <v>700000</v>
      </c>
      <c r="F150" s="458">
        <v>700000</v>
      </c>
      <c r="G150" s="458"/>
      <c r="H150" s="458"/>
      <c r="I150" s="458"/>
      <c r="J150" s="325">
        <f t="shared" si="145"/>
        <v>0</v>
      </c>
      <c r="K150" s="458"/>
      <c r="L150" s="458"/>
      <c r="M150" s="458"/>
      <c r="N150" s="458"/>
      <c r="O150" s="455">
        <f t="shared" si="154"/>
        <v>0</v>
      </c>
      <c r="P150" s="325">
        <f t="shared" si="148"/>
        <v>700000</v>
      </c>
      <c r="Q150" s="36"/>
      <c r="R150" s="50"/>
    </row>
    <row r="151" spans="1:20" s="33" customFormat="1" ht="93" thickTop="1" thickBot="1" x14ac:dyDescent="0.25">
      <c r="A151" s="101" t="s">
        <v>278</v>
      </c>
      <c r="B151" s="101" t="s">
        <v>279</v>
      </c>
      <c r="C151" s="101" t="s">
        <v>206</v>
      </c>
      <c r="D151" s="101" t="s">
        <v>9</v>
      </c>
      <c r="E151" s="325">
        <f t="shared" si="155"/>
        <v>55000000</v>
      </c>
      <c r="F151" s="458">
        <f>58000000-3000000</f>
        <v>55000000</v>
      </c>
      <c r="G151" s="458"/>
      <c r="H151" s="458"/>
      <c r="I151" s="458"/>
      <c r="J151" s="325">
        <f t="shared" si="145"/>
        <v>0</v>
      </c>
      <c r="K151" s="458"/>
      <c r="L151" s="458"/>
      <c r="M151" s="458"/>
      <c r="N151" s="458"/>
      <c r="O151" s="455">
        <f t="shared" si="154"/>
        <v>0</v>
      </c>
      <c r="P151" s="325">
        <f t="shared" si="148"/>
        <v>55000000</v>
      </c>
      <c r="Q151" s="36"/>
      <c r="R151" s="50"/>
    </row>
    <row r="152" spans="1:20" s="33" customFormat="1" ht="93" thickTop="1" thickBot="1" x14ac:dyDescent="0.25">
      <c r="A152" s="101" t="s">
        <v>478</v>
      </c>
      <c r="B152" s="101" t="s">
        <v>479</v>
      </c>
      <c r="C152" s="101" t="s">
        <v>206</v>
      </c>
      <c r="D152" s="101" t="s">
        <v>480</v>
      </c>
      <c r="E152" s="325">
        <f t="shared" si="155"/>
        <v>362971</v>
      </c>
      <c r="F152" s="458">
        <v>362971</v>
      </c>
      <c r="G152" s="458"/>
      <c r="H152" s="458"/>
      <c r="I152" s="458"/>
      <c r="J152" s="325">
        <f t="shared" si="145"/>
        <v>0</v>
      </c>
      <c r="K152" s="458"/>
      <c r="L152" s="458"/>
      <c r="M152" s="458"/>
      <c r="N152" s="458"/>
      <c r="O152" s="455">
        <f t="shared" si="154"/>
        <v>0</v>
      </c>
      <c r="P152" s="325">
        <f t="shared" si="148"/>
        <v>362971</v>
      </c>
      <c r="Q152" s="36"/>
      <c r="R152" s="50"/>
    </row>
    <row r="153" spans="1:20" s="33" customFormat="1" ht="93" thickTop="1" thickBot="1" x14ac:dyDescent="0.25">
      <c r="A153" s="101" t="s">
        <v>920</v>
      </c>
      <c r="B153" s="101" t="s">
        <v>921</v>
      </c>
      <c r="C153" s="101" t="s">
        <v>206</v>
      </c>
      <c r="D153" s="101" t="s">
        <v>922</v>
      </c>
      <c r="E153" s="325">
        <f t="shared" ref="E153" si="156">F153</f>
        <v>1893100</v>
      </c>
      <c r="F153" s="458">
        <f>(1500000)+393100</f>
        <v>1893100</v>
      </c>
      <c r="G153" s="458"/>
      <c r="H153" s="458"/>
      <c r="I153" s="458"/>
      <c r="J153" s="325">
        <f t="shared" ref="J153" si="157">L153+O153</f>
        <v>0</v>
      </c>
      <c r="K153" s="458"/>
      <c r="L153" s="458"/>
      <c r="M153" s="458"/>
      <c r="N153" s="458"/>
      <c r="O153" s="455">
        <f t="shared" ref="O153" si="158">K153</f>
        <v>0</v>
      </c>
      <c r="P153" s="325">
        <f t="shared" ref="P153" si="159">E153+J153</f>
        <v>1893100</v>
      </c>
      <c r="Q153" s="36"/>
      <c r="R153" s="50"/>
    </row>
    <row r="154" spans="1:20" ht="93" thickTop="1" thickBot="1" x14ac:dyDescent="0.25">
      <c r="A154" s="101" t="s">
        <v>481</v>
      </c>
      <c r="B154" s="101" t="s">
        <v>482</v>
      </c>
      <c r="C154" s="101" t="s">
        <v>205</v>
      </c>
      <c r="D154" s="101" t="s">
        <v>483</v>
      </c>
      <c r="E154" s="325">
        <f t="shared" si="155"/>
        <v>470456</v>
      </c>
      <c r="F154" s="458">
        <v>470456</v>
      </c>
      <c r="G154" s="458"/>
      <c r="H154" s="458"/>
      <c r="I154" s="458"/>
      <c r="J154" s="325">
        <f t="shared" si="145"/>
        <v>0</v>
      </c>
      <c r="K154" s="458"/>
      <c r="L154" s="458"/>
      <c r="M154" s="458"/>
      <c r="N154" s="458"/>
      <c r="O154" s="455">
        <f>K154</f>
        <v>0</v>
      </c>
      <c r="P154" s="325">
        <f t="shared" si="148"/>
        <v>470456</v>
      </c>
      <c r="Q154" s="20"/>
      <c r="R154" s="50"/>
    </row>
    <row r="155" spans="1:20" s="33" customFormat="1" ht="138.75" thickTop="1" thickBot="1" x14ac:dyDescent="0.25">
      <c r="A155" s="326" t="s">
        <v>732</v>
      </c>
      <c r="B155" s="326" t="s">
        <v>733</v>
      </c>
      <c r="C155" s="326"/>
      <c r="D155" s="326" t="s">
        <v>734</v>
      </c>
      <c r="E155" s="322">
        <f>SUM(E156:E157)</f>
        <v>65451264.299999997</v>
      </c>
      <c r="F155" s="322">
        <f t="shared" ref="F155:P155" si="160">SUM(F156:F157)</f>
        <v>65451264.299999997</v>
      </c>
      <c r="G155" s="322">
        <f t="shared" si="160"/>
        <v>34554767</v>
      </c>
      <c r="H155" s="322">
        <f t="shared" si="160"/>
        <v>1325369.2999999998</v>
      </c>
      <c r="I155" s="322">
        <f t="shared" si="160"/>
        <v>0</v>
      </c>
      <c r="J155" s="322">
        <f t="shared" si="160"/>
        <v>1735719.44</v>
      </c>
      <c r="K155" s="322">
        <f t="shared" si="160"/>
        <v>464719.44</v>
      </c>
      <c r="L155" s="322">
        <f t="shared" si="160"/>
        <v>1271000</v>
      </c>
      <c r="M155" s="322">
        <f t="shared" si="160"/>
        <v>719000</v>
      </c>
      <c r="N155" s="322">
        <f t="shared" si="160"/>
        <v>150000</v>
      </c>
      <c r="O155" s="322">
        <f t="shared" si="160"/>
        <v>464719.44</v>
      </c>
      <c r="P155" s="322">
        <f t="shared" si="160"/>
        <v>67186983.739999995</v>
      </c>
      <c r="Q155" s="36"/>
      <c r="R155" s="51"/>
    </row>
    <row r="156" spans="1:20" ht="138.75" thickTop="1" thickBot="1" x14ac:dyDescent="0.25">
      <c r="A156" s="101" t="s">
        <v>267</v>
      </c>
      <c r="B156" s="101" t="s">
        <v>265</v>
      </c>
      <c r="C156" s="101" t="s">
        <v>200</v>
      </c>
      <c r="D156" s="101" t="s">
        <v>17</v>
      </c>
      <c r="E156" s="325">
        <f t="shared" si="155"/>
        <v>53886662.299999997</v>
      </c>
      <c r="F156" s="458">
        <f>(((53507717.72)+150000)+2531.58)+134471+91942</f>
        <v>53886662.299999997</v>
      </c>
      <c r="G156" s="458">
        <v>26679366</v>
      </c>
      <c r="H156" s="458">
        <f>(621472.72)+2531.58</f>
        <v>624004.29999999993</v>
      </c>
      <c r="I156" s="458"/>
      <c r="J156" s="325">
        <f t="shared" si="145"/>
        <v>1335327</v>
      </c>
      <c r="K156" s="458">
        <f>(0)+64327</f>
        <v>64327</v>
      </c>
      <c r="L156" s="458">
        <v>1271000</v>
      </c>
      <c r="M156" s="458">
        <v>719000</v>
      </c>
      <c r="N156" s="458">
        <f>70000+10000+70000</f>
        <v>150000</v>
      </c>
      <c r="O156" s="455">
        <f>K156</f>
        <v>64327</v>
      </c>
      <c r="P156" s="325">
        <f t="shared" si="148"/>
        <v>55221989.299999997</v>
      </c>
      <c r="Q156" s="20"/>
      <c r="R156" s="46"/>
    </row>
    <row r="157" spans="1:20" ht="93" thickTop="1" thickBot="1" x14ac:dyDescent="0.25">
      <c r="A157" s="101" t="s">
        <v>268</v>
      </c>
      <c r="B157" s="101" t="s">
        <v>266</v>
      </c>
      <c r="C157" s="101" t="s">
        <v>199</v>
      </c>
      <c r="D157" s="101" t="s">
        <v>455</v>
      </c>
      <c r="E157" s="325">
        <f t="shared" si="155"/>
        <v>11564602</v>
      </c>
      <c r="F157" s="458">
        <f>(((11310735)+235107)+320000)-320000+18760</f>
        <v>11564602</v>
      </c>
      <c r="G157" s="458">
        <f>4675746+3199655</f>
        <v>7875401</v>
      </c>
      <c r="H157" s="458">
        <f>299371+9225+63300+833+266401+8754+53172+309</f>
        <v>701365</v>
      </c>
      <c r="I157" s="458"/>
      <c r="J157" s="325">
        <f t="shared" si="145"/>
        <v>400392.44</v>
      </c>
      <c r="K157" s="458">
        <f>(0)+394678.16+5714.28</f>
        <v>400392.44</v>
      </c>
      <c r="L157" s="458"/>
      <c r="M157" s="458"/>
      <c r="N157" s="458"/>
      <c r="O157" s="455">
        <f t="shared" si="154"/>
        <v>400392.44</v>
      </c>
      <c r="P157" s="325">
        <f t="shared" si="148"/>
        <v>11964994.439999999</v>
      </c>
      <c r="Q157" s="20"/>
      <c r="R157" s="46"/>
    </row>
    <row r="158" spans="1:20" ht="48" thickTop="1" thickBot="1" x14ac:dyDescent="0.25">
      <c r="A158" s="326" t="s">
        <v>1021</v>
      </c>
      <c r="B158" s="326" t="s">
        <v>765</v>
      </c>
      <c r="C158" s="326"/>
      <c r="D158" s="326" t="s">
        <v>766</v>
      </c>
      <c r="E158" s="322">
        <f t="shared" ref="E158:P158" si="161">SUM(E159:E160)</f>
        <v>11886020.51</v>
      </c>
      <c r="F158" s="322">
        <f t="shared" si="161"/>
        <v>11886020.51</v>
      </c>
      <c r="G158" s="322">
        <f t="shared" si="161"/>
        <v>7875924</v>
      </c>
      <c r="H158" s="322">
        <f t="shared" si="161"/>
        <v>303560.56</v>
      </c>
      <c r="I158" s="322">
        <f t="shared" si="161"/>
        <v>0</v>
      </c>
      <c r="J158" s="322">
        <f t="shared" si="161"/>
        <v>13195</v>
      </c>
      <c r="K158" s="322">
        <f t="shared" si="161"/>
        <v>13195</v>
      </c>
      <c r="L158" s="322">
        <f t="shared" si="161"/>
        <v>0</v>
      </c>
      <c r="M158" s="322">
        <f t="shared" si="161"/>
        <v>0</v>
      </c>
      <c r="N158" s="322">
        <f t="shared" si="161"/>
        <v>0</v>
      </c>
      <c r="O158" s="322">
        <f t="shared" si="161"/>
        <v>13195</v>
      </c>
      <c r="P158" s="322">
        <f t="shared" si="161"/>
        <v>11899215.51</v>
      </c>
      <c r="Q158" s="20"/>
      <c r="R158" s="46"/>
    </row>
    <row r="159" spans="1:20" ht="48" thickTop="1" thickBot="1" x14ac:dyDescent="0.25">
      <c r="A159" s="101" t="s">
        <v>1215</v>
      </c>
      <c r="B159" s="101" t="s">
        <v>184</v>
      </c>
      <c r="C159" s="101" t="s">
        <v>185</v>
      </c>
      <c r="D159" s="101" t="s">
        <v>638</v>
      </c>
      <c r="E159" s="309">
        <f t="shared" ref="E159" si="162">F159</f>
        <v>11664020.51</v>
      </c>
      <c r="F159" s="323">
        <f>(((10726813)+198876.95+190000+6003.73+15541.83)+118785+200000)+208000</f>
        <v>11664020.51</v>
      </c>
      <c r="G159" s="323">
        <v>7875924</v>
      </c>
      <c r="H159" s="323">
        <f>(120805+10790+84400+66020)+6003.73+15541.83</f>
        <v>303560.56</v>
      </c>
      <c r="I159" s="323"/>
      <c r="J159" s="325">
        <f t="shared" ref="J159" si="163">L159+O159</f>
        <v>13195</v>
      </c>
      <c r="K159" s="323">
        <v>13195</v>
      </c>
      <c r="L159" s="454"/>
      <c r="M159" s="454"/>
      <c r="N159" s="454"/>
      <c r="O159" s="455">
        <f t="shared" ref="O159" si="164">K159</f>
        <v>13195</v>
      </c>
      <c r="P159" s="325">
        <f>+J159+E159</f>
        <v>11677215.51</v>
      </c>
      <c r="Q159" s="20"/>
      <c r="R159" s="46"/>
    </row>
    <row r="160" spans="1:20" ht="138.75" thickTop="1" thickBot="1" x14ac:dyDescent="0.25">
      <c r="A160" s="101" t="s">
        <v>1022</v>
      </c>
      <c r="B160" s="101" t="s">
        <v>1023</v>
      </c>
      <c r="C160" s="101" t="s">
        <v>185</v>
      </c>
      <c r="D160" s="101" t="s">
        <v>1024</v>
      </c>
      <c r="E160" s="309">
        <f t="shared" ref="E160" si="165">F160</f>
        <v>222000</v>
      </c>
      <c r="F160" s="323">
        <v>222000</v>
      </c>
      <c r="G160" s="323"/>
      <c r="H160" s="323"/>
      <c r="I160" s="323"/>
      <c r="J160" s="325">
        <f t="shared" ref="J160" si="166">L160+O160</f>
        <v>0</v>
      </c>
      <c r="K160" s="323"/>
      <c r="L160" s="454"/>
      <c r="M160" s="454"/>
      <c r="N160" s="454"/>
      <c r="O160" s="455">
        <f t="shared" ref="O160" si="167">K160</f>
        <v>0</v>
      </c>
      <c r="P160" s="325">
        <f>+J160+E160</f>
        <v>222000</v>
      </c>
      <c r="Q160" s="20"/>
      <c r="R160" s="46"/>
    </row>
    <row r="161" spans="1:18" ht="184.5" thickTop="1" thickBot="1" x14ac:dyDescent="0.25">
      <c r="A161" s="101" t="s">
        <v>263</v>
      </c>
      <c r="B161" s="101" t="s">
        <v>264</v>
      </c>
      <c r="C161" s="101" t="s">
        <v>199</v>
      </c>
      <c r="D161" s="101" t="s">
        <v>453</v>
      </c>
      <c r="E161" s="325">
        <f t="shared" si="155"/>
        <v>5126500</v>
      </c>
      <c r="F161" s="458">
        <v>5126500</v>
      </c>
      <c r="G161" s="458"/>
      <c r="H161" s="458"/>
      <c r="I161" s="458"/>
      <c r="J161" s="325">
        <f t="shared" si="145"/>
        <v>0</v>
      </c>
      <c r="K161" s="325"/>
      <c r="L161" s="458"/>
      <c r="M161" s="458"/>
      <c r="N161" s="458"/>
      <c r="O161" s="455">
        <f t="shared" si="154"/>
        <v>0</v>
      </c>
      <c r="P161" s="325">
        <f>+J161+E161</f>
        <v>5126500</v>
      </c>
      <c r="Q161" s="20"/>
      <c r="R161" s="50"/>
    </row>
    <row r="162" spans="1:18" ht="48" thickTop="1" thickBot="1" x14ac:dyDescent="0.25">
      <c r="A162" s="326" t="s">
        <v>881</v>
      </c>
      <c r="B162" s="326" t="s">
        <v>882</v>
      </c>
      <c r="C162" s="326"/>
      <c r="D162" s="326" t="s">
        <v>883</v>
      </c>
      <c r="E162" s="322">
        <f t="shared" si="155"/>
        <v>184607</v>
      </c>
      <c r="F162" s="322">
        <f>F163</f>
        <v>184607</v>
      </c>
      <c r="G162" s="322">
        <f t="shared" ref="G162:I162" si="168">G163</f>
        <v>0</v>
      </c>
      <c r="H162" s="322">
        <f t="shared" si="168"/>
        <v>0</v>
      </c>
      <c r="I162" s="322">
        <f t="shared" si="168"/>
        <v>0</v>
      </c>
      <c r="J162" s="322">
        <f t="shared" si="145"/>
        <v>0</v>
      </c>
      <c r="K162" s="322">
        <f t="shared" ref="K162:N162" si="169">K163</f>
        <v>0</v>
      </c>
      <c r="L162" s="322">
        <f t="shared" si="169"/>
        <v>0</v>
      </c>
      <c r="M162" s="322">
        <f t="shared" si="169"/>
        <v>0</v>
      </c>
      <c r="N162" s="322">
        <f t="shared" si="169"/>
        <v>0</v>
      </c>
      <c r="O162" s="322">
        <f t="shared" si="154"/>
        <v>0</v>
      </c>
      <c r="P162" s="322">
        <f>+J162+E162</f>
        <v>184607</v>
      </c>
      <c r="Q162" s="20"/>
      <c r="R162" s="50"/>
    </row>
    <row r="163" spans="1:18" ht="93" thickTop="1" thickBot="1" x14ac:dyDescent="0.25">
      <c r="A163" s="101" t="s">
        <v>484</v>
      </c>
      <c r="B163" s="101" t="s">
        <v>485</v>
      </c>
      <c r="C163" s="101" t="s">
        <v>199</v>
      </c>
      <c r="D163" s="101" t="s">
        <v>486</v>
      </c>
      <c r="E163" s="325">
        <f t="shared" si="155"/>
        <v>184607</v>
      </c>
      <c r="F163" s="458">
        <v>184607</v>
      </c>
      <c r="G163" s="458"/>
      <c r="H163" s="458"/>
      <c r="I163" s="458"/>
      <c r="J163" s="325">
        <f t="shared" si="145"/>
        <v>0</v>
      </c>
      <c r="K163" s="325"/>
      <c r="L163" s="458"/>
      <c r="M163" s="458"/>
      <c r="N163" s="458"/>
      <c r="O163" s="455">
        <f t="shared" si="154"/>
        <v>0</v>
      </c>
      <c r="P163" s="325">
        <f>+J163+E163</f>
        <v>184607</v>
      </c>
      <c r="Q163" s="20"/>
      <c r="R163" s="50"/>
    </row>
    <row r="164" spans="1:18" ht="138.75" thickTop="1" thickBot="1" x14ac:dyDescent="0.25">
      <c r="A164" s="101" t="s">
        <v>348</v>
      </c>
      <c r="B164" s="101" t="s">
        <v>347</v>
      </c>
      <c r="C164" s="101" t="s">
        <v>50</v>
      </c>
      <c r="D164" s="101" t="s">
        <v>454</v>
      </c>
      <c r="E164" s="325">
        <f t="shared" si="155"/>
        <v>2687933.28</v>
      </c>
      <c r="F164" s="458">
        <v>2687933.28</v>
      </c>
      <c r="G164" s="458"/>
      <c r="H164" s="458"/>
      <c r="I164" s="458"/>
      <c r="J164" s="325">
        <f t="shared" si="145"/>
        <v>0</v>
      </c>
      <c r="K164" s="325"/>
      <c r="L164" s="458"/>
      <c r="M164" s="458"/>
      <c r="N164" s="458"/>
      <c r="O164" s="455">
        <f t="shared" si="154"/>
        <v>0</v>
      </c>
      <c r="P164" s="325">
        <f>E164+J164</f>
        <v>2687933.28</v>
      </c>
      <c r="Q164" s="20"/>
      <c r="R164" s="50"/>
    </row>
    <row r="165" spans="1:18" s="33" customFormat="1" ht="48" thickTop="1" thickBot="1" x14ac:dyDescent="0.25">
      <c r="A165" s="326" t="s">
        <v>735</v>
      </c>
      <c r="B165" s="326" t="s">
        <v>736</v>
      </c>
      <c r="C165" s="326"/>
      <c r="D165" s="326" t="s">
        <v>737</v>
      </c>
      <c r="E165" s="322">
        <f>E166</f>
        <v>1000000</v>
      </c>
      <c r="F165" s="322">
        <f t="shared" ref="F165:P165" si="170">F166</f>
        <v>1000000</v>
      </c>
      <c r="G165" s="322">
        <f t="shared" si="170"/>
        <v>0</v>
      </c>
      <c r="H165" s="322">
        <f t="shared" si="170"/>
        <v>0</v>
      </c>
      <c r="I165" s="322">
        <f t="shared" si="170"/>
        <v>0</v>
      </c>
      <c r="J165" s="322">
        <f t="shared" si="170"/>
        <v>0</v>
      </c>
      <c r="K165" s="322">
        <f t="shared" si="170"/>
        <v>0</v>
      </c>
      <c r="L165" s="322">
        <f t="shared" si="170"/>
        <v>0</v>
      </c>
      <c r="M165" s="322">
        <f t="shared" si="170"/>
        <v>0</v>
      </c>
      <c r="N165" s="322">
        <f t="shared" si="170"/>
        <v>0</v>
      </c>
      <c r="O165" s="322">
        <f t="shared" si="170"/>
        <v>0</v>
      </c>
      <c r="P165" s="322">
        <f t="shared" si="170"/>
        <v>1000000</v>
      </c>
      <c r="Q165" s="36"/>
      <c r="R165" s="51"/>
    </row>
    <row r="166" spans="1:18" ht="93" thickTop="1" thickBot="1" x14ac:dyDescent="0.25">
      <c r="A166" s="101" t="s">
        <v>325</v>
      </c>
      <c r="B166" s="101" t="s">
        <v>326</v>
      </c>
      <c r="C166" s="101" t="s">
        <v>205</v>
      </c>
      <c r="D166" s="101" t="s">
        <v>635</v>
      </c>
      <c r="E166" s="325">
        <f t="shared" si="155"/>
        <v>1000000</v>
      </c>
      <c r="F166" s="458">
        <v>1000000</v>
      </c>
      <c r="G166" s="458"/>
      <c r="H166" s="458"/>
      <c r="I166" s="458"/>
      <c r="J166" s="325">
        <f t="shared" si="145"/>
        <v>0</v>
      </c>
      <c r="K166" s="458"/>
      <c r="L166" s="458"/>
      <c r="M166" s="458"/>
      <c r="N166" s="458"/>
      <c r="O166" s="455">
        <f t="shared" si="154"/>
        <v>0</v>
      </c>
      <c r="P166" s="325">
        <f>E166+J166</f>
        <v>1000000</v>
      </c>
      <c r="Q166" s="20"/>
      <c r="R166" s="50"/>
    </row>
    <row r="167" spans="1:18" ht="48" thickTop="1" thickBot="1" x14ac:dyDescent="0.25">
      <c r="A167" s="101" t="s">
        <v>428</v>
      </c>
      <c r="B167" s="101" t="s">
        <v>372</v>
      </c>
      <c r="C167" s="101" t="s">
        <v>373</v>
      </c>
      <c r="D167" s="101" t="s">
        <v>371</v>
      </c>
      <c r="E167" s="542">
        <f t="shared" si="155"/>
        <v>117000</v>
      </c>
      <c r="F167" s="458">
        <v>117000</v>
      </c>
      <c r="G167" s="458">
        <v>90000</v>
      </c>
      <c r="H167" s="458"/>
      <c r="I167" s="458"/>
      <c r="J167" s="325">
        <f t="shared" si="145"/>
        <v>0</v>
      </c>
      <c r="K167" s="458"/>
      <c r="L167" s="458"/>
      <c r="M167" s="458"/>
      <c r="N167" s="458"/>
      <c r="O167" s="455">
        <f t="shared" si="154"/>
        <v>0</v>
      </c>
      <c r="P167" s="325">
        <f>E167+J167</f>
        <v>117000</v>
      </c>
      <c r="Q167" s="20"/>
      <c r="R167" s="50"/>
    </row>
    <row r="168" spans="1:18" ht="93" thickTop="1" thickBot="1" x14ac:dyDescent="0.25">
      <c r="A168" s="326" t="s">
        <v>1059</v>
      </c>
      <c r="B168" s="326" t="s">
        <v>1060</v>
      </c>
      <c r="C168" s="326"/>
      <c r="D168" s="326" t="s">
        <v>1058</v>
      </c>
      <c r="E168" s="322">
        <f>E169+E173+E177+E180</f>
        <v>0</v>
      </c>
      <c r="F168" s="322">
        <f t="shared" ref="F168:P168" si="171">F169+F173+F177+F180</f>
        <v>0</v>
      </c>
      <c r="G168" s="322">
        <f t="shared" si="171"/>
        <v>0</v>
      </c>
      <c r="H168" s="322">
        <f t="shared" si="171"/>
        <v>0</v>
      </c>
      <c r="I168" s="322">
        <f t="shared" si="171"/>
        <v>0</v>
      </c>
      <c r="J168" s="322">
        <f t="shared" si="171"/>
        <v>121582175</v>
      </c>
      <c r="K168" s="322">
        <f t="shared" si="171"/>
        <v>121582175</v>
      </c>
      <c r="L168" s="322">
        <f t="shared" si="171"/>
        <v>0</v>
      </c>
      <c r="M168" s="322">
        <f t="shared" si="171"/>
        <v>0</v>
      </c>
      <c r="N168" s="322">
        <f t="shared" si="171"/>
        <v>0</v>
      </c>
      <c r="O168" s="322">
        <f t="shared" si="171"/>
        <v>121582175</v>
      </c>
      <c r="P168" s="322">
        <f t="shared" si="171"/>
        <v>121582175</v>
      </c>
      <c r="Q168" s="20"/>
      <c r="R168" s="50"/>
    </row>
    <row r="169" spans="1:18" ht="183.75" thickTop="1" x14ac:dyDescent="0.65">
      <c r="A169" s="773" t="s">
        <v>1061</v>
      </c>
      <c r="B169" s="773" t="s">
        <v>1062</v>
      </c>
      <c r="C169" s="773" t="s">
        <v>50</v>
      </c>
      <c r="D169" s="702" t="s">
        <v>1430</v>
      </c>
      <c r="E169" s="751">
        <f t="shared" ref="E169:E173" si="172">F169</f>
        <v>0</v>
      </c>
      <c r="F169" s="751"/>
      <c r="G169" s="751"/>
      <c r="H169" s="751"/>
      <c r="I169" s="751"/>
      <c r="J169" s="751">
        <f t="shared" ref="J169:J173" si="173">L169+O169</f>
        <v>82535515</v>
      </c>
      <c r="K169" s="776">
        <f>(0)+82535515</f>
        <v>82535515</v>
      </c>
      <c r="L169" s="751"/>
      <c r="M169" s="751"/>
      <c r="N169" s="751"/>
      <c r="O169" s="776">
        <f t="shared" ref="O169:O173" si="174">K169</f>
        <v>82535515</v>
      </c>
      <c r="P169" s="751">
        <f t="shared" ref="P169:P173" si="175">E169+J169</f>
        <v>82535515</v>
      </c>
      <c r="Q169" s="784"/>
      <c r="R169" s="791"/>
    </row>
    <row r="170" spans="1:18" ht="204.75" customHeight="1" x14ac:dyDescent="0.2">
      <c r="A170" s="774"/>
      <c r="B170" s="774"/>
      <c r="C170" s="774"/>
      <c r="D170" s="703" t="s">
        <v>1431</v>
      </c>
      <c r="E170" s="774"/>
      <c r="F170" s="774"/>
      <c r="G170" s="774"/>
      <c r="H170" s="774"/>
      <c r="I170" s="774"/>
      <c r="J170" s="774"/>
      <c r="K170" s="774"/>
      <c r="L170" s="774"/>
      <c r="M170" s="774"/>
      <c r="N170" s="774"/>
      <c r="O170" s="774"/>
      <c r="P170" s="774"/>
      <c r="Q170" s="784"/>
      <c r="R170" s="792"/>
    </row>
    <row r="171" spans="1:18" ht="180" customHeight="1" x14ac:dyDescent="0.2">
      <c r="A171" s="774"/>
      <c r="B171" s="774"/>
      <c r="C171" s="774"/>
      <c r="D171" s="703" t="s">
        <v>1432</v>
      </c>
      <c r="E171" s="774"/>
      <c r="F171" s="774"/>
      <c r="G171" s="774"/>
      <c r="H171" s="774"/>
      <c r="I171" s="774"/>
      <c r="J171" s="774"/>
      <c r="K171" s="774"/>
      <c r="L171" s="774"/>
      <c r="M171" s="774"/>
      <c r="N171" s="774"/>
      <c r="O171" s="774"/>
      <c r="P171" s="774"/>
      <c r="Q171" s="784"/>
      <c r="R171" s="792"/>
    </row>
    <row r="172" spans="1:18" ht="117" customHeight="1" thickBot="1" x14ac:dyDescent="0.25">
      <c r="A172" s="775"/>
      <c r="B172" s="775"/>
      <c r="C172" s="775"/>
      <c r="D172" s="704" t="s">
        <v>1433</v>
      </c>
      <c r="E172" s="775"/>
      <c r="F172" s="775"/>
      <c r="G172" s="775"/>
      <c r="H172" s="775"/>
      <c r="I172" s="775"/>
      <c r="J172" s="775"/>
      <c r="K172" s="775"/>
      <c r="L172" s="775"/>
      <c r="M172" s="775"/>
      <c r="N172" s="775"/>
      <c r="O172" s="775"/>
      <c r="P172" s="775"/>
      <c r="Q172" s="784"/>
      <c r="R172" s="792"/>
    </row>
    <row r="173" spans="1:18" ht="183.75" thickTop="1" x14ac:dyDescent="0.65">
      <c r="A173" s="773" t="s">
        <v>1064</v>
      </c>
      <c r="B173" s="773" t="s">
        <v>1065</v>
      </c>
      <c r="C173" s="773" t="s">
        <v>50</v>
      </c>
      <c r="D173" s="702" t="s">
        <v>1063</v>
      </c>
      <c r="E173" s="751">
        <f t="shared" si="172"/>
        <v>0</v>
      </c>
      <c r="F173" s="751"/>
      <c r="G173" s="751"/>
      <c r="H173" s="751"/>
      <c r="I173" s="751"/>
      <c r="J173" s="751">
        <f t="shared" si="173"/>
        <v>29419182</v>
      </c>
      <c r="K173" s="776">
        <f>(0)+29419182</f>
        <v>29419182</v>
      </c>
      <c r="L173" s="751"/>
      <c r="M173" s="751"/>
      <c r="N173" s="751"/>
      <c r="O173" s="751">
        <f t="shared" si="174"/>
        <v>29419182</v>
      </c>
      <c r="P173" s="751">
        <f t="shared" si="175"/>
        <v>29419182</v>
      </c>
      <c r="Q173" s="20"/>
      <c r="R173" s="791"/>
    </row>
    <row r="174" spans="1:18" ht="204.75" customHeight="1" x14ac:dyDescent="0.2">
      <c r="A174" s="774"/>
      <c r="B174" s="774"/>
      <c r="C174" s="774"/>
      <c r="D174" s="703" t="s">
        <v>1434</v>
      </c>
      <c r="E174" s="774"/>
      <c r="F174" s="774"/>
      <c r="G174" s="774"/>
      <c r="H174" s="774"/>
      <c r="I174" s="774"/>
      <c r="J174" s="774"/>
      <c r="K174" s="774"/>
      <c r="L174" s="774"/>
      <c r="M174" s="774"/>
      <c r="N174" s="774"/>
      <c r="O174" s="774"/>
      <c r="P174" s="774"/>
      <c r="Q174" s="20"/>
      <c r="R174" s="793"/>
    </row>
    <row r="175" spans="1:18" ht="201.75" customHeight="1" x14ac:dyDescent="0.2">
      <c r="A175" s="774"/>
      <c r="B175" s="774"/>
      <c r="C175" s="774"/>
      <c r="D175" s="703" t="s">
        <v>1435</v>
      </c>
      <c r="E175" s="774"/>
      <c r="F175" s="774"/>
      <c r="G175" s="774"/>
      <c r="H175" s="774"/>
      <c r="I175" s="774"/>
      <c r="J175" s="774"/>
      <c r="K175" s="774"/>
      <c r="L175" s="774"/>
      <c r="M175" s="774"/>
      <c r="N175" s="774"/>
      <c r="O175" s="774"/>
      <c r="P175" s="774"/>
      <c r="Q175" s="20"/>
      <c r="R175" s="793"/>
    </row>
    <row r="176" spans="1:18" ht="111" customHeight="1" thickBot="1" x14ac:dyDescent="0.25">
      <c r="A176" s="775"/>
      <c r="B176" s="775"/>
      <c r="C176" s="775"/>
      <c r="D176" s="704" t="s">
        <v>1436</v>
      </c>
      <c r="E176" s="775"/>
      <c r="F176" s="775"/>
      <c r="G176" s="775"/>
      <c r="H176" s="775"/>
      <c r="I176" s="775"/>
      <c r="J176" s="775"/>
      <c r="K176" s="775"/>
      <c r="L176" s="775"/>
      <c r="M176" s="775"/>
      <c r="N176" s="775"/>
      <c r="O176" s="775"/>
      <c r="P176" s="775"/>
      <c r="Q176" s="20"/>
      <c r="R176" s="793"/>
    </row>
    <row r="177" spans="1:18" ht="183.75" thickTop="1" x14ac:dyDescent="0.65">
      <c r="A177" s="773" t="s">
        <v>1066</v>
      </c>
      <c r="B177" s="773" t="s">
        <v>1067</v>
      </c>
      <c r="C177" s="773" t="s">
        <v>50</v>
      </c>
      <c r="D177" s="702" t="s">
        <v>1437</v>
      </c>
      <c r="E177" s="751">
        <f t="shared" ref="E177" si="176">F177</f>
        <v>0</v>
      </c>
      <c r="F177" s="751"/>
      <c r="G177" s="751"/>
      <c r="H177" s="751"/>
      <c r="I177" s="751"/>
      <c r="J177" s="751">
        <f t="shared" ref="J177" si="177">L177+O177</f>
        <v>9627478</v>
      </c>
      <c r="K177" s="776">
        <f>(0)+9627478</f>
        <v>9627478</v>
      </c>
      <c r="L177" s="751"/>
      <c r="M177" s="751"/>
      <c r="N177" s="751"/>
      <c r="O177" s="776">
        <f t="shared" ref="O177" si="178">K177</f>
        <v>9627478</v>
      </c>
      <c r="P177" s="751">
        <f t="shared" ref="P177" si="179">E177+J177</f>
        <v>9627478</v>
      </c>
      <c r="Q177" s="20"/>
      <c r="R177" s="791"/>
    </row>
    <row r="178" spans="1:18" ht="183" x14ac:dyDescent="0.2">
      <c r="A178" s="774"/>
      <c r="B178" s="774"/>
      <c r="C178" s="774"/>
      <c r="D178" s="703" t="s">
        <v>1438</v>
      </c>
      <c r="E178" s="774"/>
      <c r="F178" s="774"/>
      <c r="G178" s="774"/>
      <c r="H178" s="774"/>
      <c r="I178" s="774"/>
      <c r="J178" s="774"/>
      <c r="K178" s="774"/>
      <c r="L178" s="774"/>
      <c r="M178" s="774"/>
      <c r="N178" s="774"/>
      <c r="O178" s="774"/>
      <c r="P178" s="774"/>
      <c r="Q178" s="20"/>
      <c r="R178" s="792"/>
    </row>
    <row r="179" spans="1:18" ht="70.5" customHeight="1" thickBot="1" x14ac:dyDescent="0.25">
      <c r="A179" s="775"/>
      <c r="B179" s="775"/>
      <c r="C179" s="775"/>
      <c r="D179" s="704" t="s">
        <v>1068</v>
      </c>
      <c r="E179" s="775"/>
      <c r="F179" s="775"/>
      <c r="G179" s="775"/>
      <c r="H179" s="775"/>
      <c r="I179" s="775"/>
      <c r="J179" s="775"/>
      <c r="K179" s="775"/>
      <c r="L179" s="775"/>
      <c r="M179" s="775"/>
      <c r="N179" s="775"/>
      <c r="O179" s="775"/>
      <c r="P179" s="775"/>
      <c r="Q179" s="20"/>
      <c r="R179" s="792"/>
    </row>
    <row r="180" spans="1:18" ht="183.75" hidden="1" thickTop="1" x14ac:dyDescent="0.65">
      <c r="A180" s="770" t="s">
        <v>1072</v>
      </c>
      <c r="B180" s="770" t="s">
        <v>1073</v>
      </c>
      <c r="C180" s="770" t="s">
        <v>50</v>
      </c>
      <c r="D180" s="402" t="s">
        <v>1069</v>
      </c>
      <c r="E180" s="796">
        <f t="shared" ref="E180" si="180">F180</f>
        <v>0</v>
      </c>
      <c r="F180" s="796"/>
      <c r="G180" s="796"/>
      <c r="H180" s="796"/>
      <c r="I180" s="796"/>
      <c r="J180" s="796">
        <f t="shared" ref="J180" si="181">L180+O180</f>
        <v>0</v>
      </c>
      <c r="K180" s="790">
        <v>0</v>
      </c>
      <c r="L180" s="772"/>
      <c r="M180" s="772"/>
      <c r="N180" s="772"/>
      <c r="O180" s="790">
        <f t="shared" ref="O180" si="182">K180</f>
        <v>0</v>
      </c>
      <c r="P180" s="772">
        <f t="shared" ref="P180" si="183">E180+J180</f>
        <v>0</v>
      </c>
      <c r="Q180" s="20"/>
      <c r="R180" s="791"/>
    </row>
    <row r="181" spans="1:18" ht="183" hidden="1" x14ac:dyDescent="0.2">
      <c r="A181" s="779"/>
      <c r="B181" s="779"/>
      <c r="C181" s="779"/>
      <c r="D181" s="124" t="s">
        <v>1070</v>
      </c>
      <c r="E181" s="797"/>
      <c r="F181" s="797"/>
      <c r="G181" s="797"/>
      <c r="H181" s="797"/>
      <c r="I181" s="797"/>
      <c r="J181" s="797"/>
      <c r="K181" s="779"/>
      <c r="L181" s="779"/>
      <c r="M181" s="779"/>
      <c r="N181" s="779"/>
      <c r="O181" s="779"/>
      <c r="P181" s="779"/>
      <c r="Q181" s="20"/>
      <c r="R181" s="792"/>
    </row>
    <row r="182" spans="1:18" ht="47.25" hidden="1" thickTop="1" thickBot="1" x14ac:dyDescent="0.25">
      <c r="A182" s="771"/>
      <c r="B182" s="771"/>
      <c r="C182" s="771"/>
      <c r="D182" s="403" t="s">
        <v>1071</v>
      </c>
      <c r="E182" s="787"/>
      <c r="F182" s="787"/>
      <c r="G182" s="787"/>
      <c r="H182" s="787"/>
      <c r="I182" s="787"/>
      <c r="J182" s="787"/>
      <c r="K182" s="771"/>
      <c r="L182" s="771"/>
      <c r="M182" s="771"/>
      <c r="N182" s="771"/>
      <c r="O182" s="771"/>
      <c r="P182" s="771"/>
      <c r="Q182" s="20"/>
      <c r="R182" s="792"/>
    </row>
    <row r="183" spans="1:18" ht="93" thickTop="1" thickBot="1" x14ac:dyDescent="0.25">
      <c r="A183" s="101" t="s">
        <v>1203</v>
      </c>
      <c r="B183" s="101" t="s">
        <v>1200</v>
      </c>
      <c r="C183" s="101" t="s">
        <v>206</v>
      </c>
      <c r="D183" s="466" t="s">
        <v>1201</v>
      </c>
      <c r="E183" s="542">
        <f t="shared" ref="E183" si="184">F183</f>
        <v>6550760.2199999997</v>
      </c>
      <c r="F183" s="458">
        <f>(((5975529)+1168180)+856731.22)-1449680</f>
        <v>6550760.2199999997</v>
      </c>
      <c r="G183" s="132"/>
      <c r="H183" s="132"/>
      <c r="I183" s="132"/>
      <c r="J183" s="325">
        <f t="shared" ref="J183" si="185">L183+O183</f>
        <v>49543934.140000001</v>
      </c>
      <c r="K183" s="458">
        <f>(((30767856.02)+16737530.6-3236524.08)+908668+1644258+500000)+2222145.6</f>
        <v>49543934.140000001</v>
      </c>
      <c r="L183" s="458"/>
      <c r="M183" s="458"/>
      <c r="N183" s="458"/>
      <c r="O183" s="455">
        <f t="shared" ref="O183" si="186">K183</f>
        <v>49543934.140000001</v>
      </c>
      <c r="P183" s="325">
        <f>E183+J183</f>
        <v>56094694.359999999</v>
      </c>
      <c r="Q183" s="20"/>
      <c r="R183" s="21"/>
    </row>
    <row r="184" spans="1:18" s="33" customFormat="1" ht="48" thickTop="1" thickBot="1" x14ac:dyDescent="0.25">
      <c r="A184" s="326" t="s">
        <v>738</v>
      </c>
      <c r="B184" s="326" t="s">
        <v>739</v>
      </c>
      <c r="C184" s="326"/>
      <c r="D184" s="326" t="s">
        <v>740</v>
      </c>
      <c r="E184" s="322">
        <f>SUM(E185:E186)</f>
        <v>121828553.2</v>
      </c>
      <c r="F184" s="322">
        <f t="shared" ref="F184:P184" si="187">SUM(F185:F186)</f>
        <v>121828553.2</v>
      </c>
      <c r="G184" s="322">
        <f t="shared" si="187"/>
        <v>14711142</v>
      </c>
      <c r="H184" s="322">
        <f t="shared" si="187"/>
        <v>2001403.13</v>
      </c>
      <c r="I184" s="322">
        <f t="shared" si="187"/>
        <v>0</v>
      </c>
      <c r="J184" s="322">
        <f t="shared" si="187"/>
        <v>32183714</v>
      </c>
      <c r="K184" s="322">
        <f t="shared" si="187"/>
        <v>27191454</v>
      </c>
      <c r="L184" s="322">
        <f t="shared" si="187"/>
        <v>4968260</v>
      </c>
      <c r="M184" s="322">
        <f t="shared" si="187"/>
        <v>1885685</v>
      </c>
      <c r="N184" s="322">
        <f t="shared" si="187"/>
        <v>555805</v>
      </c>
      <c r="O184" s="322">
        <f t="shared" si="187"/>
        <v>27215454</v>
      </c>
      <c r="P184" s="322">
        <f t="shared" si="187"/>
        <v>154012267.19999999</v>
      </c>
      <c r="Q184" s="36"/>
      <c r="R184" s="51"/>
    </row>
    <row r="185" spans="1:18" ht="93" thickTop="1" thickBot="1" x14ac:dyDescent="0.25">
      <c r="A185" s="101" t="s">
        <v>327</v>
      </c>
      <c r="B185" s="101" t="s">
        <v>329</v>
      </c>
      <c r="C185" s="101" t="s">
        <v>191</v>
      </c>
      <c r="D185" s="466" t="s">
        <v>331</v>
      </c>
      <c r="E185" s="325">
        <f t="shared" si="155"/>
        <v>32618712.199999999</v>
      </c>
      <c r="F185" s="458">
        <f>((((24773656)+2282350+2871000+571920)+149693+255079-300000+513700+22500+905816-13000-299300)+12809.13)+50000+100000+20000+100000+300000+46750+83490+84000+13280+45469.07+29500</f>
        <v>32618712.199999999</v>
      </c>
      <c r="G185" s="323">
        <f>(3231579+4596637+3505606)+1568320+1809000</f>
        <v>14711142</v>
      </c>
      <c r="H185" s="323">
        <f>((((35600+197918+78510+15030+337600+219800+437423+28830)+70000)+137643)+12809.13)+300000+46750+83490</f>
        <v>2001403.13</v>
      </c>
      <c r="I185" s="458"/>
      <c r="J185" s="325">
        <f t="shared" ref="J185:J198" si="188">L185+O185</f>
        <v>8057115</v>
      </c>
      <c r="K185" s="458">
        <f>((0)+26950+100000+1475430)+100000+1132475+15000+215000</f>
        <v>3064855</v>
      </c>
      <c r="L185" s="458">
        <f>4992260-24000</f>
        <v>4968260</v>
      </c>
      <c r="M185" s="458">
        <v>1885685</v>
      </c>
      <c r="N185" s="458">
        <f>34805+338560+116750+65690</f>
        <v>555805</v>
      </c>
      <c r="O185" s="455">
        <f>(K185)+24000</f>
        <v>3088855</v>
      </c>
      <c r="P185" s="325">
        <f t="shared" ref="P185:P198" si="189">E185+J185</f>
        <v>40675827.200000003</v>
      </c>
      <c r="Q185" s="20"/>
      <c r="R185" s="46"/>
    </row>
    <row r="186" spans="1:18" ht="66.75" customHeight="1" thickTop="1" thickBot="1" x14ac:dyDescent="0.25">
      <c r="A186" s="101" t="s">
        <v>328</v>
      </c>
      <c r="B186" s="101" t="s">
        <v>330</v>
      </c>
      <c r="C186" s="101" t="s">
        <v>191</v>
      </c>
      <c r="D186" s="466" t="s">
        <v>332</v>
      </c>
      <c r="E186" s="325">
        <f t="shared" si="155"/>
        <v>89209841</v>
      </c>
      <c r="F186" s="458">
        <f>(((43653090)+5000000+1800000)+20216750)+15000000+684000+1400000+200000+780000+500000-23999</f>
        <v>89209841</v>
      </c>
      <c r="G186" s="132"/>
      <c r="H186" s="132"/>
      <c r="I186" s="132"/>
      <c r="J186" s="325">
        <f t="shared" si="188"/>
        <v>24126599</v>
      </c>
      <c r="K186" s="458">
        <f>((24000000)+102600)+23999</f>
        <v>24126599</v>
      </c>
      <c r="L186" s="458"/>
      <c r="M186" s="458"/>
      <c r="N186" s="458"/>
      <c r="O186" s="455">
        <f t="shared" ref="O186:O198" si="190">K186</f>
        <v>24126599</v>
      </c>
      <c r="P186" s="325">
        <f t="shared" si="189"/>
        <v>113336440</v>
      </c>
      <c r="Q186" s="20"/>
      <c r="R186" s="46"/>
    </row>
    <row r="187" spans="1:18" ht="47.25" thickTop="1" thickBot="1" x14ac:dyDescent="0.25">
      <c r="A187" s="308" t="s">
        <v>741</v>
      </c>
      <c r="B187" s="308" t="s">
        <v>742</v>
      </c>
      <c r="C187" s="308"/>
      <c r="D187" s="344" t="s">
        <v>743</v>
      </c>
      <c r="E187" s="325">
        <f>SUM(E188)</f>
        <v>0</v>
      </c>
      <c r="F187" s="325">
        <f t="shared" ref="F187:P187" si="191">SUM(F188)</f>
        <v>0</v>
      </c>
      <c r="G187" s="325">
        <f t="shared" si="191"/>
        <v>0</v>
      </c>
      <c r="H187" s="325">
        <f t="shared" si="191"/>
        <v>0</v>
      </c>
      <c r="I187" s="325">
        <f t="shared" si="191"/>
        <v>0</v>
      </c>
      <c r="J187" s="325">
        <f>SUM(J188)</f>
        <v>26000000</v>
      </c>
      <c r="K187" s="325">
        <f t="shared" si="191"/>
        <v>26000000</v>
      </c>
      <c r="L187" s="325">
        <f t="shared" si="191"/>
        <v>0</v>
      </c>
      <c r="M187" s="325">
        <f t="shared" si="191"/>
        <v>0</v>
      </c>
      <c r="N187" s="325">
        <f t="shared" si="191"/>
        <v>0</v>
      </c>
      <c r="O187" s="325">
        <f t="shared" si="191"/>
        <v>26000000</v>
      </c>
      <c r="P187" s="325">
        <f t="shared" si="191"/>
        <v>26000000</v>
      </c>
      <c r="Q187" s="20"/>
      <c r="R187" s="46"/>
    </row>
    <row r="188" spans="1:18" s="33" customFormat="1" ht="48" thickTop="1" thickBot="1" x14ac:dyDescent="0.25">
      <c r="A188" s="326" t="s">
        <v>744</v>
      </c>
      <c r="B188" s="326" t="s">
        <v>745</v>
      </c>
      <c r="C188" s="326"/>
      <c r="D188" s="541" t="s">
        <v>746</v>
      </c>
      <c r="E188" s="322">
        <f>SUM(E189:E190)</f>
        <v>0</v>
      </c>
      <c r="F188" s="322">
        <f>SUM(F189:F190)</f>
        <v>0</v>
      </c>
      <c r="G188" s="322">
        <f>SUM(G189:G190)</f>
        <v>0</v>
      </c>
      <c r="H188" s="322">
        <f>SUM(H189:H190)</f>
        <v>0</v>
      </c>
      <c r="I188" s="322">
        <f>SUM(I189:I190)</f>
        <v>0</v>
      </c>
      <c r="J188" s="322">
        <f t="shared" ref="J188:O188" si="192">SUM(J189:J190)</f>
        <v>26000000</v>
      </c>
      <c r="K188" s="322">
        <f t="shared" si="192"/>
        <v>26000000</v>
      </c>
      <c r="L188" s="322">
        <f t="shared" si="192"/>
        <v>0</v>
      </c>
      <c r="M188" s="322">
        <f t="shared" si="192"/>
        <v>0</v>
      </c>
      <c r="N188" s="322">
        <f t="shared" si="192"/>
        <v>0</v>
      </c>
      <c r="O188" s="322">
        <f t="shared" si="192"/>
        <v>26000000</v>
      </c>
      <c r="P188" s="322">
        <f>SUM(P189:P190)</f>
        <v>26000000</v>
      </c>
      <c r="Q188" s="36"/>
      <c r="R188" s="52"/>
    </row>
    <row r="189" spans="1:18" ht="93" thickTop="1" thickBot="1" x14ac:dyDescent="0.25">
      <c r="A189" s="101" t="s">
        <v>367</v>
      </c>
      <c r="B189" s="101" t="s">
        <v>365</v>
      </c>
      <c r="C189" s="101" t="s">
        <v>340</v>
      </c>
      <c r="D189" s="466" t="s">
        <v>366</v>
      </c>
      <c r="E189" s="325">
        <f t="shared" si="155"/>
        <v>0</v>
      </c>
      <c r="F189" s="458"/>
      <c r="G189" s="458"/>
      <c r="H189" s="458"/>
      <c r="I189" s="458"/>
      <c r="J189" s="325">
        <f t="shared" si="188"/>
        <v>26000000</v>
      </c>
      <c r="K189" s="458">
        <f>(20000000)+6000000</f>
        <v>26000000</v>
      </c>
      <c r="L189" s="458"/>
      <c r="M189" s="458"/>
      <c r="N189" s="458"/>
      <c r="O189" s="455">
        <f t="shared" si="190"/>
        <v>26000000</v>
      </c>
      <c r="P189" s="325">
        <f t="shared" si="189"/>
        <v>26000000</v>
      </c>
      <c r="Q189" s="20"/>
      <c r="R189" s="46"/>
    </row>
    <row r="190" spans="1:18" ht="184.5" hidden="1" thickTop="1" thickBot="1" x14ac:dyDescent="0.25">
      <c r="A190" s="41" t="s">
        <v>1074</v>
      </c>
      <c r="B190" s="41" t="s">
        <v>1075</v>
      </c>
      <c r="C190" s="41" t="s">
        <v>340</v>
      </c>
      <c r="D190" s="152" t="s">
        <v>1076</v>
      </c>
      <c r="E190" s="42">
        <f t="shared" si="155"/>
        <v>0</v>
      </c>
      <c r="F190" s="43"/>
      <c r="G190" s="43"/>
      <c r="H190" s="43"/>
      <c r="I190" s="43"/>
      <c r="J190" s="42">
        <f t="shared" si="188"/>
        <v>0</v>
      </c>
      <c r="K190" s="43">
        <v>0</v>
      </c>
      <c r="L190" s="43"/>
      <c r="M190" s="43"/>
      <c r="N190" s="43"/>
      <c r="O190" s="44">
        <f t="shared" si="190"/>
        <v>0</v>
      </c>
      <c r="P190" s="42">
        <f t="shared" si="189"/>
        <v>0</v>
      </c>
      <c r="Q190" s="20"/>
      <c r="R190" s="46"/>
    </row>
    <row r="191" spans="1:18" ht="47.25" thickTop="1" thickBot="1" x14ac:dyDescent="0.25">
      <c r="A191" s="308" t="s">
        <v>751</v>
      </c>
      <c r="B191" s="308" t="s">
        <v>748</v>
      </c>
      <c r="C191" s="308"/>
      <c r="D191" s="308" t="s">
        <v>749</v>
      </c>
      <c r="E191" s="325">
        <f>E195+E192</f>
        <v>0</v>
      </c>
      <c r="F191" s="325">
        <f t="shared" ref="F191:P191" si="193">F195+F192</f>
        <v>0</v>
      </c>
      <c r="G191" s="325">
        <f t="shared" si="193"/>
        <v>0</v>
      </c>
      <c r="H191" s="325">
        <f t="shared" si="193"/>
        <v>0</v>
      </c>
      <c r="I191" s="325">
        <f t="shared" si="193"/>
        <v>0</v>
      </c>
      <c r="J191" s="325">
        <f t="shared" si="193"/>
        <v>6865465.3499999996</v>
      </c>
      <c r="K191" s="325">
        <f t="shared" si="193"/>
        <v>6865465.3499999996</v>
      </c>
      <c r="L191" s="325">
        <f t="shared" si="193"/>
        <v>0</v>
      </c>
      <c r="M191" s="325">
        <f t="shared" si="193"/>
        <v>0</v>
      </c>
      <c r="N191" s="325">
        <f t="shared" si="193"/>
        <v>0</v>
      </c>
      <c r="O191" s="325">
        <f t="shared" si="193"/>
        <v>6865465.3499999996</v>
      </c>
      <c r="P191" s="325">
        <f t="shared" si="193"/>
        <v>6865465.3499999996</v>
      </c>
      <c r="Q191" s="20"/>
      <c r="R191" s="46"/>
    </row>
    <row r="192" spans="1:18" ht="47.25" thickTop="1" thickBot="1" x14ac:dyDescent="0.25">
      <c r="A192" s="310" t="s">
        <v>926</v>
      </c>
      <c r="B192" s="310" t="s">
        <v>803</v>
      </c>
      <c r="C192" s="310"/>
      <c r="D192" s="310" t="s">
        <v>804</v>
      </c>
      <c r="E192" s="312">
        <f>E193</f>
        <v>0</v>
      </c>
      <c r="F192" s="312">
        <f t="shared" ref="F192:P197" si="194">F193</f>
        <v>0</v>
      </c>
      <c r="G192" s="312">
        <f t="shared" si="194"/>
        <v>0</v>
      </c>
      <c r="H192" s="312">
        <f t="shared" si="194"/>
        <v>0</v>
      </c>
      <c r="I192" s="312">
        <f t="shared" si="194"/>
        <v>0</v>
      </c>
      <c r="J192" s="312">
        <f t="shared" si="194"/>
        <v>548000</v>
      </c>
      <c r="K192" s="312">
        <f t="shared" si="194"/>
        <v>548000</v>
      </c>
      <c r="L192" s="312">
        <f t="shared" si="194"/>
        <v>0</v>
      </c>
      <c r="M192" s="312">
        <f t="shared" si="194"/>
        <v>0</v>
      </c>
      <c r="N192" s="312">
        <f t="shared" si="194"/>
        <v>0</v>
      </c>
      <c r="O192" s="312">
        <f t="shared" si="194"/>
        <v>548000</v>
      </c>
      <c r="P192" s="312">
        <f t="shared" si="194"/>
        <v>548000</v>
      </c>
      <c r="Q192" s="20"/>
      <c r="R192" s="46"/>
    </row>
    <row r="193" spans="1:18" ht="54.75" thickTop="1" thickBot="1" x14ac:dyDescent="0.25">
      <c r="A193" s="326" t="s">
        <v>923</v>
      </c>
      <c r="B193" s="326" t="s">
        <v>821</v>
      </c>
      <c r="C193" s="326"/>
      <c r="D193" s="326" t="s">
        <v>1503</v>
      </c>
      <c r="E193" s="322">
        <f>E194</f>
        <v>0</v>
      </c>
      <c r="F193" s="322">
        <f t="shared" si="194"/>
        <v>0</v>
      </c>
      <c r="G193" s="322">
        <f t="shared" si="194"/>
        <v>0</v>
      </c>
      <c r="H193" s="322">
        <f t="shared" si="194"/>
        <v>0</v>
      </c>
      <c r="I193" s="322">
        <f t="shared" si="194"/>
        <v>0</v>
      </c>
      <c r="J193" s="322">
        <f t="shared" si="194"/>
        <v>548000</v>
      </c>
      <c r="K193" s="322">
        <f t="shared" si="194"/>
        <v>548000</v>
      </c>
      <c r="L193" s="322">
        <f t="shared" si="194"/>
        <v>0</v>
      </c>
      <c r="M193" s="322">
        <f t="shared" si="194"/>
        <v>0</v>
      </c>
      <c r="N193" s="322">
        <f t="shared" si="194"/>
        <v>0</v>
      </c>
      <c r="O193" s="322">
        <f t="shared" si="194"/>
        <v>548000</v>
      </c>
      <c r="P193" s="322">
        <f t="shared" si="194"/>
        <v>548000</v>
      </c>
      <c r="Q193" s="20"/>
      <c r="R193" s="46"/>
    </row>
    <row r="194" spans="1:18" ht="54" thickTop="1" thickBot="1" x14ac:dyDescent="0.25">
      <c r="A194" s="101" t="s">
        <v>924</v>
      </c>
      <c r="B194" s="101" t="s">
        <v>925</v>
      </c>
      <c r="C194" s="101" t="s">
        <v>304</v>
      </c>
      <c r="D194" s="101" t="s">
        <v>1614</v>
      </c>
      <c r="E194" s="325">
        <f t="shared" ref="E194:E196" si="195">F194</f>
        <v>0</v>
      </c>
      <c r="F194" s="458"/>
      <c r="G194" s="458"/>
      <c r="H194" s="458"/>
      <c r="I194" s="458"/>
      <c r="J194" s="325">
        <f>L194+O194</f>
        <v>548000</v>
      </c>
      <c r="K194" s="458">
        <f>((0)+999655-549655)+98000</f>
        <v>548000</v>
      </c>
      <c r="L194" s="458"/>
      <c r="M194" s="458"/>
      <c r="N194" s="458"/>
      <c r="O194" s="455">
        <f>K194</f>
        <v>548000</v>
      </c>
      <c r="P194" s="325">
        <f>E194+J194</f>
        <v>548000</v>
      </c>
      <c r="Q194" s="20"/>
      <c r="R194" s="46"/>
    </row>
    <row r="195" spans="1:18" ht="47.25" thickTop="1" thickBot="1" x14ac:dyDescent="0.25">
      <c r="A195" s="310" t="s">
        <v>753</v>
      </c>
      <c r="B195" s="310" t="s">
        <v>691</v>
      </c>
      <c r="C195" s="310"/>
      <c r="D195" s="310" t="s">
        <v>689</v>
      </c>
      <c r="E195" s="312">
        <f>E197+E196</f>
        <v>0</v>
      </c>
      <c r="F195" s="312">
        <f t="shared" ref="F195:I195" si="196">F197+F196</f>
        <v>0</v>
      </c>
      <c r="G195" s="312">
        <f t="shared" si="196"/>
        <v>0</v>
      </c>
      <c r="H195" s="312">
        <f t="shared" si="196"/>
        <v>0</v>
      </c>
      <c r="I195" s="312">
        <f t="shared" si="196"/>
        <v>0</v>
      </c>
      <c r="J195" s="312">
        <f>J197+J196</f>
        <v>6317465.3499999996</v>
      </c>
      <c r="K195" s="312">
        <f t="shared" ref="K195" si="197">K197+K196</f>
        <v>6317465.3499999996</v>
      </c>
      <c r="L195" s="312">
        <f t="shared" ref="L195" si="198">L197+L196</f>
        <v>0</v>
      </c>
      <c r="M195" s="312">
        <f t="shared" ref="M195" si="199">M197+M196</f>
        <v>0</v>
      </c>
      <c r="N195" s="312">
        <f t="shared" ref="N195" si="200">N197+N196</f>
        <v>0</v>
      </c>
      <c r="O195" s="312">
        <f t="shared" ref="O195" si="201">O197+O196</f>
        <v>6317465.3499999996</v>
      </c>
      <c r="P195" s="312">
        <f>P197+P196</f>
        <v>6317465.3499999996</v>
      </c>
      <c r="Q195" s="20"/>
      <c r="R195" s="46"/>
    </row>
    <row r="196" spans="1:18" ht="48" thickTop="1" thickBot="1" x14ac:dyDescent="0.25">
      <c r="A196" s="101" t="s">
        <v>1309</v>
      </c>
      <c r="B196" s="101" t="s">
        <v>212</v>
      </c>
      <c r="C196" s="101" t="s">
        <v>213</v>
      </c>
      <c r="D196" s="101" t="s">
        <v>41</v>
      </c>
      <c r="E196" s="325">
        <f t="shared" si="195"/>
        <v>0</v>
      </c>
      <c r="F196" s="458">
        <v>0</v>
      </c>
      <c r="G196" s="458"/>
      <c r="H196" s="458"/>
      <c r="I196" s="458"/>
      <c r="J196" s="325">
        <f t="shared" ref="J196" si="202">L196+O196</f>
        <v>6317465.3499999996</v>
      </c>
      <c r="K196" s="458">
        <f>((13660)+2000000)+4303805.35</f>
        <v>6317465.3499999996</v>
      </c>
      <c r="L196" s="458"/>
      <c r="M196" s="458"/>
      <c r="N196" s="458"/>
      <c r="O196" s="455">
        <f t="shared" ref="O196" si="203">K196</f>
        <v>6317465.3499999996</v>
      </c>
      <c r="P196" s="325">
        <f t="shared" ref="P196" si="204">E196+J196</f>
        <v>6317465.3499999996</v>
      </c>
      <c r="Q196" s="20"/>
      <c r="R196" s="46"/>
    </row>
    <row r="197" spans="1:18" ht="48" hidden="1" thickTop="1" thickBot="1" x14ac:dyDescent="0.25">
      <c r="A197" s="138" t="s">
        <v>752</v>
      </c>
      <c r="B197" s="138" t="s">
        <v>694</v>
      </c>
      <c r="C197" s="138"/>
      <c r="D197" s="151" t="s">
        <v>692</v>
      </c>
      <c r="E197" s="139">
        <f>E198</f>
        <v>0</v>
      </c>
      <c r="F197" s="139">
        <f t="shared" si="194"/>
        <v>0</v>
      </c>
      <c r="G197" s="139">
        <f t="shared" si="194"/>
        <v>0</v>
      </c>
      <c r="H197" s="139">
        <f t="shared" si="194"/>
        <v>0</v>
      </c>
      <c r="I197" s="139">
        <f t="shared" si="194"/>
        <v>0</v>
      </c>
      <c r="J197" s="139">
        <f t="shared" si="194"/>
        <v>0</v>
      </c>
      <c r="K197" s="139">
        <f t="shared" si="194"/>
        <v>0</v>
      </c>
      <c r="L197" s="139">
        <f t="shared" si="194"/>
        <v>0</v>
      </c>
      <c r="M197" s="139">
        <f t="shared" si="194"/>
        <v>0</v>
      </c>
      <c r="N197" s="139">
        <f t="shared" si="194"/>
        <v>0</v>
      </c>
      <c r="O197" s="139">
        <f t="shared" si="194"/>
        <v>0</v>
      </c>
      <c r="P197" s="139">
        <f t="shared" si="194"/>
        <v>0</v>
      </c>
      <c r="Q197" s="20"/>
      <c r="R197" s="46"/>
    </row>
    <row r="198" spans="1:18" ht="184.5" hidden="1" thickTop="1" thickBot="1" x14ac:dyDescent="0.7">
      <c r="A198" s="768" t="s">
        <v>423</v>
      </c>
      <c r="B198" s="768" t="s">
        <v>338</v>
      </c>
      <c r="C198" s="768" t="s">
        <v>170</v>
      </c>
      <c r="D198" s="153" t="s">
        <v>440</v>
      </c>
      <c r="E198" s="746">
        <f t="shared" si="155"/>
        <v>0</v>
      </c>
      <c r="F198" s="747"/>
      <c r="G198" s="747"/>
      <c r="H198" s="747"/>
      <c r="I198" s="747"/>
      <c r="J198" s="746">
        <f t="shared" si="188"/>
        <v>0</v>
      </c>
      <c r="K198" s="747"/>
      <c r="L198" s="747"/>
      <c r="M198" s="747"/>
      <c r="N198" s="747"/>
      <c r="O198" s="766">
        <f t="shared" si="190"/>
        <v>0</v>
      </c>
      <c r="P198" s="781">
        <f t="shared" si="189"/>
        <v>0</v>
      </c>
      <c r="Q198" s="20"/>
      <c r="R198" s="50"/>
    </row>
    <row r="199" spans="1:18" ht="93" hidden="1" thickTop="1" thickBot="1" x14ac:dyDescent="0.25">
      <c r="A199" s="769"/>
      <c r="B199" s="778"/>
      <c r="C199" s="769"/>
      <c r="D199" s="154" t="s">
        <v>441</v>
      </c>
      <c r="E199" s="769"/>
      <c r="F199" s="767"/>
      <c r="G199" s="767"/>
      <c r="H199" s="767"/>
      <c r="I199" s="767"/>
      <c r="J199" s="769"/>
      <c r="K199" s="769"/>
      <c r="L199" s="767"/>
      <c r="M199" s="767"/>
      <c r="N199" s="767"/>
      <c r="O199" s="798"/>
      <c r="P199" s="799"/>
      <c r="Q199" s="20"/>
      <c r="R199" s="50"/>
    </row>
    <row r="200" spans="1:18" ht="120" customHeight="1" thickTop="1" thickBot="1" x14ac:dyDescent="0.25">
      <c r="A200" s="645">
        <v>1000000</v>
      </c>
      <c r="B200" s="645"/>
      <c r="C200" s="645"/>
      <c r="D200" s="646" t="s">
        <v>24</v>
      </c>
      <c r="E200" s="647">
        <f>E201</f>
        <v>174828135</v>
      </c>
      <c r="F200" s="648">
        <f t="shared" ref="F200:G200" si="205">F201</f>
        <v>174828135</v>
      </c>
      <c r="G200" s="648">
        <f t="shared" si="205"/>
        <v>127110999</v>
      </c>
      <c r="H200" s="648">
        <f>H201</f>
        <v>8158262</v>
      </c>
      <c r="I200" s="648">
        <f>I201</f>
        <v>0</v>
      </c>
      <c r="J200" s="647">
        <f>J201</f>
        <v>11736350</v>
      </c>
      <c r="K200" s="648">
        <f>K201</f>
        <v>602500</v>
      </c>
      <c r="L200" s="648">
        <f>L201</f>
        <v>10895910</v>
      </c>
      <c r="M200" s="648">
        <f t="shared" ref="M200" si="206">M201</f>
        <v>8032370</v>
      </c>
      <c r="N200" s="648">
        <f>N201</f>
        <v>284620</v>
      </c>
      <c r="O200" s="647">
        <f>O201</f>
        <v>840440</v>
      </c>
      <c r="P200" s="648">
        <f t="shared" ref="P200" si="207">P201</f>
        <v>186564485</v>
      </c>
      <c r="Q200" s="20"/>
    </row>
    <row r="201" spans="1:18" ht="120" customHeight="1" thickTop="1" thickBot="1" x14ac:dyDescent="0.25">
      <c r="A201" s="642">
        <v>1010000</v>
      </c>
      <c r="B201" s="642"/>
      <c r="C201" s="642"/>
      <c r="D201" s="643" t="s">
        <v>39</v>
      </c>
      <c r="E201" s="644">
        <f>E202+E204+E218+E212</f>
        <v>174828135</v>
      </c>
      <c r="F201" s="644">
        <f>F202+F204+F218+F212</f>
        <v>174828135</v>
      </c>
      <c r="G201" s="644">
        <f>G202+G204+G218+G212</f>
        <v>127110999</v>
      </c>
      <c r="H201" s="644">
        <f>H202+H204+H218+H212</f>
        <v>8158262</v>
      </c>
      <c r="I201" s="644">
        <f>I202+I204+I218+I212</f>
        <v>0</v>
      </c>
      <c r="J201" s="644">
        <f t="shared" ref="J201:J211" si="208">L201+O201</f>
        <v>11736350</v>
      </c>
      <c r="K201" s="644">
        <f>K202+K204+K218+K212</f>
        <v>602500</v>
      </c>
      <c r="L201" s="644">
        <f>L202+L204+L218+L212</f>
        <v>10895910</v>
      </c>
      <c r="M201" s="644">
        <f>M202+M204+M218+M212</f>
        <v>8032370</v>
      </c>
      <c r="N201" s="644">
        <f>N202+N204+N218+N212</f>
        <v>284620</v>
      </c>
      <c r="O201" s="644">
        <f>O202+O204+O218+O212</f>
        <v>840440</v>
      </c>
      <c r="P201" s="644">
        <f t="shared" ref="P201:P211" si="209">E201+J201</f>
        <v>186564485</v>
      </c>
      <c r="Q201" s="492" t="b">
        <f>P201=P203+P205+P206+P207+P211+P210+P215</f>
        <v>1</v>
      </c>
      <c r="R201" s="46"/>
    </row>
    <row r="202" spans="1:18" ht="47.25" thickTop="1" thickBot="1" x14ac:dyDescent="0.25">
      <c r="A202" s="308" t="s">
        <v>754</v>
      </c>
      <c r="B202" s="308" t="s">
        <v>708</v>
      </c>
      <c r="C202" s="308"/>
      <c r="D202" s="308" t="s">
        <v>709</v>
      </c>
      <c r="E202" s="325">
        <f>E203</f>
        <v>96162228</v>
      </c>
      <c r="F202" s="325">
        <f t="shared" ref="F202:P202" si="210">F203</f>
        <v>96162228</v>
      </c>
      <c r="G202" s="325">
        <f t="shared" si="210"/>
        <v>73990970</v>
      </c>
      <c r="H202" s="325">
        <f t="shared" si="210"/>
        <v>4617684</v>
      </c>
      <c r="I202" s="325">
        <f t="shared" si="210"/>
        <v>0</v>
      </c>
      <c r="J202" s="325">
        <f t="shared" si="210"/>
        <v>9914660</v>
      </c>
      <c r="K202" s="325">
        <f t="shared" si="210"/>
        <v>0</v>
      </c>
      <c r="L202" s="325">
        <f t="shared" si="210"/>
        <v>9792720</v>
      </c>
      <c r="M202" s="325">
        <f t="shared" si="210"/>
        <v>7465250</v>
      </c>
      <c r="N202" s="325">
        <f t="shared" si="210"/>
        <v>223920</v>
      </c>
      <c r="O202" s="325">
        <f t="shared" si="210"/>
        <v>121940</v>
      </c>
      <c r="P202" s="325">
        <f t="shared" si="210"/>
        <v>106076888</v>
      </c>
      <c r="Q202" s="47"/>
      <c r="R202" s="46"/>
    </row>
    <row r="203" spans="1:18" ht="48" thickTop="1" thickBot="1" x14ac:dyDescent="0.25">
      <c r="A203" s="101" t="s">
        <v>636</v>
      </c>
      <c r="B203" s="101" t="s">
        <v>637</v>
      </c>
      <c r="C203" s="101" t="s">
        <v>181</v>
      </c>
      <c r="D203" s="101" t="s">
        <v>1120</v>
      </c>
      <c r="E203" s="325">
        <f>F203</f>
        <v>96162228</v>
      </c>
      <c r="F203" s="458">
        <f>((95874428)+50028)+237772</f>
        <v>96162228</v>
      </c>
      <c r="G203" s="458">
        <v>73990970</v>
      </c>
      <c r="H203" s="458">
        <f>3898302+36160+523522+130800+28900</f>
        <v>4617684</v>
      </c>
      <c r="I203" s="458"/>
      <c r="J203" s="325">
        <f t="shared" si="208"/>
        <v>9914660</v>
      </c>
      <c r="K203" s="458"/>
      <c r="L203" s="458">
        <f>9914660-121940</f>
        <v>9792720</v>
      </c>
      <c r="M203" s="458">
        <v>7465250</v>
      </c>
      <c r="N203" s="458">
        <v>223920</v>
      </c>
      <c r="O203" s="455">
        <f>(K203+121940)</f>
        <v>121940</v>
      </c>
      <c r="P203" s="325">
        <f t="shared" si="209"/>
        <v>106076888</v>
      </c>
      <c r="Q203" s="20"/>
      <c r="R203" s="46"/>
    </row>
    <row r="204" spans="1:18" s="24" customFormat="1" ht="47.25" thickTop="1" thickBot="1" x14ac:dyDescent="0.25">
      <c r="A204" s="308" t="s">
        <v>755</v>
      </c>
      <c r="B204" s="308" t="s">
        <v>756</v>
      </c>
      <c r="C204" s="308"/>
      <c r="D204" s="308" t="s">
        <v>757</v>
      </c>
      <c r="E204" s="325">
        <f t="shared" ref="E204:P204" si="211">SUM(E205:E211)-E209</f>
        <v>77639057</v>
      </c>
      <c r="F204" s="325">
        <f t="shared" si="211"/>
        <v>77639057</v>
      </c>
      <c r="G204" s="325">
        <f t="shared" si="211"/>
        <v>53120029</v>
      </c>
      <c r="H204" s="325">
        <f t="shared" si="211"/>
        <v>3540578</v>
      </c>
      <c r="I204" s="325">
        <f t="shared" si="211"/>
        <v>0</v>
      </c>
      <c r="J204" s="325">
        <f t="shared" si="211"/>
        <v>1821690</v>
      </c>
      <c r="K204" s="325">
        <f t="shared" si="211"/>
        <v>602500</v>
      </c>
      <c r="L204" s="325">
        <f t="shared" si="211"/>
        <v>1103190</v>
      </c>
      <c r="M204" s="325">
        <f t="shared" si="211"/>
        <v>567120</v>
      </c>
      <c r="N204" s="325">
        <f t="shared" si="211"/>
        <v>60700</v>
      </c>
      <c r="O204" s="325">
        <f t="shared" si="211"/>
        <v>718500</v>
      </c>
      <c r="P204" s="325">
        <f t="shared" si="211"/>
        <v>79460747</v>
      </c>
      <c r="Q204" s="25"/>
      <c r="R204" s="50"/>
    </row>
    <row r="205" spans="1:18" ht="48" thickTop="1" thickBot="1" x14ac:dyDescent="0.25">
      <c r="A205" s="101" t="s">
        <v>172</v>
      </c>
      <c r="B205" s="101" t="s">
        <v>173</v>
      </c>
      <c r="C205" s="101" t="s">
        <v>174</v>
      </c>
      <c r="D205" s="101" t="s">
        <v>175</v>
      </c>
      <c r="E205" s="325">
        <f t="shared" ref="E205:E207" si="212">F205</f>
        <v>18958725</v>
      </c>
      <c r="F205" s="458">
        <f>((18479775)+81450)+130000+85000+182500</f>
        <v>18958725</v>
      </c>
      <c r="G205" s="458">
        <v>13552210</v>
      </c>
      <c r="H205" s="458">
        <f>914400+11100+184288+28000+22100</f>
        <v>1159888</v>
      </c>
      <c r="I205" s="458"/>
      <c r="J205" s="325">
        <f t="shared" si="208"/>
        <v>771500</v>
      </c>
      <c r="K205" s="458">
        <f>((0)+500000-200000)+135000+167500</f>
        <v>602500</v>
      </c>
      <c r="L205" s="458">
        <v>169000</v>
      </c>
      <c r="M205" s="458">
        <v>31000</v>
      </c>
      <c r="N205" s="458">
        <v>21000</v>
      </c>
      <c r="O205" s="455">
        <f t="shared" ref="O205:O211" si="213">K205</f>
        <v>602500</v>
      </c>
      <c r="P205" s="325">
        <f t="shared" si="209"/>
        <v>19730225</v>
      </c>
      <c r="Q205" s="20"/>
      <c r="R205" s="46"/>
    </row>
    <row r="206" spans="1:18" ht="48" thickTop="1" thickBot="1" x14ac:dyDescent="0.25">
      <c r="A206" s="101" t="s">
        <v>176</v>
      </c>
      <c r="B206" s="101" t="s">
        <v>177</v>
      </c>
      <c r="C206" s="101" t="s">
        <v>174</v>
      </c>
      <c r="D206" s="101" t="s">
        <v>463</v>
      </c>
      <c r="E206" s="325">
        <f t="shared" si="212"/>
        <v>3026822</v>
      </c>
      <c r="F206" s="458">
        <f>(2847504)+179318</f>
        <v>3026822</v>
      </c>
      <c r="G206" s="458">
        <v>1875700</v>
      </c>
      <c r="H206" s="458">
        <f>344000+5350+135610+4400</f>
        <v>489360</v>
      </c>
      <c r="I206" s="458"/>
      <c r="J206" s="325">
        <f t="shared" si="208"/>
        <v>113790</v>
      </c>
      <c r="K206" s="458"/>
      <c r="L206" s="458">
        <v>113790</v>
      </c>
      <c r="M206" s="458">
        <v>17920</v>
      </c>
      <c r="N206" s="458">
        <v>5700</v>
      </c>
      <c r="O206" s="455">
        <f t="shared" si="213"/>
        <v>0</v>
      </c>
      <c r="P206" s="325">
        <f t="shared" si="209"/>
        <v>3140612</v>
      </c>
      <c r="Q206" s="20"/>
      <c r="R206" s="46"/>
    </row>
    <row r="207" spans="1:18" ht="93" thickTop="1" thickBot="1" x14ac:dyDescent="0.25">
      <c r="A207" s="101" t="s">
        <v>178</v>
      </c>
      <c r="B207" s="101" t="s">
        <v>171</v>
      </c>
      <c r="C207" s="101" t="s">
        <v>179</v>
      </c>
      <c r="D207" s="101" t="s">
        <v>180</v>
      </c>
      <c r="E207" s="325">
        <f t="shared" si="212"/>
        <v>22228907</v>
      </c>
      <c r="F207" s="458">
        <f>(21555193)+929343+50000-305629</f>
        <v>22228907</v>
      </c>
      <c r="G207" s="458">
        <v>15462100</v>
      </c>
      <c r="H207" s="458">
        <f>982800+12680+678200+90000+41200</f>
        <v>1804880</v>
      </c>
      <c r="I207" s="458"/>
      <c r="J207" s="325">
        <f t="shared" si="208"/>
        <v>762000</v>
      </c>
      <c r="K207" s="458"/>
      <c r="L207" s="458">
        <f>762000-57400</f>
        <v>704600</v>
      </c>
      <c r="M207" s="458">
        <v>506000</v>
      </c>
      <c r="N207" s="458">
        <v>34000</v>
      </c>
      <c r="O207" s="455">
        <f>(K207+57400)</f>
        <v>57400</v>
      </c>
      <c r="P207" s="325">
        <f t="shared" si="209"/>
        <v>22990907</v>
      </c>
      <c r="Q207" s="20"/>
      <c r="R207" s="46"/>
    </row>
    <row r="208" spans="1:18" ht="48" hidden="1" thickTop="1" thickBot="1" x14ac:dyDescent="0.25">
      <c r="A208" s="126" t="s">
        <v>1194</v>
      </c>
      <c r="B208" s="126" t="s">
        <v>1195</v>
      </c>
      <c r="C208" s="126" t="s">
        <v>1197</v>
      </c>
      <c r="D208" s="126" t="s">
        <v>1196</v>
      </c>
      <c r="E208" s="125">
        <f t="shared" ref="E208" si="214">F208</f>
        <v>0</v>
      </c>
      <c r="F208" s="132"/>
      <c r="G208" s="132"/>
      <c r="H208" s="132"/>
      <c r="I208" s="132"/>
      <c r="J208" s="125">
        <f t="shared" ref="J208" si="215">L208+O208</f>
        <v>0</v>
      </c>
      <c r="K208" s="132"/>
      <c r="L208" s="132"/>
      <c r="M208" s="132"/>
      <c r="N208" s="132"/>
      <c r="O208" s="130">
        <f>(K208)</f>
        <v>0</v>
      </c>
      <c r="P208" s="125">
        <f t="shared" ref="P208" si="216">E208+J208</f>
        <v>0</v>
      </c>
      <c r="Q208" s="20"/>
      <c r="R208" s="46"/>
    </row>
    <row r="209" spans="1:18" ht="48" thickTop="1" thickBot="1" x14ac:dyDescent="0.25">
      <c r="A209" s="326" t="s">
        <v>758</v>
      </c>
      <c r="B209" s="326" t="s">
        <v>759</v>
      </c>
      <c r="C209" s="326"/>
      <c r="D209" s="326" t="s">
        <v>760</v>
      </c>
      <c r="E209" s="322">
        <f>SUM(E210:E211)</f>
        <v>33424603</v>
      </c>
      <c r="F209" s="322">
        <f t="shared" ref="F209:P209" si="217">SUM(F210:F211)</f>
        <v>33424603</v>
      </c>
      <c r="G209" s="322">
        <f t="shared" si="217"/>
        <v>22230019</v>
      </c>
      <c r="H209" s="322">
        <f t="shared" si="217"/>
        <v>86450</v>
      </c>
      <c r="I209" s="322">
        <f t="shared" si="217"/>
        <v>0</v>
      </c>
      <c r="J209" s="322">
        <f t="shared" si="217"/>
        <v>174400</v>
      </c>
      <c r="K209" s="322">
        <f t="shared" si="217"/>
        <v>0</v>
      </c>
      <c r="L209" s="322">
        <f t="shared" si="217"/>
        <v>115800</v>
      </c>
      <c r="M209" s="322">
        <f t="shared" si="217"/>
        <v>12200</v>
      </c>
      <c r="N209" s="322">
        <f t="shared" si="217"/>
        <v>0</v>
      </c>
      <c r="O209" s="322">
        <f t="shared" si="217"/>
        <v>58600</v>
      </c>
      <c r="P209" s="322">
        <f t="shared" si="217"/>
        <v>33599003</v>
      </c>
      <c r="Q209" s="20"/>
      <c r="R209" s="46"/>
    </row>
    <row r="210" spans="1:18" ht="48" thickTop="1" thickBot="1" x14ac:dyDescent="0.25">
      <c r="A210" s="101" t="s">
        <v>333</v>
      </c>
      <c r="B210" s="101" t="s">
        <v>334</v>
      </c>
      <c r="C210" s="101" t="s">
        <v>182</v>
      </c>
      <c r="D210" s="101" t="s">
        <v>464</v>
      </c>
      <c r="E210" s="325">
        <f>F210</f>
        <v>29071503</v>
      </c>
      <c r="F210" s="458">
        <v>29071503</v>
      </c>
      <c r="G210" s="458">
        <v>22230019</v>
      </c>
      <c r="H210" s="458">
        <f>77900+8250+300</f>
        <v>86450</v>
      </c>
      <c r="I210" s="458"/>
      <c r="J210" s="325">
        <f t="shared" si="208"/>
        <v>174400</v>
      </c>
      <c r="K210" s="458"/>
      <c r="L210" s="458">
        <f>174400-58600</f>
        <v>115800</v>
      </c>
      <c r="M210" s="458">
        <v>12200</v>
      </c>
      <c r="N210" s="458"/>
      <c r="O210" s="455">
        <f>(K210+58600)</f>
        <v>58600</v>
      </c>
      <c r="P210" s="325">
        <f t="shared" si="209"/>
        <v>29245903</v>
      </c>
      <c r="Q210" s="20"/>
      <c r="R210" s="46"/>
    </row>
    <row r="211" spans="1:18" ht="48" thickTop="1" thickBot="1" x14ac:dyDescent="0.25">
      <c r="A211" s="101" t="s">
        <v>335</v>
      </c>
      <c r="B211" s="101" t="s">
        <v>336</v>
      </c>
      <c r="C211" s="101" t="s">
        <v>182</v>
      </c>
      <c r="D211" s="101" t="s">
        <v>465</v>
      </c>
      <c r="E211" s="325">
        <f>F211</f>
        <v>4353100</v>
      </c>
      <c r="F211" s="458">
        <v>4353100</v>
      </c>
      <c r="G211" s="458"/>
      <c r="H211" s="458"/>
      <c r="I211" s="458"/>
      <c r="J211" s="325">
        <f t="shared" si="208"/>
        <v>0</v>
      </c>
      <c r="K211" s="458"/>
      <c r="L211" s="458"/>
      <c r="M211" s="458"/>
      <c r="N211" s="458"/>
      <c r="O211" s="455">
        <f t="shared" si="213"/>
        <v>0</v>
      </c>
      <c r="P211" s="325">
        <f t="shared" si="209"/>
        <v>4353100</v>
      </c>
      <c r="Q211" s="20"/>
      <c r="R211" s="50"/>
    </row>
    <row r="212" spans="1:18" ht="47.25" thickTop="1" thickBot="1" x14ac:dyDescent="0.25">
      <c r="A212" s="308" t="s">
        <v>915</v>
      </c>
      <c r="B212" s="308" t="s">
        <v>748</v>
      </c>
      <c r="C212" s="308"/>
      <c r="D212" s="308" t="s">
        <v>749</v>
      </c>
      <c r="E212" s="325">
        <f>SUM(E213)</f>
        <v>1026850</v>
      </c>
      <c r="F212" s="325">
        <f t="shared" ref="F212:P212" si="218">SUM(F213)</f>
        <v>1026850</v>
      </c>
      <c r="G212" s="325">
        <f t="shared" si="218"/>
        <v>0</v>
      </c>
      <c r="H212" s="325">
        <f t="shared" si="218"/>
        <v>0</v>
      </c>
      <c r="I212" s="325">
        <f t="shared" si="218"/>
        <v>0</v>
      </c>
      <c r="J212" s="325">
        <f t="shared" si="218"/>
        <v>0</v>
      </c>
      <c r="K212" s="325">
        <f t="shared" si="218"/>
        <v>0</v>
      </c>
      <c r="L212" s="325">
        <f t="shared" si="218"/>
        <v>0</v>
      </c>
      <c r="M212" s="325">
        <f t="shared" si="218"/>
        <v>0</v>
      </c>
      <c r="N212" s="325">
        <f t="shared" si="218"/>
        <v>0</v>
      </c>
      <c r="O212" s="325">
        <f t="shared" si="218"/>
        <v>0</v>
      </c>
      <c r="P212" s="325">
        <f t="shared" si="218"/>
        <v>1026850</v>
      </c>
      <c r="Q212" s="20"/>
      <c r="R212" s="50"/>
    </row>
    <row r="213" spans="1:18" ht="47.25" thickTop="1" thickBot="1" x14ac:dyDescent="0.25">
      <c r="A213" s="310" t="s">
        <v>916</v>
      </c>
      <c r="B213" s="310" t="s">
        <v>691</v>
      </c>
      <c r="C213" s="310"/>
      <c r="D213" s="310" t="s">
        <v>689</v>
      </c>
      <c r="E213" s="312">
        <f>E214+E217+E216</f>
        <v>1026850</v>
      </c>
      <c r="F213" s="312">
        <f t="shared" ref="F213:P213" si="219">F214+F217+F216</f>
        <v>1026850</v>
      </c>
      <c r="G213" s="312">
        <f t="shared" si="219"/>
        <v>0</v>
      </c>
      <c r="H213" s="312">
        <f t="shared" si="219"/>
        <v>0</v>
      </c>
      <c r="I213" s="312">
        <f t="shared" si="219"/>
        <v>0</v>
      </c>
      <c r="J213" s="312">
        <f t="shared" si="219"/>
        <v>0</v>
      </c>
      <c r="K213" s="312">
        <f t="shared" si="219"/>
        <v>0</v>
      </c>
      <c r="L213" s="312">
        <f t="shared" si="219"/>
        <v>0</v>
      </c>
      <c r="M213" s="312">
        <f t="shared" si="219"/>
        <v>0</v>
      </c>
      <c r="N213" s="312">
        <f t="shared" si="219"/>
        <v>0</v>
      </c>
      <c r="O213" s="312">
        <f t="shared" si="219"/>
        <v>0</v>
      </c>
      <c r="P213" s="312">
        <f t="shared" si="219"/>
        <v>1026850</v>
      </c>
      <c r="Q213" s="20"/>
      <c r="R213" s="50"/>
    </row>
    <row r="214" spans="1:18" ht="48" thickTop="1" thickBot="1" x14ac:dyDescent="0.25">
      <c r="A214" s="326" t="s">
        <v>1033</v>
      </c>
      <c r="B214" s="326" t="s">
        <v>1034</v>
      </c>
      <c r="C214" s="326"/>
      <c r="D214" s="326" t="s">
        <v>1032</v>
      </c>
      <c r="E214" s="322">
        <f>E215</f>
        <v>1026850</v>
      </c>
      <c r="F214" s="322">
        <f t="shared" ref="F214:P214" si="220">F215</f>
        <v>1026850</v>
      </c>
      <c r="G214" s="322">
        <f t="shared" si="220"/>
        <v>0</v>
      </c>
      <c r="H214" s="322">
        <f t="shared" si="220"/>
        <v>0</v>
      </c>
      <c r="I214" s="322">
        <f t="shared" si="220"/>
        <v>0</v>
      </c>
      <c r="J214" s="322">
        <f t="shared" si="220"/>
        <v>0</v>
      </c>
      <c r="K214" s="322">
        <f t="shared" si="220"/>
        <v>0</v>
      </c>
      <c r="L214" s="322">
        <f t="shared" si="220"/>
        <v>0</v>
      </c>
      <c r="M214" s="322">
        <f t="shared" si="220"/>
        <v>0</v>
      </c>
      <c r="N214" s="322">
        <f t="shared" si="220"/>
        <v>0</v>
      </c>
      <c r="O214" s="322">
        <f t="shared" si="220"/>
        <v>0</v>
      </c>
      <c r="P214" s="322">
        <f t="shared" si="220"/>
        <v>1026850</v>
      </c>
      <c r="Q214" s="20"/>
      <c r="R214" s="50"/>
    </row>
    <row r="215" spans="1:18" ht="48" thickTop="1" thickBot="1" x14ac:dyDescent="0.25">
      <c r="A215" s="101" t="s">
        <v>1036</v>
      </c>
      <c r="B215" s="101" t="s">
        <v>1037</v>
      </c>
      <c r="C215" s="101" t="s">
        <v>213</v>
      </c>
      <c r="D215" s="101" t="s">
        <v>1035</v>
      </c>
      <c r="E215" s="325">
        <f>F215</f>
        <v>1026850</v>
      </c>
      <c r="F215" s="458">
        <v>1026850</v>
      </c>
      <c r="G215" s="458"/>
      <c r="H215" s="458"/>
      <c r="I215" s="458"/>
      <c r="J215" s="325">
        <f>L215+O215</f>
        <v>0</v>
      </c>
      <c r="K215" s="458"/>
      <c r="L215" s="458"/>
      <c r="M215" s="458"/>
      <c r="N215" s="458"/>
      <c r="O215" s="455">
        <f>K215</f>
        <v>0</v>
      </c>
      <c r="P215" s="325">
        <f>E215+J215</f>
        <v>1026850</v>
      </c>
      <c r="Q215" s="20"/>
      <c r="R215" s="50"/>
    </row>
    <row r="216" spans="1:18" ht="48" hidden="1" thickTop="1" thickBot="1" x14ac:dyDescent="0.25">
      <c r="A216" s="126" t="s">
        <v>1265</v>
      </c>
      <c r="B216" s="126" t="s">
        <v>212</v>
      </c>
      <c r="C216" s="126" t="s">
        <v>213</v>
      </c>
      <c r="D216" s="126" t="s">
        <v>41</v>
      </c>
      <c r="E216" s="125">
        <f t="shared" ref="E216" si="221">F216</f>
        <v>0</v>
      </c>
      <c r="F216" s="132"/>
      <c r="G216" s="132"/>
      <c r="H216" s="132"/>
      <c r="I216" s="132"/>
      <c r="J216" s="125">
        <f>L216+O216</f>
        <v>0</v>
      </c>
      <c r="K216" s="132"/>
      <c r="L216" s="132"/>
      <c r="M216" s="132"/>
      <c r="N216" s="132"/>
      <c r="O216" s="130">
        <f>K216</f>
        <v>0</v>
      </c>
      <c r="P216" s="125">
        <f>E216+J216</f>
        <v>0</v>
      </c>
      <c r="Q216" s="20"/>
      <c r="R216" s="50"/>
    </row>
    <row r="217" spans="1:18" ht="48" hidden="1" thickTop="1" thickBot="1" x14ac:dyDescent="0.25">
      <c r="A217" s="126" t="s">
        <v>917</v>
      </c>
      <c r="B217" s="126" t="s">
        <v>197</v>
      </c>
      <c r="C217" s="126" t="s">
        <v>170</v>
      </c>
      <c r="D217" s="126" t="s">
        <v>34</v>
      </c>
      <c r="E217" s="125">
        <f t="shared" ref="E217" si="222">F217</f>
        <v>0</v>
      </c>
      <c r="F217" s="132"/>
      <c r="G217" s="132"/>
      <c r="H217" s="132"/>
      <c r="I217" s="132"/>
      <c r="J217" s="125">
        <f t="shared" ref="J217" si="223">L217+O217</f>
        <v>0</v>
      </c>
      <c r="K217" s="132">
        <f>940242-455475-484767</f>
        <v>0</v>
      </c>
      <c r="L217" s="132"/>
      <c r="M217" s="132"/>
      <c r="N217" s="132"/>
      <c r="O217" s="130">
        <f t="shared" ref="O217" si="224">K217</f>
        <v>0</v>
      </c>
      <c r="P217" s="125">
        <f t="shared" ref="P217" si="225">E217+J217</f>
        <v>0</v>
      </c>
      <c r="Q217" s="20"/>
      <c r="R217" s="46"/>
    </row>
    <row r="218" spans="1:18" ht="47.25" hidden="1" thickTop="1" thickBot="1" x14ac:dyDescent="0.25">
      <c r="A218" s="144" t="s">
        <v>761</v>
      </c>
      <c r="B218" s="144" t="s">
        <v>702</v>
      </c>
      <c r="C218" s="144"/>
      <c r="D218" s="144" t="s">
        <v>703</v>
      </c>
      <c r="E218" s="42">
        <f>E219</f>
        <v>0</v>
      </c>
      <c r="F218" s="42">
        <f t="shared" ref="F218:P219" si="226">F219</f>
        <v>0</v>
      </c>
      <c r="G218" s="42">
        <f t="shared" si="226"/>
        <v>0</v>
      </c>
      <c r="H218" s="42">
        <f t="shared" si="226"/>
        <v>0</v>
      </c>
      <c r="I218" s="42">
        <f t="shared" si="226"/>
        <v>0</v>
      </c>
      <c r="J218" s="42">
        <f t="shared" si="226"/>
        <v>0</v>
      </c>
      <c r="K218" s="42">
        <f t="shared" si="226"/>
        <v>0</v>
      </c>
      <c r="L218" s="42">
        <f t="shared" si="226"/>
        <v>0</v>
      </c>
      <c r="M218" s="42">
        <f t="shared" si="226"/>
        <v>0</v>
      </c>
      <c r="N218" s="42">
        <f t="shared" si="226"/>
        <v>0</v>
      </c>
      <c r="O218" s="42">
        <f t="shared" si="226"/>
        <v>0</v>
      </c>
      <c r="P218" s="42">
        <f t="shared" si="226"/>
        <v>0</v>
      </c>
      <c r="Q218" s="20"/>
      <c r="R218" s="50"/>
    </row>
    <row r="219" spans="1:18" ht="91.5" hidden="1" thickTop="1" thickBot="1" x14ac:dyDescent="0.25">
      <c r="A219" s="145" t="s">
        <v>762</v>
      </c>
      <c r="B219" s="145" t="s">
        <v>705</v>
      </c>
      <c r="C219" s="145"/>
      <c r="D219" s="145" t="s">
        <v>706</v>
      </c>
      <c r="E219" s="146">
        <f>E220</f>
        <v>0</v>
      </c>
      <c r="F219" s="146">
        <f t="shared" si="226"/>
        <v>0</v>
      </c>
      <c r="G219" s="146">
        <f t="shared" si="226"/>
        <v>0</v>
      </c>
      <c r="H219" s="146">
        <f t="shared" si="226"/>
        <v>0</v>
      </c>
      <c r="I219" s="146">
        <f t="shared" si="226"/>
        <v>0</v>
      </c>
      <c r="J219" s="146">
        <f t="shared" si="226"/>
        <v>0</v>
      </c>
      <c r="K219" s="146">
        <f t="shared" si="226"/>
        <v>0</v>
      </c>
      <c r="L219" s="146">
        <f t="shared" si="226"/>
        <v>0</v>
      </c>
      <c r="M219" s="146">
        <f t="shared" si="226"/>
        <v>0</v>
      </c>
      <c r="N219" s="146">
        <f t="shared" si="226"/>
        <v>0</v>
      </c>
      <c r="O219" s="146">
        <f t="shared" si="226"/>
        <v>0</v>
      </c>
      <c r="P219" s="146">
        <f t="shared" si="226"/>
        <v>0</v>
      </c>
      <c r="Q219" s="20"/>
      <c r="R219" s="50"/>
    </row>
    <row r="220" spans="1:18" ht="48" hidden="1" thickTop="1" thickBot="1" x14ac:dyDescent="0.25">
      <c r="A220" s="41" t="s">
        <v>586</v>
      </c>
      <c r="B220" s="41" t="s">
        <v>363</v>
      </c>
      <c r="C220" s="41" t="s">
        <v>43</v>
      </c>
      <c r="D220" s="41" t="s">
        <v>364</v>
      </c>
      <c r="E220" s="42">
        <f t="shared" ref="E220" si="227">F220</f>
        <v>0</v>
      </c>
      <c r="F220" s="43">
        <v>0</v>
      </c>
      <c r="G220" s="43"/>
      <c r="H220" s="43"/>
      <c r="I220" s="43"/>
      <c r="J220" s="42">
        <f>L220+O220</f>
        <v>0</v>
      </c>
      <c r="K220" s="43"/>
      <c r="L220" s="43"/>
      <c r="M220" s="43"/>
      <c r="N220" s="43"/>
      <c r="O220" s="44">
        <f>K220</f>
        <v>0</v>
      </c>
      <c r="P220" s="42">
        <f>E220+J220</f>
        <v>0</v>
      </c>
      <c r="Q220" s="20"/>
      <c r="R220" s="50"/>
    </row>
    <row r="221" spans="1:18" ht="120" customHeight="1" thickTop="1" thickBot="1" x14ac:dyDescent="0.25">
      <c r="A221" s="645" t="s">
        <v>22</v>
      </c>
      <c r="B221" s="645"/>
      <c r="C221" s="645"/>
      <c r="D221" s="646" t="s">
        <v>23</v>
      </c>
      <c r="E221" s="647">
        <f>E222</f>
        <v>131835169</v>
      </c>
      <c r="F221" s="648">
        <f t="shared" ref="F221:G221" si="228">F222</f>
        <v>131835169</v>
      </c>
      <c r="G221" s="648">
        <f t="shared" si="228"/>
        <v>52219105</v>
      </c>
      <c r="H221" s="648">
        <f>H222</f>
        <v>4493410</v>
      </c>
      <c r="I221" s="648">
        <f t="shared" ref="I221" si="229">I222</f>
        <v>0</v>
      </c>
      <c r="J221" s="647">
        <f>J222</f>
        <v>5409372</v>
      </c>
      <c r="K221" s="648">
        <f>K222</f>
        <v>3495930</v>
      </c>
      <c r="L221" s="648">
        <f>L222</f>
        <v>1888442</v>
      </c>
      <c r="M221" s="648">
        <f t="shared" ref="M221" si="230">M222</f>
        <v>704165</v>
      </c>
      <c r="N221" s="648">
        <f>N222</f>
        <v>524376</v>
      </c>
      <c r="O221" s="647">
        <f>O222</f>
        <v>3520930</v>
      </c>
      <c r="P221" s="648">
        <f t="shared" ref="P221" si="231">P222</f>
        <v>137244541</v>
      </c>
      <c r="Q221" s="20"/>
    </row>
    <row r="222" spans="1:18" ht="120" customHeight="1" thickTop="1" thickBot="1" x14ac:dyDescent="0.25">
      <c r="A222" s="642" t="s">
        <v>21</v>
      </c>
      <c r="B222" s="642"/>
      <c r="C222" s="642"/>
      <c r="D222" s="643" t="s">
        <v>35</v>
      </c>
      <c r="E222" s="644">
        <f>E223+E229+E244+E247+E254</f>
        <v>131835169</v>
      </c>
      <c r="F222" s="644">
        <f t="shared" ref="F222:I222" si="232">F223+F229+F244+F247+F254</f>
        <v>131835169</v>
      </c>
      <c r="G222" s="644">
        <f t="shared" si="232"/>
        <v>52219105</v>
      </c>
      <c r="H222" s="644">
        <f t="shared" si="232"/>
        <v>4493410</v>
      </c>
      <c r="I222" s="644">
        <f t="shared" si="232"/>
        <v>0</v>
      </c>
      <c r="J222" s="644">
        <f>L222+O222</f>
        <v>5409372</v>
      </c>
      <c r="K222" s="644">
        <f t="shared" ref="K222" si="233">K223+K229+K244+K247+K254</f>
        <v>3495930</v>
      </c>
      <c r="L222" s="644">
        <f t="shared" ref="L222" si="234">L223+L229+L244+L247+L254</f>
        <v>1888442</v>
      </c>
      <c r="M222" s="644">
        <f t="shared" ref="M222" si="235">M223+M229+M244+M247+M254</f>
        <v>704165</v>
      </c>
      <c r="N222" s="644">
        <f t="shared" ref="N222" si="236">N223+N229+N244+N247+N254</f>
        <v>524376</v>
      </c>
      <c r="O222" s="644">
        <f t="shared" ref="O222" si="237">O223+O229+O244+O247+O254</f>
        <v>3520930</v>
      </c>
      <c r="P222" s="644">
        <f>E222+J222</f>
        <v>137244541</v>
      </c>
      <c r="Q222" s="492" t="b">
        <f>P222=P227+P228+P231+P232+P234+P236+P237+P241+P242+P243+P239</f>
        <v>1</v>
      </c>
      <c r="R222" s="46"/>
    </row>
    <row r="223" spans="1:18" ht="47.25" thickTop="1" thickBot="1" x14ac:dyDescent="0.25">
      <c r="A223" s="308" t="s">
        <v>763</v>
      </c>
      <c r="B223" s="308" t="s">
        <v>711</v>
      </c>
      <c r="C223" s="308"/>
      <c r="D223" s="308" t="s">
        <v>712</v>
      </c>
      <c r="E223" s="576">
        <f>SUM(E224:E228)-E224-E226</f>
        <v>13334719</v>
      </c>
      <c r="F223" s="576">
        <f t="shared" ref="F223:P223" si="238">SUM(F224:F228)-F224-F226</f>
        <v>13334719</v>
      </c>
      <c r="G223" s="576">
        <f t="shared" si="238"/>
        <v>5159873</v>
      </c>
      <c r="H223" s="576">
        <f t="shared" si="238"/>
        <v>1033530</v>
      </c>
      <c r="I223" s="576">
        <f t="shared" si="238"/>
        <v>0</v>
      </c>
      <c r="J223" s="576">
        <f t="shared" si="238"/>
        <v>954919</v>
      </c>
      <c r="K223" s="576">
        <f t="shared" si="238"/>
        <v>533719</v>
      </c>
      <c r="L223" s="576">
        <f t="shared" si="238"/>
        <v>421200</v>
      </c>
      <c r="M223" s="576">
        <f t="shared" si="238"/>
        <v>198800</v>
      </c>
      <c r="N223" s="576">
        <f t="shared" si="238"/>
        <v>152665</v>
      </c>
      <c r="O223" s="576">
        <f t="shared" si="238"/>
        <v>533719</v>
      </c>
      <c r="P223" s="576">
        <f t="shared" si="238"/>
        <v>14289638</v>
      </c>
      <c r="Q223" s="47"/>
      <c r="R223" s="46"/>
    </row>
    <row r="224" spans="1:18" s="33" customFormat="1" ht="48" hidden="1" thickTop="1" thickBot="1" x14ac:dyDescent="0.25">
      <c r="A224" s="326" t="s">
        <v>764</v>
      </c>
      <c r="B224" s="326" t="s">
        <v>765</v>
      </c>
      <c r="C224" s="326"/>
      <c r="D224" s="326" t="s">
        <v>766</v>
      </c>
      <c r="E224" s="577">
        <f>E225</f>
        <v>0</v>
      </c>
      <c r="F224" s="577">
        <f t="shared" ref="F224:P224" si="239">F225</f>
        <v>0</v>
      </c>
      <c r="G224" s="577">
        <f t="shared" si="239"/>
        <v>0</v>
      </c>
      <c r="H224" s="577">
        <f t="shared" si="239"/>
        <v>0</v>
      </c>
      <c r="I224" s="577">
        <f t="shared" si="239"/>
        <v>0</v>
      </c>
      <c r="J224" s="577">
        <f t="shared" si="239"/>
        <v>0</v>
      </c>
      <c r="K224" s="577">
        <f t="shared" si="239"/>
        <v>0</v>
      </c>
      <c r="L224" s="577">
        <f t="shared" si="239"/>
        <v>0</v>
      </c>
      <c r="M224" s="577">
        <f t="shared" si="239"/>
        <v>0</v>
      </c>
      <c r="N224" s="577">
        <f t="shared" si="239"/>
        <v>0</v>
      </c>
      <c r="O224" s="577">
        <f t="shared" si="239"/>
        <v>0</v>
      </c>
      <c r="P224" s="577">
        <f t="shared" si="239"/>
        <v>0</v>
      </c>
      <c r="Q224" s="155"/>
      <c r="R224" s="52"/>
    </row>
    <row r="225" spans="1:18" ht="48" hidden="1" thickTop="1" thickBot="1" x14ac:dyDescent="0.25">
      <c r="A225" s="101" t="s">
        <v>183</v>
      </c>
      <c r="B225" s="101" t="s">
        <v>184</v>
      </c>
      <c r="C225" s="101" t="s">
        <v>185</v>
      </c>
      <c r="D225" s="101" t="s">
        <v>638</v>
      </c>
      <c r="E225" s="309">
        <f t="shared" ref="E225:E242" si="240">F225</f>
        <v>0</v>
      </c>
      <c r="F225" s="323">
        <f>(6040461)-6040461</f>
        <v>0</v>
      </c>
      <c r="G225" s="323">
        <f>(4559615)-4559615</f>
        <v>0</v>
      </c>
      <c r="H225" s="323">
        <f>(96665+5295+31600+3840)-137400</f>
        <v>0</v>
      </c>
      <c r="I225" s="323"/>
      <c r="J225" s="325">
        <f t="shared" ref="J225:J253" si="241">L225+O225</f>
        <v>0</v>
      </c>
      <c r="K225" s="323"/>
      <c r="L225" s="454"/>
      <c r="M225" s="454"/>
      <c r="N225" s="454"/>
      <c r="O225" s="455">
        <f t="shared" ref="O225:O253" si="242">K225</f>
        <v>0</v>
      </c>
      <c r="P225" s="325">
        <f>+J225+E225</f>
        <v>0</v>
      </c>
      <c r="Q225" s="50"/>
      <c r="R225" s="50"/>
    </row>
    <row r="226" spans="1:18" s="33" customFormat="1" ht="93" thickTop="1" thickBot="1" x14ac:dyDescent="0.25">
      <c r="A226" s="326" t="s">
        <v>767</v>
      </c>
      <c r="B226" s="326" t="s">
        <v>768</v>
      </c>
      <c r="C226" s="326"/>
      <c r="D226" s="326" t="s">
        <v>1549</v>
      </c>
      <c r="E226" s="462">
        <f>SUM(E227:E228)</f>
        <v>13334719</v>
      </c>
      <c r="F226" s="462">
        <f t="shared" ref="F226:P226" si="243">SUM(F227:F228)</f>
        <v>13334719</v>
      </c>
      <c r="G226" s="462">
        <f t="shared" si="243"/>
        <v>5159873</v>
      </c>
      <c r="H226" s="462">
        <f t="shared" si="243"/>
        <v>1033530</v>
      </c>
      <c r="I226" s="462">
        <f t="shared" si="243"/>
        <v>0</v>
      </c>
      <c r="J226" s="462">
        <f t="shared" si="243"/>
        <v>954919</v>
      </c>
      <c r="K226" s="462">
        <f t="shared" si="243"/>
        <v>533719</v>
      </c>
      <c r="L226" s="462">
        <f t="shared" si="243"/>
        <v>421200</v>
      </c>
      <c r="M226" s="462">
        <f t="shared" si="243"/>
        <v>198800</v>
      </c>
      <c r="N226" s="462">
        <f t="shared" si="243"/>
        <v>152665</v>
      </c>
      <c r="O226" s="462">
        <f t="shared" si="243"/>
        <v>533719</v>
      </c>
      <c r="P226" s="462">
        <f t="shared" si="243"/>
        <v>14289638</v>
      </c>
      <c r="Q226" s="51"/>
      <c r="R226" s="51"/>
    </row>
    <row r="227" spans="1:18" ht="48" thickTop="1" thickBot="1" x14ac:dyDescent="0.25">
      <c r="A227" s="101" t="s">
        <v>189</v>
      </c>
      <c r="B227" s="101" t="s">
        <v>190</v>
      </c>
      <c r="C227" s="101" t="s">
        <v>185</v>
      </c>
      <c r="D227" s="101" t="s">
        <v>10</v>
      </c>
      <c r="E227" s="309">
        <f t="shared" si="240"/>
        <v>5976842</v>
      </c>
      <c r="F227" s="323">
        <v>5976842</v>
      </c>
      <c r="G227" s="323">
        <v>3757524</v>
      </c>
      <c r="H227" s="323">
        <f>640500+6906+191040+3080</f>
        <v>841526</v>
      </c>
      <c r="I227" s="323"/>
      <c r="J227" s="325">
        <f t="shared" si="241"/>
        <v>954919</v>
      </c>
      <c r="K227" s="323">
        <f>((0)+400000)+133719</f>
        <v>533719</v>
      </c>
      <c r="L227" s="454">
        <v>421200</v>
      </c>
      <c r="M227" s="454">
        <v>198800</v>
      </c>
      <c r="N227" s="454">
        <v>152665</v>
      </c>
      <c r="O227" s="455">
        <f>K227</f>
        <v>533719</v>
      </c>
      <c r="P227" s="325">
        <f t="shared" ref="P227:P253" si="244">E227+J227</f>
        <v>6931761</v>
      </c>
      <c r="Q227" s="20"/>
      <c r="R227" s="46"/>
    </row>
    <row r="228" spans="1:18" ht="48" thickTop="1" thickBot="1" x14ac:dyDescent="0.25">
      <c r="A228" s="101" t="s">
        <v>351</v>
      </c>
      <c r="B228" s="101" t="s">
        <v>352</v>
      </c>
      <c r="C228" s="101" t="s">
        <v>185</v>
      </c>
      <c r="D228" s="101" t="s">
        <v>353</v>
      </c>
      <c r="E228" s="309">
        <f t="shared" si="240"/>
        <v>7357877</v>
      </c>
      <c r="F228" s="323">
        <f>((7156877)+140000)+61000</f>
        <v>7357877</v>
      </c>
      <c r="G228" s="323">
        <f>(1352349)+50000</f>
        <v>1402349</v>
      </c>
      <c r="H228" s="323">
        <f>102138+6560+80906+2400</f>
        <v>192004</v>
      </c>
      <c r="I228" s="323"/>
      <c r="J228" s="325">
        <f t="shared" si="241"/>
        <v>0</v>
      </c>
      <c r="K228" s="323"/>
      <c r="L228" s="454"/>
      <c r="M228" s="454"/>
      <c r="N228" s="454"/>
      <c r="O228" s="455">
        <f t="shared" si="242"/>
        <v>0</v>
      </c>
      <c r="P228" s="325">
        <f t="shared" si="244"/>
        <v>7357877</v>
      </c>
      <c r="Q228" s="20"/>
      <c r="R228" s="46"/>
    </row>
    <row r="229" spans="1:18" ht="47.25" thickTop="1" thickBot="1" x14ac:dyDescent="0.25">
      <c r="A229" s="308" t="s">
        <v>769</v>
      </c>
      <c r="B229" s="308" t="s">
        <v>770</v>
      </c>
      <c r="C229" s="101"/>
      <c r="D229" s="308" t="s">
        <v>771</v>
      </c>
      <c r="E229" s="309">
        <f t="shared" ref="E229:P229" si="245">SUM(E230:E243)-E230-E233-E235-E240-E238</f>
        <v>118500450</v>
      </c>
      <c r="F229" s="309">
        <f t="shared" si="245"/>
        <v>118500450</v>
      </c>
      <c r="G229" s="309">
        <f t="shared" si="245"/>
        <v>47059232</v>
      </c>
      <c r="H229" s="309">
        <f t="shared" si="245"/>
        <v>3459880</v>
      </c>
      <c r="I229" s="309">
        <f t="shared" si="245"/>
        <v>0</v>
      </c>
      <c r="J229" s="309">
        <f t="shared" si="245"/>
        <v>4454453</v>
      </c>
      <c r="K229" s="309">
        <f t="shared" si="245"/>
        <v>2962211</v>
      </c>
      <c r="L229" s="309">
        <f t="shared" si="245"/>
        <v>1467242</v>
      </c>
      <c r="M229" s="309">
        <f t="shared" si="245"/>
        <v>505365</v>
      </c>
      <c r="N229" s="309">
        <f t="shared" si="245"/>
        <v>371711</v>
      </c>
      <c r="O229" s="309">
        <f t="shared" si="245"/>
        <v>2987211</v>
      </c>
      <c r="P229" s="309">
        <f t="shared" si="245"/>
        <v>122954903</v>
      </c>
      <c r="Q229" s="20"/>
      <c r="R229" s="46"/>
    </row>
    <row r="230" spans="1:18" s="33" customFormat="1" ht="48" thickTop="1" thickBot="1" x14ac:dyDescent="0.25">
      <c r="A230" s="326" t="s">
        <v>772</v>
      </c>
      <c r="B230" s="326" t="s">
        <v>773</v>
      </c>
      <c r="C230" s="326"/>
      <c r="D230" s="326" t="s">
        <v>774</v>
      </c>
      <c r="E230" s="462">
        <f>SUM(E231:E232)</f>
        <v>38249823</v>
      </c>
      <c r="F230" s="462">
        <f t="shared" ref="F230:P230" si="246">SUM(F231:F232)</f>
        <v>38249823</v>
      </c>
      <c r="G230" s="462">
        <f t="shared" si="246"/>
        <v>0</v>
      </c>
      <c r="H230" s="462">
        <f t="shared" si="246"/>
        <v>0</v>
      </c>
      <c r="I230" s="462">
        <f t="shared" si="246"/>
        <v>0</v>
      </c>
      <c r="J230" s="462">
        <f t="shared" si="246"/>
        <v>0</v>
      </c>
      <c r="K230" s="462">
        <f t="shared" si="246"/>
        <v>0</v>
      </c>
      <c r="L230" s="462">
        <f t="shared" si="246"/>
        <v>0</v>
      </c>
      <c r="M230" s="462">
        <f t="shared" si="246"/>
        <v>0</v>
      </c>
      <c r="N230" s="462">
        <f t="shared" si="246"/>
        <v>0</v>
      </c>
      <c r="O230" s="462">
        <f t="shared" si="246"/>
        <v>0</v>
      </c>
      <c r="P230" s="462">
        <f t="shared" si="246"/>
        <v>38249823</v>
      </c>
      <c r="Q230" s="36"/>
      <c r="R230" s="52"/>
    </row>
    <row r="231" spans="1:18" ht="93" thickTop="1" thickBot="1" x14ac:dyDescent="0.25">
      <c r="A231" s="101" t="s">
        <v>44</v>
      </c>
      <c r="B231" s="101" t="s">
        <v>186</v>
      </c>
      <c r="C231" s="101" t="s">
        <v>195</v>
      </c>
      <c r="D231" s="101" t="s">
        <v>45</v>
      </c>
      <c r="E231" s="309">
        <f t="shared" si="240"/>
        <v>34400000</v>
      </c>
      <c r="F231" s="323">
        <f>(((27000000)+2300000)+2100000)+1000000+2000000</f>
        <v>34400000</v>
      </c>
      <c r="G231" s="458"/>
      <c r="H231" s="458"/>
      <c r="I231" s="458"/>
      <c r="J231" s="325">
        <f t="shared" si="241"/>
        <v>0</v>
      </c>
      <c r="K231" s="458"/>
      <c r="L231" s="458"/>
      <c r="M231" s="458"/>
      <c r="N231" s="458"/>
      <c r="O231" s="455">
        <f t="shared" si="242"/>
        <v>0</v>
      </c>
      <c r="P231" s="325">
        <f t="shared" si="244"/>
        <v>34400000</v>
      </c>
      <c r="Q231" s="20"/>
      <c r="R231" s="46"/>
    </row>
    <row r="232" spans="1:18" ht="93" thickTop="1" thickBot="1" x14ac:dyDescent="0.25">
      <c r="A232" s="101" t="s">
        <v>46</v>
      </c>
      <c r="B232" s="101" t="s">
        <v>187</v>
      </c>
      <c r="C232" s="101" t="s">
        <v>195</v>
      </c>
      <c r="D232" s="101" t="s">
        <v>4</v>
      </c>
      <c r="E232" s="309">
        <f t="shared" si="240"/>
        <v>3849823</v>
      </c>
      <c r="F232" s="323">
        <f>(3399823)+450000</f>
        <v>3849823</v>
      </c>
      <c r="G232" s="458"/>
      <c r="H232" s="458"/>
      <c r="I232" s="458"/>
      <c r="J232" s="325">
        <f t="shared" si="241"/>
        <v>0</v>
      </c>
      <c r="K232" s="458"/>
      <c r="L232" s="458"/>
      <c r="M232" s="458"/>
      <c r="N232" s="458"/>
      <c r="O232" s="455">
        <f t="shared" si="242"/>
        <v>0</v>
      </c>
      <c r="P232" s="325">
        <f t="shared" si="244"/>
        <v>3849823</v>
      </c>
      <c r="Q232" s="20"/>
      <c r="R232" s="46"/>
    </row>
    <row r="233" spans="1:18" s="33" customFormat="1" ht="93" thickTop="1" thickBot="1" x14ac:dyDescent="0.25">
      <c r="A233" s="326" t="s">
        <v>775</v>
      </c>
      <c r="B233" s="326" t="s">
        <v>776</v>
      </c>
      <c r="C233" s="326"/>
      <c r="D233" s="326" t="s">
        <v>777</v>
      </c>
      <c r="E233" s="462">
        <f>E234</f>
        <v>41300</v>
      </c>
      <c r="F233" s="462">
        <f t="shared" ref="F233:P233" si="247">F234</f>
        <v>41300</v>
      </c>
      <c r="G233" s="462">
        <f t="shared" si="247"/>
        <v>0</v>
      </c>
      <c r="H233" s="462">
        <f t="shared" si="247"/>
        <v>0</v>
      </c>
      <c r="I233" s="462">
        <f t="shared" si="247"/>
        <v>0</v>
      </c>
      <c r="J233" s="462">
        <f t="shared" si="247"/>
        <v>0</v>
      </c>
      <c r="K233" s="462">
        <f t="shared" si="247"/>
        <v>0</v>
      </c>
      <c r="L233" s="462">
        <f t="shared" si="247"/>
        <v>0</v>
      </c>
      <c r="M233" s="462">
        <f t="shared" si="247"/>
        <v>0</v>
      </c>
      <c r="N233" s="462">
        <f t="shared" si="247"/>
        <v>0</v>
      </c>
      <c r="O233" s="462">
        <f t="shared" si="247"/>
        <v>0</v>
      </c>
      <c r="P233" s="462">
        <f t="shared" si="247"/>
        <v>41300</v>
      </c>
      <c r="Q233" s="36"/>
      <c r="R233" s="53"/>
    </row>
    <row r="234" spans="1:18" ht="93" thickTop="1" thickBot="1" x14ac:dyDescent="0.25">
      <c r="A234" s="101" t="s">
        <v>47</v>
      </c>
      <c r="B234" s="101" t="s">
        <v>188</v>
      </c>
      <c r="C234" s="101" t="s">
        <v>195</v>
      </c>
      <c r="D234" s="101" t="s">
        <v>349</v>
      </c>
      <c r="E234" s="309">
        <f>F234</f>
        <v>41300</v>
      </c>
      <c r="F234" s="323">
        <v>41300</v>
      </c>
      <c r="G234" s="323"/>
      <c r="H234" s="323"/>
      <c r="I234" s="458"/>
      <c r="J234" s="325">
        <f t="shared" si="241"/>
        <v>0</v>
      </c>
      <c r="K234" s="458"/>
      <c r="L234" s="323"/>
      <c r="M234" s="323"/>
      <c r="N234" s="323"/>
      <c r="O234" s="455">
        <f t="shared" si="242"/>
        <v>0</v>
      </c>
      <c r="P234" s="325">
        <f t="shared" si="244"/>
        <v>41300</v>
      </c>
      <c r="Q234" s="20"/>
      <c r="R234" s="46"/>
    </row>
    <row r="235" spans="1:18" ht="48" thickTop="1" thickBot="1" x14ac:dyDescent="0.25">
      <c r="A235" s="326" t="s">
        <v>778</v>
      </c>
      <c r="B235" s="326" t="s">
        <v>779</v>
      </c>
      <c r="C235" s="326"/>
      <c r="D235" s="326" t="s">
        <v>780</v>
      </c>
      <c r="E235" s="462">
        <f>SUM(E236:E237)</f>
        <v>72045157</v>
      </c>
      <c r="F235" s="462">
        <f t="shared" ref="F235:P235" si="248">SUM(F236:F237)</f>
        <v>72045157</v>
      </c>
      <c r="G235" s="462">
        <f t="shared" si="248"/>
        <v>45541127</v>
      </c>
      <c r="H235" s="462">
        <f t="shared" si="248"/>
        <v>3459880</v>
      </c>
      <c r="I235" s="462">
        <f t="shared" si="248"/>
        <v>0</v>
      </c>
      <c r="J235" s="462">
        <f t="shared" si="248"/>
        <v>4404453</v>
      </c>
      <c r="K235" s="462">
        <f t="shared" si="248"/>
        <v>2962211</v>
      </c>
      <c r="L235" s="462">
        <f t="shared" si="248"/>
        <v>1417242</v>
      </c>
      <c r="M235" s="462">
        <f t="shared" si="248"/>
        <v>505365</v>
      </c>
      <c r="N235" s="462">
        <f t="shared" si="248"/>
        <v>371711</v>
      </c>
      <c r="O235" s="462">
        <f t="shared" si="248"/>
        <v>2987211</v>
      </c>
      <c r="P235" s="462">
        <f t="shared" si="248"/>
        <v>76449610</v>
      </c>
      <c r="Q235" s="20"/>
      <c r="R235" s="46"/>
    </row>
    <row r="236" spans="1:18" ht="93" thickTop="1" thickBot="1" x14ac:dyDescent="0.25">
      <c r="A236" s="101" t="s">
        <v>28</v>
      </c>
      <c r="B236" s="101" t="s">
        <v>192</v>
      </c>
      <c r="C236" s="101" t="s">
        <v>195</v>
      </c>
      <c r="D236" s="101" t="s">
        <v>48</v>
      </c>
      <c r="E236" s="309">
        <f t="shared" si="240"/>
        <v>65083466</v>
      </c>
      <c r="F236" s="323">
        <f>(((63565171)+70460)+97000+116000+298907+59902)+236600+300000+199426+50000+20000+20000+50000</f>
        <v>65083466</v>
      </c>
      <c r="G236" s="323">
        <f>13791707+13494017+12637962+5617441</f>
        <v>45541127</v>
      </c>
      <c r="H236" s="323">
        <f>582200+114491+553286+67934+483136+25997+376551+57199+5016+21100+12432+180616+368000+5930+382500+11712+147504+59200+5076</f>
        <v>3459880</v>
      </c>
      <c r="I236" s="323"/>
      <c r="J236" s="325">
        <f t="shared" si="241"/>
        <v>4404453</v>
      </c>
      <c r="K236" s="323">
        <f>(((1000000)+71064)+75200+1671946)+54999+89002</f>
        <v>2962211</v>
      </c>
      <c r="L236" s="323">
        <f>1442242-25000</f>
        <v>1417242</v>
      </c>
      <c r="M236" s="323">
        <v>505365</v>
      </c>
      <c r="N236" s="323">
        <v>371711</v>
      </c>
      <c r="O236" s="455">
        <f>(K236+25000)</f>
        <v>2987211</v>
      </c>
      <c r="P236" s="325">
        <f t="shared" si="244"/>
        <v>69487919</v>
      </c>
      <c r="Q236" s="20"/>
      <c r="R236" s="46"/>
    </row>
    <row r="237" spans="1:18" ht="93" thickTop="1" thickBot="1" x14ac:dyDescent="0.25">
      <c r="A237" s="101" t="s">
        <v>29</v>
      </c>
      <c r="B237" s="101" t="s">
        <v>193</v>
      </c>
      <c r="C237" s="101" t="s">
        <v>195</v>
      </c>
      <c r="D237" s="101" t="s">
        <v>49</v>
      </c>
      <c r="E237" s="309">
        <f t="shared" si="240"/>
        <v>6961691</v>
      </c>
      <c r="F237" s="323">
        <v>6961691</v>
      </c>
      <c r="G237" s="323"/>
      <c r="H237" s="323"/>
      <c r="I237" s="323"/>
      <c r="J237" s="325">
        <f t="shared" si="241"/>
        <v>0</v>
      </c>
      <c r="K237" s="323">
        <v>0</v>
      </c>
      <c r="L237" s="323"/>
      <c r="M237" s="323"/>
      <c r="N237" s="323"/>
      <c r="O237" s="455">
        <f t="shared" si="242"/>
        <v>0</v>
      </c>
      <c r="P237" s="325">
        <f t="shared" si="244"/>
        <v>6961691</v>
      </c>
      <c r="Q237" s="20"/>
      <c r="R237" s="46"/>
    </row>
    <row r="238" spans="1:18" ht="69.75" customHeight="1" thickTop="1" thickBot="1" x14ac:dyDescent="0.25">
      <c r="A238" s="578" t="s">
        <v>1377</v>
      </c>
      <c r="B238" s="326" t="s">
        <v>816</v>
      </c>
      <c r="C238" s="326"/>
      <c r="D238" s="326" t="s">
        <v>817</v>
      </c>
      <c r="E238" s="462">
        <f>E239</f>
        <v>93550</v>
      </c>
      <c r="F238" s="462">
        <f t="shared" ref="F238:P238" si="249">F239</f>
        <v>93550</v>
      </c>
      <c r="G238" s="462">
        <f t="shared" si="249"/>
        <v>76680</v>
      </c>
      <c r="H238" s="462">
        <f t="shared" si="249"/>
        <v>0</v>
      </c>
      <c r="I238" s="462">
        <f t="shared" si="249"/>
        <v>0</v>
      </c>
      <c r="J238" s="462">
        <f t="shared" si="249"/>
        <v>0</v>
      </c>
      <c r="K238" s="462">
        <f t="shared" si="249"/>
        <v>0</v>
      </c>
      <c r="L238" s="462">
        <f t="shared" si="249"/>
        <v>0</v>
      </c>
      <c r="M238" s="462">
        <f t="shared" si="249"/>
        <v>0</v>
      </c>
      <c r="N238" s="462">
        <f t="shared" si="249"/>
        <v>0</v>
      </c>
      <c r="O238" s="462">
        <f t="shared" si="249"/>
        <v>0</v>
      </c>
      <c r="P238" s="462">
        <f t="shared" si="249"/>
        <v>93550</v>
      </c>
      <c r="Q238" s="20"/>
      <c r="R238" s="46"/>
    </row>
    <row r="239" spans="1:18" ht="93" thickTop="1" thickBot="1" x14ac:dyDescent="0.25">
      <c r="A239" s="101" t="s">
        <v>1378</v>
      </c>
      <c r="B239" s="101" t="s">
        <v>1379</v>
      </c>
      <c r="C239" s="101" t="s">
        <v>195</v>
      </c>
      <c r="D239" s="101" t="s">
        <v>1380</v>
      </c>
      <c r="E239" s="309">
        <f t="shared" ref="E239" si="250">F239</f>
        <v>93550</v>
      </c>
      <c r="F239" s="323">
        <v>93550</v>
      </c>
      <c r="G239" s="323">
        <v>76680</v>
      </c>
      <c r="H239" s="323"/>
      <c r="I239" s="323"/>
      <c r="J239" s="325">
        <f t="shared" ref="J239" si="251">L239+O239</f>
        <v>0</v>
      </c>
      <c r="K239" s="323">
        <v>0</v>
      </c>
      <c r="L239" s="323"/>
      <c r="M239" s="323"/>
      <c r="N239" s="323"/>
      <c r="O239" s="455">
        <f t="shared" ref="O239" si="252">K239</f>
        <v>0</v>
      </c>
      <c r="P239" s="325">
        <f t="shared" ref="P239" si="253">E239+J239</f>
        <v>93550</v>
      </c>
      <c r="Q239" s="20"/>
      <c r="R239" s="46"/>
    </row>
    <row r="240" spans="1:18" ht="48" thickTop="1" thickBot="1" x14ac:dyDescent="0.25">
      <c r="A240" s="578" t="s">
        <v>781</v>
      </c>
      <c r="B240" s="326" t="s">
        <v>782</v>
      </c>
      <c r="C240" s="326"/>
      <c r="D240" s="326" t="s">
        <v>783</v>
      </c>
      <c r="E240" s="462">
        <f>SUM(E241:E243)</f>
        <v>8070620</v>
      </c>
      <c r="F240" s="462">
        <f t="shared" ref="F240:P240" si="254">SUM(F241:F243)</f>
        <v>8070620</v>
      </c>
      <c r="G240" s="462">
        <f t="shared" si="254"/>
        <v>1441425</v>
      </c>
      <c r="H240" s="462">
        <f t="shared" si="254"/>
        <v>0</v>
      </c>
      <c r="I240" s="462">
        <f t="shared" si="254"/>
        <v>0</v>
      </c>
      <c r="J240" s="462">
        <f t="shared" si="254"/>
        <v>50000</v>
      </c>
      <c r="K240" s="462">
        <f t="shared" si="254"/>
        <v>0</v>
      </c>
      <c r="L240" s="462">
        <f t="shared" si="254"/>
        <v>50000</v>
      </c>
      <c r="M240" s="462">
        <f t="shared" si="254"/>
        <v>0</v>
      </c>
      <c r="N240" s="462">
        <f t="shared" si="254"/>
        <v>0</v>
      </c>
      <c r="O240" s="462">
        <f t="shared" si="254"/>
        <v>0</v>
      </c>
      <c r="P240" s="462">
        <f t="shared" si="254"/>
        <v>8120620</v>
      </c>
      <c r="Q240" s="20"/>
      <c r="R240" s="46"/>
    </row>
    <row r="241" spans="1:18" ht="138.75" thickTop="1" thickBot="1" x14ac:dyDescent="0.25">
      <c r="A241" s="579" t="s">
        <v>30</v>
      </c>
      <c r="B241" s="579" t="s">
        <v>194</v>
      </c>
      <c r="C241" s="579" t="s">
        <v>195</v>
      </c>
      <c r="D241" s="101" t="s">
        <v>31</v>
      </c>
      <c r="E241" s="309">
        <f t="shared" si="240"/>
        <v>775354</v>
      </c>
      <c r="F241" s="323">
        <f>(625354)+150000</f>
        <v>775354</v>
      </c>
      <c r="G241" s="458"/>
      <c r="H241" s="458"/>
      <c r="I241" s="458"/>
      <c r="J241" s="325">
        <f t="shared" si="241"/>
        <v>0</v>
      </c>
      <c r="K241" s="458"/>
      <c r="L241" s="458"/>
      <c r="M241" s="458"/>
      <c r="N241" s="458"/>
      <c r="O241" s="455">
        <f t="shared" si="242"/>
        <v>0</v>
      </c>
      <c r="P241" s="325">
        <f t="shared" si="244"/>
        <v>775354</v>
      </c>
      <c r="Q241" s="20"/>
      <c r="R241" s="46"/>
    </row>
    <row r="242" spans="1:18" ht="93" thickTop="1" thickBot="1" x14ac:dyDescent="0.25">
      <c r="A242" s="579" t="s">
        <v>512</v>
      </c>
      <c r="B242" s="579" t="s">
        <v>510</v>
      </c>
      <c r="C242" s="579" t="s">
        <v>195</v>
      </c>
      <c r="D242" s="101" t="s">
        <v>511</v>
      </c>
      <c r="E242" s="309">
        <f t="shared" si="240"/>
        <v>5151085</v>
      </c>
      <c r="F242" s="323">
        <f>((5242225)-60000)-31140</f>
        <v>5151085</v>
      </c>
      <c r="G242" s="458"/>
      <c r="H242" s="458"/>
      <c r="I242" s="458"/>
      <c r="J242" s="325">
        <f t="shared" si="241"/>
        <v>0</v>
      </c>
      <c r="K242" s="458"/>
      <c r="L242" s="458"/>
      <c r="M242" s="458"/>
      <c r="N242" s="458"/>
      <c r="O242" s="455">
        <f t="shared" si="242"/>
        <v>0</v>
      </c>
      <c r="P242" s="325">
        <f t="shared" si="244"/>
        <v>5151085</v>
      </c>
      <c r="Q242" s="20"/>
      <c r="R242" s="46"/>
    </row>
    <row r="243" spans="1:18" ht="48" thickTop="1" thickBot="1" x14ac:dyDescent="0.25">
      <c r="A243" s="579" t="s">
        <v>32</v>
      </c>
      <c r="B243" s="579" t="s">
        <v>196</v>
      </c>
      <c r="C243" s="579" t="s">
        <v>195</v>
      </c>
      <c r="D243" s="101" t="s">
        <v>33</v>
      </c>
      <c r="E243" s="309">
        <f>F243</f>
        <v>2144181</v>
      </c>
      <c r="F243" s="323">
        <f>(2113041)+31140</f>
        <v>2144181</v>
      </c>
      <c r="G243" s="458">
        <v>1441425</v>
      </c>
      <c r="H243" s="458"/>
      <c r="I243" s="458"/>
      <c r="J243" s="325">
        <f t="shared" si="241"/>
        <v>50000</v>
      </c>
      <c r="K243" s="458"/>
      <c r="L243" s="458">
        <v>50000</v>
      </c>
      <c r="M243" s="458"/>
      <c r="N243" s="458"/>
      <c r="O243" s="455">
        <f t="shared" si="242"/>
        <v>0</v>
      </c>
      <c r="P243" s="325">
        <f t="shared" si="244"/>
        <v>2194181</v>
      </c>
      <c r="Q243" s="20"/>
      <c r="R243" s="46"/>
    </row>
    <row r="244" spans="1:18" ht="47.25" hidden="1" thickTop="1" thickBot="1" x14ac:dyDescent="0.25">
      <c r="A244" s="123" t="s">
        <v>784</v>
      </c>
      <c r="B244" s="123" t="s">
        <v>742</v>
      </c>
      <c r="C244" s="123"/>
      <c r="D244" s="404" t="s">
        <v>743</v>
      </c>
      <c r="E244" s="150">
        <f>E245</f>
        <v>0</v>
      </c>
      <c r="F244" s="150">
        <f t="shared" ref="F244:P245" si="255">F245</f>
        <v>0</v>
      </c>
      <c r="G244" s="150">
        <f t="shared" si="255"/>
        <v>0</v>
      </c>
      <c r="H244" s="150">
        <f t="shared" si="255"/>
        <v>0</v>
      </c>
      <c r="I244" s="150">
        <f t="shared" si="255"/>
        <v>0</v>
      </c>
      <c r="J244" s="150">
        <f t="shared" si="255"/>
        <v>0</v>
      </c>
      <c r="K244" s="150">
        <f t="shared" si="255"/>
        <v>0</v>
      </c>
      <c r="L244" s="150">
        <f t="shared" si="255"/>
        <v>0</v>
      </c>
      <c r="M244" s="150">
        <f t="shared" si="255"/>
        <v>0</v>
      </c>
      <c r="N244" s="150">
        <f t="shared" si="255"/>
        <v>0</v>
      </c>
      <c r="O244" s="150">
        <f t="shared" si="255"/>
        <v>0</v>
      </c>
      <c r="P244" s="150">
        <f t="shared" si="255"/>
        <v>0</v>
      </c>
      <c r="Q244" s="20"/>
      <c r="R244" s="46"/>
    </row>
    <row r="245" spans="1:18" ht="48" hidden="1" thickTop="1" thickBot="1" x14ac:dyDescent="0.25">
      <c r="A245" s="405" t="s">
        <v>785</v>
      </c>
      <c r="B245" s="405" t="s">
        <v>745</v>
      </c>
      <c r="C245" s="405"/>
      <c r="D245" s="138" t="s">
        <v>746</v>
      </c>
      <c r="E245" s="156">
        <f>E246</f>
        <v>0</v>
      </c>
      <c r="F245" s="156">
        <f t="shared" si="255"/>
        <v>0</v>
      </c>
      <c r="G245" s="156">
        <f t="shared" si="255"/>
        <v>0</v>
      </c>
      <c r="H245" s="156">
        <f t="shared" si="255"/>
        <v>0</v>
      </c>
      <c r="I245" s="156">
        <f t="shared" si="255"/>
        <v>0</v>
      </c>
      <c r="J245" s="156">
        <f t="shared" si="255"/>
        <v>0</v>
      </c>
      <c r="K245" s="156">
        <f t="shared" si="255"/>
        <v>0</v>
      </c>
      <c r="L245" s="156">
        <f t="shared" si="255"/>
        <v>0</v>
      </c>
      <c r="M245" s="156">
        <f t="shared" si="255"/>
        <v>0</v>
      </c>
      <c r="N245" s="156">
        <f t="shared" si="255"/>
        <v>0</v>
      </c>
      <c r="O245" s="156">
        <f t="shared" si="255"/>
        <v>0</v>
      </c>
      <c r="P245" s="156">
        <f t="shared" si="255"/>
        <v>0</v>
      </c>
      <c r="Q245" s="20"/>
      <c r="R245" s="46"/>
    </row>
    <row r="246" spans="1:18" ht="138.75" hidden="1" thickTop="1" thickBot="1" x14ac:dyDescent="0.25">
      <c r="A246" s="406" t="s">
        <v>342</v>
      </c>
      <c r="B246" s="406" t="s">
        <v>341</v>
      </c>
      <c r="C246" s="406" t="s">
        <v>340</v>
      </c>
      <c r="D246" s="126" t="s">
        <v>639</v>
      </c>
      <c r="E246" s="150">
        <f>F246</f>
        <v>0</v>
      </c>
      <c r="F246" s="127"/>
      <c r="G246" s="132"/>
      <c r="H246" s="132"/>
      <c r="I246" s="132"/>
      <c r="J246" s="125">
        <f t="shared" si="241"/>
        <v>0</v>
      </c>
      <c r="K246" s="132"/>
      <c r="L246" s="132"/>
      <c r="M246" s="132"/>
      <c r="N246" s="132"/>
      <c r="O246" s="130">
        <f t="shared" si="242"/>
        <v>0</v>
      </c>
      <c r="P246" s="125">
        <f t="shared" si="244"/>
        <v>0</v>
      </c>
      <c r="Q246" s="20"/>
      <c r="R246" s="50"/>
    </row>
    <row r="247" spans="1:18" ht="47.25" hidden="1" thickTop="1" thickBot="1" x14ac:dyDescent="0.25">
      <c r="A247" s="123" t="s">
        <v>786</v>
      </c>
      <c r="B247" s="123" t="s">
        <v>748</v>
      </c>
      <c r="C247" s="123"/>
      <c r="D247" s="123" t="s">
        <v>749</v>
      </c>
      <c r="E247" s="150">
        <f>E251+E248</f>
        <v>0</v>
      </c>
      <c r="F247" s="150">
        <f t="shared" ref="F247:P247" si="256">F251+F248</f>
        <v>0</v>
      </c>
      <c r="G247" s="150">
        <f t="shared" si="256"/>
        <v>0</v>
      </c>
      <c r="H247" s="150">
        <f t="shared" si="256"/>
        <v>0</v>
      </c>
      <c r="I247" s="150">
        <f t="shared" si="256"/>
        <v>0</v>
      </c>
      <c r="J247" s="150">
        <f t="shared" si="256"/>
        <v>0</v>
      </c>
      <c r="K247" s="150">
        <f t="shared" si="256"/>
        <v>0</v>
      </c>
      <c r="L247" s="150">
        <f t="shared" si="256"/>
        <v>0</v>
      </c>
      <c r="M247" s="150">
        <f t="shared" si="256"/>
        <v>0</v>
      </c>
      <c r="N247" s="150">
        <f t="shared" si="256"/>
        <v>0</v>
      </c>
      <c r="O247" s="150">
        <f t="shared" si="256"/>
        <v>0</v>
      </c>
      <c r="P247" s="150">
        <f t="shared" si="256"/>
        <v>0</v>
      </c>
      <c r="Q247" s="20"/>
      <c r="R247" s="50"/>
    </row>
    <row r="248" spans="1:18" ht="47.25" hidden="1" thickTop="1" thickBot="1" x14ac:dyDescent="0.25">
      <c r="A248" s="134" t="s">
        <v>1099</v>
      </c>
      <c r="B248" s="134" t="s">
        <v>803</v>
      </c>
      <c r="C248" s="134"/>
      <c r="D248" s="134" t="s">
        <v>804</v>
      </c>
      <c r="E248" s="135">
        <f>E249</f>
        <v>0</v>
      </c>
      <c r="F248" s="135">
        <f t="shared" ref="F248:P249" si="257">F249</f>
        <v>0</v>
      </c>
      <c r="G248" s="135">
        <f t="shared" si="257"/>
        <v>0</v>
      </c>
      <c r="H248" s="135">
        <f t="shared" si="257"/>
        <v>0</v>
      </c>
      <c r="I248" s="135">
        <f t="shared" si="257"/>
        <v>0</v>
      </c>
      <c r="J248" s="135">
        <f t="shared" si="257"/>
        <v>0</v>
      </c>
      <c r="K248" s="135">
        <f t="shared" si="257"/>
        <v>0</v>
      </c>
      <c r="L248" s="135">
        <f t="shared" si="257"/>
        <v>0</v>
      </c>
      <c r="M248" s="135">
        <f t="shared" si="257"/>
        <v>0</v>
      </c>
      <c r="N248" s="135">
        <f t="shared" si="257"/>
        <v>0</v>
      </c>
      <c r="O248" s="135">
        <f t="shared" si="257"/>
        <v>0</v>
      </c>
      <c r="P248" s="135">
        <f t="shared" si="257"/>
        <v>0</v>
      </c>
      <c r="Q248" s="20"/>
      <c r="R248" s="50"/>
    </row>
    <row r="249" spans="1:18" ht="54" hidden="1" thickTop="1" thickBot="1" x14ac:dyDescent="0.25">
      <c r="A249" s="138" t="s">
        <v>1100</v>
      </c>
      <c r="B249" s="138" t="s">
        <v>821</v>
      </c>
      <c r="C249" s="138"/>
      <c r="D249" s="138" t="s">
        <v>1488</v>
      </c>
      <c r="E249" s="139">
        <f>E250</f>
        <v>0</v>
      </c>
      <c r="F249" s="139">
        <f t="shared" si="257"/>
        <v>0</v>
      </c>
      <c r="G249" s="139">
        <f t="shared" si="257"/>
        <v>0</v>
      </c>
      <c r="H249" s="139">
        <f t="shared" si="257"/>
        <v>0</v>
      </c>
      <c r="I249" s="139">
        <f t="shared" si="257"/>
        <v>0</v>
      </c>
      <c r="J249" s="139">
        <f t="shared" si="257"/>
        <v>0</v>
      </c>
      <c r="K249" s="139">
        <f t="shared" si="257"/>
        <v>0</v>
      </c>
      <c r="L249" s="139">
        <f t="shared" si="257"/>
        <v>0</v>
      </c>
      <c r="M249" s="139">
        <f t="shared" si="257"/>
        <v>0</v>
      </c>
      <c r="N249" s="139">
        <f t="shared" si="257"/>
        <v>0</v>
      </c>
      <c r="O249" s="139">
        <f t="shared" si="257"/>
        <v>0</v>
      </c>
      <c r="P249" s="139">
        <f t="shared" si="257"/>
        <v>0</v>
      </c>
      <c r="Q249" s="20"/>
      <c r="R249" s="50"/>
    </row>
    <row r="250" spans="1:18" ht="54" hidden="1" thickTop="1" thickBot="1" x14ac:dyDescent="0.25">
      <c r="A250" s="126" t="s">
        <v>1101</v>
      </c>
      <c r="B250" s="126" t="s">
        <v>313</v>
      </c>
      <c r="C250" s="126" t="s">
        <v>304</v>
      </c>
      <c r="D250" s="126" t="s">
        <v>1237</v>
      </c>
      <c r="E250" s="125">
        <f t="shared" ref="E250" si="258">F250</f>
        <v>0</v>
      </c>
      <c r="F250" s="132"/>
      <c r="G250" s="132"/>
      <c r="H250" s="132"/>
      <c r="I250" s="132"/>
      <c r="J250" s="125">
        <f t="shared" ref="J250" si="259">L250+O250</f>
        <v>0</v>
      </c>
      <c r="K250" s="132">
        <f>49500-49500</f>
        <v>0</v>
      </c>
      <c r="L250" s="132"/>
      <c r="M250" s="132"/>
      <c r="N250" s="132"/>
      <c r="O250" s="130">
        <f t="shared" ref="O250" si="260">K250</f>
        <v>0</v>
      </c>
      <c r="P250" s="125">
        <f>E250+J250</f>
        <v>0</v>
      </c>
      <c r="Q250" s="20"/>
      <c r="R250" s="50"/>
    </row>
    <row r="251" spans="1:18" ht="47.25" hidden="1" thickTop="1" thickBot="1" x14ac:dyDescent="0.25">
      <c r="A251" s="134" t="s">
        <v>787</v>
      </c>
      <c r="B251" s="134" t="s">
        <v>691</v>
      </c>
      <c r="C251" s="134"/>
      <c r="D251" s="134" t="s">
        <v>689</v>
      </c>
      <c r="E251" s="157">
        <f>E253+E252</f>
        <v>0</v>
      </c>
      <c r="F251" s="157">
        <f t="shared" ref="F251:H251" si="261">F253+F252</f>
        <v>0</v>
      </c>
      <c r="G251" s="157">
        <f t="shared" si="261"/>
        <v>0</v>
      </c>
      <c r="H251" s="157">
        <f t="shared" si="261"/>
        <v>0</v>
      </c>
      <c r="I251" s="157">
        <f>I253+I252</f>
        <v>0</v>
      </c>
      <c r="J251" s="157">
        <f>J253+J252</f>
        <v>0</v>
      </c>
      <c r="K251" s="157">
        <f>K253+K252</f>
        <v>0</v>
      </c>
      <c r="L251" s="157">
        <f t="shared" ref="L251:O251" si="262">L253+L252</f>
        <v>0</v>
      </c>
      <c r="M251" s="157">
        <f t="shared" si="262"/>
        <v>0</v>
      </c>
      <c r="N251" s="157">
        <f t="shared" si="262"/>
        <v>0</v>
      </c>
      <c r="O251" s="157">
        <f t="shared" si="262"/>
        <v>0</v>
      </c>
      <c r="P251" s="157">
        <f>P253+P252</f>
        <v>0</v>
      </c>
      <c r="Q251" s="20"/>
      <c r="R251" s="50"/>
    </row>
    <row r="252" spans="1:18" ht="48" hidden="1" thickTop="1" thickBot="1" x14ac:dyDescent="0.25">
      <c r="A252" s="406" t="s">
        <v>1335</v>
      </c>
      <c r="B252" s="406" t="s">
        <v>212</v>
      </c>
      <c r="C252" s="406"/>
      <c r="D252" s="126" t="s">
        <v>41</v>
      </c>
      <c r="E252" s="150">
        <f>F252</f>
        <v>0</v>
      </c>
      <c r="F252" s="127"/>
      <c r="G252" s="132"/>
      <c r="H252" s="132"/>
      <c r="I252" s="132"/>
      <c r="J252" s="125">
        <f t="shared" ref="J252" si="263">L252+O252</f>
        <v>0</v>
      </c>
      <c r="K252" s="132"/>
      <c r="L252" s="132"/>
      <c r="M252" s="132"/>
      <c r="N252" s="132"/>
      <c r="O252" s="130">
        <f t="shared" ref="O252" si="264">K252</f>
        <v>0</v>
      </c>
      <c r="P252" s="125">
        <f t="shared" ref="P252" si="265">E252+J252</f>
        <v>0</v>
      </c>
      <c r="Q252" s="20"/>
      <c r="R252" s="50"/>
    </row>
    <row r="253" spans="1:18" ht="48" hidden="1" thickTop="1" thickBot="1" x14ac:dyDescent="0.25">
      <c r="A253" s="126" t="s">
        <v>607</v>
      </c>
      <c r="B253" s="126" t="s">
        <v>197</v>
      </c>
      <c r="C253" s="126" t="s">
        <v>170</v>
      </c>
      <c r="D253" s="126" t="s">
        <v>34</v>
      </c>
      <c r="E253" s="125">
        <f t="shared" ref="E253" si="266">F253</f>
        <v>0</v>
      </c>
      <c r="F253" s="132"/>
      <c r="G253" s="132"/>
      <c r="H253" s="132"/>
      <c r="I253" s="132"/>
      <c r="J253" s="125">
        <f t="shared" si="241"/>
        <v>0</v>
      </c>
      <c r="K253" s="132"/>
      <c r="L253" s="132"/>
      <c r="M253" s="132"/>
      <c r="N253" s="132"/>
      <c r="O253" s="130">
        <f t="shared" si="242"/>
        <v>0</v>
      </c>
      <c r="P253" s="125">
        <f t="shared" si="244"/>
        <v>0</v>
      </c>
      <c r="Q253" s="20"/>
      <c r="R253" s="46"/>
    </row>
    <row r="254" spans="1:18" ht="47.25" hidden="1" thickTop="1" thickBot="1" x14ac:dyDescent="0.25">
      <c r="A254" s="144" t="s">
        <v>1107</v>
      </c>
      <c r="B254" s="144" t="s">
        <v>702</v>
      </c>
      <c r="C254" s="144"/>
      <c r="D254" s="144" t="s">
        <v>703</v>
      </c>
      <c r="E254" s="42">
        <f>E255</f>
        <v>0</v>
      </c>
      <c r="F254" s="42">
        <f t="shared" ref="F254:P255" si="267">F255</f>
        <v>0</v>
      </c>
      <c r="G254" s="42">
        <f t="shared" si="267"/>
        <v>0</v>
      </c>
      <c r="H254" s="42">
        <f t="shared" si="267"/>
        <v>0</v>
      </c>
      <c r="I254" s="42">
        <f t="shared" si="267"/>
        <v>0</v>
      </c>
      <c r="J254" s="42">
        <f t="shared" si="267"/>
        <v>0</v>
      </c>
      <c r="K254" s="42">
        <f t="shared" si="267"/>
        <v>0</v>
      </c>
      <c r="L254" s="42">
        <f t="shared" si="267"/>
        <v>0</v>
      </c>
      <c r="M254" s="42">
        <f t="shared" si="267"/>
        <v>0</v>
      </c>
      <c r="N254" s="42">
        <f t="shared" si="267"/>
        <v>0</v>
      </c>
      <c r="O254" s="42">
        <f t="shared" si="267"/>
        <v>0</v>
      </c>
      <c r="P254" s="42">
        <f t="shared" si="267"/>
        <v>0</v>
      </c>
      <c r="Q254" s="20"/>
      <c r="R254" s="46"/>
    </row>
    <row r="255" spans="1:18" ht="91.5" hidden="1" thickTop="1" thickBot="1" x14ac:dyDescent="0.25">
      <c r="A255" s="145" t="s">
        <v>1108</v>
      </c>
      <c r="B255" s="145" t="s">
        <v>705</v>
      </c>
      <c r="C255" s="145"/>
      <c r="D255" s="145" t="s">
        <v>706</v>
      </c>
      <c r="E255" s="146">
        <f>E256</f>
        <v>0</v>
      </c>
      <c r="F255" s="146">
        <f t="shared" si="267"/>
        <v>0</v>
      </c>
      <c r="G255" s="146">
        <f t="shared" si="267"/>
        <v>0</v>
      </c>
      <c r="H255" s="146">
        <f t="shared" si="267"/>
        <v>0</v>
      </c>
      <c r="I255" s="146">
        <f t="shared" si="267"/>
        <v>0</v>
      </c>
      <c r="J255" s="146">
        <f t="shared" si="267"/>
        <v>0</v>
      </c>
      <c r="K255" s="146">
        <f t="shared" si="267"/>
        <v>0</v>
      </c>
      <c r="L255" s="146">
        <f t="shared" si="267"/>
        <v>0</v>
      </c>
      <c r="M255" s="146">
        <f t="shared" si="267"/>
        <v>0</v>
      </c>
      <c r="N255" s="146">
        <f t="shared" si="267"/>
        <v>0</v>
      </c>
      <c r="O255" s="146">
        <f t="shared" si="267"/>
        <v>0</v>
      </c>
      <c r="P255" s="146">
        <f t="shared" si="267"/>
        <v>0</v>
      </c>
      <c r="Q255" s="20"/>
      <c r="R255" s="46"/>
    </row>
    <row r="256" spans="1:18" ht="48" hidden="1" thickTop="1" thickBot="1" x14ac:dyDescent="0.25">
      <c r="A256" s="41" t="s">
        <v>1109</v>
      </c>
      <c r="B256" s="41" t="s">
        <v>363</v>
      </c>
      <c r="C256" s="41" t="s">
        <v>43</v>
      </c>
      <c r="D256" s="41" t="s">
        <v>364</v>
      </c>
      <c r="E256" s="42">
        <f t="shared" ref="E256" si="268">F256</f>
        <v>0</v>
      </c>
      <c r="F256" s="43">
        <v>0</v>
      </c>
      <c r="G256" s="43"/>
      <c r="H256" s="43"/>
      <c r="I256" s="43"/>
      <c r="J256" s="42">
        <f>L256+O256</f>
        <v>0</v>
      </c>
      <c r="K256" s="43">
        <v>0</v>
      </c>
      <c r="L256" s="43"/>
      <c r="M256" s="43"/>
      <c r="N256" s="43"/>
      <c r="O256" s="44">
        <f>K256</f>
        <v>0</v>
      </c>
      <c r="P256" s="42">
        <f>E256+J256</f>
        <v>0</v>
      </c>
      <c r="Q256" s="20"/>
      <c r="R256" s="46"/>
    </row>
    <row r="257" spans="1:18" ht="120" customHeight="1" thickTop="1" thickBot="1" x14ac:dyDescent="0.25">
      <c r="A257" s="645" t="s">
        <v>158</v>
      </c>
      <c r="B257" s="645"/>
      <c r="C257" s="645"/>
      <c r="D257" s="646" t="s">
        <v>561</v>
      </c>
      <c r="E257" s="647">
        <f>E258</f>
        <v>41561661</v>
      </c>
      <c r="F257" s="648">
        <f t="shared" ref="F257:G257" si="269">F258</f>
        <v>41561661</v>
      </c>
      <c r="G257" s="648">
        <f t="shared" si="269"/>
        <v>6530800</v>
      </c>
      <c r="H257" s="648">
        <f>H258</f>
        <v>510883</v>
      </c>
      <c r="I257" s="648">
        <f t="shared" ref="I257" si="270">I258</f>
        <v>0</v>
      </c>
      <c r="J257" s="647">
        <f>J258</f>
        <v>12183813</v>
      </c>
      <c r="K257" s="648">
        <f>K258</f>
        <v>12183813</v>
      </c>
      <c r="L257" s="648">
        <f>L258</f>
        <v>0</v>
      </c>
      <c r="M257" s="648">
        <f t="shared" ref="M257" si="271">M258</f>
        <v>0</v>
      </c>
      <c r="N257" s="648">
        <f>N258</f>
        <v>0</v>
      </c>
      <c r="O257" s="647">
        <f>O258</f>
        <v>12183813</v>
      </c>
      <c r="P257" s="648">
        <f>P258</f>
        <v>53745474</v>
      </c>
      <c r="Q257" s="20"/>
      <c r="R257" s="50"/>
    </row>
    <row r="258" spans="1:18" ht="120" customHeight="1" thickTop="1" thickBot="1" x14ac:dyDescent="0.25">
      <c r="A258" s="642" t="s">
        <v>159</v>
      </c>
      <c r="B258" s="642"/>
      <c r="C258" s="642"/>
      <c r="D258" s="643" t="s">
        <v>562</v>
      </c>
      <c r="E258" s="644">
        <f>E259+E263+E271+E280</f>
        <v>41561661</v>
      </c>
      <c r="F258" s="644">
        <f>F259+F263+F271+F280</f>
        <v>41561661</v>
      </c>
      <c r="G258" s="644">
        <f>G259+G263+G271+G280</f>
        <v>6530800</v>
      </c>
      <c r="H258" s="644">
        <f>H259+H263+H271+H280</f>
        <v>510883</v>
      </c>
      <c r="I258" s="644">
        <f>I259+I263+I271+I280</f>
        <v>0</v>
      </c>
      <c r="J258" s="644">
        <f t="shared" ref="J258:J278" si="272">L258+O258</f>
        <v>12183813</v>
      </c>
      <c r="K258" s="644">
        <f>K259+K263+K271+K280</f>
        <v>12183813</v>
      </c>
      <c r="L258" s="644">
        <f>L259+L263+L271+L280</f>
        <v>0</v>
      </c>
      <c r="M258" s="644">
        <f>M259+M263+M271+M280</f>
        <v>0</v>
      </c>
      <c r="N258" s="644">
        <f>N259+N263+N271+N280</f>
        <v>0</v>
      </c>
      <c r="O258" s="644">
        <f>O259+O263+O271+O280</f>
        <v>12183813</v>
      </c>
      <c r="P258" s="644">
        <f>E258+J258</f>
        <v>53745474</v>
      </c>
      <c r="Q258" s="492" t="b">
        <f>P258=P260+P265+P266+P268+P269+P270+P273+P275+P276+P282</f>
        <v>1</v>
      </c>
      <c r="R258" s="54"/>
    </row>
    <row r="259" spans="1:18" ht="47.25" thickTop="1" thickBot="1" x14ac:dyDescent="0.25">
      <c r="A259" s="308" t="s">
        <v>788</v>
      </c>
      <c r="B259" s="308" t="s">
        <v>684</v>
      </c>
      <c r="C259" s="308"/>
      <c r="D259" s="308" t="s">
        <v>685</v>
      </c>
      <c r="E259" s="325">
        <f>SUM(E260:E262)</f>
        <v>9067321</v>
      </c>
      <c r="F259" s="325">
        <f t="shared" ref="F259:N259" si="273">SUM(F260:F262)</f>
        <v>9067321</v>
      </c>
      <c r="G259" s="325">
        <f t="shared" si="273"/>
        <v>6530800</v>
      </c>
      <c r="H259" s="325">
        <f t="shared" si="273"/>
        <v>510883</v>
      </c>
      <c r="I259" s="325">
        <f t="shared" si="273"/>
        <v>0</v>
      </c>
      <c r="J259" s="325">
        <f t="shared" si="273"/>
        <v>0</v>
      </c>
      <c r="K259" s="325">
        <f t="shared" si="273"/>
        <v>0</v>
      </c>
      <c r="L259" s="325">
        <f t="shared" si="273"/>
        <v>0</v>
      </c>
      <c r="M259" s="325">
        <f t="shared" si="273"/>
        <v>0</v>
      </c>
      <c r="N259" s="325">
        <f t="shared" si="273"/>
        <v>0</v>
      </c>
      <c r="O259" s="325">
        <f>SUM(O260:O262)</f>
        <v>0</v>
      </c>
      <c r="P259" s="325">
        <f>SUM(P260:P262)</f>
        <v>9067321</v>
      </c>
      <c r="Q259" s="47"/>
      <c r="R259" s="54"/>
    </row>
    <row r="260" spans="1:18" ht="93" thickTop="1" thickBot="1" x14ac:dyDescent="0.25">
      <c r="A260" s="101" t="s">
        <v>421</v>
      </c>
      <c r="B260" s="101" t="s">
        <v>236</v>
      </c>
      <c r="C260" s="101" t="s">
        <v>234</v>
      </c>
      <c r="D260" s="101" t="s">
        <v>235</v>
      </c>
      <c r="E260" s="309">
        <f>F260</f>
        <v>9067321</v>
      </c>
      <c r="F260" s="323">
        <v>9067321</v>
      </c>
      <c r="G260" s="323">
        <v>6530800</v>
      </c>
      <c r="H260" s="323">
        <v>510883</v>
      </c>
      <c r="I260" s="323"/>
      <c r="J260" s="325">
        <f t="shared" si="272"/>
        <v>0</v>
      </c>
      <c r="K260" s="323">
        <v>0</v>
      </c>
      <c r="L260" s="454"/>
      <c r="M260" s="454"/>
      <c r="N260" s="454"/>
      <c r="O260" s="455">
        <f t="shared" ref="O260:O275" si="274">K260</f>
        <v>0</v>
      </c>
      <c r="P260" s="325">
        <f t="shared" ref="P260:P267" si="275">+J260+E260</f>
        <v>9067321</v>
      </c>
      <c r="Q260" s="20"/>
      <c r="R260" s="54"/>
    </row>
    <row r="261" spans="1:18" ht="93" hidden="1" thickTop="1" thickBot="1" x14ac:dyDescent="0.25">
      <c r="A261" s="126" t="s">
        <v>627</v>
      </c>
      <c r="B261" s="126" t="s">
        <v>362</v>
      </c>
      <c r="C261" s="126" t="s">
        <v>625</v>
      </c>
      <c r="D261" s="126" t="s">
        <v>626</v>
      </c>
      <c r="E261" s="125">
        <f t="shared" ref="E261:E262" si="276">F261</f>
        <v>0</v>
      </c>
      <c r="F261" s="127">
        <v>0</v>
      </c>
      <c r="G261" s="127"/>
      <c r="H261" s="127"/>
      <c r="I261" s="127"/>
      <c r="J261" s="125">
        <f t="shared" si="272"/>
        <v>0</v>
      </c>
      <c r="K261" s="127"/>
      <c r="L261" s="128"/>
      <c r="M261" s="129"/>
      <c r="N261" s="129"/>
      <c r="O261" s="130">
        <f t="shared" si="274"/>
        <v>0</v>
      </c>
      <c r="P261" s="125">
        <f>+J261+E261</f>
        <v>0</v>
      </c>
      <c r="Q261" s="20"/>
      <c r="R261" s="54"/>
    </row>
    <row r="262" spans="1:18" ht="48" hidden="1" thickTop="1" thickBot="1" x14ac:dyDescent="0.25">
      <c r="A262" s="126" t="s">
        <v>1143</v>
      </c>
      <c r="B262" s="126" t="s">
        <v>43</v>
      </c>
      <c r="C262" s="126" t="s">
        <v>42</v>
      </c>
      <c r="D262" s="126" t="s">
        <v>248</v>
      </c>
      <c r="E262" s="125">
        <f t="shared" si="276"/>
        <v>0</v>
      </c>
      <c r="F262" s="127"/>
      <c r="G262" s="127"/>
      <c r="H262" s="127"/>
      <c r="I262" s="127"/>
      <c r="J262" s="125">
        <f t="shared" si="272"/>
        <v>0</v>
      </c>
      <c r="K262" s="127"/>
      <c r="L262" s="128"/>
      <c r="M262" s="129"/>
      <c r="N262" s="129"/>
      <c r="O262" s="130"/>
      <c r="P262" s="125">
        <f>+J262+E262</f>
        <v>0</v>
      </c>
      <c r="Q262" s="20"/>
      <c r="R262" s="54"/>
    </row>
    <row r="263" spans="1:18" ht="47.25" thickTop="1" thickBot="1" x14ac:dyDescent="0.25">
      <c r="A263" s="308" t="s">
        <v>789</v>
      </c>
      <c r="B263" s="308" t="s">
        <v>742</v>
      </c>
      <c r="C263" s="308"/>
      <c r="D263" s="344" t="s">
        <v>743</v>
      </c>
      <c r="E263" s="325">
        <f>SUM(E264:E270)-E264</f>
        <v>24892600</v>
      </c>
      <c r="F263" s="325">
        <f t="shared" ref="F263:P263" si="277">SUM(F264:F270)-F264</f>
        <v>24892600</v>
      </c>
      <c r="G263" s="325">
        <f t="shared" si="277"/>
        <v>0</v>
      </c>
      <c r="H263" s="325">
        <f t="shared" si="277"/>
        <v>0</v>
      </c>
      <c r="I263" s="325">
        <f t="shared" si="277"/>
        <v>0</v>
      </c>
      <c r="J263" s="325">
        <f>SUM(J264:J270)-J264</f>
        <v>9583813</v>
      </c>
      <c r="K263" s="325">
        <f t="shared" si="277"/>
        <v>9583813</v>
      </c>
      <c r="L263" s="325">
        <f t="shared" si="277"/>
        <v>0</v>
      </c>
      <c r="M263" s="325">
        <f t="shared" si="277"/>
        <v>0</v>
      </c>
      <c r="N263" s="325">
        <f t="shared" si="277"/>
        <v>0</v>
      </c>
      <c r="O263" s="325">
        <f t="shared" si="277"/>
        <v>9583813</v>
      </c>
      <c r="P263" s="325">
        <f t="shared" si="277"/>
        <v>34476413</v>
      </c>
      <c r="Q263" s="20"/>
      <c r="R263" s="54"/>
    </row>
    <row r="264" spans="1:18" s="33" customFormat="1" ht="93" thickTop="1" thickBot="1" x14ac:dyDescent="0.25">
      <c r="A264" s="326" t="s">
        <v>790</v>
      </c>
      <c r="B264" s="326" t="s">
        <v>791</v>
      </c>
      <c r="C264" s="326"/>
      <c r="D264" s="326" t="s">
        <v>792</v>
      </c>
      <c r="E264" s="322">
        <f>SUM(E265:E267)</f>
        <v>8503600</v>
      </c>
      <c r="F264" s="322">
        <f t="shared" ref="F264:P264" si="278">SUM(F265:F267)</f>
        <v>8503600</v>
      </c>
      <c r="G264" s="322">
        <f t="shared" si="278"/>
        <v>0</v>
      </c>
      <c r="H264" s="322">
        <f t="shared" si="278"/>
        <v>0</v>
      </c>
      <c r="I264" s="322">
        <f t="shared" si="278"/>
        <v>0</v>
      </c>
      <c r="J264" s="322">
        <f t="shared" si="278"/>
        <v>9313813</v>
      </c>
      <c r="K264" s="322">
        <f t="shared" si="278"/>
        <v>9313813</v>
      </c>
      <c r="L264" s="322">
        <f t="shared" si="278"/>
        <v>0</v>
      </c>
      <c r="M264" s="322">
        <f t="shared" si="278"/>
        <v>0</v>
      </c>
      <c r="N264" s="322">
        <f t="shared" si="278"/>
        <v>0</v>
      </c>
      <c r="O264" s="322">
        <f t="shared" si="278"/>
        <v>9313813</v>
      </c>
      <c r="P264" s="322">
        <f t="shared" si="278"/>
        <v>17817413</v>
      </c>
      <c r="Q264" s="36"/>
      <c r="R264" s="54"/>
    </row>
    <row r="265" spans="1:18" ht="48" thickTop="1" thickBot="1" x14ac:dyDescent="0.25">
      <c r="A265" s="101" t="s">
        <v>280</v>
      </c>
      <c r="B265" s="101" t="s">
        <v>281</v>
      </c>
      <c r="C265" s="101" t="s">
        <v>340</v>
      </c>
      <c r="D265" s="101" t="s">
        <v>282</v>
      </c>
      <c r="E265" s="309">
        <f>F265</f>
        <v>8503600</v>
      </c>
      <c r="F265" s="323">
        <f>(((3162200)+110000)+3431400)+1800000</f>
        <v>8503600</v>
      </c>
      <c r="G265" s="323"/>
      <c r="H265" s="323"/>
      <c r="I265" s="323"/>
      <c r="J265" s="325">
        <f t="shared" si="272"/>
        <v>3813813</v>
      </c>
      <c r="K265" s="323">
        <f>((200000)+1134400)+2479413</f>
        <v>3813813</v>
      </c>
      <c r="L265" s="454"/>
      <c r="M265" s="454"/>
      <c r="N265" s="454"/>
      <c r="O265" s="455">
        <f t="shared" si="274"/>
        <v>3813813</v>
      </c>
      <c r="P265" s="325">
        <f t="shared" si="275"/>
        <v>12317413</v>
      </c>
      <c r="Q265" s="20"/>
      <c r="R265" s="54"/>
    </row>
    <row r="266" spans="1:18" ht="48" thickTop="1" thickBot="1" x14ac:dyDescent="0.25">
      <c r="A266" s="101" t="s">
        <v>301</v>
      </c>
      <c r="B266" s="101" t="s">
        <v>302</v>
      </c>
      <c r="C266" s="101" t="s">
        <v>283</v>
      </c>
      <c r="D266" s="101" t="s">
        <v>303</v>
      </c>
      <c r="E266" s="309">
        <f t="shared" ref="E266:E278" si="279">F266</f>
        <v>0</v>
      </c>
      <c r="F266" s="323"/>
      <c r="G266" s="323"/>
      <c r="H266" s="323"/>
      <c r="I266" s="323"/>
      <c r="J266" s="325">
        <f t="shared" si="272"/>
        <v>5500000</v>
      </c>
      <c r="K266" s="323">
        <f>(((2000000)+2000000)+1000000)+500000</f>
        <v>5500000</v>
      </c>
      <c r="L266" s="454"/>
      <c r="M266" s="454"/>
      <c r="N266" s="454"/>
      <c r="O266" s="455">
        <f t="shared" si="274"/>
        <v>5500000</v>
      </c>
      <c r="P266" s="325">
        <f t="shared" si="275"/>
        <v>5500000</v>
      </c>
      <c r="Q266" s="20"/>
      <c r="R266" s="54"/>
    </row>
    <row r="267" spans="1:18" ht="93" hidden="1" thickTop="1" thickBot="1" x14ac:dyDescent="0.25">
      <c r="A267" s="126" t="s">
        <v>284</v>
      </c>
      <c r="B267" s="126" t="s">
        <v>285</v>
      </c>
      <c r="C267" s="126" t="s">
        <v>283</v>
      </c>
      <c r="D267" s="126" t="s">
        <v>466</v>
      </c>
      <c r="E267" s="150">
        <f t="shared" si="279"/>
        <v>0</v>
      </c>
      <c r="F267" s="127">
        <f>(((16700000-15000000)-1000000)-700000)+2500000-2500000</f>
        <v>0</v>
      </c>
      <c r="G267" s="127"/>
      <c r="H267" s="127"/>
      <c r="I267" s="127"/>
      <c r="J267" s="125">
        <f t="shared" si="272"/>
        <v>0</v>
      </c>
      <c r="K267" s="127">
        <v>0</v>
      </c>
      <c r="L267" s="128"/>
      <c r="M267" s="128"/>
      <c r="N267" s="128"/>
      <c r="O267" s="130">
        <f t="shared" si="274"/>
        <v>0</v>
      </c>
      <c r="P267" s="125">
        <f t="shared" si="275"/>
        <v>0</v>
      </c>
      <c r="Q267" s="20"/>
      <c r="R267" s="54"/>
    </row>
    <row r="268" spans="1:18" ht="93" thickTop="1" thickBot="1" x14ac:dyDescent="0.25">
      <c r="A268" s="101" t="s">
        <v>929</v>
      </c>
      <c r="B268" s="101" t="s">
        <v>297</v>
      </c>
      <c r="C268" s="101" t="s">
        <v>283</v>
      </c>
      <c r="D268" s="101" t="s">
        <v>298</v>
      </c>
      <c r="E268" s="309">
        <f t="shared" ref="E268" si="280">F268</f>
        <v>6340000</v>
      </c>
      <c r="F268" s="323">
        <f>(5500000)+420000+420000</f>
        <v>6340000</v>
      </c>
      <c r="G268" s="323"/>
      <c r="H268" s="323"/>
      <c r="I268" s="323"/>
      <c r="J268" s="325">
        <f t="shared" ref="J268" si="281">L268+O268</f>
        <v>0</v>
      </c>
      <c r="K268" s="323"/>
      <c r="L268" s="454"/>
      <c r="M268" s="454"/>
      <c r="N268" s="454"/>
      <c r="O268" s="455">
        <f t="shared" ref="O268" si="282">K268</f>
        <v>0</v>
      </c>
      <c r="P268" s="325">
        <f t="shared" ref="P268" si="283">+J268+E268</f>
        <v>6340000</v>
      </c>
      <c r="Q268" s="20"/>
      <c r="R268" s="54"/>
    </row>
    <row r="269" spans="1:18" ht="48" thickTop="1" thickBot="1" x14ac:dyDescent="0.25">
      <c r="A269" s="101" t="s">
        <v>288</v>
      </c>
      <c r="B269" s="101" t="s">
        <v>289</v>
      </c>
      <c r="C269" s="101" t="s">
        <v>283</v>
      </c>
      <c r="D269" s="101" t="s">
        <v>290</v>
      </c>
      <c r="E269" s="309">
        <f t="shared" si="279"/>
        <v>8000000</v>
      </c>
      <c r="F269" s="323">
        <f>(5000000)+3000000</f>
        <v>8000000</v>
      </c>
      <c r="G269" s="323"/>
      <c r="H269" s="323"/>
      <c r="I269" s="323"/>
      <c r="J269" s="325">
        <f t="shared" si="272"/>
        <v>270000</v>
      </c>
      <c r="K269" s="458">
        <f>(0)+270000</f>
        <v>270000</v>
      </c>
      <c r="L269" s="323"/>
      <c r="M269" s="323"/>
      <c r="N269" s="323"/>
      <c r="O269" s="455">
        <f t="shared" si="274"/>
        <v>270000</v>
      </c>
      <c r="P269" s="325">
        <f t="shared" ref="P269" si="284">E269+J269</f>
        <v>8270000</v>
      </c>
      <c r="Q269" s="20"/>
      <c r="R269" s="50"/>
    </row>
    <row r="270" spans="1:18" ht="48" thickTop="1" thickBot="1" x14ac:dyDescent="0.25">
      <c r="A270" s="101" t="s">
        <v>1261</v>
      </c>
      <c r="B270" s="101" t="s">
        <v>1149</v>
      </c>
      <c r="C270" s="101" t="s">
        <v>1150</v>
      </c>
      <c r="D270" s="101" t="s">
        <v>1147</v>
      </c>
      <c r="E270" s="309">
        <f t="shared" ref="E270" si="285">F270</f>
        <v>2049000</v>
      </c>
      <c r="F270" s="323">
        <v>2049000</v>
      </c>
      <c r="G270" s="323"/>
      <c r="H270" s="323"/>
      <c r="I270" s="323"/>
      <c r="J270" s="325">
        <f t="shared" ref="J270" si="286">L270+O270</f>
        <v>0</v>
      </c>
      <c r="K270" s="458"/>
      <c r="L270" s="323"/>
      <c r="M270" s="323"/>
      <c r="N270" s="323"/>
      <c r="O270" s="455">
        <f t="shared" ref="O270" si="287">K270</f>
        <v>0</v>
      </c>
      <c r="P270" s="325">
        <f t="shared" ref="P270" si="288">E270+J270</f>
        <v>2049000</v>
      </c>
      <c r="Q270" s="20"/>
      <c r="R270" s="50"/>
    </row>
    <row r="271" spans="1:18" ht="47.25" thickTop="1" thickBot="1" x14ac:dyDescent="0.25">
      <c r="A271" s="308" t="s">
        <v>793</v>
      </c>
      <c r="B271" s="308" t="s">
        <v>748</v>
      </c>
      <c r="C271" s="308"/>
      <c r="D271" s="308" t="s">
        <v>794</v>
      </c>
      <c r="E271" s="309">
        <f>E274+E272</f>
        <v>4674517</v>
      </c>
      <c r="F271" s="309">
        <f t="shared" ref="F271:P271" si="289">F274+F272</f>
        <v>4674517</v>
      </c>
      <c r="G271" s="309">
        <f t="shared" si="289"/>
        <v>0</v>
      </c>
      <c r="H271" s="309">
        <f t="shared" si="289"/>
        <v>0</v>
      </c>
      <c r="I271" s="309">
        <f t="shared" si="289"/>
        <v>0</v>
      </c>
      <c r="J271" s="309">
        <f t="shared" si="289"/>
        <v>2600000</v>
      </c>
      <c r="K271" s="309">
        <f t="shared" si="289"/>
        <v>2600000</v>
      </c>
      <c r="L271" s="309">
        <f t="shared" si="289"/>
        <v>0</v>
      </c>
      <c r="M271" s="309">
        <f t="shared" si="289"/>
        <v>0</v>
      </c>
      <c r="N271" s="309">
        <f t="shared" si="289"/>
        <v>0</v>
      </c>
      <c r="O271" s="309">
        <f t="shared" si="289"/>
        <v>2600000</v>
      </c>
      <c r="P271" s="309">
        <f t="shared" si="289"/>
        <v>7274517</v>
      </c>
      <c r="Q271" s="20"/>
      <c r="R271" s="50"/>
    </row>
    <row r="272" spans="1:18" ht="47.25" thickTop="1" thickBot="1" x14ac:dyDescent="0.25">
      <c r="A272" s="310" t="s">
        <v>1145</v>
      </c>
      <c r="B272" s="310" t="s">
        <v>803</v>
      </c>
      <c r="C272" s="310"/>
      <c r="D272" s="310" t="s">
        <v>804</v>
      </c>
      <c r="E272" s="311">
        <f>E273</f>
        <v>0</v>
      </c>
      <c r="F272" s="311">
        <f t="shared" ref="F272:P272" si="290">F273</f>
        <v>0</v>
      </c>
      <c r="G272" s="311">
        <f t="shared" si="290"/>
        <v>0</v>
      </c>
      <c r="H272" s="311">
        <f t="shared" si="290"/>
        <v>0</v>
      </c>
      <c r="I272" s="311">
        <f t="shared" si="290"/>
        <v>0</v>
      </c>
      <c r="J272" s="311">
        <f t="shared" si="290"/>
        <v>1000000</v>
      </c>
      <c r="K272" s="311">
        <f t="shared" si="290"/>
        <v>1000000</v>
      </c>
      <c r="L272" s="311">
        <f t="shared" si="290"/>
        <v>0</v>
      </c>
      <c r="M272" s="311">
        <f t="shared" si="290"/>
        <v>0</v>
      </c>
      <c r="N272" s="311">
        <f t="shared" si="290"/>
        <v>0</v>
      </c>
      <c r="O272" s="311">
        <f t="shared" si="290"/>
        <v>1000000</v>
      </c>
      <c r="P272" s="311">
        <f t="shared" si="290"/>
        <v>1000000</v>
      </c>
      <c r="Q272" s="20"/>
      <c r="R272" s="50"/>
    </row>
    <row r="273" spans="1:18" ht="54" thickTop="1" thickBot="1" x14ac:dyDescent="0.25">
      <c r="A273" s="101" t="s">
        <v>1146</v>
      </c>
      <c r="B273" s="101" t="s">
        <v>305</v>
      </c>
      <c r="C273" s="101" t="s">
        <v>304</v>
      </c>
      <c r="D273" s="101" t="s">
        <v>1497</v>
      </c>
      <c r="E273" s="309">
        <f t="shared" ref="E273" si="291">F273</f>
        <v>0</v>
      </c>
      <c r="F273" s="323"/>
      <c r="G273" s="323"/>
      <c r="H273" s="323"/>
      <c r="I273" s="323"/>
      <c r="J273" s="325">
        <f>L273+O273</f>
        <v>1000000</v>
      </c>
      <c r="K273" s="458">
        <f>(300000)+700000</f>
        <v>1000000</v>
      </c>
      <c r="L273" s="323"/>
      <c r="M273" s="323"/>
      <c r="N273" s="323"/>
      <c r="O273" s="455">
        <f>K273</f>
        <v>1000000</v>
      </c>
      <c r="P273" s="325">
        <f t="shared" ref="P273" si="292">E273+J273</f>
        <v>1000000</v>
      </c>
      <c r="Q273" s="20"/>
      <c r="R273" s="50"/>
    </row>
    <row r="274" spans="1:18" ht="47.25" thickTop="1" thickBot="1" x14ac:dyDescent="0.25">
      <c r="A274" s="310" t="s">
        <v>795</v>
      </c>
      <c r="B274" s="310" t="s">
        <v>691</v>
      </c>
      <c r="C274" s="310"/>
      <c r="D274" s="310" t="s">
        <v>689</v>
      </c>
      <c r="E274" s="311">
        <f>E275+E277+E276</f>
        <v>4674517</v>
      </c>
      <c r="F274" s="311">
        <f t="shared" ref="F274:P274" si="293">F275+F277+F276</f>
        <v>4674517</v>
      </c>
      <c r="G274" s="311">
        <f t="shared" si="293"/>
        <v>0</v>
      </c>
      <c r="H274" s="311">
        <f t="shared" si="293"/>
        <v>0</v>
      </c>
      <c r="I274" s="311">
        <f t="shared" si="293"/>
        <v>0</v>
      </c>
      <c r="J274" s="311">
        <f>J275+J277+J276</f>
        <v>1600000</v>
      </c>
      <c r="K274" s="311">
        <f t="shared" si="293"/>
        <v>1600000</v>
      </c>
      <c r="L274" s="311">
        <f t="shared" si="293"/>
        <v>0</v>
      </c>
      <c r="M274" s="311">
        <f t="shared" si="293"/>
        <v>0</v>
      </c>
      <c r="N274" s="311">
        <f t="shared" si="293"/>
        <v>0</v>
      </c>
      <c r="O274" s="311">
        <f t="shared" si="293"/>
        <v>1600000</v>
      </c>
      <c r="P274" s="311">
        <f t="shared" si="293"/>
        <v>6274517</v>
      </c>
      <c r="Q274" s="20"/>
      <c r="R274" s="50"/>
    </row>
    <row r="275" spans="1:18" ht="48" thickTop="1" thickBot="1" x14ac:dyDescent="0.25">
      <c r="A275" s="101" t="s">
        <v>296</v>
      </c>
      <c r="B275" s="101" t="s">
        <v>212</v>
      </c>
      <c r="C275" s="101" t="s">
        <v>213</v>
      </c>
      <c r="D275" s="101" t="s">
        <v>41</v>
      </c>
      <c r="E275" s="309">
        <f t="shared" si="279"/>
        <v>4674517</v>
      </c>
      <c r="F275" s="323">
        <f>((2000000)+1674517)+1000000</f>
        <v>4674517</v>
      </c>
      <c r="G275" s="323"/>
      <c r="H275" s="323"/>
      <c r="I275" s="323"/>
      <c r="J275" s="325">
        <f t="shared" si="272"/>
        <v>0</v>
      </c>
      <c r="K275" s="458"/>
      <c r="L275" s="323"/>
      <c r="M275" s="323"/>
      <c r="N275" s="323"/>
      <c r="O275" s="455">
        <f t="shared" si="274"/>
        <v>0</v>
      </c>
      <c r="P275" s="325">
        <f>E275+J275</f>
        <v>4674517</v>
      </c>
      <c r="Q275" s="20"/>
      <c r="R275" s="54"/>
    </row>
    <row r="276" spans="1:18" ht="48" thickTop="1" thickBot="1" x14ac:dyDescent="0.25">
      <c r="A276" s="101" t="s">
        <v>918</v>
      </c>
      <c r="B276" s="101" t="s">
        <v>197</v>
      </c>
      <c r="C276" s="101" t="s">
        <v>170</v>
      </c>
      <c r="D276" s="101" t="s">
        <v>34</v>
      </c>
      <c r="E276" s="309">
        <f t="shared" ref="E276" si="294">F276</f>
        <v>0</v>
      </c>
      <c r="F276" s="323"/>
      <c r="G276" s="323"/>
      <c r="H276" s="323"/>
      <c r="I276" s="323"/>
      <c r="J276" s="325">
        <f t="shared" ref="J276" si="295">L276+O276</f>
        <v>1600000</v>
      </c>
      <c r="K276" s="458">
        <f>(300000)+1300000</f>
        <v>1600000</v>
      </c>
      <c r="L276" s="323"/>
      <c r="M276" s="323"/>
      <c r="N276" s="323"/>
      <c r="O276" s="455">
        <f t="shared" ref="O276" si="296">K276</f>
        <v>1600000</v>
      </c>
      <c r="P276" s="325">
        <f>E276+J276</f>
        <v>1600000</v>
      </c>
      <c r="Q276" s="20"/>
      <c r="R276" s="54"/>
    </row>
    <row r="277" spans="1:18" ht="48" hidden="1" thickTop="1" thickBot="1" x14ac:dyDescent="0.25">
      <c r="A277" s="138" t="s">
        <v>796</v>
      </c>
      <c r="B277" s="138" t="s">
        <v>694</v>
      </c>
      <c r="C277" s="138"/>
      <c r="D277" s="138" t="s">
        <v>797</v>
      </c>
      <c r="E277" s="156">
        <f>E278</f>
        <v>0</v>
      </c>
      <c r="F277" s="156">
        <f t="shared" ref="F277:P277" si="297">F278</f>
        <v>0</v>
      </c>
      <c r="G277" s="156">
        <f t="shared" si="297"/>
        <v>0</v>
      </c>
      <c r="H277" s="156">
        <f t="shared" si="297"/>
        <v>0</v>
      </c>
      <c r="I277" s="156">
        <f t="shared" si="297"/>
        <v>0</v>
      </c>
      <c r="J277" s="156">
        <f t="shared" si="297"/>
        <v>0</v>
      </c>
      <c r="K277" s="156">
        <f t="shared" si="297"/>
        <v>0</v>
      </c>
      <c r="L277" s="156">
        <f t="shared" si="297"/>
        <v>0</v>
      </c>
      <c r="M277" s="156">
        <f t="shared" si="297"/>
        <v>0</v>
      </c>
      <c r="N277" s="156">
        <f t="shared" si="297"/>
        <v>0</v>
      </c>
      <c r="O277" s="156">
        <f t="shared" si="297"/>
        <v>0</v>
      </c>
      <c r="P277" s="156">
        <f t="shared" si="297"/>
        <v>0</v>
      </c>
      <c r="Q277" s="20"/>
      <c r="R277" s="50"/>
    </row>
    <row r="278" spans="1:18" ht="214.5" hidden="1" customHeight="1" thickTop="1" thickBot="1" x14ac:dyDescent="0.7">
      <c r="A278" s="768" t="s">
        <v>424</v>
      </c>
      <c r="B278" s="768" t="s">
        <v>338</v>
      </c>
      <c r="C278" s="768" t="s">
        <v>170</v>
      </c>
      <c r="D278" s="153" t="s">
        <v>440</v>
      </c>
      <c r="E278" s="746">
        <f t="shared" si="279"/>
        <v>0</v>
      </c>
      <c r="F278" s="747"/>
      <c r="G278" s="747"/>
      <c r="H278" s="747"/>
      <c r="I278" s="747"/>
      <c r="J278" s="746">
        <f t="shared" si="272"/>
        <v>0</v>
      </c>
      <c r="K278" s="747"/>
      <c r="L278" s="747">
        <v>0</v>
      </c>
      <c r="M278" s="747"/>
      <c r="N278" s="747"/>
      <c r="O278" s="766">
        <f>((K278+884000)-450000)-434000</f>
        <v>0</v>
      </c>
      <c r="P278" s="781">
        <f>E278+J278</f>
        <v>0</v>
      </c>
      <c r="Q278" s="20"/>
      <c r="R278" s="50"/>
    </row>
    <row r="279" spans="1:18" ht="93" hidden="1" thickTop="1" thickBot="1" x14ac:dyDescent="0.25">
      <c r="A279" s="768"/>
      <c r="B279" s="768"/>
      <c r="C279" s="768"/>
      <c r="D279" s="154" t="s">
        <v>441</v>
      </c>
      <c r="E279" s="746"/>
      <c r="F279" s="747"/>
      <c r="G279" s="747"/>
      <c r="H279" s="747"/>
      <c r="I279" s="747"/>
      <c r="J279" s="746"/>
      <c r="K279" s="747"/>
      <c r="L279" s="747"/>
      <c r="M279" s="747"/>
      <c r="N279" s="747"/>
      <c r="O279" s="766"/>
      <c r="P279" s="781"/>
      <c r="Q279" s="20"/>
      <c r="R279" s="50"/>
    </row>
    <row r="280" spans="1:18" ht="47.25" thickTop="1" thickBot="1" x14ac:dyDescent="0.25">
      <c r="A280" s="308" t="s">
        <v>1230</v>
      </c>
      <c r="B280" s="308" t="s">
        <v>696</v>
      </c>
      <c r="C280" s="308"/>
      <c r="D280" s="308" t="s">
        <v>697</v>
      </c>
      <c r="E280" s="325">
        <f>E283+E281</f>
        <v>2927223</v>
      </c>
      <c r="F280" s="325">
        <f t="shared" ref="F280:I280" si="298">F283+F281</f>
        <v>2927223</v>
      </c>
      <c r="G280" s="325">
        <f t="shared" si="298"/>
        <v>0</v>
      </c>
      <c r="H280" s="325">
        <f t="shared" si="298"/>
        <v>0</v>
      </c>
      <c r="I280" s="325">
        <f t="shared" si="298"/>
        <v>0</v>
      </c>
      <c r="J280" s="325">
        <f>J283+J281</f>
        <v>0</v>
      </c>
      <c r="K280" s="325">
        <f t="shared" ref="K280:N280" si="299">K283+K281</f>
        <v>0</v>
      </c>
      <c r="L280" s="325">
        <f t="shared" si="299"/>
        <v>0</v>
      </c>
      <c r="M280" s="325">
        <f t="shared" si="299"/>
        <v>0</v>
      </c>
      <c r="N280" s="325">
        <f t="shared" si="299"/>
        <v>0</v>
      </c>
      <c r="O280" s="325">
        <f>O283+O281</f>
        <v>0</v>
      </c>
      <c r="P280" s="325">
        <f>P283+P281</f>
        <v>2927223</v>
      </c>
      <c r="Q280" s="20"/>
      <c r="R280" s="50"/>
    </row>
    <row r="281" spans="1:18" ht="47.25" thickTop="1" thickBot="1" x14ac:dyDescent="0.25">
      <c r="A281" s="310" t="s">
        <v>1495</v>
      </c>
      <c r="B281" s="310" t="s">
        <v>812</v>
      </c>
      <c r="C281" s="310"/>
      <c r="D281" s="353" t="s">
        <v>1280</v>
      </c>
      <c r="E281" s="312">
        <f>SUM(E282:E284)</f>
        <v>2927223</v>
      </c>
      <c r="F281" s="312">
        <f t="shared" ref="F281:P281" si="300">SUM(F282:F284)</f>
        <v>2927223</v>
      </c>
      <c r="G281" s="312">
        <f t="shared" si="300"/>
        <v>0</v>
      </c>
      <c r="H281" s="312">
        <f t="shared" si="300"/>
        <v>0</v>
      </c>
      <c r="I281" s="312">
        <f t="shared" si="300"/>
        <v>0</v>
      </c>
      <c r="J281" s="312">
        <f t="shared" si="300"/>
        <v>0</v>
      </c>
      <c r="K281" s="312">
        <f t="shared" si="300"/>
        <v>0</v>
      </c>
      <c r="L281" s="312">
        <f t="shared" si="300"/>
        <v>0</v>
      </c>
      <c r="M281" s="312">
        <f t="shared" si="300"/>
        <v>0</v>
      </c>
      <c r="N281" s="312">
        <f t="shared" si="300"/>
        <v>0</v>
      </c>
      <c r="O281" s="312">
        <f t="shared" si="300"/>
        <v>0</v>
      </c>
      <c r="P281" s="312">
        <f t="shared" si="300"/>
        <v>2927223</v>
      </c>
      <c r="Q281" s="20"/>
      <c r="R281" s="50"/>
    </row>
    <row r="282" spans="1:18" ht="93" thickTop="1" thickBot="1" x14ac:dyDescent="0.25">
      <c r="A282" s="101" t="s">
        <v>1496</v>
      </c>
      <c r="B282" s="101" t="s">
        <v>518</v>
      </c>
      <c r="C282" s="101" t="s">
        <v>251</v>
      </c>
      <c r="D282" s="101" t="s">
        <v>519</v>
      </c>
      <c r="E282" s="309">
        <f>F282</f>
        <v>2927223</v>
      </c>
      <c r="F282" s="323">
        <f>((2812463)+37273)+77487</f>
        <v>2927223</v>
      </c>
      <c r="G282" s="323"/>
      <c r="H282" s="323"/>
      <c r="I282" s="323"/>
      <c r="J282" s="325">
        <f>L282+O282</f>
        <v>0</v>
      </c>
      <c r="K282" s="458"/>
      <c r="L282" s="323"/>
      <c r="M282" s="323"/>
      <c r="N282" s="323"/>
      <c r="O282" s="455">
        <f>K282</f>
        <v>0</v>
      </c>
      <c r="P282" s="325">
        <f>E282+J282</f>
        <v>2927223</v>
      </c>
      <c r="Q282" s="20"/>
      <c r="R282" s="50"/>
    </row>
    <row r="283" spans="1:18" ht="47.25" hidden="1" thickTop="1" thickBot="1" x14ac:dyDescent="0.25">
      <c r="A283" s="134" t="s">
        <v>1231</v>
      </c>
      <c r="B283" s="134" t="s">
        <v>1186</v>
      </c>
      <c r="C283" s="134"/>
      <c r="D283" s="134" t="s">
        <v>1184</v>
      </c>
      <c r="E283" s="135">
        <f t="shared" ref="E283:P283" si="301">SUM(E284:E284)</f>
        <v>0</v>
      </c>
      <c r="F283" s="135">
        <f t="shared" si="301"/>
        <v>0</v>
      </c>
      <c r="G283" s="135">
        <f t="shared" si="301"/>
        <v>0</v>
      </c>
      <c r="H283" s="135">
        <f t="shared" si="301"/>
        <v>0</v>
      </c>
      <c r="I283" s="135">
        <f t="shared" si="301"/>
        <v>0</v>
      </c>
      <c r="J283" s="135">
        <f t="shared" si="301"/>
        <v>0</v>
      </c>
      <c r="K283" s="135">
        <f t="shared" si="301"/>
        <v>0</v>
      </c>
      <c r="L283" s="135">
        <f t="shared" si="301"/>
        <v>0</v>
      </c>
      <c r="M283" s="135">
        <f t="shared" si="301"/>
        <v>0</v>
      </c>
      <c r="N283" s="135">
        <f t="shared" si="301"/>
        <v>0</v>
      </c>
      <c r="O283" s="135">
        <f t="shared" si="301"/>
        <v>0</v>
      </c>
      <c r="P283" s="135">
        <f t="shared" si="301"/>
        <v>0</v>
      </c>
      <c r="Q283" s="20"/>
      <c r="R283" s="50"/>
    </row>
    <row r="284" spans="1:18" ht="48" hidden="1" thickTop="1" thickBot="1" x14ac:dyDescent="0.25">
      <c r="A284" s="126" t="s">
        <v>1232</v>
      </c>
      <c r="B284" s="126" t="s">
        <v>1213</v>
      </c>
      <c r="C284" s="126" t="s">
        <v>1188</v>
      </c>
      <c r="D284" s="126" t="s">
        <v>1214</v>
      </c>
      <c r="E284" s="125">
        <f>F284</f>
        <v>0</v>
      </c>
      <c r="F284" s="132"/>
      <c r="G284" s="132"/>
      <c r="H284" s="132"/>
      <c r="I284" s="132"/>
      <c r="J284" s="125">
        <f>L284+O284</f>
        <v>0</v>
      </c>
      <c r="K284" s="132"/>
      <c r="L284" s="132"/>
      <c r="M284" s="132"/>
      <c r="N284" s="132"/>
      <c r="O284" s="130">
        <f>K284</f>
        <v>0</v>
      </c>
      <c r="P284" s="125">
        <f>E284+J284</f>
        <v>0</v>
      </c>
      <c r="Q284" s="20"/>
      <c r="R284" s="50"/>
    </row>
    <row r="285" spans="1:18" ht="120" customHeight="1" thickTop="1" thickBot="1" x14ac:dyDescent="0.25">
      <c r="A285" s="645" t="s">
        <v>540</v>
      </c>
      <c r="B285" s="645"/>
      <c r="C285" s="645"/>
      <c r="D285" s="646" t="s">
        <v>559</v>
      </c>
      <c r="E285" s="647">
        <f>E286</f>
        <v>426340570</v>
      </c>
      <c r="F285" s="648">
        <f t="shared" ref="F285:G285" si="302">F286</f>
        <v>426340570</v>
      </c>
      <c r="G285" s="648">
        <f t="shared" si="302"/>
        <v>8690079</v>
      </c>
      <c r="H285" s="648">
        <f>H286</f>
        <v>239084</v>
      </c>
      <c r="I285" s="648">
        <f t="shared" ref="I285" si="303">I286</f>
        <v>0</v>
      </c>
      <c r="J285" s="647">
        <f>J286</f>
        <v>41256045.990000002</v>
      </c>
      <c r="K285" s="648">
        <f>K286</f>
        <v>41256045.990000002</v>
      </c>
      <c r="L285" s="648">
        <f>L286</f>
        <v>0</v>
      </c>
      <c r="M285" s="648">
        <f t="shared" ref="M285" si="304">M286</f>
        <v>0</v>
      </c>
      <c r="N285" s="648">
        <f>N286</f>
        <v>0</v>
      </c>
      <c r="O285" s="647">
        <f>O286</f>
        <v>41256045.990000002</v>
      </c>
      <c r="P285" s="648">
        <f>P286</f>
        <v>467596615.99000001</v>
      </c>
      <c r="Q285" s="20"/>
      <c r="R285" s="50"/>
    </row>
    <row r="286" spans="1:18" ht="120" customHeight="1" thickTop="1" thickBot="1" x14ac:dyDescent="0.25">
      <c r="A286" s="642" t="s">
        <v>541</v>
      </c>
      <c r="B286" s="642"/>
      <c r="C286" s="642"/>
      <c r="D286" s="643" t="s">
        <v>560</v>
      </c>
      <c r="E286" s="644">
        <f>E287+E291+E299+E312+E317</f>
        <v>426340570</v>
      </c>
      <c r="F286" s="644">
        <f>F287+F291+F299+F312+F317</f>
        <v>426340570</v>
      </c>
      <c r="G286" s="644">
        <f>G287+G291+G299+G312+G317</f>
        <v>8690079</v>
      </c>
      <c r="H286" s="644">
        <f>H287+H291+H299+H312+H317</f>
        <v>239084</v>
      </c>
      <c r="I286" s="644">
        <f>I287+I291+I299+I312+I317</f>
        <v>0</v>
      </c>
      <c r="J286" s="644">
        <f t="shared" ref="J286:J309" si="305">L286+O286</f>
        <v>41256045.990000002</v>
      </c>
      <c r="K286" s="644">
        <f>K287+K291+K299+K312+K317</f>
        <v>41256045.990000002</v>
      </c>
      <c r="L286" s="644">
        <f>L287+L291+L299+L312+L317</f>
        <v>0</v>
      </c>
      <c r="M286" s="644">
        <f>M287+M291+M299+M312+M317</f>
        <v>0</v>
      </c>
      <c r="N286" s="644">
        <f>N287+N291+N299+N312+N317</f>
        <v>0</v>
      </c>
      <c r="O286" s="644">
        <f>O287+O291+O299+O312+O317</f>
        <v>41256045.990000002</v>
      </c>
      <c r="P286" s="644">
        <f>E286+J286</f>
        <v>467596615.99000001</v>
      </c>
      <c r="Q286" s="492" t="b">
        <f>P286=P288+P293+P294+P296+P297+P298+P301+P304+P306+P307+P314+P315+P319</f>
        <v>1</v>
      </c>
      <c r="R286" s="45"/>
    </row>
    <row r="287" spans="1:18" ht="47.25" thickTop="1" thickBot="1" x14ac:dyDescent="0.25">
      <c r="A287" s="308" t="s">
        <v>798</v>
      </c>
      <c r="B287" s="308" t="s">
        <v>684</v>
      </c>
      <c r="C287" s="308"/>
      <c r="D287" s="308" t="s">
        <v>685</v>
      </c>
      <c r="E287" s="325">
        <f>SUM(E288:E290)</f>
        <v>8901631</v>
      </c>
      <c r="F287" s="325">
        <f t="shared" ref="F287:P287" si="306">SUM(F288:F290)</f>
        <v>8901631</v>
      </c>
      <c r="G287" s="325">
        <f t="shared" si="306"/>
        <v>6736115</v>
      </c>
      <c r="H287" s="325">
        <f t="shared" si="306"/>
        <v>180204</v>
      </c>
      <c r="I287" s="325">
        <f t="shared" si="306"/>
        <v>0</v>
      </c>
      <c r="J287" s="325">
        <f t="shared" si="306"/>
        <v>39000</v>
      </c>
      <c r="K287" s="325">
        <f t="shared" si="306"/>
        <v>39000</v>
      </c>
      <c r="L287" s="325">
        <f t="shared" si="306"/>
        <v>0</v>
      </c>
      <c r="M287" s="325">
        <f t="shared" si="306"/>
        <v>0</v>
      </c>
      <c r="N287" s="325">
        <f t="shared" si="306"/>
        <v>0</v>
      </c>
      <c r="O287" s="325">
        <f t="shared" si="306"/>
        <v>39000</v>
      </c>
      <c r="P287" s="325">
        <f t="shared" si="306"/>
        <v>8940631</v>
      </c>
      <c r="Q287" s="47"/>
      <c r="R287" s="45"/>
    </row>
    <row r="288" spans="1:18" ht="93" thickTop="1" thickBot="1" x14ac:dyDescent="0.25">
      <c r="A288" s="101" t="s">
        <v>542</v>
      </c>
      <c r="B288" s="101" t="s">
        <v>236</v>
      </c>
      <c r="C288" s="101" t="s">
        <v>234</v>
      </c>
      <c r="D288" s="101" t="s">
        <v>235</v>
      </c>
      <c r="E288" s="309">
        <f>F288</f>
        <v>8901631</v>
      </c>
      <c r="F288" s="323">
        <v>8901631</v>
      </c>
      <c r="G288" s="323">
        <v>6736115</v>
      </c>
      <c r="H288" s="323">
        <v>180204</v>
      </c>
      <c r="I288" s="323"/>
      <c r="J288" s="325">
        <f t="shared" si="305"/>
        <v>39000</v>
      </c>
      <c r="K288" s="323">
        <v>39000</v>
      </c>
      <c r="L288" s="454"/>
      <c r="M288" s="454"/>
      <c r="N288" s="454"/>
      <c r="O288" s="455">
        <f t="shared" ref="O288:O307" si="307">K288</f>
        <v>39000</v>
      </c>
      <c r="P288" s="325">
        <f t="shared" ref="P288:P294" si="308">+J288+E288</f>
        <v>8940631</v>
      </c>
      <c r="Q288" s="20"/>
      <c r="R288" s="45"/>
    </row>
    <row r="289" spans="1:18" ht="93" hidden="1" thickTop="1" thickBot="1" x14ac:dyDescent="0.25">
      <c r="A289" s="126" t="s">
        <v>629</v>
      </c>
      <c r="B289" s="126" t="s">
        <v>362</v>
      </c>
      <c r="C289" s="126" t="s">
        <v>625</v>
      </c>
      <c r="D289" s="126" t="s">
        <v>626</v>
      </c>
      <c r="E289" s="150">
        <f>F289</f>
        <v>0</v>
      </c>
      <c r="F289" s="127"/>
      <c r="G289" s="127"/>
      <c r="H289" s="127"/>
      <c r="I289" s="127"/>
      <c r="J289" s="125">
        <f t="shared" ref="J289" si="309">L289+O289</f>
        <v>0</v>
      </c>
      <c r="K289" s="127"/>
      <c r="L289" s="128"/>
      <c r="M289" s="128"/>
      <c r="N289" s="128"/>
      <c r="O289" s="130">
        <f t="shared" ref="O289" si="310">K289</f>
        <v>0</v>
      </c>
      <c r="P289" s="125">
        <f t="shared" ref="P289" si="311">+J289+E289</f>
        <v>0</v>
      </c>
      <c r="Q289" s="20"/>
      <c r="R289" s="45"/>
    </row>
    <row r="290" spans="1:18" ht="48" hidden="1" thickTop="1" thickBot="1" x14ac:dyDescent="0.25">
      <c r="A290" s="126" t="s">
        <v>543</v>
      </c>
      <c r="B290" s="126" t="s">
        <v>43</v>
      </c>
      <c r="C290" s="126" t="s">
        <v>42</v>
      </c>
      <c r="D290" s="126" t="s">
        <v>248</v>
      </c>
      <c r="E290" s="150">
        <f>F290</f>
        <v>0</v>
      </c>
      <c r="F290" s="127">
        <v>0</v>
      </c>
      <c r="G290" s="127"/>
      <c r="H290" s="127"/>
      <c r="I290" s="127"/>
      <c r="J290" s="125">
        <f t="shared" si="305"/>
        <v>0</v>
      </c>
      <c r="K290" s="127"/>
      <c r="L290" s="128"/>
      <c r="M290" s="128"/>
      <c r="N290" s="128"/>
      <c r="O290" s="130">
        <f t="shared" si="307"/>
        <v>0</v>
      </c>
      <c r="P290" s="125">
        <f t="shared" si="308"/>
        <v>0</v>
      </c>
      <c r="Q290" s="20"/>
      <c r="R290" s="50"/>
    </row>
    <row r="291" spans="1:18" ht="47.25" thickTop="1" thickBot="1" x14ac:dyDescent="0.25">
      <c r="A291" s="308" t="s">
        <v>799</v>
      </c>
      <c r="B291" s="308" t="s">
        <v>742</v>
      </c>
      <c r="C291" s="308"/>
      <c r="D291" s="344" t="s">
        <v>743</v>
      </c>
      <c r="E291" s="309">
        <f>SUM(E292:E298)-E292</f>
        <v>412759549</v>
      </c>
      <c r="F291" s="309">
        <f t="shared" ref="F291:P291" si="312">SUM(F292:F298)-F292</f>
        <v>412759549</v>
      </c>
      <c r="G291" s="309">
        <f t="shared" si="312"/>
        <v>0</v>
      </c>
      <c r="H291" s="309">
        <f t="shared" si="312"/>
        <v>5000</v>
      </c>
      <c r="I291" s="309">
        <f t="shared" si="312"/>
        <v>0</v>
      </c>
      <c r="J291" s="309">
        <f t="shared" si="312"/>
        <v>953993</v>
      </c>
      <c r="K291" s="309">
        <f t="shared" si="312"/>
        <v>953993</v>
      </c>
      <c r="L291" s="309">
        <f t="shared" si="312"/>
        <v>0</v>
      </c>
      <c r="M291" s="309">
        <f t="shared" si="312"/>
        <v>0</v>
      </c>
      <c r="N291" s="309">
        <f t="shared" si="312"/>
        <v>0</v>
      </c>
      <c r="O291" s="309">
        <f t="shared" si="312"/>
        <v>953993</v>
      </c>
      <c r="P291" s="309">
        <f t="shared" si="312"/>
        <v>413713542</v>
      </c>
      <c r="Q291" s="20"/>
      <c r="R291" s="50"/>
    </row>
    <row r="292" spans="1:18" ht="93" thickTop="1" thickBot="1" x14ac:dyDescent="0.25">
      <c r="A292" s="326" t="s">
        <v>800</v>
      </c>
      <c r="B292" s="326" t="s">
        <v>791</v>
      </c>
      <c r="C292" s="326"/>
      <c r="D292" s="326" t="s">
        <v>792</v>
      </c>
      <c r="E292" s="462">
        <f>SUM(E293:E295)</f>
        <v>100550000</v>
      </c>
      <c r="F292" s="462">
        <f t="shared" ref="F292:P292" si="313">SUM(F293:F295)</f>
        <v>100550000</v>
      </c>
      <c r="G292" s="462">
        <f t="shared" si="313"/>
        <v>0</v>
      </c>
      <c r="H292" s="462">
        <f t="shared" si="313"/>
        <v>0</v>
      </c>
      <c r="I292" s="462">
        <f t="shared" si="313"/>
        <v>0</v>
      </c>
      <c r="J292" s="462">
        <f t="shared" si="313"/>
        <v>953993</v>
      </c>
      <c r="K292" s="462">
        <f t="shared" si="313"/>
        <v>953993</v>
      </c>
      <c r="L292" s="462">
        <f t="shared" si="313"/>
        <v>0</v>
      </c>
      <c r="M292" s="462">
        <f t="shared" si="313"/>
        <v>0</v>
      </c>
      <c r="N292" s="462">
        <f t="shared" si="313"/>
        <v>0</v>
      </c>
      <c r="O292" s="462">
        <f t="shared" si="313"/>
        <v>953993</v>
      </c>
      <c r="P292" s="462">
        <f t="shared" si="313"/>
        <v>101503993</v>
      </c>
      <c r="Q292" s="20"/>
      <c r="R292" s="50"/>
    </row>
    <row r="293" spans="1:18" ht="93" thickTop="1" thickBot="1" x14ac:dyDescent="0.25">
      <c r="A293" s="101" t="s">
        <v>544</v>
      </c>
      <c r="B293" s="101" t="s">
        <v>376</v>
      </c>
      <c r="C293" s="101" t="s">
        <v>283</v>
      </c>
      <c r="D293" s="101" t="s">
        <v>377</v>
      </c>
      <c r="E293" s="309">
        <f t="shared" ref="E293:E307" si="314">F293</f>
        <v>60000000</v>
      </c>
      <c r="F293" s="323">
        <f>(((20000000)+20000000)+10000000)+10000000</f>
        <v>60000000</v>
      </c>
      <c r="G293" s="323"/>
      <c r="H293" s="323"/>
      <c r="I293" s="323"/>
      <c r="J293" s="325">
        <f t="shared" si="305"/>
        <v>0</v>
      </c>
      <c r="K293" s="323"/>
      <c r="L293" s="454"/>
      <c r="M293" s="454"/>
      <c r="N293" s="454"/>
      <c r="O293" s="455">
        <f t="shared" si="307"/>
        <v>0</v>
      </c>
      <c r="P293" s="325">
        <f t="shared" si="308"/>
        <v>60000000</v>
      </c>
      <c r="Q293" s="20"/>
      <c r="R293" s="50"/>
    </row>
    <row r="294" spans="1:18" ht="48" thickTop="1" thickBot="1" x14ac:dyDescent="0.25">
      <c r="A294" s="101" t="s">
        <v>545</v>
      </c>
      <c r="B294" s="101" t="s">
        <v>286</v>
      </c>
      <c r="C294" s="101" t="s">
        <v>283</v>
      </c>
      <c r="D294" s="101" t="s">
        <v>287</v>
      </c>
      <c r="E294" s="309">
        <f t="shared" si="314"/>
        <v>40550000</v>
      </c>
      <c r="F294" s="323">
        <f>((10550000)+15000000)+15000000</f>
        <v>40550000</v>
      </c>
      <c r="G294" s="127"/>
      <c r="H294" s="127"/>
      <c r="I294" s="127"/>
      <c r="J294" s="325">
        <f t="shared" si="305"/>
        <v>953993</v>
      </c>
      <c r="K294" s="323">
        <f>(185707)+768286</f>
        <v>953993</v>
      </c>
      <c r="L294" s="454"/>
      <c r="M294" s="454"/>
      <c r="N294" s="454"/>
      <c r="O294" s="455">
        <f t="shared" si="307"/>
        <v>953993</v>
      </c>
      <c r="P294" s="325">
        <f t="shared" si="308"/>
        <v>41503993</v>
      </c>
      <c r="Q294" s="20"/>
      <c r="R294" s="50"/>
    </row>
    <row r="295" spans="1:18" ht="93" hidden="1" thickTop="1" thickBot="1" x14ac:dyDescent="0.25">
      <c r="A295" s="126" t="s">
        <v>1409</v>
      </c>
      <c r="B295" s="126" t="s">
        <v>1410</v>
      </c>
      <c r="C295" s="126" t="s">
        <v>283</v>
      </c>
      <c r="D295" s="126" t="s">
        <v>1411</v>
      </c>
      <c r="E295" s="150">
        <f t="shared" ref="E295" si="315">F295</f>
        <v>0</v>
      </c>
      <c r="F295" s="127">
        <v>0</v>
      </c>
      <c r="G295" s="127"/>
      <c r="H295" s="127"/>
      <c r="I295" s="127"/>
      <c r="J295" s="325">
        <f t="shared" ref="J295" si="316">L295+O295</f>
        <v>0</v>
      </c>
      <c r="K295" s="323"/>
      <c r="L295" s="454"/>
      <c r="M295" s="454"/>
      <c r="N295" s="454"/>
      <c r="O295" s="455">
        <f t="shared" ref="O295" si="317">K295</f>
        <v>0</v>
      </c>
      <c r="P295" s="325">
        <f t="shared" ref="P295" si="318">+J295+E295</f>
        <v>0</v>
      </c>
      <c r="Q295" s="20"/>
      <c r="R295" s="50"/>
    </row>
    <row r="296" spans="1:18" ht="93" thickTop="1" thickBot="1" x14ac:dyDescent="0.25">
      <c r="A296" s="101" t="s">
        <v>546</v>
      </c>
      <c r="B296" s="101" t="s">
        <v>297</v>
      </c>
      <c r="C296" s="101" t="s">
        <v>283</v>
      </c>
      <c r="D296" s="101" t="s">
        <v>298</v>
      </c>
      <c r="E296" s="309">
        <f t="shared" si="314"/>
        <v>3337600</v>
      </c>
      <c r="F296" s="323">
        <f>((700000)+650000)+1987600</f>
        <v>3337600</v>
      </c>
      <c r="G296" s="127"/>
      <c r="H296" s="127"/>
      <c r="I296" s="127"/>
      <c r="J296" s="325">
        <f t="shared" si="305"/>
        <v>0</v>
      </c>
      <c r="K296" s="458"/>
      <c r="L296" s="323"/>
      <c r="M296" s="323"/>
      <c r="N296" s="323"/>
      <c r="O296" s="455">
        <f t="shared" si="307"/>
        <v>0</v>
      </c>
      <c r="P296" s="325">
        <f t="shared" ref="P296:P301" si="319">E296+J296</f>
        <v>3337600</v>
      </c>
      <c r="Q296" s="20"/>
      <c r="R296" s="50"/>
    </row>
    <row r="297" spans="1:18" ht="48" thickTop="1" thickBot="1" x14ac:dyDescent="0.25">
      <c r="A297" s="101" t="s">
        <v>547</v>
      </c>
      <c r="B297" s="101" t="s">
        <v>289</v>
      </c>
      <c r="C297" s="101" t="s">
        <v>283</v>
      </c>
      <c r="D297" s="101" t="s">
        <v>290</v>
      </c>
      <c r="E297" s="309">
        <f t="shared" si="314"/>
        <v>308613149</v>
      </c>
      <c r="F297" s="323">
        <f>(((273808011-650000-8450000)+25359960)+18495178-2000000)+2050000</f>
        <v>308613149</v>
      </c>
      <c r="G297" s="127"/>
      <c r="H297" s="323">
        <v>5000</v>
      </c>
      <c r="I297" s="127"/>
      <c r="J297" s="325">
        <f t="shared" si="305"/>
        <v>0</v>
      </c>
      <c r="K297" s="458">
        <v>0</v>
      </c>
      <c r="L297" s="323"/>
      <c r="M297" s="323"/>
      <c r="N297" s="323"/>
      <c r="O297" s="455">
        <f t="shared" si="307"/>
        <v>0</v>
      </c>
      <c r="P297" s="325">
        <f t="shared" si="319"/>
        <v>308613149</v>
      </c>
      <c r="Q297" s="20"/>
      <c r="R297" s="45"/>
    </row>
    <row r="298" spans="1:18" ht="48" thickTop="1" thickBot="1" x14ac:dyDescent="0.25">
      <c r="A298" s="101" t="s">
        <v>1148</v>
      </c>
      <c r="B298" s="101" t="s">
        <v>1149</v>
      </c>
      <c r="C298" s="101" t="s">
        <v>1150</v>
      </c>
      <c r="D298" s="101" t="s">
        <v>1147</v>
      </c>
      <c r="E298" s="309">
        <f t="shared" si="314"/>
        <v>258800</v>
      </c>
      <c r="F298" s="323">
        <v>258800</v>
      </c>
      <c r="G298" s="323"/>
      <c r="H298" s="323"/>
      <c r="I298" s="323"/>
      <c r="J298" s="325">
        <f t="shared" si="305"/>
        <v>0</v>
      </c>
      <c r="K298" s="458"/>
      <c r="L298" s="323"/>
      <c r="M298" s="323"/>
      <c r="N298" s="323"/>
      <c r="O298" s="455">
        <f t="shared" si="307"/>
        <v>0</v>
      </c>
      <c r="P298" s="325">
        <f t="shared" si="319"/>
        <v>258800</v>
      </c>
      <c r="Q298" s="20"/>
      <c r="R298" s="45"/>
    </row>
    <row r="299" spans="1:18" ht="47.25" thickTop="1" thickBot="1" x14ac:dyDescent="0.25">
      <c r="A299" s="308" t="s">
        <v>801</v>
      </c>
      <c r="B299" s="308" t="s">
        <v>748</v>
      </c>
      <c r="C299" s="308"/>
      <c r="D299" s="308" t="s">
        <v>749</v>
      </c>
      <c r="E299" s="309">
        <f>E300+E302+E305</f>
        <v>0</v>
      </c>
      <c r="F299" s="309">
        <f t="shared" ref="F299:P299" si="320">F300+F302+F305</f>
        <v>0</v>
      </c>
      <c r="G299" s="309">
        <f t="shared" si="320"/>
        <v>0</v>
      </c>
      <c r="H299" s="309">
        <f t="shared" si="320"/>
        <v>0</v>
      </c>
      <c r="I299" s="309">
        <f t="shared" si="320"/>
        <v>0</v>
      </c>
      <c r="J299" s="309">
        <f>J300+J302+J305</f>
        <v>40263052.990000002</v>
      </c>
      <c r="K299" s="309">
        <f t="shared" si="320"/>
        <v>40263052.990000002</v>
      </c>
      <c r="L299" s="309">
        <f t="shared" si="320"/>
        <v>0</v>
      </c>
      <c r="M299" s="309">
        <f t="shared" si="320"/>
        <v>0</v>
      </c>
      <c r="N299" s="309">
        <f t="shared" si="320"/>
        <v>0</v>
      </c>
      <c r="O299" s="309">
        <f t="shared" si="320"/>
        <v>40263052.990000002</v>
      </c>
      <c r="P299" s="309">
        <f t="shared" si="320"/>
        <v>40263052.990000002</v>
      </c>
      <c r="Q299" s="20"/>
      <c r="R299" s="50"/>
    </row>
    <row r="300" spans="1:18" ht="47.25" thickTop="1" thickBot="1" x14ac:dyDescent="0.25">
      <c r="A300" s="310" t="s">
        <v>802</v>
      </c>
      <c r="B300" s="310" t="s">
        <v>803</v>
      </c>
      <c r="C300" s="310"/>
      <c r="D300" s="310" t="s">
        <v>804</v>
      </c>
      <c r="E300" s="311">
        <f>E301</f>
        <v>0</v>
      </c>
      <c r="F300" s="311">
        <f t="shared" ref="F300:P300" si="321">F301</f>
        <v>0</v>
      </c>
      <c r="G300" s="311">
        <f t="shared" si="321"/>
        <v>0</v>
      </c>
      <c r="H300" s="311">
        <f t="shared" si="321"/>
        <v>0</v>
      </c>
      <c r="I300" s="311">
        <f t="shared" si="321"/>
        <v>0</v>
      </c>
      <c r="J300" s="311">
        <f t="shared" si="321"/>
        <v>1200000</v>
      </c>
      <c r="K300" s="311">
        <f t="shared" si="321"/>
        <v>1200000</v>
      </c>
      <c r="L300" s="311">
        <f t="shared" si="321"/>
        <v>0</v>
      </c>
      <c r="M300" s="311">
        <f t="shared" si="321"/>
        <v>0</v>
      </c>
      <c r="N300" s="311">
        <f t="shared" si="321"/>
        <v>0</v>
      </c>
      <c r="O300" s="311">
        <f t="shared" si="321"/>
        <v>1200000</v>
      </c>
      <c r="P300" s="311">
        <f t="shared" si="321"/>
        <v>1200000</v>
      </c>
      <c r="Q300" s="20"/>
      <c r="R300" s="50"/>
    </row>
    <row r="301" spans="1:18" ht="54" thickTop="1" thickBot="1" x14ac:dyDescent="0.25">
      <c r="A301" s="101" t="s">
        <v>548</v>
      </c>
      <c r="B301" s="101" t="s">
        <v>305</v>
      </c>
      <c r="C301" s="101" t="s">
        <v>304</v>
      </c>
      <c r="D301" s="101" t="s">
        <v>1497</v>
      </c>
      <c r="E301" s="309">
        <f t="shared" si="314"/>
        <v>0</v>
      </c>
      <c r="F301" s="323"/>
      <c r="G301" s="323"/>
      <c r="H301" s="323"/>
      <c r="I301" s="323"/>
      <c r="J301" s="325">
        <f>L301+O301</f>
        <v>1200000</v>
      </c>
      <c r="K301" s="458">
        <f>((131720)-131720)+1200000</f>
        <v>1200000</v>
      </c>
      <c r="L301" s="323"/>
      <c r="M301" s="323"/>
      <c r="N301" s="323"/>
      <c r="O301" s="455">
        <f>K301</f>
        <v>1200000</v>
      </c>
      <c r="P301" s="325">
        <f t="shared" si="319"/>
        <v>1200000</v>
      </c>
      <c r="Q301" s="20"/>
      <c r="R301" s="45"/>
    </row>
    <row r="302" spans="1:18" ht="47.25" thickTop="1" thickBot="1" x14ac:dyDescent="0.25">
      <c r="A302" s="310" t="s">
        <v>805</v>
      </c>
      <c r="B302" s="310" t="s">
        <v>806</v>
      </c>
      <c r="C302" s="310"/>
      <c r="D302" s="310" t="s">
        <v>807</v>
      </c>
      <c r="E302" s="311">
        <f t="shared" ref="E302:P303" si="322">E303</f>
        <v>0</v>
      </c>
      <c r="F302" s="311">
        <f t="shared" si="322"/>
        <v>0</v>
      </c>
      <c r="G302" s="311">
        <f t="shared" si="322"/>
        <v>0</v>
      </c>
      <c r="H302" s="311">
        <f t="shared" si="322"/>
        <v>0</v>
      </c>
      <c r="I302" s="311">
        <f t="shared" si="322"/>
        <v>0</v>
      </c>
      <c r="J302" s="311">
        <f t="shared" si="322"/>
        <v>12935752</v>
      </c>
      <c r="K302" s="311">
        <f t="shared" si="322"/>
        <v>12935752</v>
      </c>
      <c r="L302" s="311">
        <f t="shared" si="322"/>
        <v>0</v>
      </c>
      <c r="M302" s="311">
        <f t="shared" si="322"/>
        <v>0</v>
      </c>
      <c r="N302" s="311">
        <f t="shared" si="322"/>
        <v>0</v>
      </c>
      <c r="O302" s="311">
        <f t="shared" si="322"/>
        <v>12935752</v>
      </c>
      <c r="P302" s="311">
        <f t="shared" si="322"/>
        <v>12935752</v>
      </c>
      <c r="Q302" s="20"/>
      <c r="R302" s="50"/>
    </row>
    <row r="303" spans="1:18" ht="93" thickTop="1" thickBot="1" x14ac:dyDescent="0.25">
      <c r="A303" s="101" t="s">
        <v>957</v>
      </c>
      <c r="B303" s="326" t="s">
        <v>958</v>
      </c>
      <c r="C303" s="310"/>
      <c r="D303" s="326" t="s">
        <v>959</v>
      </c>
      <c r="E303" s="462">
        <f t="shared" si="322"/>
        <v>0</v>
      </c>
      <c r="F303" s="462">
        <f t="shared" si="322"/>
        <v>0</v>
      </c>
      <c r="G303" s="462">
        <f t="shared" si="322"/>
        <v>0</v>
      </c>
      <c r="H303" s="462">
        <f t="shared" si="322"/>
        <v>0</v>
      </c>
      <c r="I303" s="462">
        <f t="shared" si="322"/>
        <v>0</v>
      </c>
      <c r="J303" s="462">
        <f t="shared" si="322"/>
        <v>12935752</v>
      </c>
      <c r="K303" s="462">
        <f t="shared" si="322"/>
        <v>12935752</v>
      </c>
      <c r="L303" s="462">
        <f t="shared" si="322"/>
        <v>0</v>
      </c>
      <c r="M303" s="462">
        <f t="shared" si="322"/>
        <v>0</v>
      </c>
      <c r="N303" s="462">
        <f t="shared" si="322"/>
        <v>0</v>
      </c>
      <c r="O303" s="462">
        <f t="shared" si="322"/>
        <v>12935752</v>
      </c>
      <c r="P303" s="462">
        <f t="shared" si="322"/>
        <v>12935752</v>
      </c>
      <c r="Q303" s="20"/>
      <c r="R303" s="50"/>
    </row>
    <row r="304" spans="1:18" ht="93" thickTop="1" thickBot="1" x14ac:dyDescent="0.25">
      <c r="A304" s="101" t="s">
        <v>549</v>
      </c>
      <c r="B304" s="101" t="s">
        <v>293</v>
      </c>
      <c r="C304" s="101" t="s">
        <v>295</v>
      </c>
      <c r="D304" s="101" t="s">
        <v>294</v>
      </c>
      <c r="E304" s="309">
        <f t="shared" si="314"/>
        <v>0</v>
      </c>
      <c r="F304" s="323">
        <f>(18000000-3000000-3000000)-12000000</f>
        <v>0</v>
      </c>
      <c r="G304" s="323"/>
      <c r="H304" s="323"/>
      <c r="I304" s="323"/>
      <c r="J304" s="325">
        <f t="shared" si="305"/>
        <v>12935752</v>
      </c>
      <c r="K304" s="323">
        <f>((2000000)+935752)+10000000</f>
        <v>12935752</v>
      </c>
      <c r="L304" s="454"/>
      <c r="M304" s="454"/>
      <c r="N304" s="454"/>
      <c r="O304" s="455">
        <f>K304</f>
        <v>12935752</v>
      </c>
      <c r="P304" s="325">
        <f>+J304+E304</f>
        <v>12935752</v>
      </c>
      <c r="Q304" s="20"/>
      <c r="R304" s="45"/>
    </row>
    <row r="305" spans="1:18" ht="47.25" thickTop="1" thickBot="1" x14ac:dyDescent="0.25">
      <c r="A305" s="310" t="s">
        <v>808</v>
      </c>
      <c r="B305" s="310" t="s">
        <v>691</v>
      </c>
      <c r="C305" s="310"/>
      <c r="D305" s="310" t="s">
        <v>689</v>
      </c>
      <c r="E305" s="311">
        <f>SUM(E306:E311)-E308</f>
        <v>0</v>
      </c>
      <c r="F305" s="311">
        <f t="shared" ref="F305:P305" si="323">SUM(F306:F311)-F308</f>
        <v>0</v>
      </c>
      <c r="G305" s="311">
        <f t="shared" si="323"/>
        <v>0</v>
      </c>
      <c r="H305" s="311">
        <f t="shared" si="323"/>
        <v>0</v>
      </c>
      <c r="I305" s="311">
        <f t="shared" si="323"/>
        <v>0</v>
      </c>
      <c r="J305" s="311">
        <f t="shared" si="323"/>
        <v>26127300.990000002</v>
      </c>
      <c r="K305" s="311">
        <f t="shared" si="323"/>
        <v>26127300.990000002</v>
      </c>
      <c r="L305" s="311">
        <f t="shared" si="323"/>
        <v>0</v>
      </c>
      <c r="M305" s="311">
        <f t="shared" si="323"/>
        <v>0</v>
      </c>
      <c r="N305" s="311">
        <f t="shared" si="323"/>
        <v>0</v>
      </c>
      <c r="O305" s="311">
        <f t="shared" si="323"/>
        <v>26127300.990000002</v>
      </c>
      <c r="P305" s="311">
        <f t="shared" si="323"/>
        <v>26127300.990000002</v>
      </c>
      <c r="Q305" s="20"/>
      <c r="R305" s="45"/>
    </row>
    <row r="306" spans="1:18" ht="48" thickTop="1" thickBot="1" x14ac:dyDescent="0.25">
      <c r="A306" s="101" t="s">
        <v>550</v>
      </c>
      <c r="B306" s="101" t="s">
        <v>212</v>
      </c>
      <c r="C306" s="101" t="s">
        <v>213</v>
      </c>
      <c r="D306" s="101" t="s">
        <v>41</v>
      </c>
      <c r="E306" s="309">
        <f t="shared" si="314"/>
        <v>0</v>
      </c>
      <c r="F306" s="323"/>
      <c r="G306" s="323"/>
      <c r="H306" s="323"/>
      <c r="I306" s="323"/>
      <c r="J306" s="325">
        <f t="shared" si="305"/>
        <v>15908770.99</v>
      </c>
      <c r="K306" s="458">
        <f>((9760000)+5803884)+344886.99</f>
        <v>15908770.99</v>
      </c>
      <c r="L306" s="323"/>
      <c r="M306" s="323"/>
      <c r="N306" s="323"/>
      <c r="O306" s="455">
        <f t="shared" si="307"/>
        <v>15908770.99</v>
      </c>
      <c r="P306" s="325">
        <f>E306+J306</f>
        <v>15908770.99</v>
      </c>
      <c r="Q306" s="20"/>
      <c r="R306" s="45"/>
    </row>
    <row r="307" spans="1:18" ht="48" thickTop="1" thickBot="1" x14ac:dyDescent="0.25">
      <c r="A307" s="101" t="s">
        <v>551</v>
      </c>
      <c r="B307" s="101" t="s">
        <v>197</v>
      </c>
      <c r="C307" s="101" t="s">
        <v>170</v>
      </c>
      <c r="D307" s="101" t="s">
        <v>34</v>
      </c>
      <c r="E307" s="309">
        <f t="shared" si="314"/>
        <v>0</v>
      </c>
      <c r="F307" s="323"/>
      <c r="G307" s="323"/>
      <c r="H307" s="323"/>
      <c r="I307" s="323"/>
      <c r="J307" s="325">
        <f t="shared" si="305"/>
        <v>10218530</v>
      </c>
      <c r="K307" s="458">
        <f>(((96120)+6291666)+4438322-807578)+200000</f>
        <v>10218530</v>
      </c>
      <c r="L307" s="323"/>
      <c r="M307" s="323"/>
      <c r="N307" s="323"/>
      <c r="O307" s="455">
        <f t="shared" si="307"/>
        <v>10218530</v>
      </c>
      <c r="P307" s="325">
        <f>E307+J307</f>
        <v>10218530</v>
      </c>
      <c r="Q307" s="20"/>
      <c r="R307" s="45"/>
    </row>
    <row r="308" spans="1:18" ht="48" hidden="1" thickTop="1" thickBot="1" x14ac:dyDescent="0.25">
      <c r="A308" s="326" t="s">
        <v>809</v>
      </c>
      <c r="B308" s="326" t="s">
        <v>694</v>
      </c>
      <c r="C308" s="138"/>
      <c r="D308" s="138" t="s">
        <v>797</v>
      </c>
      <c r="E308" s="156">
        <f t="shared" ref="E308:P308" si="324">E309+E311</f>
        <v>0</v>
      </c>
      <c r="F308" s="156">
        <f t="shared" si="324"/>
        <v>0</v>
      </c>
      <c r="G308" s="156">
        <f t="shared" si="324"/>
        <v>0</v>
      </c>
      <c r="H308" s="156">
        <f t="shared" si="324"/>
        <v>0</v>
      </c>
      <c r="I308" s="156">
        <f t="shared" si="324"/>
        <v>0</v>
      </c>
      <c r="J308" s="156">
        <f t="shared" si="324"/>
        <v>0</v>
      </c>
      <c r="K308" s="156">
        <f t="shared" si="324"/>
        <v>0</v>
      </c>
      <c r="L308" s="156">
        <f t="shared" si="324"/>
        <v>0</v>
      </c>
      <c r="M308" s="156">
        <f t="shared" si="324"/>
        <v>0</v>
      </c>
      <c r="N308" s="156">
        <f t="shared" si="324"/>
        <v>0</v>
      </c>
      <c r="O308" s="156">
        <f t="shared" si="324"/>
        <v>0</v>
      </c>
      <c r="P308" s="156">
        <f t="shared" si="324"/>
        <v>0</v>
      </c>
      <c r="Q308" s="20"/>
      <c r="R308" s="50"/>
    </row>
    <row r="309" spans="1:18" ht="211.5" hidden="1" customHeight="1" thickTop="1" thickBot="1" x14ac:dyDescent="0.7">
      <c r="A309" s="748" t="s">
        <v>552</v>
      </c>
      <c r="B309" s="748" t="s">
        <v>338</v>
      </c>
      <c r="C309" s="768" t="s">
        <v>170</v>
      </c>
      <c r="D309" s="153" t="s">
        <v>440</v>
      </c>
      <c r="E309" s="746"/>
      <c r="F309" s="747"/>
      <c r="G309" s="747"/>
      <c r="H309" s="747"/>
      <c r="I309" s="747"/>
      <c r="J309" s="746">
        <f t="shared" si="305"/>
        <v>0</v>
      </c>
      <c r="K309" s="747"/>
      <c r="L309" s="747">
        <v>0</v>
      </c>
      <c r="M309" s="747"/>
      <c r="N309" s="747"/>
      <c r="O309" s="766"/>
      <c r="P309" s="781">
        <f>E309+J309</f>
        <v>0</v>
      </c>
      <c r="Q309" s="20"/>
      <c r="R309" s="50"/>
    </row>
    <row r="310" spans="1:18" ht="130.5" hidden="1" customHeight="1" thickTop="1" thickBot="1" x14ac:dyDescent="0.25">
      <c r="A310" s="748"/>
      <c r="B310" s="748"/>
      <c r="C310" s="768"/>
      <c r="D310" s="154" t="s">
        <v>441</v>
      </c>
      <c r="E310" s="746"/>
      <c r="F310" s="747"/>
      <c r="G310" s="747"/>
      <c r="H310" s="747"/>
      <c r="I310" s="747"/>
      <c r="J310" s="746"/>
      <c r="K310" s="747"/>
      <c r="L310" s="747"/>
      <c r="M310" s="747"/>
      <c r="N310" s="747"/>
      <c r="O310" s="766"/>
      <c r="P310" s="781"/>
      <c r="Q310" s="20"/>
      <c r="R310" s="50"/>
    </row>
    <row r="311" spans="1:18" ht="39" hidden="1" customHeight="1" thickTop="1" thickBot="1" x14ac:dyDescent="0.25">
      <c r="A311" s="101" t="s">
        <v>1183</v>
      </c>
      <c r="B311" s="101" t="s">
        <v>257</v>
      </c>
      <c r="C311" s="126" t="s">
        <v>170</v>
      </c>
      <c r="D311" s="154" t="s">
        <v>255</v>
      </c>
      <c r="E311" s="150">
        <f t="shared" ref="E311" si="325">F311</f>
        <v>0</v>
      </c>
      <c r="F311" s="127"/>
      <c r="G311" s="127"/>
      <c r="H311" s="127"/>
      <c r="I311" s="127"/>
      <c r="J311" s="125">
        <f t="shared" ref="J311" si="326">L311+O311</f>
        <v>0</v>
      </c>
      <c r="K311" s="132"/>
      <c r="L311" s="127"/>
      <c r="M311" s="127"/>
      <c r="N311" s="127"/>
      <c r="O311" s="130">
        <f t="shared" ref="O311" si="327">K311</f>
        <v>0</v>
      </c>
      <c r="P311" s="125">
        <f>E311+J311</f>
        <v>0</v>
      </c>
      <c r="Q311" s="20"/>
      <c r="R311" s="50"/>
    </row>
    <row r="312" spans="1:18" ht="47.25" thickTop="1" thickBot="1" x14ac:dyDescent="0.25">
      <c r="A312" s="308" t="s">
        <v>810</v>
      </c>
      <c r="B312" s="308" t="s">
        <v>696</v>
      </c>
      <c r="C312" s="308"/>
      <c r="D312" s="467" t="s">
        <v>697</v>
      </c>
      <c r="E312" s="325">
        <f>E313</f>
        <v>4529390</v>
      </c>
      <c r="F312" s="325">
        <f t="shared" ref="F312:P312" si="328">F313</f>
        <v>4529390</v>
      </c>
      <c r="G312" s="325">
        <f t="shared" si="328"/>
        <v>1953964</v>
      </c>
      <c r="H312" s="325">
        <f t="shared" si="328"/>
        <v>53880</v>
      </c>
      <c r="I312" s="325">
        <f t="shared" si="328"/>
        <v>0</v>
      </c>
      <c r="J312" s="325">
        <f t="shared" si="328"/>
        <v>0</v>
      </c>
      <c r="K312" s="325">
        <f t="shared" si="328"/>
        <v>0</v>
      </c>
      <c r="L312" s="325">
        <f t="shared" si="328"/>
        <v>0</v>
      </c>
      <c r="M312" s="325">
        <f t="shared" si="328"/>
        <v>0</v>
      </c>
      <c r="N312" s="325">
        <f t="shared" si="328"/>
        <v>0</v>
      </c>
      <c r="O312" s="325">
        <f t="shared" si="328"/>
        <v>0</v>
      </c>
      <c r="P312" s="325">
        <f t="shared" si="328"/>
        <v>4529390</v>
      </c>
      <c r="Q312" s="20"/>
      <c r="R312" s="50"/>
    </row>
    <row r="313" spans="1:18" ht="47.25" thickTop="1" thickBot="1" x14ac:dyDescent="0.25">
      <c r="A313" s="310" t="s">
        <v>811</v>
      </c>
      <c r="B313" s="310" t="s">
        <v>812</v>
      </c>
      <c r="C313" s="310"/>
      <c r="D313" s="353" t="s">
        <v>1280</v>
      </c>
      <c r="E313" s="312">
        <f>SUM(E314:E316)</f>
        <v>4529390</v>
      </c>
      <c r="F313" s="312">
        <f t="shared" ref="F313:P313" si="329">SUM(F314:F316)</f>
        <v>4529390</v>
      </c>
      <c r="G313" s="312">
        <f t="shared" si="329"/>
        <v>1953964</v>
      </c>
      <c r="H313" s="312">
        <f t="shared" si="329"/>
        <v>53880</v>
      </c>
      <c r="I313" s="312">
        <f t="shared" si="329"/>
        <v>0</v>
      </c>
      <c r="J313" s="312">
        <f t="shared" si="329"/>
        <v>0</v>
      </c>
      <c r="K313" s="312">
        <f t="shared" si="329"/>
        <v>0</v>
      </c>
      <c r="L313" s="312">
        <f t="shared" si="329"/>
        <v>0</v>
      </c>
      <c r="M313" s="312">
        <f t="shared" si="329"/>
        <v>0</v>
      </c>
      <c r="N313" s="312">
        <f t="shared" si="329"/>
        <v>0</v>
      </c>
      <c r="O313" s="312">
        <f t="shared" si="329"/>
        <v>0</v>
      </c>
      <c r="P313" s="312">
        <f t="shared" si="329"/>
        <v>4529390</v>
      </c>
      <c r="Q313" s="20"/>
      <c r="R313" s="50"/>
    </row>
    <row r="314" spans="1:18" ht="93" thickTop="1" thickBot="1" x14ac:dyDescent="0.25">
      <c r="A314" s="101" t="s">
        <v>553</v>
      </c>
      <c r="B314" s="101" t="s">
        <v>518</v>
      </c>
      <c r="C314" s="101" t="s">
        <v>251</v>
      </c>
      <c r="D314" s="101" t="s">
        <v>519</v>
      </c>
      <c r="E314" s="309">
        <f>F314</f>
        <v>2000000</v>
      </c>
      <c r="F314" s="323">
        <v>2000000</v>
      </c>
      <c r="G314" s="323"/>
      <c r="H314" s="323"/>
      <c r="I314" s="323"/>
      <c r="J314" s="325">
        <f>L314+O314</f>
        <v>0</v>
      </c>
      <c r="K314" s="458">
        <v>0</v>
      </c>
      <c r="L314" s="323"/>
      <c r="M314" s="323"/>
      <c r="N314" s="323"/>
      <c r="O314" s="455">
        <f>K314</f>
        <v>0</v>
      </c>
      <c r="P314" s="325">
        <f>E314+J314</f>
        <v>2000000</v>
      </c>
      <c r="Q314" s="20"/>
      <c r="R314" s="50"/>
    </row>
    <row r="315" spans="1:18" ht="48" thickTop="1" thickBot="1" x14ac:dyDescent="0.25">
      <c r="A315" s="101" t="s">
        <v>554</v>
      </c>
      <c r="B315" s="101" t="s">
        <v>250</v>
      </c>
      <c r="C315" s="101" t="s">
        <v>251</v>
      </c>
      <c r="D315" s="101" t="s">
        <v>249</v>
      </c>
      <c r="E315" s="309">
        <f t="shared" ref="E315:E316" si="330">F315</f>
        <v>2529390</v>
      </c>
      <c r="F315" s="323">
        <f>(2515145)+14245</f>
        <v>2529390</v>
      </c>
      <c r="G315" s="323">
        <v>1953964</v>
      </c>
      <c r="H315" s="323">
        <f>2500+35000+16380</f>
        <v>53880</v>
      </c>
      <c r="I315" s="323"/>
      <c r="J315" s="325">
        <f>L315+O315</f>
        <v>0</v>
      </c>
      <c r="K315" s="458">
        <v>0</v>
      </c>
      <c r="L315" s="323"/>
      <c r="M315" s="323"/>
      <c r="N315" s="323"/>
      <c r="O315" s="455">
        <f>K315</f>
        <v>0</v>
      </c>
      <c r="P315" s="325">
        <f>E315+J315</f>
        <v>2529390</v>
      </c>
      <c r="Q315" s="20"/>
      <c r="R315" s="46"/>
    </row>
    <row r="316" spans="1:18" ht="48" hidden="1" thickTop="1" thickBot="1" x14ac:dyDescent="0.25">
      <c r="A316" s="41" t="s">
        <v>555</v>
      </c>
      <c r="B316" s="41" t="s">
        <v>556</v>
      </c>
      <c r="C316" s="41" t="s">
        <v>251</v>
      </c>
      <c r="D316" s="41" t="s">
        <v>557</v>
      </c>
      <c r="E316" s="158">
        <f t="shared" si="330"/>
        <v>0</v>
      </c>
      <c r="F316" s="159">
        <f>(1219000)-1219000</f>
        <v>0</v>
      </c>
      <c r="G316" s="159">
        <f>(354000+540000)-894000</f>
        <v>0</v>
      </c>
      <c r="H316" s="159">
        <f>(6000+3000)-9000</f>
        <v>0</v>
      </c>
      <c r="I316" s="159"/>
      <c r="J316" s="42">
        <f>L316+O316</f>
        <v>0</v>
      </c>
      <c r="K316" s="43"/>
      <c r="L316" s="159"/>
      <c r="M316" s="159"/>
      <c r="N316" s="159"/>
      <c r="O316" s="44">
        <f>K316</f>
        <v>0</v>
      </c>
      <c r="P316" s="42">
        <f>E316+J316</f>
        <v>0</v>
      </c>
      <c r="Q316" s="20"/>
      <c r="R316" s="50"/>
    </row>
    <row r="317" spans="1:18" ht="47.25" thickTop="1" thickBot="1" x14ac:dyDescent="0.25">
      <c r="A317" s="308" t="s">
        <v>1481</v>
      </c>
      <c r="B317" s="308" t="s">
        <v>702</v>
      </c>
      <c r="C317" s="308"/>
      <c r="D317" s="308" t="s">
        <v>703</v>
      </c>
      <c r="E317" s="325">
        <f>E318</f>
        <v>150000</v>
      </c>
      <c r="F317" s="325">
        <f t="shared" ref="F317:P318" si="331">F318</f>
        <v>150000</v>
      </c>
      <c r="G317" s="325">
        <f t="shared" si="331"/>
        <v>0</v>
      </c>
      <c r="H317" s="325">
        <f t="shared" si="331"/>
        <v>0</v>
      </c>
      <c r="I317" s="325">
        <f t="shared" si="331"/>
        <v>0</v>
      </c>
      <c r="J317" s="325">
        <f t="shared" si="331"/>
        <v>0</v>
      </c>
      <c r="K317" s="325">
        <f t="shared" si="331"/>
        <v>0</v>
      </c>
      <c r="L317" s="325">
        <f t="shared" si="331"/>
        <v>0</v>
      </c>
      <c r="M317" s="325">
        <f t="shared" si="331"/>
        <v>0</v>
      </c>
      <c r="N317" s="325">
        <f t="shared" si="331"/>
        <v>0</v>
      </c>
      <c r="O317" s="325">
        <f t="shared" si="331"/>
        <v>0</v>
      </c>
      <c r="P317" s="325">
        <f t="shared" si="331"/>
        <v>150000</v>
      </c>
      <c r="Q317" s="20"/>
      <c r="R317" s="50"/>
    </row>
    <row r="318" spans="1:18" ht="91.5" thickTop="1" thickBot="1" x14ac:dyDescent="0.25">
      <c r="A318" s="310" t="s">
        <v>1482</v>
      </c>
      <c r="B318" s="310" t="s">
        <v>705</v>
      </c>
      <c r="C318" s="310"/>
      <c r="D318" s="310" t="s">
        <v>706</v>
      </c>
      <c r="E318" s="312">
        <f>E319</f>
        <v>150000</v>
      </c>
      <c r="F318" s="312">
        <f t="shared" si="331"/>
        <v>150000</v>
      </c>
      <c r="G318" s="312">
        <f t="shared" si="331"/>
        <v>0</v>
      </c>
      <c r="H318" s="312">
        <f t="shared" si="331"/>
        <v>0</v>
      </c>
      <c r="I318" s="312">
        <f t="shared" si="331"/>
        <v>0</v>
      </c>
      <c r="J318" s="312">
        <f t="shared" si="331"/>
        <v>0</v>
      </c>
      <c r="K318" s="312">
        <f t="shared" si="331"/>
        <v>0</v>
      </c>
      <c r="L318" s="312">
        <f t="shared" si="331"/>
        <v>0</v>
      </c>
      <c r="M318" s="312">
        <f t="shared" si="331"/>
        <v>0</v>
      </c>
      <c r="N318" s="312">
        <f t="shared" si="331"/>
        <v>0</v>
      </c>
      <c r="O318" s="312">
        <f t="shared" si="331"/>
        <v>0</v>
      </c>
      <c r="P318" s="312">
        <f t="shared" si="331"/>
        <v>150000</v>
      </c>
      <c r="Q318" s="20"/>
      <c r="R318" s="50"/>
    </row>
    <row r="319" spans="1:18" ht="48" thickTop="1" thickBot="1" x14ac:dyDescent="0.25">
      <c r="A319" s="101" t="s">
        <v>1483</v>
      </c>
      <c r="B319" s="101" t="s">
        <v>363</v>
      </c>
      <c r="C319" s="101" t="s">
        <v>43</v>
      </c>
      <c r="D319" s="101" t="s">
        <v>364</v>
      </c>
      <c r="E319" s="325">
        <f t="shared" ref="E319" si="332">F319</f>
        <v>150000</v>
      </c>
      <c r="F319" s="458">
        <v>150000</v>
      </c>
      <c r="G319" s="458"/>
      <c r="H319" s="458"/>
      <c r="I319" s="458"/>
      <c r="J319" s="325">
        <f>L319+O319</f>
        <v>0</v>
      </c>
      <c r="K319" s="458"/>
      <c r="L319" s="458"/>
      <c r="M319" s="458"/>
      <c r="N319" s="458"/>
      <c r="O319" s="455">
        <f>K319</f>
        <v>0</v>
      </c>
      <c r="P319" s="325">
        <f>E319+J319</f>
        <v>150000</v>
      </c>
      <c r="Q319" s="20"/>
      <c r="R319" s="50"/>
    </row>
    <row r="320" spans="1:18" ht="120" customHeight="1" thickTop="1" thickBot="1" x14ac:dyDescent="0.25">
      <c r="A320" s="645" t="s">
        <v>25</v>
      </c>
      <c r="B320" s="645"/>
      <c r="C320" s="645"/>
      <c r="D320" s="646" t="s">
        <v>1346</v>
      </c>
      <c r="E320" s="647">
        <f>E321</f>
        <v>3767165</v>
      </c>
      <c r="F320" s="648">
        <f t="shared" ref="F320:G320" si="333">F321</f>
        <v>3767165</v>
      </c>
      <c r="G320" s="648">
        <f t="shared" si="333"/>
        <v>2744545</v>
      </c>
      <c r="H320" s="648">
        <f>H321</f>
        <v>129800</v>
      </c>
      <c r="I320" s="648">
        <f t="shared" ref="I320" si="334">I321</f>
        <v>0</v>
      </c>
      <c r="J320" s="647">
        <f>J321</f>
        <v>87904357.939999998</v>
      </c>
      <c r="K320" s="648">
        <f>K321</f>
        <v>87904357.939999998</v>
      </c>
      <c r="L320" s="648">
        <f>L321</f>
        <v>0</v>
      </c>
      <c r="M320" s="648">
        <f t="shared" ref="M320" si="335">M321</f>
        <v>0</v>
      </c>
      <c r="N320" s="648">
        <f>N321</f>
        <v>0</v>
      </c>
      <c r="O320" s="647">
        <f>O321</f>
        <v>87904357.939999998</v>
      </c>
      <c r="P320" s="648">
        <f t="shared" ref="P320" si="336">P321</f>
        <v>91671522.939999998</v>
      </c>
      <c r="Q320" s="20"/>
    </row>
    <row r="321" spans="1:18" ht="120" customHeight="1" thickTop="1" thickBot="1" x14ac:dyDescent="0.25">
      <c r="A321" s="642" t="s">
        <v>26</v>
      </c>
      <c r="B321" s="642"/>
      <c r="C321" s="642"/>
      <c r="D321" s="643" t="s">
        <v>892</v>
      </c>
      <c r="E321" s="644">
        <f>E322+E328+E331+E326</f>
        <v>3767165</v>
      </c>
      <c r="F321" s="644">
        <f>F322+F328+F331+F326</f>
        <v>3767165</v>
      </c>
      <c r="G321" s="644">
        <f>G322+G328+G331+G326</f>
        <v>2744545</v>
      </c>
      <c r="H321" s="644">
        <f>H322+H328+H331+H326</f>
        <v>129800</v>
      </c>
      <c r="I321" s="644">
        <f>I322+I328+I331+I326</f>
        <v>0</v>
      </c>
      <c r="J321" s="644">
        <f>L321+O321</f>
        <v>87904357.939999998</v>
      </c>
      <c r="K321" s="644">
        <f>K322+K328+K331+K326</f>
        <v>87904357.939999998</v>
      </c>
      <c r="L321" s="644">
        <f>L322+L328+L331+L326</f>
        <v>0</v>
      </c>
      <c r="M321" s="644">
        <f>M322+M328+M331+M326</f>
        <v>0</v>
      </c>
      <c r="N321" s="644">
        <f>N322+N328+N331+N326</f>
        <v>0</v>
      </c>
      <c r="O321" s="644">
        <f>O322+O328+O331+O326</f>
        <v>87904357.939999998</v>
      </c>
      <c r="P321" s="644">
        <f>E321+J321</f>
        <v>91671522.939999998</v>
      </c>
      <c r="Q321" s="492" t="b">
        <f>P321=P323+P335+P338+P327</f>
        <v>0</v>
      </c>
      <c r="R321" s="46"/>
    </row>
    <row r="322" spans="1:18" ht="47.25" thickTop="1" thickBot="1" x14ac:dyDescent="0.25">
      <c r="A322" s="308" t="s">
        <v>813</v>
      </c>
      <c r="B322" s="308" t="s">
        <v>684</v>
      </c>
      <c r="C322" s="308"/>
      <c r="D322" s="308" t="s">
        <v>685</v>
      </c>
      <c r="E322" s="325">
        <f t="shared" ref="E322:P322" si="337">SUM(E323:E325)</f>
        <v>3767165</v>
      </c>
      <c r="F322" s="325">
        <f t="shared" si="337"/>
        <v>3767165</v>
      </c>
      <c r="G322" s="325">
        <f t="shared" si="337"/>
        <v>2744545</v>
      </c>
      <c r="H322" s="325">
        <f t="shared" si="337"/>
        <v>129800</v>
      </c>
      <c r="I322" s="325">
        <f t="shared" si="337"/>
        <v>0</v>
      </c>
      <c r="J322" s="325">
        <f t="shared" si="337"/>
        <v>0</v>
      </c>
      <c r="K322" s="325">
        <f t="shared" si="337"/>
        <v>0</v>
      </c>
      <c r="L322" s="325">
        <f t="shared" si="337"/>
        <v>0</v>
      </c>
      <c r="M322" s="325">
        <f t="shared" si="337"/>
        <v>0</v>
      </c>
      <c r="N322" s="325">
        <f t="shared" si="337"/>
        <v>0</v>
      </c>
      <c r="O322" s="325">
        <f t="shared" si="337"/>
        <v>0</v>
      </c>
      <c r="P322" s="325">
        <f t="shared" si="337"/>
        <v>3767165</v>
      </c>
      <c r="Q322" s="47"/>
      <c r="R322" s="46"/>
    </row>
    <row r="323" spans="1:18" ht="93" thickTop="1" thickBot="1" x14ac:dyDescent="0.25">
      <c r="A323" s="101" t="s">
        <v>417</v>
      </c>
      <c r="B323" s="101" t="s">
        <v>236</v>
      </c>
      <c r="C323" s="101" t="s">
        <v>234</v>
      </c>
      <c r="D323" s="101" t="s">
        <v>235</v>
      </c>
      <c r="E323" s="325">
        <f>F323</f>
        <v>3767165</v>
      </c>
      <c r="F323" s="458">
        <v>3767165</v>
      </c>
      <c r="G323" s="458">
        <v>2744545</v>
      </c>
      <c r="H323" s="458">
        <v>129800</v>
      </c>
      <c r="I323" s="458"/>
      <c r="J323" s="325">
        <f t="shared" ref="J323:J339" si="338">L323+O323</f>
        <v>0</v>
      </c>
      <c r="K323" s="458"/>
      <c r="L323" s="458"/>
      <c r="M323" s="458"/>
      <c r="N323" s="458"/>
      <c r="O323" s="455">
        <f>K323</f>
        <v>0</v>
      </c>
      <c r="P323" s="325">
        <f t="shared" ref="P323:P339" si="339">E323+J323</f>
        <v>3767165</v>
      </c>
      <c r="Q323" s="47"/>
      <c r="R323" s="50"/>
    </row>
    <row r="324" spans="1:18" ht="93" hidden="1" thickTop="1" thickBot="1" x14ac:dyDescent="0.25">
      <c r="A324" s="126" t="s">
        <v>630</v>
      </c>
      <c r="B324" s="126" t="s">
        <v>362</v>
      </c>
      <c r="C324" s="126" t="s">
        <v>625</v>
      </c>
      <c r="D324" s="126" t="s">
        <v>626</v>
      </c>
      <c r="E324" s="150">
        <f>F324</f>
        <v>0</v>
      </c>
      <c r="F324" s="127">
        <v>0</v>
      </c>
      <c r="G324" s="127"/>
      <c r="H324" s="127"/>
      <c r="I324" s="127"/>
      <c r="J324" s="125">
        <f t="shared" si="338"/>
        <v>0</v>
      </c>
      <c r="K324" s="127"/>
      <c r="L324" s="128"/>
      <c r="M324" s="128"/>
      <c r="N324" s="128"/>
      <c r="O324" s="130">
        <f t="shared" ref="O324" si="340">K324</f>
        <v>0</v>
      </c>
      <c r="P324" s="125">
        <f t="shared" ref="P324" si="341">+J324+E324</f>
        <v>0</v>
      </c>
      <c r="Q324" s="47"/>
      <c r="R324" s="50"/>
    </row>
    <row r="325" spans="1:18" ht="48" hidden="1" thickTop="1" thickBot="1" x14ac:dyDescent="0.25">
      <c r="A325" s="126" t="s">
        <v>928</v>
      </c>
      <c r="B325" s="126" t="s">
        <v>43</v>
      </c>
      <c r="C325" s="126" t="s">
        <v>42</v>
      </c>
      <c r="D325" s="126" t="s">
        <v>248</v>
      </c>
      <c r="E325" s="125">
        <f>F325</f>
        <v>0</v>
      </c>
      <c r="F325" s="132">
        <v>0</v>
      </c>
      <c r="G325" s="132"/>
      <c r="H325" s="132"/>
      <c r="I325" s="132"/>
      <c r="J325" s="125">
        <f t="shared" ref="J325" si="342">L325+O325</f>
        <v>0</v>
      </c>
      <c r="K325" s="127"/>
      <c r="L325" s="128"/>
      <c r="M325" s="128"/>
      <c r="N325" s="128"/>
      <c r="O325" s="130">
        <f t="shared" ref="O325" si="343">K325</f>
        <v>0</v>
      </c>
      <c r="P325" s="125">
        <f t="shared" ref="P325" si="344">+J325+E325</f>
        <v>0</v>
      </c>
      <c r="Q325" s="47"/>
      <c r="R325" s="50"/>
    </row>
    <row r="326" spans="1:18" ht="47.25" thickTop="1" thickBot="1" x14ac:dyDescent="0.25">
      <c r="A326" s="308" t="s">
        <v>1235</v>
      </c>
      <c r="B326" s="308" t="s">
        <v>711</v>
      </c>
      <c r="C326" s="308"/>
      <c r="D326" s="308" t="s">
        <v>712</v>
      </c>
      <c r="E326" s="325">
        <f t="shared" ref="E326:P326" si="345">SUM(E327:E327)</f>
        <v>0</v>
      </c>
      <c r="F326" s="325">
        <f t="shared" si="345"/>
        <v>0</v>
      </c>
      <c r="G326" s="325">
        <f t="shared" si="345"/>
        <v>0</v>
      </c>
      <c r="H326" s="325">
        <f t="shared" si="345"/>
        <v>0</v>
      </c>
      <c r="I326" s="325">
        <f t="shared" si="345"/>
        <v>0</v>
      </c>
      <c r="J326" s="325">
        <f t="shared" si="345"/>
        <v>4152064</v>
      </c>
      <c r="K326" s="325">
        <f t="shared" si="345"/>
        <v>4152064</v>
      </c>
      <c r="L326" s="325">
        <f t="shared" si="345"/>
        <v>0</v>
      </c>
      <c r="M326" s="325">
        <f t="shared" si="345"/>
        <v>0</v>
      </c>
      <c r="N326" s="325">
        <f t="shared" si="345"/>
        <v>0</v>
      </c>
      <c r="O326" s="325">
        <f t="shared" si="345"/>
        <v>4152064</v>
      </c>
      <c r="P326" s="325">
        <f t="shared" si="345"/>
        <v>4152064</v>
      </c>
      <c r="Q326" s="47"/>
      <c r="R326" s="50"/>
    </row>
    <row r="327" spans="1:18" ht="93" thickTop="1" thickBot="1" x14ac:dyDescent="0.25">
      <c r="A327" s="101" t="s">
        <v>1236</v>
      </c>
      <c r="B327" s="101" t="s">
        <v>1200</v>
      </c>
      <c r="C327" s="101" t="s">
        <v>206</v>
      </c>
      <c r="D327" s="466" t="s">
        <v>1201</v>
      </c>
      <c r="E327" s="325">
        <f t="shared" ref="E327" si="346">F327</f>
        <v>0</v>
      </c>
      <c r="F327" s="458">
        <v>0</v>
      </c>
      <c r="G327" s="458"/>
      <c r="H327" s="458"/>
      <c r="I327" s="458"/>
      <c r="J327" s="325">
        <f>L327+O327</f>
        <v>4152064</v>
      </c>
      <c r="K327" s="458">
        <f>(((0)+2000000-100000)+6152064)-3900000</f>
        <v>4152064</v>
      </c>
      <c r="L327" s="458"/>
      <c r="M327" s="458"/>
      <c r="N327" s="458"/>
      <c r="O327" s="455">
        <f>K327</f>
        <v>4152064</v>
      </c>
      <c r="P327" s="325">
        <f>E327+J327</f>
        <v>4152064</v>
      </c>
      <c r="Q327" s="47"/>
      <c r="R327" s="50"/>
    </row>
    <row r="328" spans="1:18" ht="47.25" hidden="1" thickTop="1" thickBot="1" x14ac:dyDescent="0.25">
      <c r="A328" s="123" t="s">
        <v>814</v>
      </c>
      <c r="B328" s="123" t="s">
        <v>770</v>
      </c>
      <c r="C328" s="126"/>
      <c r="D328" s="123" t="s">
        <v>771</v>
      </c>
      <c r="E328" s="150">
        <f>E329</f>
        <v>0</v>
      </c>
      <c r="F328" s="150">
        <f t="shared" ref="F328:P329" si="347">F329</f>
        <v>0</v>
      </c>
      <c r="G328" s="150">
        <f t="shared" si="347"/>
        <v>0</v>
      </c>
      <c r="H328" s="150">
        <f t="shared" si="347"/>
        <v>0</v>
      </c>
      <c r="I328" s="150">
        <f t="shared" si="347"/>
        <v>0</v>
      </c>
      <c r="J328" s="150">
        <f t="shared" si="347"/>
        <v>0</v>
      </c>
      <c r="K328" s="150">
        <f t="shared" si="347"/>
        <v>0</v>
      </c>
      <c r="L328" s="150">
        <f t="shared" si="347"/>
        <v>0</v>
      </c>
      <c r="M328" s="150">
        <f t="shared" si="347"/>
        <v>0</v>
      </c>
      <c r="N328" s="150">
        <f t="shared" si="347"/>
        <v>0</v>
      </c>
      <c r="O328" s="150">
        <f t="shared" si="347"/>
        <v>0</v>
      </c>
      <c r="P328" s="150">
        <f t="shared" si="347"/>
        <v>0</v>
      </c>
      <c r="Q328" s="47"/>
      <c r="R328" s="50"/>
    </row>
    <row r="329" spans="1:18" ht="48" hidden="1" thickTop="1" thickBot="1" x14ac:dyDescent="0.25">
      <c r="A329" s="138" t="s">
        <v>815</v>
      </c>
      <c r="B329" s="138" t="s">
        <v>816</v>
      </c>
      <c r="C329" s="138"/>
      <c r="D329" s="138" t="s">
        <v>817</v>
      </c>
      <c r="E329" s="156">
        <f>E330</f>
        <v>0</v>
      </c>
      <c r="F329" s="156">
        <f t="shared" si="347"/>
        <v>0</v>
      </c>
      <c r="G329" s="156">
        <f t="shared" si="347"/>
        <v>0</v>
      </c>
      <c r="H329" s="156">
        <f t="shared" si="347"/>
        <v>0</v>
      </c>
      <c r="I329" s="156">
        <f t="shared" si="347"/>
        <v>0</v>
      </c>
      <c r="J329" s="156">
        <f t="shared" si="347"/>
        <v>0</v>
      </c>
      <c r="K329" s="156">
        <f t="shared" si="347"/>
        <v>0</v>
      </c>
      <c r="L329" s="156">
        <f t="shared" si="347"/>
        <v>0</v>
      </c>
      <c r="M329" s="156">
        <f t="shared" si="347"/>
        <v>0</v>
      </c>
      <c r="N329" s="156">
        <f t="shared" si="347"/>
        <v>0</v>
      </c>
      <c r="O329" s="156">
        <f t="shared" si="347"/>
        <v>0</v>
      </c>
      <c r="P329" s="156">
        <f t="shared" si="347"/>
        <v>0</v>
      </c>
      <c r="Q329" s="47"/>
      <c r="R329" s="50"/>
    </row>
    <row r="330" spans="1:18" ht="184.5" hidden="1" thickTop="1" thickBot="1" x14ac:dyDescent="0.25">
      <c r="A330" s="126" t="s">
        <v>433</v>
      </c>
      <c r="B330" s="126" t="s">
        <v>434</v>
      </c>
      <c r="C330" s="126" t="s">
        <v>195</v>
      </c>
      <c r="D330" s="126" t="s">
        <v>1178</v>
      </c>
      <c r="E330" s="125">
        <f t="shared" ref="E330:E337" si="348">F330</f>
        <v>0</v>
      </c>
      <c r="F330" s="132"/>
      <c r="G330" s="132"/>
      <c r="H330" s="132"/>
      <c r="I330" s="132"/>
      <c r="J330" s="125">
        <f t="shared" si="338"/>
        <v>0</v>
      </c>
      <c r="K330" s="132">
        <v>0</v>
      </c>
      <c r="L330" s="132"/>
      <c r="M330" s="132"/>
      <c r="N330" s="132"/>
      <c r="O330" s="130">
        <f t="shared" ref="O330" si="349">K330</f>
        <v>0</v>
      </c>
      <c r="P330" s="125">
        <f t="shared" si="339"/>
        <v>0</v>
      </c>
      <c r="Q330" s="47"/>
      <c r="R330" s="46"/>
    </row>
    <row r="331" spans="1:18" ht="47.25" thickTop="1" thickBot="1" x14ac:dyDescent="0.25">
      <c r="A331" s="308" t="s">
        <v>818</v>
      </c>
      <c r="B331" s="308" t="s">
        <v>748</v>
      </c>
      <c r="C331" s="101"/>
      <c r="D331" s="308" t="s">
        <v>794</v>
      </c>
      <c r="E331" s="325">
        <f>E332+E340</f>
        <v>0</v>
      </c>
      <c r="F331" s="325">
        <f t="shared" ref="F331:I331" si="350">F332+F340</f>
        <v>0</v>
      </c>
      <c r="G331" s="325">
        <f t="shared" si="350"/>
        <v>0</v>
      </c>
      <c r="H331" s="325">
        <f t="shared" si="350"/>
        <v>0</v>
      </c>
      <c r="I331" s="325">
        <f t="shared" si="350"/>
        <v>0</v>
      </c>
      <c r="J331" s="325">
        <f t="shared" ref="J331" si="351">J332+J340</f>
        <v>83752293.939999998</v>
      </c>
      <c r="K331" s="325">
        <f t="shared" ref="K331" si="352">K332+K340</f>
        <v>83752293.939999998</v>
      </c>
      <c r="L331" s="325">
        <f t="shared" ref="L331" si="353">L332+L340</f>
        <v>0</v>
      </c>
      <c r="M331" s="325">
        <f t="shared" ref="M331" si="354">M332+M340</f>
        <v>0</v>
      </c>
      <c r="N331" s="325">
        <f t="shared" ref="N331" si="355">N332+N340</f>
        <v>0</v>
      </c>
      <c r="O331" s="325">
        <f t="shared" ref="O331" si="356">O332+O340</f>
        <v>83752293.939999998</v>
      </c>
      <c r="P331" s="325">
        <f t="shared" ref="P331" si="357">P332+P340</f>
        <v>83752293.939999998</v>
      </c>
      <c r="Q331" s="45"/>
      <c r="R331" s="46"/>
    </row>
    <row r="332" spans="1:18" ht="47.25" thickTop="1" thickBot="1" x14ac:dyDescent="0.25">
      <c r="A332" s="310" t="s">
        <v>819</v>
      </c>
      <c r="B332" s="310" t="s">
        <v>803</v>
      </c>
      <c r="C332" s="310"/>
      <c r="D332" s="310" t="s">
        <v>804</v>
      </c>
      <c r="E332" s="312">
        <f t="shared" ref="E332:P332" si="358">SUM(E333:E339)-E334</f>
        <v>0</v>
      </c>
      <c r="F332" s="312">
        <f t="shared" si="358"/>
        <v>0</v>
      </c>
      <c r="G332" s="312">
        <f t="shared" si="358"/>
        <v>0</v>
      </c>
      <c r="H332" s="312">
        <f t="shared" si="358"/>
        <v>0</v>
      </c>
      <c r="I332" s="312">
        <f t="shared" si="358"/>
        <v>0</v>
      </c>
      <c r="J332" s="312">
        <f t="shared" si="358"/>
        <v>83752293.939999998</v>
      </c>
      <c r="K332" s="312">
        <f t="shared" si="358"/>
        <v>83752293.939999998</v>
      </c>
      <c r="L332" s="312">
        <f t="shared" si="358"/>
        <v>0</v>
      </c>
      <c r="M332" s="312">
        <f t="shared" si="358"/>
        <v>0</v>
      </c>
      <c r="N332" s="312">
        <f t="shared" si="358"/>
        <v>0</v>
      </c>
      <c r="O332" s="312">
        <f t="shared" si="358"/>
        <v>83752293.939999998</v>
      </c>
      <c r="P332" s="312">
        <f t="shared" si="358"/>
        <v>83752293.939999998</v>
      </c>
      <c r="Q332" s="45"/>
      <c r="R332" s="46"/>
    </row>
    <row r="333" spans="1:18" ht="54" hidden="1" thickTop="1" thickBot="1" x14ac:dyDescent="0.25">
      <c r="A333" s="101" t="s">
        <v>927</v>
      </c>
      <c r="B333" s="101" t="s">
        <v>305</v>
      </c>
      <c r="C333" s="101" t="s">
        <v>304</v>
      </c>
      <c r="D333" s="101" t="s">
        <v>1497</v>
      </c>
      <c r="E333" s="325">
        <f t="shared" ref="E333" si="359">F333</f>
        <v>0</v>
      </c>
      <c r="F333" s="458"/>
      <c r="G333" s="458"/>
      <c r="H333" s="458"/>
      <c r="I333" s="458"/>
      <c r="J333" s="325">
        <f t="shared" ref="J333" si="360">L333+O333</f>
        <v>0</v>
      </c>
      <c r="K333" s="458">
        <v>0</v>
      </c>
      <c r="L333" s="458"/>
      <c r="M333" s="458"/>
      <c r="N333" s="458"/>
      <c r="O333" s="455">
        <f>K333</f>
        <v>0</v>
      </c>
      <c r="P333" s="325">
        <f t="shared" ref="P333" si="361">E333+J333</f>
        <v>0</v>
      </c>
      <c r="Q333" s="45"/>
      <c r="R333" s="46"/>
    </row>
    <row r="334" spans="1:18" ht="54.75" thickTop="1" thickBot="1" x14ac:dyDescent="0.25">
      <c r="A334" s="326" t="s">
        <v>820</v>
      </c>
      <c r="B334" s="326" t="s">
        <v>821</v>
      </c>
      <c r="C334" s="326"/>
      <c r="D334" s="326" t="s">
        <v>1503</v>
      </c>
      <c r="E334" s="322">
        <f>SUM(E335:E336)</f>
        <v>0</v>
      </c>
      <c r="F334" s="322">
        <f t="shared" ref="F334:P334" si="362">SUM(F335:F336)</f>
        <v>0</v>
      </c>
      <c r="G334" s="322">
        <f t="shared" si="362"/>
        <v>0</v>
      </c>
      <c r="H334" s="322">
        <f t="shared" si="362"/>
        <v>0</v>
      </c>
      <c r="I334" s="322">
        <f t="shared" si="362"/>
        <v>0</v>
      </c>
      <c r="J334" s="322">
        <f t="shared" si="362"/>
        <v>42025715.939999998</v>
      </c>
      <c r="K334" s="322">
        <f t="shared" si="362"/>
        <v>42025715.939999998</v>
      </c>
      <c r="L334" s="322">
        <f t="shared" si="362"/>
        <v>0</v>
      </c>
      <c r="M334" s="322">
        <f t="shared" si="362"/>
        <v>0</v>
      </c>
      <c r="N334" s="322">
        <f t="shared" si="362"/>
        <v>0</v>
      </c>
      <c r="O334" s="322">
        <f t="shared" si="362"/>
        <v>42025715.939999998</v>
      </c>
      <c r="P334" s="322">
        <f t="shared" si="362"/>
        <v>42025715.939999998</v>
      </c>
      <c r="Q334" s="45"/>
      <c r="R334" s="46"/>
    </row>
    <row r="335" spans="1:18" ht="54" thickTop="1" thickBot="1" x14ac:dyDescent="0.25">
      <c r="A335" s="101" t="s">
        <v>310</v>
      </c>
      <c r="B335" s="101" t="s">
        <v>311</v>
      </c>
      <c r="C335" s="101" t="s">
        <v>304</v>
      </c>
      <c r="D335" s="101" t="s">
        <v>1499</v>
      </c>
      <c r="E335" s="325">
        <f t="shared" si="348"/>
        <v>0</v>
      </c>
      <c r="F335" s="458"/>
      <c r="G335" s="458"/>
      <c r="H335" s="458"/>
      <c r="I335" s="458"/>
      <c r="J335" s="325">
        <f t="shared" si="338"/>
        <v>40925815.939999998</v>
      </c>
      <c r="K335" s="458">
        <f>(((13000000)+27425815.94)+9000000)-11000000+2500000</f>
        <v>40925815.939999998</v>
      </c>
      <c r="L335" s="458"/>
      <c r="M335" s="458"/>
      <c r="N335" s="458"/>
      <c r="O335" s="455">
        <f>K335</f>
        <v>40925815.939999998</v>
      </c>
      <c r="P335" s="325">
        <f t="shared" si="339"/>
        <v>40925815.939999998</v>
      </c>
      <c r="Q335" s="473"/>
      <c r="R335" s="46"/>
    </row>
    <row r="336" spans="1:18" ht="54" thickTop="1" thickBot="1" x14ac:dyDescent="0.25">
      <c r="A336" s="101" t="s">
        <v>516</v>
      </c>
      <c r="B336" s="101" t="s">
        <v>517</v>
      </c>
      <c r="C336" s="101" t="s">
        <v>304</v>
      </c>
      <c r="D336" s="101" t="s">
        <v>1504</v>
      </c>
      <c r="E336" s="325">
        <f t="shared" si="348"/>
        <v>0</v>
      </c>
      <c r="F336" s="458"/>
      <c r="G336" s="458"/>
      <c r="H336" s="458"/>
      <c r="I336" s="458"/>
      <c r="J336" s="325">
        <f t="shared" si="338"/>
        <v>1099900</v>
      </c>
      <c r="K336" s="458">
        <f>((0)+1000000)+99900</f>
        <v>1099900</v>
      </c>
      <c r="L336" s="458"/>
      <c r="M336" s="458"/>
      <c r="N336" s="458"/>
      <c r="O336" s="455">
        <f>K336</f>
        <v>1099900</v>
      </c>
      <c r="P336" s="325">
        <f t="shared" si="339"/>
        <v>1099900</v>
      </c>
      <c r="Q336" s="124"/>
      <c r="R336" s="46"/>
    </row>
    <row r="337" spans="1:18" ht="54" hidden="1" thickTop="1" thickBot="1" x14ac:dyDescent="0.25">
      <c r="A337" s="101" t="s">
        <v>312</v>
      </c>
      <c r="B337" s="101" t="s">
        <v>313</v>
      </c>
      <c r="C337" s="101" t="s">
        <v>304</v>
      </c>
      <c r="D337" s="101" t="s">
        <v>1505</v>
      </c>
      <c r="E337" s="325">
        <f t="shared" si="348"/>
        <v>0</v>
      </c>
      <c r="F337" s="458"/>
      <c r="G337" s="458"/>
      <c r="H337" s="458"/>
      <c r="I337" s="458"/>
      <c r="J337" s="325">
        <f t="shared" si="338"/>
        <v>0</v>
      </c>
      <c r="K337" s="458"/>
      <c r="L337" s="458"/>
      <c r="M337" s="458"/>
      <c r="N337" s="458"/>
      <c r="O337" s="455">
        <f>K337</f>
        <v>0</v>
      </c>
      <c r="P337" s="325">
        <f t="shared" si="339"/>
        <v>0</v>
      </c>
      <c r="Q337" s="124"/>
    </row>
    <row r="338" spans="1:18" ht="54" thickTop="1" thickBot="1" x14ac:dyDescent="0.3">
      <c r="A338" s="101" t="s">
        <v>314</v>
      </c>
      <c r="B338" s="101" t="s">
        <v>315</v>
      </c>
      <c r="C338" s="101" t="s">
        <v>304</v>
      </c>
      <c r="D338" s="101" t="s">
        <v>1500</v>
      </c>
      <c r="E338" s="325">
        <f>F338</f>
        <v>0</v>
      </c>
      <c r="F338" s="458"/>
      <c r="G338" s="458"/>
      <c r="H338" s="458"/>
      <c r="I338" s="458"/>
      <c r="J338" s="325">
        <f t="shared" si="338"/>
        <v>41726578</v>
      </c>
      <c r="K338" s="458">
        <f>((((3000000)+100000)+26578)+2600000)+36000000</f>
        <v>41726578</v>
      </c>
      <c r="L338" s="458"/>
      <c r="M338" s="458"/>
      <c r="N338" s="458"/>
      <c r="O338" s="455">
        <f>K338</f>
        <v>41726578</v>
      </c>
      <c r="P338" s="325">
        <f t="shared" si="339"/>
        <v>41726578</v>
      </c>
      <c r="Q338" s="160"/>
      <c r="R338" s="46"/>
    </row>
    <row r="339" spans="1:18" ht="48" hidden="1" thickTop="1" thickBot="1" x14ac:dyDescent="0.25">
      <c r="A339" s="41" t="s">
        <v>437</v>
      </c>
      <c r="B339" s="41" t="s">
        <v>350</v>
      </c>
      <c r="C339" s="41" t="s">
        <v>170</v>
      </c>
      <c r="D339" s="41" t="s">
        <v>262</v>
      </c>
      <c r="E339" s="42">
        <f>F339</f>
        <v>0</v>
      </c>
      <c r="F339" s="43"/>
      <c r="G339" s="43"/>
      <c r="H339" s="43"/>
      <c r="I339" s="43"/>
      <c r="J339" s="42">
        <f t="shared" si="338"/>
        <v>0</v>
      </c>
      <c r="K339" s="43">
        <v>0</v>
      </c>
      <c r="L339" s="43"/>
      <c r="M339" s="43"/>
      <c r="N339" s="43"/>
      <c r="O339" s="44">
        <f>K339</f>
        <v>0</v>
      </c>
      <c r="P339" s="42">
        <f t="shared" si="339"/>
        <v>0</v>
      </c>
      <c r="Q339" s="20"/>
      <c r="R339" s="46"/>
    </row>
    <row r="340" spans="1:18" ht="47.25" hidden="1" thickTop="1" thickBot="1" x14ac:dyDescent="0.25">
      <c r="A340" s="134" t="s">
        <v>989</v>
      </c>
      <c r="B340" s="134" t="s">
        <v>691</v>
      </c>
      <c r="C340" s="134"/>
      <c r="D340" s="134" t="s">
        <v>689</v>
      </c>
      <c r="E340" s="157">
        <f>E341</f>
        <v>0</v>
      </c>
      <c r="F340" s="157">
        <f>F341</f>
        <v>0</v>
      </c>
      <c r="G340" s="157">
        <f>G341</f>
        <v>0</v>
      </c>
      <c r="H340" s="157">
        <f>H341</f>
        <v>0</v>
      </c>
      <c r="I340" s="157">
        <f>I341</f>
        <v>0</v>
      </c>
      <c r="J340" s="157">
        <f t="shared" ref="J340:O340" si="363">J341</f>
        <v>0</v>
      </c>
      <c r="K340" s="157">
        <f t="shared" si="363"/>
        <v>0</v>
      </c>
      <c r="L340" s="157">
        <f t="shared" si="363"/>
        <v>0</v>
      </c>
      <c r="M340" s="157">
        <f t="shared" si="363"/>
        <v>0</v>
      </c>
      <c r="N340" s="157">
        <f t="shared" si="363"/>
        <v>0</v>
      </c>
      <c r="O340" s="157">
        <f t="shared" si="363"/>
        <v>0</v>
      </c>
      <c r="P340" s="157">
        <f>P341</f>
        <v>0</v>
      </c>
      <c r="Q340" s="20"/>
      <c r="R340" s="46"/>
    </row>
    <row r="341" spans="1:18" ht="48" hidden="1" thickTop="1" thickBot="1" x14ac:dyDescent="0.25">
      <c r="A341" s="138" t="s">
        <v>990</v>
      </c>
      <c r="B341" s="138" t="s">
        <v>694</v>
      </c>
      <c r="C341" s="138"/>
      <c r="D341" s="138" t="s">
        <v>797</v>
      </c>
      <c r="E341" s="156">
        <f>E342+E344</f>
        <v>0</v>
      </c>
      <c r="F341" s="156">
        <f t="shared" ref="F341:P341" si="364">F342+F344</f>
        <v>0</v>
      </c>
      <c r="G341" s="156">
        <f t="shared" si="364"/>
        <v>0</v>
      </c>
      <c r="H341" s="156">
        <f t="shared" si="364"/>
        <v>0</v>
      </c>
      <c r="I341" s="156">
        <f t="shared" si="364"/>
        <v>0</v>
      </c>
      <c r="J341" s="156">
        <f t="shared" si="364"/>
        <v>0</v>
      </c>
      <c r="K341" s="156">
        <f t="shared" si="364"/>
        <v>0</v>
      </c>
      <c r="L341" s="156">
        <f t="shared" si="364"/>
        <v>0</v>
      </c>
      <c r="M341" s="156">
        <f t="shared" si="364"/>
        <v>0</v>
      </c>
      <c r="N341" s="156">
        <f t="shared" si="364"/>
        <v>0</v>
      </c>
      <c r="O341" s="156">
        <f t="shared" si="364"/>
        <v>0</v>
      </c>
      <c r="P341" s="156">
        <f t="shared" si="364"/>
        <v>0</v>
      </c>
      <c r="Q341" s="20"/>
      <c r="R341" s="46"/>
    </row>
    <row r="342" spans="1:18" ht="184.5" hidden="1" thickTop="1" thickBot="1" x14ac:dyDescent="0.7">
      <c r="A342" s="788" t="s">
        <v>991</v>
      </c>
      <c r="B342" s="788" t="s">
        <v>338</v>
      </c>
      <c r="C342" s="788" t="s">
        <v>170</v>
      </c>
      <c r="D342" s="161" t="s">
        <v>440</v>
      </c>
      <c r="E342" s="789">
        <f t="shared" ref="E342" si="365">F342</f>
        <v>0</v>
      </c>
      <c r="F342" s="782"/>
      <c r="G342" s="782"/>
      <c r="H342" s="782"/>
      <c r="I342" s="782"/>
      <c r="J342" s="789">
        <f t="shared" ref="J342" si="366">L342+O342</f>
        <v>0</v>
      </c>
      <c r="K342" s="782"/>
      <c r="L342" s="782"/>
      <c r="M342" s="782"/>
      <c r="N342" s="782"/>
      <c r="O342" s="783">
        <f>K342</f>
        <v>0</v>
      </c>
      <c r="P342" s="785">
        <f>E342+J342</f>
        <v>0</v>
      </c>
      <c r="Q342" s="20"/>
      <c r="R342" s="46"/>
    </row>
    <row r="343" spans="1:18" ht="93" hidden="1" thickTop="1" thickBot="1" x14ac:dyDescent="0.25">
      <c r="A343" s="788"/>
      <c r="B343" s="788"/>
      <c r="C343" s="788"/>
      <c r="D343" s="162" t="s">
        <v>441</v>
      </c>
      <c r="E343" s="789"/>
      <c r="F343" s="782"/>
      <c r="G343" s="782"/>
      <c r="H343" s="782"/>
      <c r="I343" s="782"/>
      <c r="J343" s="789"/>
      <c r="K343" s="782"/>
      <c r="L343" s="782"/>
      <c r="M343" s="782"/>
      <c r="N343" s="782"/>
      <c r="O343" s="783"/>
      <c r="P343" s="785"/>
      <c r="Q343" s="20"/>
      <c r="R343" s="46"/>
    </row>
    <row r="344" spans="1:18" ht="48" hidden="1" thickTop="1" thickBot="1" x14ac:dyDescent="0.25">
      <c r="A344" s="126" t="s">
        <v>1193</v>
      </c>
      <c r="B344" s="126" t="s">
        <v>257</v>
      </c>
      <c r="C344" s="126" t="s">
        <v>170</v>
      </c>
      <c r="D344" s="154" t="s">
        <v>255</v>
      </c>
      <c r="E344" s="125">
        <f>F344</f>
        <v>0</v>
      </c>
      <c r="F344" s="132"/>
      <c r="G344" s="132"/>
      <c r="H344" s="132"/>
      <c r="I344" s="132"/>
      <c r="J344" s="125">
        <f t="shared" ref="J344" si="367">L344+O344</f>
        <v>0</v>
      </c>
      <c r="K344" s="132"/>
      <c r="L344" s="132"/>
      <c r="M344" s="132"/>
      <c r="N344" s="132"/>
      <c r="O344" s="130">
        <f>K344</f>
        <v>0</v>
      </c>
      <c r="P344" s="125">
        <f t="shared" ref="P344" si="368">E344+J344</f>
        <v>0</v>
      </c>
      <c r="Q344" s="20"/>
      <c r="R344" s="46"/>
    </row>
    <row r="345" spans="1:18" ht="120" customHeight="1" thickTop="1" thickBot="1" x14ac:dyDescent="0.25">
      <c r="A345" s="645" t="s">
        <v>160</v>
      </c>
      <c r="B345" s="645"/>
      <c r="C345" s="645"/>
      <c r="D345" s="646" t="s">
        <v>893</v>
      </c>
      <c r="E345" s="647">
        <f>E346</f>
        <v>8309836</v>
      </c>
      <c r="F345" s="648">
        <f t="shared" ref="F345:G345" si="369">F346</f>
        <v>8309836</v>
      </c>
      <c r="G345" s="648">
        <f t="shared" si="369"/>
        <v>6132550</v>
      </c>
      <c r="H345" s="648">
        <f>H346</f>
        <v>245635</v>
      </c>
      <c r="I345" s="648">
        <f t="shared" ref="I345" si="370">I346</f>
        <v>0</v>
      </c>
      <c r="J345" s="647">
        <f>J346</f>
        <v>0</v>
      </c>
      <c r="K345" s="648">
        <f>K346</f>
        <v>0</v>
      </c>
      <c r="L345" s="648">
        <f>L346</f>
        <v>0</v>
      </c>
      <c r="M345" s="648">
        <f t="shared" ref="M345" si="371">M346</f>
        <v>0</v>
      </c>
      <c r="N345" s="648">
        <f>N346</f>
        <v>0</v>
      </c>
      <c r="O345" s="647">
        <f>O346</f>
        <v>0</v>
      </c>
      <c r="P345" s="648">
        <f t="shared" ref="P345" si="372">P346</f>
        <v>8309836</v>
      </c>
      <c r="Q345" s="20"/>
    </row>
    <row r="346" spans="1:18" ht="120" customHeight="1" thickTop="1" thickBot="1" x14ac:dyDescent="0.25">
      <c r="A346" s="642" t="s">
        <v>161</v>
      </c>
      <c r="B346" s="642"/>
      <c r="C346" s="642"/>
      <c r="D346" s="643" t="s">
        <v>894</v>
      </c>
      <c r="E346" s="644">
        <f>E347+E351</f>
        <v>8309836</v>
      </c>
      <c r="F346" s="644">
        <f>F347+F351</f>
        <v>8309836</v>
      </c>
      <c r="G346" s="644">
        <f>G347+G351</f>
        <v>6132550</v>
      </c>
      <c r="H346" s="644">
        <f>H347+H351</f>
        <v>245635</v>
      </c>
      <c r="I346" s="644">
        <f>I347+I351</f>
        <v>0</v>
      </c>
      <c r="J346" s="644">
        <f>L346+O346</f>
        <v>0</v>
      </c>
      <c r="K346" s="644">
        <f>K347+K351</f>
        <v>0</v>
      </c>
      <c r="L346" s="644">
        <f>L347+L351</f>
        <v>0</v>
      </c>
      <c r="M346" s="644">
        <f>M347+M351</f>
        <v>0</v>
      </c>
      <c r="N346" s="644">
        <f>N347+N351</f>
        <v>0</v>
      </c>
      <c r="O346" s="644">
        <f>O347+O351</f>
        <v>0</v>
      </c>
      <c r="P346" s="644">
        <f>E346+J346</f>
        <v>8309836</v>
      </c>
      <c r="Q346" s="492" t="b">
        <f>P346=P348+P350</f>
        <v>1</v>
      </c>
      <c r="R346" s="46"/>
    </row>
    <row r="347" spans="1:18" ht="47.25" thickTop="1" thickBot="1" x14ac:dyDescent="0.25">
      <c r="A347" s="308" t="s">
        <v>822</v>
      </c>
      <c r="B347" s="308" t="s">
        <v>684</v>
      </c>
      <c r="C347" s="308"/>
      <c r="D347" s="308" t="s">
        <v>685</v>
      </c>
      <c r="E347" s="325">
        <f>SUM(E348:E350)</f>
        <v>8309836</v>
      </c>
      <c r="F347" s="325">
        <f t="shared" ref="F347:N347" si="373">SUM(F348:F350)</f>
        <v>8309836</v>
      </c>
      <c r="G347" s="325">
        <f t="shared" si="373"/>
        <v>6132550</v>
      </c>
      <c r="H347" s="325">
        <f t="shared" si="373"/>
        <v>245635</v>
      </c>
      <c r="I347" s="325">
        <f t="shared" si="373"/>
        <v>0</v>
      </c>
      <c r="J347" s="325">
        <f t="shared" si="373"/>
        <v>0</v>
      </c>
      <c r="K347" s="325">
        <f t="shared" si="373"/>
        <v>0</v>
      </c>
      <c r="L347" s="325">
        <f t="shared" si="373"/>
        <v>0</v>
      </c>
      <c r="M347" s="325">
        <f t="shared" si="373"/>
        <v>0</v>
      </c>
      <c r="N347" s="325">
        <f t="shared" si="373"/>
        <v>0</v>
      </c>
      <c r="O347" s="325">
        <f>SUM(O348:O350)</f>
        <v>0</v>
      </c>
      <c r="P347" s="325">
        <f>SUM(P348:P350)</f>
        <v>8309836</v>
      </c>
      <c r="Q347" s="47"/>
      <c r="R347" s="46"/>
    </row>
    <row r="348" spans="1:18" ht="93" thickTop="1" thickBot="1" x14ac:dyDescent="0.25">
      <c r="A348" s="101" t="s">
        <v>419</v>
      </c>
      <c r="B348" s="101" t="s">
        <v>236</v>
      </c>
      <c r="C348" s="101" t="s">
        <v>234</v>
      </c>
      <c r="D348" s="101" t="s">
        <v>235</v>
      </c>
      <c r="E348" s="325">
        <f>F348</f>
        <v>8209936</v>
      </c>
      <c r="F348" s="458">
        <v>8209936</v>
      </c>
      <c r="G348" s="458">
        <v>6132550</v>
      </c>
      <c r="H348" s="458">
        <v>245635</v>
      </c>
      <c r="I348" s="458"/>
      <c r="J348" s="325">
        <f>L348+O348</f>
        <v>0</v>
      </c>
      <c r="K348" s="458">
        <v>0</v>
      </c>
      <c r="L348" s="458"/>
      <c r="M348" s="458"/>
      <c r="N348" s="458"/>
      <c r="O348" s="455">
        <f>K348</f>
        <v>0</v>
      </c>
      <c r="P348" s="325">
        <f>E348+J348</f>
        <v>8209936</v>
      </c>
      <c r="Q348" s="47"/>
      <c r="R348" s="46"/>
    </row>
    <row r="349" spans="1:18" ht="93" hidden="1" thickTop="1" thickBot="1" x14ac:dyDescent="0.25">
      <c r="A349" s="126" t="s">
        <v>631</v>
      </c>
      <c r="B349" s="126" t="s">
        <v>362</v>
      </c>
      <c r="C349" s="126" t="s">
        <v>625</v>
      </c>
      <c r="D349" s="126" t="s">
        <v>626</v>
      </c>
      <c r="E349" s="150">
        <f>F349</f>
        <v>0</v>
      </c>
      <c r="F349" s="127">
        <v>0</v>
      </c>
      <c r="G349" s="127"/>
      <c r="H349" s="127"/>
      <c r="I349" s="127"/>
      <c r="J349" s="125">
        <f t="shared" ref="J349:J350" si="374">L349+O349</f>
        <v>0</v>
      </c>
      <c r="K349" s="127"/>
      <c r="L349" s="128"/>
      <c r="M349" s="128"/>
      <c r="N349" s="128"/>
      <c r="O349" s="130">
        <f t="shared" ref="O349:O350" si="375">K349</f>
        <v>0</v>
      </c>
      <c r="P349" s="125">
        <f t="shared" ref="P349" si="376">+J349+E349</f>
        <v>0</v>
      </c>
      <c r="Q349" s="47"/>
      <c r="R349" s="46"/>
    </row>
    <row r="350" spans="1:18" ht="69.75" customHeight="1" thickTop="1" thickBot="1" x14ac:dyDescent="0.25">
      <c r="A350" s="101" t="s">
        <v>1260</v>
      </c>
      <c r="B350" s="101" t="s">
        <v>43</v>
      </c>
      <c r="C350" s="101" t="s">
        <v>42</v>
      </c>
      <c r="D350" s="101" t="s">
        <v>248</v>
      </c>
      <c r="E350" s="325">
        <f t="shared" ref="E350" si="377">F350</f>
        <v>99900</v>
      </c>
      <c r="F350" s="458">
        <f>(0)+99900</f>
        <v>99900</v>
      </c>
      <c r="G350" s="458"/>
      <c r="H350" s="458"/>
      <c r="I350" s="458"/>
      <c r="J350" s="325">
        <f t="shared" si="374"/>
        <v>0</v>
      </c>
      <c r="K350" s="458"/>
      <c r="L350" s="458"/>
      <c r="M350" s="458"/>
      <c r="N350" s="458"/>
      <c r="O350" s="455">
        <f t="shared" si="375"/>
        <v>0</v>
      </c>
      <c r="P350" s="325">
        <f>E350+J350</f>
        <v>99900</v>
      </c>
      <c r="Q350" s="47"/>
      <c r="R350" s="46"/>
    </row>
    <row r="351" spans="1:18" ht="47.25" hidden="1" thickTop="1" thickBot="1" x14ac:dyDescent="0.25">
      <c r="A351" s="123" t="s">
        <v>909</v>
      </c>
      <c r="B351" s="123" t="s">
        <v>748</v>
      </c>
      <c r="C351" s="126"/>
      <c r="D351" s="123" t="s">
        <v>794</v>
      </c>
      <c r="E351" s="125">
        <f>E352</f>
        <v>0</v>
      </c>
      <c r="F351" s="125">
        <f t="shared" ref="F351:P352" si="378">F352</f>
        <v>0</v>
      </c>
      <c r="G351" s="125">
        <f t="shared" si="378"/>
        <v>0</v>
      </c>
      <c r="H351" s="125">
        <f t="shared" si="378"/>
        <v>0</v>
      </c>
      <c r="I351" s="125">
        <f t="shared" si="378"/>
        <v>0</v>
      </c>
      <c r="J351" s="125">
        <f t="shared" si="378"/>
        <v>0</v>
      </c>
      <c r="K351" s="125">
        <f t="shared" si="378"/>
        <v>0</v>
      </c>
      <c r="L351" s="125">
        <f t="shared" si="378"/>
        <v>0</v>
      </c>
      <c r="M351" s="125">
        <f t="shared" si="378"/>
        <v>0</v>
      </c>
      <c r="N351" s="125">
        <f t="shared" si="378"/>
        <v>0</v>
      </c>
      <c r="O351" s="125">
        <f t="shared" si="378"/>
        <v>0</v>
      </c>
      <c r="P351" s="125">
        <f t="shared" si="378"/>
        <v>0</v>
      </c>
      <c r="Q351" s="47"/>
      <c r="R351" s="46"/>
    </row>
    <row r="352" spans="1:18" ht="47.25" hidden="1" thickTop="1" thickBot="1" x14ac:dyDescent="0.25">
      <c r="A352" s="134" t="s">
        <v>910</v>
      </c>
      <c r="B352" s="134" t="s">
        <v>803</v>
      </c>
      <c r="C352" s="134"/>
      <c r="D352" s="134" t="s">
        <v>804</v>
      </c>
      <c r="E352" s="135">
        <f>E353</f>
        <v>0</v>
      </c>
      <c r="F352" s="135">
        <f t="shared" si="378"/>
        <v>0</v>
      </c>
      <c r="G352" s="135">
        <f t="shared" si="378"/>
        <v>0</v>
      </c>
      <c r="H352" s="135">
        <f t="shared" si="378"/>
        <v>0</v>
      </c>
      <c r="I352" s="135">
        <f t="shared" si="378"/>
        <v>0</v>
      </c>
      <c r="J352" s="135">
        <f t="shared" si="378"/>
        <v>0</v>
      </c>
      <c r="K352" s="135">
        <f t="shared" si="378"/>
        <v>0</v>
      </c>
      <c r="L352" s="135">
        <f t="shared" si="378"/>
        <v>0</v>
      </c>
      <c r="M352" s="135">
        <f t="shared" si="378"/>
        <v>0</v>
      </c>
      <c r="N352" s="135">
        <f t="shared" si="378"/>
        <v>0</v>
      </c>
      <c r="O352" s="135">
        <f t="shared" si="378"/>
        <v>0</v>
      </c>
      <c r="P352" s="135">
        <f t="shared" si="378"/>
        <v>0</v>
      </c>
      <c r="Q352" s="47"/>
      <c r="R352" s="46"/>
    </row>
    <row r="353" spans="1:18" ht="93" hidden="1" thickTop="1" thickBot="1" x14ac:dyDescent="0.25">
      <c r="A353" s="126" t="s">
        <v>911</v>
      </c>
      <c r="B353" s="126" t="s">
        <v>912</v>
      </c>
      <c r="C353" s="126" t="s">
        <v>304</v>
      </c>
      <c r="D353" s="126" t="s">
        <v>913</v>
      </c>
      <c r="E353" s="150">
        <f>F353</f>
        <v>0</v>
      </c>
      <c r="F353" s="127"/>
      <c r="G353" s="127"/>
      <c r="H353" s="127"/>
      <c r="I353" s="127"/>
      <c r="J353" s="125">
        <f t="shared" ref="J353" si="379">L353+O353</f>
        <v>0</v>
      </c>
      <c r="K353" s="127">
        <v>0</v>
      </c>
      <c r="L353" s="128"/>
      <c r="M353" s="128"/>
      <c r="N353" s="128"/>
      <c r="O353" s="130">
        <f t="shared" ref="O353" si="380">K353</f>
        <v>0</v>
      </c>
      <c r="P353" s="125">
        <f t="shared" ref="P353" si="381">+J353+E353</f>
        <v>0</v>
      </c>
      <c r="Q353" s="47"/>
      <c r="R353" s="46"/>
    </row>
    <row r="354" spans="1:18" ht="120" customHeight="1" thickTop="1" thickBot="1" x14ac:dyDescent="0.25">
      <c r="A354" s="645" t="s">
        <v>444</v>
      </c>
      <c r="B354" s="645"/>
      <c r="C354" s="645"/>
      <c r="D354" s="646" t="s">
        <v>446</v>
      </c>
      <c r="E354" s="647">
        <f>E355</f>
        <v>170804882</v>
      </c>
      <c r="F354" s="648">
        <f t="shared" ref="F354:G354" si="382">F355</f>
        <v>170804882</v>
      </c>
      <c r="G354" s="648">
        <f t="shared" si="382"/>
        <v>4332271</v>
      </c>
      <c r="H354" s="648">
        <f>H355</f>
        <v>189628</v>
      </c>
      <c r="I354" s="648">
        <f t="shared" ref="I354" si="383">I355</f>
        <v>0</v>
      </c>
      <c r="J354" s="647">
        <f>J355</f>
        <v>156500</v>
      </c>
      <c r="K354" s="648">
        <f>K355</f>
        <v>156500</v>
      </c>
      <c r="L354" s="648">
        <f>L355</f>
        <v>0</v>
      </c>
      <c r="M354" s="648">
        <f t="shared" ref="M354" si="384">M355</f>
        <v>0</v>
      </c>
      <c r="N354" s="648">
        <f>N355</f>
        <v>0</v>
      </c>
      <c r="O354" s="647">
        <f>O355</f>
        <v>156500</v>
      </c>
      <c r="P354" s="648">
        <f t="shared" ref="P354" si="385">P355</f>
        <v>170961382</v>
      </c>
      <c r="Q354" s="20"/>
    </row>
    <row r="355" spans="1:18" ht="120" customHeight="1" thickTop="1" thickBot="1" x14ac:dyDescent="0.25">
      <c r="A355" s="642" t="s">
        <v>445</v>
      </c>
      <c r="B355" s="642"/>
      <c r="C355" s="642"/>
      <c r="D355" s="643" t="s">
        <v>447</v>
      </c>
      <c r="E355" s="644">
        <f t="shared" ref="E355:O355" si="386">E356+E359+E368+E371</f>
        <v>170804882</v>
      </c>
      <c r="F355" s="644">
        <f t="shared" si="386"/>
        <v>170804882</v>
      </c>
      <c r="G355" s="644">
        <f t="shared" si="386"/>
        <v>4332271</v>
      </c>
      <c r="H355" s="644">
        <f t="shared" si="386"/>
        <v>189628</v>
      </c>
      <c r="I355" s="644">
        <f t="shared" si="386"/>
        <v>0</v>
      </c>
      <c r="J355" s="644">
        <f t="shared" si="386"/>
        <v>156500</v>
      </c>
      <c r="K355" s="644">
        <f t="shared" si="386"/>
        <v>156500</v>
      </c>
      <c r="L355" s="644">
        <f t="shared" si="386"/>
        <v>0</v>
      </c>
      <c r="M355" s="644">
        <f t="shared" si="386"/>
        <v>0</v>
      </c>
      <c r="N355" s="644">
        <f t="shared" si="386"/>
        <v>0</v>
      </c>
      <c r="O355" s="644">
        <f t="shared" si="386"/>
        <v>156500</v>
      </c>
      <c r="P355" s="644">
        <f>E355+J355</f>
        <v>170961382</v>
      </c>
      <c r="Q355" s="492" t="b">
        <f>P355=P357+P362+P364+P370+P367</f>
        <v>1</v>
      </c>
      <c r="R355" s="46"/>
    </row>
    <row r="356" spans="1:18" ht="47.25" thickTop="1" thickBot="1" x14ac:dyDescent="0.25">
      <c r="A356" s="308" t="s">
        <v>823</v>
      </c>
      <c r="B356" s="308" t="s">
        <v>684</v>
      </c>
      <c r="C356" s="308"/>
      <c r="D356" s="308" t="s">
        <v>685</v>
      </c>
      <c r="E356" s="325">
        <f>SUM(E357:E358)</f>
        <v>9955335</v>
      </c>
      <c r="F356" s="325">
        <f t="shared" ref="F356" si="387">SUM(F357:F358)</f>
        <v>9955335</v>
      </c>
      <c r="G356" s="325">
        <f t="shared" ref="G356" si="388">SUM(G357:G358)</f>
        <v>4332271</v>
      </c>
      <c r="H356" s="325">
        <f t="shared" ref="H356" si="389">SUM(H357:H358)</f>
        <v>189628</v>
      </c>
      <c r="I356" s="325">
        <f t="shared" ref="I356" si="390">SUM(I357:I358)</f>
        <v>0</v>
      </c>
      <c r="J356" s="325">
        <f t="shared" ref="J356" si="391">SUM(J357:J358)</f>
        <v>0</v>
      </c>
      <c r="K356" s="325">
        <f t="shared" ref="K356" si="392">SUM(K357:K358)</f>
        <v>0</v>
      </c>
      <c r="L356" s="325">
        <f t="shared" ref="L356" si="393">SUM(L357:L358)</f>
        <v>0</v>
      </c>
      <c r="M356" s="325">
        <f t="shared" ref="M356" si="394">SUM(M357:M358)</f>
        <v>0</v>
      </c>
      <c r="N356" s="325">
        <f t="shared" ref="N356" si="395">SUM(N357:N358)</f>
        <v>0</v>
      </c>
      <c r="O356" s="325">
        <f t="shared" ref="O356" si="396">SUM(O357:O358)</f>
        <v>0</v>
      </c>
      <c r="P356" s="325">
        <f t="shared" ref="P356" si="397">SUM(P357:P358)</f>
        <v>9955335</v>
      </c>
      <c r="Q356" s="47"/>
      <c r="R356" s="46"/>
    </row>
    <row r="357" spans="1:18" ht="93" thickTop="1" thickBot="1" x14ac:dyDescent="0.25">
      <c r="A357" s="101" t="s">
        <v>448</v>
      </c>
      <c r="B357" s="101" t="s">
        <v>236</v>
      </c>
      <c r="C357" s="101" t="s">
        <v>234</v>
      </c>
      <c r="D357" s="101" t="s">
        <v>235</v>
      </c>
      <c r="E357" s="325">
        <f>F357</f>
        <v>9955335</v>
      </c>
      <c r="F357" s="458">
        <v>9955335</v>
      </c>
      <c r="G357" s="458">
        <v>4332271</v>
      </c>
      <c r="H357" s="458">
        <v>189628</v>
      </c>
      <c r="I357" s="458"/>
      <c r="J357" s="325">
        <f>L357+O357</f>
        <v>0</v>
      </c>
      <c r="K357" s="458">
        <v>0</v>
      </c>
      <c r="L357" s="458"/>
      <c r="M357" s="458"/>
      <c r="N357" s="458"/>
      <c r="O357" s="455">
        <f>K357</f>
        <v>0</v>
      </c>
      <c r="P357" s="325">
        <f>E357+J357</f>
        <v>9955335</v>
      </c>
      <c r="Q357" s="47"/>
      <c r="R357" s="46"/>
    </row>
    <row r="358" spans="1:18" ht="93" hidden="1" thickTop="1" thickBot="1" x14ac:dyDescent="0.25">
      <c r="A358" s="126" t="s">
        <v>632</v>
      </c>
      <c r="B358" s="126" t="s">
        <v>362</v>
      </c>
      <c r="C358" s="126" t="s">
        <v>625</v>
      </c>
      <c r="D358" s="126" t="s">
        <v>626</v>
      </c>
      <c r="E358" s="125">
        <f>F358</f>
        <v>0</v>
      </c>
      <c r="F358" s="132">
        <v>0</v>
      </c>
      <c r="G358" s="132"/>
      <c r="H358" s="132"/>
      <c r="I358" s="132"/>
      <c r="J358" s="125">
        <f t="shared" ref="J358" si="398">L358+O358</f>
        <v>0</v>
      </c>
      <c r="K358" s="132"/>
      <c r="L358" s="132"/>
      <c r="M358" s="132"/>
      <c r="N358" s="132"/>
      <c r="O358" s="130">
        <f t="shared" ref="O358" si="399">K358</f>
        <v>0</v>
      </c>
      <c r="P358" s="125">
        <f t="shared" ref="P358" si="400">+J358+E358</f>
        <v>0</v>
      </c>
      <c r="Q358" s="47"/>
      <c r="R358" s="46"/>
    </row>
    <row r="359" spans="1:18" ht="47.25" thickTop="1" thickBot="1" x14ac:dyDescent="0.25">
      <c r="A359" s="308" t="s">
        <v>824</v>
      </c>
      <c r="B359" s="308" t="s">
        <v>748</v>
      </c>
      <c r="C359" s="101"/>
      <c r="D359" s="308" t="s">
        <v>794</v>
      </c>
      <c r="E359" s="325">
        <f>E360+E366</f>
        <v>158910533</v>
      </c>
      <c r="F359" s="325">
        <f t="shared" ref="F359:P359" si="401">F360+F366</f>
        <v>158910533</v>
      </c>
      <c r="G359" s="325">
        <f t="shared" si="401"/>
        <v>0</v>
      </c>
      <c r="H359" s="325">
        <f t="shared" si="401"/>
        <v>0</v>
      </c>
      <c r="I359" s="325">
        <f t="shared" si="401"/>
        <v>0</v>
      </c>
      <c r="J359" s="325">
        <f t="shared" si="401"/>
        <v>156500</v>
      </c>
      <c r="K359" s="325">
        <f t="shared" si="401"/>
        <v>156500</v>
      </c>
      <c r="L359" s="325">
        <f t="shared" si="401"/>
        <v>0</v>
      </c>
      <c r="M359" s="325">
        <f t="shared" si="401"/>
        <v>0</v>
      </c>
      <c r="N359" s="325">
        <f t="shared" si="401"/>
        <v>0</v>
      </c>
      <c r="O359" s="325">
        <f t="shared" si="401"/>
        <v>156500</v>
      </c>
      <c r="P359" s="325">
        <f t="shared" si="401"/>
        <v>159067033</v>
      </c>
      <c r="Q359" s="47"/>
      <c r="R359" s="50"/>
    </row>
    <row r="360" spans="1:18" ht="47.25" thickTop="1" thickBot="1" x14ac:dyDescent="0.25">
      <c r="A360" s="310" t="s">
        <v>825</v>
      </c>
      <c r="B360" s="310" t="s">
        <v>806</v>
      </c>
      <c r="C360" s="310"/>
      <c r="D360" s="310" t="s">
        <v>807</v>
      </c>
      <c r="E360" s="312">
        <f>E363+E365+E361</f>
        <v>158910533</v>
      </c>
      <c r="F360" s="312">
        <f t="shared" ref="F360:P360" si="402">F363+F365+F361</f>
        <v>158910533</v>
      </c>
      <c r="G360" s="312">
        <f t="shared" si="402"/>
        <v>0</v>
      </c>
      <c r="H360" s="312">
        <f t="shared" si="402"/>
        <v>0</v>
      </c>
      <c r="I360" s="312">
        <f t="shared" si="402"/>
        <v>0</v>
      </c>
      <c r="J360" s="312">
        <f t="shared" si="402"/>
        <v>0</v>
      </c>
      <c r="K360" s="312">
        <f t="shared" si="402"/>
        <v>0</v>
      </c>
      <c r="L360" s="312">
        <f t="shared" si="402"/>
        <v>0</v>
      </c>
      <c r="M360" s="312">
        <f t="shared" si="402"/>
        <v>0</v>
      </c>
      <c r="N360" s="312">
        <f t="shared" si="402"/>
        <v>0</v>
      </c>
      <c r="O360" s="312">
        <f t="shared" si="402"/>
        <v>0</v>
      </c>
      <c r="P360" s="312">
        <f t="shared" si="402"/>
        <v>158910533</v>
      </c>
      <c r="Q360" s="47"/>
      <c r="R360" s="50"/>
    </row>
    <row r="361" spans="1:18" ht="93" thickTop="1" thickBot="1" x14ac:dyDescent="0.25">
      <c r="A361" s="326" t="s">
        <v>1015</v>
      </c>
      <c r="B361" s="326" t="s">
        <v>1016</v>
      </c>
      <c r="C361" s="326"/>
      <c r="D361" s="326" t="s">
        <v>1014</v>
      </c>
      <c r="E361" s="322">
        <f>E362</f>
        <v>550000</v>
      </c>
      <c r="F361" s="322">
        <f t="shared" ref="F361:O361" si="403">F362</f>
        <v>550000</v>
      </c>
      <c r="G361" s="322">
        <f t="shared" si="403"/>
        <v>0</v>
      </c>
      <c r="H361" s="322">
        <f t="shared" si="403"/>
        <v>0</v>
      </c>
      <c r="I361" s="322">
        <f t="shared" si="403"/>
        <v>0</v>
      </c>
      <c r="J361" s="322">
        <f t="shared" si="403"/>
        <v>0</v>
      </c>
      <c r="K361" s="322">
        <f t="shared" si="403"/>
        <v>0</v>
      </c>
      <c r="L361" s="322">
        <f t="shared" si="403"/>
        <v>0</v>
      </c>
      <c r="M361" s="322">
        <f t="shared" si="403"/>
        <v>0</v>
      </c>
      <c r="N361" s="322">
        <f t="shared" si="403"/>
        <v>0</v>
      </c>
      <c r="O361" s="322">
        <f t="shared" si="403"/>
        <v>0</v>
      </c>
      <c r="P361" s="322">
        <f t="shared" ref="F361:P363" si="404">P362</f>
        <v>550000</v>
      </c>
      <c r="Q361" s="47"/>
      <c r="R361" s="50"/>
    </row>
    <row r="362" spans="1:18" ht="48" thickTop="1" thickBot="1" x14ac:dyDescent="0.25">
      <c r="A362" s="101" t="s">
        <v>467</v>
      </c>
      <c r="B362" s="101" t="s">
        <v>412</v>
      </c>
      <c r="C362" s="101" t="s">
        <v>413</v>
      </c>
      <c r="D362" s="101" t="s">
        <v>414</v>
      </c>
      <c r="E362" s="325">
        <f>F362</f>
        <v>550000</v>
      </c>
      <c r="F362" s="458">
        <f>(300000)+250000</f>
        <v>550000</v>
      </c>
      <c r="G362" s="458"/>
      <c r="H362" s="458"/>
      <c r="I362" s="458"/>
      <c r="J362" s="325">
        <f>L362+O362</f>
        <v>0</v>
      </c>
      <c r="K362" s="458"/>
      <c r="L362" s="458"/>
      <c r="M362" s="458"/>
      <c r="N362" s="458"/>
      <c r="O362" s="455">
        <f>K362</f>
        <v>0</v>
      </c>
      <c r="P362" s="325">
        <f>E362+J362</f>
        <v>550000</v>
      </c>
      <c r="Q362" s="47"/>
      <c r="R362" s="50"/>
    </row>
    <row r="363" spans="1:18" ht="93" thickTop="1" thickBot="1" x14ac:dyDescent="0.25">
      <c r="A363" s="326" t="s">
        <v>826</v>
      </c>
      <c r="B363" s="326" t="s">
        <v>827</v>
      </c>
      <c r="C363" s="326"/>
      <c r="D363" s="326" t="s">
        <v>828</v>
      </c>
      <c r="E363" s="322">
        <f>E364</f>
        <v>158360533</v>
      </c>
      <c r="F363" s="322">
        <f t="shared" si="404"/>
        <v>158360533</v>
      </c>
      <c r="G363" s="322">
        <f t="shared" si="404"/>
        <v>0</v>
      </c>
      <c r="H363" s="322">
        <f t="shared" si="404"/>
        <v>0</v>
      </c>
      <c r="I363" s="322">
        <f t="shared" si="404"/>
        <v>0</v>
      </c>
      <c r="J363" s="322">
        <f t="shared" si="404"/>
        <v>0</v>
      </c>
      <c r="K363" s="322">
        <f t="shared" si="404"/>
        <v>0</v>
      </c>
      <c r="L363" s="322">
        <f t="shared" si="404"/>
        <v>0</v>
      </c>
      <c r="M363" s="322">
        <f t="shared" si="404"/>
        <v>0</v>
      </c>
      <c r="N363" s="322">
        <f t="shared" si="404"/>
        <v>0</v>
      </c>
      <c r="O363" s="322">
        <f t="shared" si="404"/>
        <v>0</v>
      </c>
      <c r="P363" s="322">
        <f t="shared" si="404"/>
        <v>158360533</v>
      </c>
      <c r="Q363" s="47"/>
      <c r="R363" s="50"/>
    </row>
    <row r="364" spans="1:18" ht="48" thickTop="1" thickBot="1" x14ac:dyDescent="0.25">
      <c r="A364" s="101" t="s">
        <v>468</v>
      </c>
      <c r="B364" s="101" t="s">
        <v>291</v>
      </c>
      <c r="C364" s="101" t="s">
        <v>1366</v>
      </c>
      <c r="D364" s="101" t="s">
        <v>292</v>
      </c>
      <c r="E364" s="325">
        <f>F364</f>
        <v>158360533</v>
      </c>
      <c r="F364" s="458">
        <v>158360533</v>
      </c>
      <c r="G364" s="458"/>
      <c r="H364" s="458"/>
      <c r="I364" s="458"/>
      <c r="J364" s="325">
        <f>L364+O364</f>
        <v>0</v>
      </c>
      <c r="K364" s="458"/>
      <c r="L364" s="458"/>
      <c r="M364" s="458"/>
      <c r="N364" s="458"/>
      <c r="O364" s="455">
        <f>K364</f>
        <v>0</v>
      </c>
      <c r="P364" s="325">
        <f>E364+J364</f>
        <v>158360533</v>
      </c>
      <c r="Q364" s="47"/>
      <c r="R364" s="50"/>
    </row>
    <row r="365" spans="1:18" ht="48" hidden="1" thickTop="1" thickBot="1" x14ac:dyDescent="0.25">
      <c r="A365" s="126" t="s">
        <v>1097</v>
      </c>
      <c r="B365" s="126" t="s">
        <v>1098</v>
      </c>
      <c r="C365" s="126" t="s">
        <v>295</v>
      </c>
      <c r="D365" s="126" t="s">
        <v>1096</v>
      </c>
      <c r="E365" s="125">
        <f>F365</f>
        <v>0</v>
      </c>
      <c r="F365" s="132"/>
      <c r="G365" s="132"/>
      <c r="H365" s="132"/>
      <c r="I365" s="132"/>
      <c r="J365" s="125">
        <f>L365+O365</f>
        <v>0</v>
      </c>
      <c r="K365" s="132"/>
      <c r="L365" s="132"/>
      <c r="M365" s="132"/>
      <c r="N365" s="132"/>
      <c r="O365" s="130">
        <f>K365</f>
        <v>0</v>
      </c>
      <c r="P365" s="125">
        <f>E365+J365</f>
        <v>0</v>
      </c>
      <c r="Q365" s="47"/>
      <c r="R365" s="50"/>
    </row>
    <row r="366" spans="1:18" ht="47.25" thickTop="1" thickBot="1" x14ac:dyDescent="0.25">
      <c r="A366" s="310" t="s">
        <v>1173</v>
      </c>
      <c r="B366" s="310" t="s">
        <v>691</v>
      </c>
      <c r="C366" s="310"/>
      <c r="D366" s="310" t="s">
        <v>689</v>
      </c>
      <c r="E366" s="312">
        <f>E367</f>
        <v>0</v>
      </c>
      <c r="F366" s="312">
        <f t="shared" ref="F366:P366" si="405">F367</f>
        <v>0</v>
      </c>
      <c r="G366" s="312">
        <f t="shared" si="405"/>
        <v>0</v>
      </c>
      <c r="H366" s="312">
        <f t="shared" si="405"/>
        <v>0</v>
      </c>
      <c r="I366" s="312">
        <f t="shared" si="405"/>
        <v>0</v>
      </c>
      <c r="J366" s="312">
        <f t="shared" si="405"/>
        <v>156500</v>
      </c>
      <c r="K366" s="312">
        <f t="shared" si="405"/>
        <v>156500</v>
      </c>
      <c r="L366" s="312">
        <f t="shared" si="405"/>
        <v>0</v>
      </c>
      <c r="M366" s="312">
        <f t="shared" si="405"/>
        <v>0</v>
      </c>
      <c r="N366" s="312">
        <f t="shared" si="405"/>
        <v>0</v>
      </c>
      <c r="O366" s="312">
        <f t="shared" si="405"/>
        <v>156500</v>
      </c>
      <c r="P366" s="312">
        <f t="shared" si="405"/>
        <v>156500</v>
      </c>
      <c r="Q366" s="47"/>
      <c r="R366" s="50"/>
    </row>
    <row r="367" spans="1:18" ht="48" thickTop="1" thickBot="1" x14ac:dyDescent="0.25">
      <c r="A367" s="101" t="s">
        <v>1174</v>
      </c>
      <c r="B367" s="101" t="s">
        <v>197</v>
      </c>
      <c r="C367" s="101" t="s">
        <v>170</v>
      </c>
      <c r="D367" s="101" t="s">
        <v>1175</v>
      </c>
      <c r="E367" s="325">
        <f>F367</f>
        <v>0</v>
      </c>
      <c r="F367" s="458">
        <v>0</v>
      </c>
      <c r="G367" s="458"/>
      <c r="H367" s="458"/>
      <c r="I367" s="458"/>
      <c r="J367" s="325">
        <f>L367+O367</f>
        <v>156500</v>
      </c>
      <c r="K367" s="458">
        <f>(0)+156500</f>
        <v>156500</v>
      </c>
      <c r="L367" s="458"/>
      <c r="M367" s="458"/>
      <c r="N367" s="458"/>
      <c r="O367" s="455">
        <f>K367</f>
        <v>156500</v>
      </c>
      <c r="P367" s="325">
        <f>E367+J367</f>
        <v>156500</v>
      </c>
      <c r="Q367" s="47"/>
      <c r="R367" s="50"/>
    </row>
    <row r="368" spans="1:18" ht="47.25" thickTop="1" thickBot="1" x14ac:dyDescent="0.25">
      <c r="A368" s="308" t="s">
        <v>1219</v>
      </c>
      <c r="B368" s="308" t="s">
        <v>696</v>
      </c>
      <c r="C368" s="308"/>
      <c r="D368" s="308" t="s">
        <v>697</v>
      </c>
      <c r="E368" s="325">
        <f>E369</f>
        <v>1939014</v>
      </c>
      <c r="F368" s="325">
        <f t="shared" ref="F368:P368" si="406">F369</f>
        <v>1939014</v>
      </c>
      <c r="G368" s="325">
        <f t="shared" si="406"/>
        <v>0</v>
      </c>
      <c r="H368" s="325">
        <f t="shared" si="406"/>
        <v>0</v>
      </c>
      <c r="I368" s="325">
        <f t="shared" si="406"/>
        <v>0</v>
      </c>
      <c r="J368" s="325">
        <f t="shared" si="406"/>
        <v>0</v>
      </c>
      <c r="K368" s="325">
        <f t="shared" si="406"/>
        <v>0</v>
      </c>
      <c r="L368" s="325">
        <f t="shared" si="406"/>
        <v>0</v>
      </c>
      <c r="M368" s="325">
        <f t="shared" si="406"/>
        <v>0</v>
      </c>
      <c r="N368" s="325">
        <f t="shared" si="406"/>
        <v>0</v>
      </c>
      <c r="O368" s="325">
        <f t="shared" si="406"/>
        <v>0</v>
      </c>
      <c r="P368" s="325">
        <f t="shared" si="406"/>
        <v>1939014</v>
      </c>
      <c r="Q368" s="47"/>
      <c r="R368" s="50"/>
    </row>
    <row r="369" spans="1:18" ht="47.25" thickTop="1" thickBot="1" x14ac:dyDescent="0.25">
      <c r="A369" s="310" t="s">
        <v>1220</v>
      </c>
      <c r="B369" s="310" t="s">
        <v>1186</v>
      </c>
      <c r="C369" s="310"/>
      <c r="D369" s="310" t="s">
        <v>1184</v>
      </c>
      <c r="E369" s="312">
        <f>E370</f>
        <v>1939014</v>
      </c>
      <c r="F369" s="312">
        <f>F370</f>
        <v>1939014</v>
      </c>
      <c r="G369" s="312">
        <f t="shared" ref="G369:O369" si="407">G370</f>
        <v>0</v>
      </c>
      <c r="H369" s="312">
        <f t="shared" si="407"/>
        <v>0</v>
      </c>
      <c r="I369" s="312">
        <f t="shared" si="407"/>
        <v>0</v>
      </c>
      <c r="J369" s="312">
        <f t="shared" si="407"/>
        <v>0</v>
      </c>
      <c r="K369" s="312">
        <f t="shared" si="407"/>
        <v>0</v>
      </c>
      <c r="L369" s="312">
        <f t="shared" si="407"/>
        <v>0</v>
      </c>
      <c r="M369" s="312">
        <f t="shared" si="407"/>
        <v>0</v>
      </c>
      <c r="N369" s="312">
        <f t="shared" si="407"/>
        <v>0</v>
      </c>
      <c r="O369" s="312">
        <f t="shared" si="407"/>
        <v>0</v>
      </c>
      <c r="P369" s="312">
        <f>P370</f>
        <v>1939014</v>
      </c>
      <c r="Q369" s="47"/>
      <c r="R369" s="50"/>
    </row>
    <row r="370" spans="1:18" ht="48" thickTop="1" thickBot="1" x14ac:dyDescent="0.25">
      <c r="A370" s="101" t="s">
        <v>1221</v>
      </c>
      <c r="B370" s="101" t="s">
        <v>1222</v>
      </c>
      <c r="C370" s="101" t="s">
        <v>1188</v>
      </c>
      <c r="D370" s="101" t="s">
        <v>1223</v>
      </c>
      <c r="E370" s="325">
        <f>F370</f>
        <v>1939014</v>
      </c>
      <c r="F370" s="458">
        <f>(2189014)-250000</f>
        <v>1939014</v>
      </c>
      <c r="G370" s="458"/>
      <c r="H370" s="458"/>
      <c r="I370" s="458"/>
      <c r="J370" s="325">
        <f>L370+O370</f>
        <v>0</v>
      </c>
      <c r="K370" s="458"/>
      <c r="L370" s="458"/>
      <c r="M370" s="458"/>
      <c r="N370" s="458"/>
      <c r="O370" s="455">
        <f>K370</f>
        <v>0</v>
      </c>
      <c r="P370" s="325">
        <f>E370+J370</f>
        <v>1939014</v>
      </c>
      <c r="Q370" s="47"/>
      <c r="R370" s="50"/>
    </row>
    <row r="371" spans="1:18" ht="47.25" hidden="1" thickTop="1" thickBot="1" x14ac:dyDescent="0.25">
      <c r="A371" s="123" t="s">
        <v>1333</v>
      </c>
      <c r="B371" s="123" t="s">
        <v>702</v>
      </c>
      <c r="C371" s="123"/>
      <c r="D371" s="123" t="s">
        <v>703</v>
      </c>
      <c r="E371" s="125">
        <f t="shared" ref="E371:P371" si="408">E372</f>
        <v>0</v>
      </c>
      <c r="F371" s="125">
        <f t="shared" si="408"/>
        <v>0</v>
      </c>
      <c r="G371" s="125">
        <f t="shared" si="408"/>
        <v>0</v>
      </c>
      <c r="H371" s="125">
        <f t="shared" si="408"/>
        <v>0</v>
      </c>
      <c r="I371" s="125">
        <f t="shared" si="408"/>
        <v>0</v>
      </c>
      <c r="J371" s="125">
        <f t="shared" si="408"/>
        <v>0</v>
      </c>
      <c r="K371" s="125">
        <f t="shared" si="408"/>
        <v>0</v>
      </c>
      <c r="L371" s="125">
        <f t="shared" si="408"/>
        <v>0</v>
      </c>
      <c r="M371" s="125">
        <f t="shared" si="408"/>
        <v>0</v>
      </c>
      <c r="N371" s="125">
        <f t="shared" si="408"/>
        <v>0</v>
      </c>
      <c r="O371" s="125">
        <f t="shared" si="408"/>
        <v>0</v>
      </c>
      <c r="P371" s="125">
        <f t="shared" si="408"/>
        <v>0</v>
      </c>
      <c r="Q371" s="47"/>
      <c r="R371" s="50"/>
    </row>
    <row r="372" spans="1:18" ht="91.5" hidden="1" thickTop="1" thickBot="1" x14ac:dyDescent="0.25">
      <c r="A372" s="134" t="s">
        <v>1334</v>
      </c>
      <c r="B372" s="134" t="s">
        <v>514</v>
      </c>
      <c r="C372" s="134" t="s">
        <v>43</v>
      </c>
      <c r="D372" s="134" t="s">
        <v>515</v>
      </c>
      <c r="E372" s="135">
        <f t="shared" ref="E372" si="409">F372</f>
        <v>0</v>
      </c>
      <c r="F372" s="135">
        <v>0</v>
      </c>
      <c r="G372" s="135"/>
      <c r="H372" s="135"/>
      <c r="I372" s="135"/>
      <c r="J372" s="135">
        <f>L372+O372</f>
        <v>0</v>
      </c>
      <c r="K372" s="132"/>
      <c r="L372" s="135"/>
      <c r="M372" s="135"/>
      <c r="N372" s="135"/>
      <c r="O372" s="135">
        <f>(K372+0)</f>
        <v>0</v>
      </c>
      <c r="P372" s="135">
        <f>E372+J372</f>
        <v>0</v>
      </c>
      <c r="Q372" s="47"/>
      <c r="R372" s="50"/>
    </row>
    <row r="373" spans="1:18" ht="120" customHeight="1" thickTop="1" thickBot="1" x14ac:dyDescent="0.25">
      <c r="A373" s="645" t="s">
        <v>166</v>
      </c>
      <c r="B373" s="645"/>
      <c r="C373" s="645"/>
      <c r="D373" s="646" t="s">
        <v>354</v>
      </c>
      <c r="E373" s="647">
        <f>E374</f>
        <v>14024342</v>
      </c>
      <c r="F373" s="648">
        <f t="shared" ref="F373:G373" si="410">F374</f>
        <v>14024342</v>
      </c>
      <c r="G373" s="648">
        <f t="shared" si="410"/>
        <v>0</v>
      </c>
      <c r="H373" s="648">
        <f>H374</f>
        <v>0</v>
      </c>
      <c r="I373" s="648">
        <f t="shared" ref="I373" si="411">I374</f>
        <v>0</v>
      </c>
      <c r="J373" s="647">
        <f>J374</f>
        <v>469958</v>
      </c>
      <c r="K373" s="648">
        <f>K374</f>
        <v>469958</v>
      </c>
      <c r="L373" s="648">
        <f>L374</f>
        <v>0</v>
      </c>
      <c r="M373" s="648">
        <f t="shared" ref="M373" si="412">M374</f>
        <v>0</v>
      </c>
      <c r="N373" s="648">
        <f>N374</f>
        <v>0</v>
      </c>
      <c r="O373" s="647">
        <f>O374</f>
        <v>469958</v>
      </c>
      <c r="P373" s="648">
        <f t="shared" ref="P373" si="413">P374</f>
        <v>14494300</v>
      </c>
      <c r="Q373" s="20"/>
    </row>
    <row r="374" spans="1:18" ht="120" customHeight="1" thickTop="1" thickBot="1" x14ac:dyDescent="0.25">
      <c r="A374" s="642" t="s">
        <v>167</v>
      </c>
      <c r="B374" s="642"/>
      <c r="C374" s="642"/>
      <c r="D374" s="643" t="s">
        <v>355</v>
      </c>
      <c r="E374" s="644">
        <f>E378+E390+E387+E375</f>
        <v>14024342</v>
      </c>
      <c r="F374" s="644">
        <f>F378+F390+F387+F375</f>
        <v>14024342</v>
      </c>
      <c r="G374" s="644">
        <f>G378+G390+G387+G375</f>
        <v>0</v>
      </c>
      <c r="H374" s="644">
        <f>H378+H390+H387+H375</f>
        <v>0</v>
      </c>
      <c r="I374" s="644">
        <f>I378+I390+I387+I375</f>
        <v>0</v>
      </c>
      <c r="J374" s="644">
        <f>L374+O374</f>
        <v>469958</v>
      </c>
      <c r="K374" s="644">
        <f>K378+K390+K387+K375</f>
        <v>469958</v>
      </c>
      <c r="L374" s="644">
        <f>L378+L390+L387+L375</f>
        <v>0</v>
      </c>
      <c r="M374" s="644">
        <f>M378+M390+M387+M375</f>
        <v>0</v>
      </c>
      <c r="N374" s="644">
        <f>N378+N390+N387+N375</f>
        <v>0</v>
      </c>
      <c r="O374" s="644">
        <f>O378+O390+O387+O375</f>
        <v>469958</v>
      </c>
      <c r="P374" s="644">
        <f>E374+J374</f>
        <v>14494300</v>
      </c>
      <c r="Q374" s="492" t="b">
        <f>P374=P380+P382+P383+P384+P376+P389+P377</f>
        <v>1</v>
      </c>
      <c r="R374" s="46"/>
    </row>
    <row r="375" spans="1:18" ht="47.25" thickTop="1" thickBot="1" x14ac:dyDescent="0.25">
      <c r="A375" s="308" t="s">
        <v>1307</v>
      </c>
      <c r="B375" s="308" t="s">
        <v>711</v>
      </c>
      <c r="C375" s="308"/>
      <c r="D375" s="308" t="s">
        <v>712</v>
      </c>
      <c r="E375" s="325">
        <f t="shared" ref="E375:P375" si="414">SUM(E376:E377)</f>
        <v>1004802</v>
      </c>
      <c r="F375" s="325">
        <f t="shared" si="414"/>
        <v>1004802</v>
      </c>
      <c r="G375" s="325">
        <f t="shared" si="414"/>
        <v>0</v>
      </c>
      <c r="H375" s="325">
        <f t="shared" si="414"/>
        <v>0</v>
      </c>
      <c r="I375" s="325">
        <f t="shared" si="414"/>
        <v>0</v>
      </c>
      <c r="J375" s="325">
        <f t="shared" si="414"/>
        <v>345998</v>
      </c>
      <c r="K375" s="325">
        <f t="shared" si="414"/>
        <v>345998</v>
      </c>
      <c r="L375" s="325">
        <f t="shared" si="414"/>
        <v>0</v>
      </c>
      <c r="M375" s="325">
        <f t="shared" si="414"/>
        <v>0</v>
      </c>
      <c r="N375" s="325">
        <f t="shared" si="414"/>
        <v>0</v>
      </c>
      <c r="O375" s="325">
        <f t="shared" si="414"/>
        <v>345998</v>
      </c>
      <c r="P375" s="325">
        <f t="shared" si="414"/>
        <v>1350800</v>
      </c>
      <c r="Q375" s="47"/>
      <c r="R375" s="46"/>
    </row>
    <row r="376" spans="1:18" ht="93" thickTop="1" thickBot="1" x14ac:dyDescent="0.25">
      <c r="A376" s="101" t="s">
        <v>1308</v>
      </c>
      <c r="B376" s="101" t="s">
        <v>1200</v>
      </c>
      <c r="C376" s="101" t="s">
        <v>206</v>
      </c>
      <c r="D376" s="466" t="s">
        <v>1201</v>
      </c>
      <c r="E376" s="325">
        <f t="shared" ref="E376:E377" si="415">F376</f>
        <v>376502</v>
      </c>
      <c r="F376" s="458">
        <f>(500000)+6668-130166</f>
        <v>376502</v>
      </c>
      <c r="G376" s="458"/>
      <c r="H376" s="458"/>
      <c r="I376" s="458"/>
      <c r="J376" s="325">
        <f>L376+O376</f>
        <v>122498</v>
      </c>
      <c r="K376" s="458">
        <f>(350000)-227502</f>
        <v>122498</v>
      </c>
      <c r="L376" s="458"/>
      <c r="M376" s="458"/>
      <c r="N376" s="458"/>
      <c r="O376" s="455">
        <f>K376</f>
        <v>122498</v>
      </c>
      <c r="P376" s="325">
        <f>E376+J376</f>
        <v>499000</v>
      </c>
      <c r="Q376" s="47"/>
      <c r="R376" s="46"/>
    </row>
    <row r="377" spans="1:18" ht="54" customHeight="1" thickTop="1" thickBot="1" x14ac:dyDescent="0.25">
      <c r="A377" s="101" t="s">
        <v>1620</v>
      </c>
      <c r="B377" s="101" t="s">
        <v>330</v>
      </c>
      <c r="C377" s="101" t="s">
        <v>191</v>
      </c>
      <c r="D377" s="466" t="s">
        <v>332</v>
      </c>
      <c r="E377" s="325">
        <f t="shared" si="415"/>
        <v>628300</v>
      </c>
      <c r="F377" s="458">
        <f>(0)+219180+409120</f>
        <v>628300</v>
      </c>
      <c r="G377" s="132"/>
      <c r="H377" s="132"/>
      <c r="I377" s="132"/>
      <c r="J377" s="325">
        <f t="shared" ref="J377" si="416">L377+O377</f>
        <v>223500</v>
      </c>
      <c r="K377" s="458">
        <f>(0)+223500</f>
        <v>223500</v>
      </c>
      <c r="L377" s="458"/>
      <c r="M377" s="458"/>
      <c r="N377" s="458"/>
      <c r="O377" s="455">
        <f t="shared" ref="O377" si="417">K377</f>
        <v>223500</v>
      </c>
      <c r="P377" s="325">
        <f t="shared" ref="P377" si="418">E377+J377</f>
        <v>851800</v>
      </c>
      <c r="Q377" s="47"/>
      <c r="R377" s="46"/>
    </row>
    <row r="378" spans="1:18" ht="44.25" customHeight="1" thickTop="1" thickBot="1" x14ac:dyDescent="0.25">
      <c r="A378" s="308" t="s">
        <v>829</v>
      </c>
      <c r="B378" s="308" t="s">
        <v>748</v>
      </c>
      <c r="C378" s="101"/>
      <c r="D378" s="308" t="s">
        <v>794</v>
      </c>
      <c r="E378" s="576">
        <f t="shared" ref="E378:P378" si="419">E381+E379</f>
        <v>12603500</v>
      </c>
      <c r="F378" s="576">
        <f t="shared" si="419"/>
        <v>12603500</v>
      </c>
      <c r="G378" s="576">
        <f t="shared" si="419"/>
        <v>0</v>
      </c>
      <c r="H378" s="576">
        <f t="shared" si="419"/>
        <v>0</v>
      </c>
      <c r="I378" s="576">
        <f t="shared" si="419"/>
        <v>0</v>
      </c>
      <c r="J378" s="576">
        <f t="shared" si="419"/>
        <v>0</v>
      </c>
      <c r="K378" s="576">
        <f t="shared" si="419"/>
        <v>0</v>
      </c>
      <c r="L378" s="576">
        <f t="shared" si="419"/>
        <v>0</v>
      </c>
      <c r="M378" s="576">
        <f t="shared" si="419"/>
        <v>0</v>
      </c>
      <c r="N378" s="576">
        <f t="shared" si="419"/>
        <v>0</v>
      </c>
      <c r="O378" s="576">
        <f t="shared" si="419"/>
        <v>0</v>
      </c>
      <c r="P378" s="576">
        <f t="shared" si="419"/>
        <v>12603500</v>
      </c>
      <c r="Q378" s="47"/>
      <c r="R378" s="46"/>
    </row>
    <row r="379" spans="1:18" ht="47.25" thickTop="1" thickBot="1" x14ac:dyDescent="0.25">
      <c r="A379" s="310" t="s">
        <v>1012</v>
      </c>
      <c r="B379" s="310" t="s">
        <v>803</v>
      </c>
      <c r="C379" s="310"/>
      <c r="D379" s="310" t="s">
        <v>804</v>
      </c>
      <c r="E379" s="575">
        <f>E380</f>
        <v>50000</v>
      </c>
      <c r="F379" s="575">
        <f>F380</f>
        <v>50000</v>
      </c>
      <c r="G379" s="575">
        <f t="shared" ref="G379:O379" si="420">G380</f>
        <v>0</v>
      </c>
      <c r="H379" s="575">
        <f t="shared" si="420"/>
        <v>0</v>
      </c>
      <c r="I379" s="575">
        <f t="shared" si="420"/>
        <v>0</v>
      </c>
      <c r="J379" s="575">
        <f t="shared" si="420"/>
        <v>0</v>
      </c>
      <c r="K379" s="575">
        <f t="shared" si="420"/>
        <v>0</v>
      </c>
      <c r="L379" s="575">
        <f t="shared" si="420"/>
        <v>0</v>
      </c>
      <c r="M379" s="575">
        <f t="shared" si="420"/>
        <v>0</v>
      </c>
      <c r="N379" s="575">
        <f t="shared" si="420"/>
        <v>0</v>
      </c>
      <c r="O379" s="575">
        <f t="shared" si="420"/>
        <v>0</v>
      </c>
      <c r="P379" s="575">
        <f>P380</f>
        <v>50000</v>
      </c>
      <c r="Q379" s="47"/>
      <c r="R379" s="46"/>
    </row>
    <row r="380" spans="1:18" ht="48" thickTop="1" thickBot="1" x14ac:dyDescent="0.25">
      <c r="A380" s="101" t="s">
        <v>1013</v>
      </c>
      <c r="B380" s="101" t="s">
        <v>350</v>
      </c>
      <c r="C380" s="101" t="s">
        <v>170</v>
      </c>
      <c r="D380" s="101" t="s">
        <v>262</v>
      </c>
      <c r="E380" s="325">
        <f t="shared" ref="E380" si="421">F380</f>
        <v>50000</v>
      </c>
      <c r="F380" s="458">
        <f>(50000)</f>
        <v>50000</v>
      </c>
      <c r="G380" s="458"/>
      <c r="H380" s="458"/>
      <c r="I380" s="458"/>
      <c r="J380" s="325">
        <f t="shared" ref="J380" si="422">L380+O380</f>
        <v>0</v>
      </c>
      <c r="K380" s="458">
        <f>((0)+5000000-1000000)-4000000</f>
        <v>0</v>
      </c>
      <c r="L380" s="458"/>
      <c r="M380" s="458"/>
      <c r="N380" s="458"/>
      <c r="O380" s="455">
        <f>K380</f>
        <v>0</v>
      </c>
      <c r="P380" s="325">
        <f t="shared" ref="P380" si="423">E380+J380</f>
        <v>50000</v>
      </c>
      <c r="Q380" s="47"/>
      <c r="R380" s="46"/>
    </row>
    <row r="381" spans="1:18" ht="47.25" thickTop="1" thickBot="1" x14ac:dyDescent="0.25">
      <c r="A381" s="310" t="s">
        <v>830</v>
      </c>
      <c r="B381" s="310" t="s">
        <v>691</v>
      </c>
      <c r="C381" s="310"/>
      <c r="D381" s="310" t="s">
        <v>689</v>
      </c>
      <c r="E381" s="575">
        <f>SUM(E382:E386)-E385</f>
        <v>12553500</v>
      </c>
      <c r="F381" s="575">
        <f t="shared" ref="F381:P381" si="424">SUM(F382:F386)-F385</f>
        <v>12553500</v>
      </c>
      <c r="G381" s="575">
        <f t="shared" si="424"/>
        <v>0</v>
      </c>
      <c r="H381" s="575">
        <f t="shared" si="424"/>
        <v>0</v>
      </c>
      <c r="I381" s="575">
        <f t="shared" si="424"/>
        <v>0</v>
      </c>
      <c r="J381" s="575">
        <f>SUM(J382:J386)-J385</f>
        <v>0</v>
      </c>
      <c r="K381" s="575">
        <f t="shared" si="424"/>
        <v>0</v>
      </c>
      <c r="L381" s="575">
        <f t="shared" si="424"/>
        <v>0</v>
      </c>
      <c r="M381" s="575">
        <f t="shared" si="424"/>
        <v>0</v>
      </c>
      <c r="N381" s="575">
        <f t="shared" si="424"/>
        <v>0</v>
      </c>
      <c r="O381" s="575">
        <f t="shared" si="424"/>
        <v>0</v>
      </c>
      <c r="P381" s="575">
        <f t="shared" si="424"/>
        <v>12553500</v>
      </c>
      <c r="Q381" s="47"/>
      <c r="R381" s="46"/>
    </row>
    <row r="382" spans="1:18" ht="48" thickTop="1" thickBot="1" x14ac:dyDescent="0.25">
      <c r="A382" s="101" t="s">
        <v>260</v>
      </c>
      <c r="B382" s="101" t="s">
        <v>261</v>
      </c>
      <c r="C382" s="101" t="s">
        <v>259</v>
      </c>
      <c r="D382" s="101" t="s">
        <v>258</v>
      </c>
      <c r="E382" s="325">
        <f t="shared" ref="E382:E386" si="425">F382</f>
        <v>11948500</v>
      </c>
      <c r="F382" s="458">
        <f>((2045000)+6200000)+50000+120000+33500+500000+5000000-2000000</f>
        <v>11948500</v>
      </c>
      <c r="G382" s="458"/>
      <c r="H382" s="458"/>
      <c r="I382" s="458"/>
      <c r="J382" s="325">
        <f t="shared" ref="J382:J386" si="426">L382+O382</f>
        <v>0</v>
      </c>
      <c r="K382" s="458"/>
      <c r="L382" s="458"/>
      <c r="M382" s="458"/>
      <c r="N382" s="458"/>
      <c r="O382" s="455">
        <f>K382</f>
        <v>0</v>
      </c>
      <c r="P382" s="325">
        <f t="shared" ref="P382:P386" si="427">E382+J382</f>
        <v>11948500</v>
      </c>
      <c r="Q382" s="20"/>
      <c r="R382" s="46"/>
    </row>
    <row r="383" spans="1:18" ht="48" thickTop="1" thickBot="1" x14ac:dyDescent="0.25">
      <c r="A383" s="101" t="s">
        <v>252</v>
      </c>
      <c r="B383" s="101" t="s">
        <v>254</v>
      </c>
      <c r="C383" s="101" t="s">
        <v>213</v>
      </c>
      <c r="D383" s="101" t="s">
        <v>253</v>
      </c>
      <c r="E383" s="325">
        <f t="shared" si="425"/>
        <v>605000</v>
      </c>
      <c r="F383" s="458">
        <f>(505000)+100000</f>
        <v>605000</v>
      </c>
      <c r="G383" s="458"/>
      <c r="H383" s="458"/>
      <c r="I383" s="458"/>
      <c r="J383" s="325">
        <f t="shared" si="426"/>
        <v>0</v>
      </c>
      <c r="K383" s="458"/>
      <c r="L383" s="458"/>
      <c r="M383" s="458"/>
      <c r="N383" s="458"/>
      <c r="O383" s="455">
        <f>K383</f>
        <v>0</v>
      </c>
      <c r="P383" s="325">
        <f t="shared" si="427"/>
        <v>605000</v>
      </c>
      <c r="Q383" s="20"/>
      <c r="R383" s="46"/>
    </row>
    <row r="384" spans="1:18" ht="48" hidden="1" thickTop="1" thickBot="1" x14ac:dyDescent="0.25">
      <c r="A384" s="101" t="s">
        <v>1302</v>
      </c>
      <c r="B384" s="101" t="s">
        <v>212</v>
      </c>
      <c r="C384" s="101" t="s">
        <v>213</v>
      </c>
      <c r="D384" s="101" t="s">
        <v>41</v>
      </c>
      <c r="E384" s="325">
        <f t="shared" ref="E384" si="428">F384</f>
        <v>0</v>
      </c>
      <c r="F384" s="458">
        <f>(200000)-200000</f>
        <v>0</v>
      </c>
      <c r="G384" s="458"/>
      <c r="H384" s="458"/>
      <c r="I384" s="458"/>
      <c r="J384" s="325">
        <f t="shared" ref="J384" si="429">L384+O384</f>
        <v>0</v>
      </c>
      <c r="K384" s="458">
        <f>(100000)-100000</f>
        <v>0</v>
      </c>
      <c r="L384" s="458"/>
      <c r="M384" s="458"/>
      <c r="N384" s="458"/>
      <c r="O384" s="455">
        <f>K384</f>
        <v>0</v>
      </c>
      <c r="P384" s="325">
        <f t="shared" ref="P384" si="430">E384+J384</f>
        <v>0</v>
      </c>
      <c r="Q384" s="20"/>
      <c r="R384" s="46"/>
    </row>
    <row r="385" spans="1:18" ht="48" hidden="1" thickTop="1" thickBot="1" x14ac:dyDescent="0.25">
      <c r="A385" s="138" t="s">
        <v>831</v>
      </c>
      <c r="B385" s="138" t="s">
        <v>694</v>
      </c>
      <c r="C385" s="138"/>
      <c r="D385" s="138" t="s">
        <v>692</v>
      </c>
      <c r="E385" s="139">
        <f>E386</f>
        <v>0</v>
      </c>
      <c r="F385" s="139">
        <f t="shared" ref="F385:P385" si="431">F386</f>
        <v>0</v>
      </c>
      <c r="G385" s="139">
        <f t="shared" si="431"/>
        <v>0</v>
      </c>
      <c r="H385" s="139">
        <f t="shared" si="431"/>
        <v>0</v>
      </c>
      <c r="I385" s="139">
        <f t="shared" si="431"/>
        <v>0</v>
      </c>
      <c r="J385" s="139">
        <f t="shared" si="431"/>
        <v>0</v>
      </c>
      <c r="K385" s="139">
        <f t="shared" si="431"/>
        <v>0</v>
      </c>
      <c r="L385" s="139">
        <f t="shared" si="431"/>
        <v>0</v>
      </c>
      <c r="M385" s="139">
        <f t="shared" si="431"/>
        <v>0</v>
      </c>
      <c r="N385" s="139">
        <f t="shared" si="431"/>
        <v>0</v>
      </c>
      <c r="O385" s="139">
        <f t="shared" si="431"/>
        <v>0</v>
      </c>
      <c r="P385" s="139">
        <f t="shared" si="431"/>
        <v>0</v>
      </c>
      <c r="Q385" s="20"/>
      <c r="R385" s="46"/>
    </row>
    <row r="386" spans="1:18" ht="48" hidden="1" thickTop="1" thickBot="1" x14ac:dyDescent="0.25">
      <c r="A386" s="126" t="s">
        <v>256</v>
      </c>
      <c r="B386" s="126" t="s">
        <v>257</v>
      </c>
      <c r="C386" s="126" t="s">
        <v>170</v>
      </c>
      <c r="D386" s="126" t="s">
        <v>255</v>
      </c>
      <c r="E386" s="125">
        <f t="shared" si="425"/>
        <v>0</v>
      </c>
      <c r="F386" s="132"/>
      <c r="G386" s="132"/>
      <c r="H386" s="132"/>
      <c r="I386" s="132"/>
      <c r="J386" s="125">
        <f t="shared" si="426"/>
        <v>0</v>
      </c>
      <c r="K386" s="132"/>
      <c r="L386" s="132"/>
      <c r="M386" s="132"/>
      <c r="N386" s="132"/>
      <c r="O386" s="130">
        <f>K386</f>
        <v>0</v>
      </c>
      <c r="P386" s="125">
        <f t="shared" si="427"/>
        <v>0</v>
      </c>
      <c r="Q386" s="20"/>
      <c r="R386" s="46"/>
    </row>
    <row r="387" spans="1:18" ht="47.25" thickTop="1" thickBot="1" x14ac:dyDescent="0.25">
      <c r="A387" s="308" t="s">
        <v>1304</v>
      </c>
      <c r="B387" s="308" t="s">
        <v>696</v>
      </c>
      <c r="C387" s="308"/>
      <c r="D387" s="308" t="s">
        <v>697</v>
      </c>
      <c r="E387" s="325">
        <f t="shared" ref="E387:P388" si="432">E388</f>
        <v>416040</v>
      </c>
      <c r="F387" s="325">
        <f t="shared" si="432"/>
        <v>416040</v>
      </c>
      <c r="G387" s="325">
        <f t="shared" si="432"/>
        <v>0</v>
      </c>
      <c r="H387" s="325">
        <f t="shared" si="432"/>
        <v>0</v>
      </c>
      <c r="I387" s="325">
        <f t="shared" si="432"/>
        <v>0</v>
      </c>
      <c r="J387" s="325">
        <f t="shared" si="432"/>
        <v>123960</v>
      </c>
      <c r="K387" s="325">
        <f t="shared" si="432"/>
        <v>123960</v>
      </c>
      <c r="L387" s="325">
        <f t="shared" si="432"/>
        <v>0</v>
      </c>
      <c r="M387" s="325">
        <f t="shared" si="432"/>
        <v>0</v>
      </c>
      <c r="N387" s="325">
        <f t="shared" si="432"/>
        <v>0</v>
      </c>
      <c r="O387" s="325">
        <f t="shared" si="432"/>
        <v>123960</v>
      </c>
      <c r="P387" s="325">
        <f t="shared" si="432"/>
        <v>540000</v>
      </c>
      <c r="Q387" s="20"/>
      <c r="R387" s="46"/>
    </row>
    <row r="388" spans="1:18" ht="47.25" thickTop="1" thickBot="1" x14ac:dyDescent="0.25">
      <c r="A388" s="310" t="s">
        <v>1305</v>
      </c>
      <c r="B388" s="310" t="s">
        <v>1186</v>
      </c>
      <c r="C388" s="310"/>
      <c r="D388" s="310" t="s">
        <v>1184</v>
      </c>
      <c r="E388" s="312">
        <f t="shared" si="432"/>
        <v>416040</v>
      </c>
      <c r="F388" s="312">
        <f t="shared" si="432"/>
        <v>416040</v>
      </c>
      <c r="G388" s="312">
        <f t="shared" si="432"/>
        <v>0</v>
      </c>
      <c r="H388" s="312">
        <f t="shared" si="432"/>
        <v>0</v>
      </c>
      <c r="I388" s="312">
        <f t="shared" si="432"/>
        <v>0</v>
      </c>
      <c r="J388" s="312">
        <f t="shared" si="432"/>
        <v>123960</v>
      </c>
      <c r="K388" s="312">
        <f t="shared" si="432"/>
        <v>123960</v>
      </c>
      <c r="L388" s="312">
        <f t="shared" si="432"/>
        <v>0</v>
      </c>
      <c r="M388" s="312">
        <f t="shared" si="432"/>
        <v>0</v>
      </c>
      <c r="N388" s="312">
        <f t="shared" si="432"/>
        <v>0</v>
      </c>
      <c r="O388" s="312">
        <f t="shared" si="432"/>
        <v>123960</v>
      </c>
      <c r="P388" s="312">
        <f t="shared" si="432"/>
        <v>540000</v>
      </c>
      <c r="Q388" s="20"/>
      <c r="R388" s="46"/>
    </row>
    <row r="389" spans="1:18" ht="48" thickTop="1" thickBot="1" x14ac:dyDescent="0.25">
      <c r="A389" s="101" t="s">
        <v>1306</v>
      </c>
      <c r="B389" s="101" t="s">
        <v>1190</v>
      </c>
      <c r="C389" s="101" t="s">
        <v>1188</v>
      </c>
      <c r="D389" s="101" t="s">
        <v>1187</v>
      </c>
      <c r="E389" s="325">
        <f>F389</f>
        <v>416040</v>
      </c>
      <c r="F389" s="458">
        <f>(500000)+150230-234190</f>
        <v>416040</v>
      </c>
      <c r="G389" s="458"/>
      <c r="H389" s="458"/>
      <c r="I389" s="458"/>
      <c r="J389" s="325">
        <f>L389+O389</f>
        <v>123960</v>
      </c>
      <c r="K389" s="458">
        <f>(350000)-226040</f>
        <v>123960</v>
      </c>
      <c r="L389" s="458"/>
      <c r="M389" s="458"/>
      <c r="N389" s="458"/>
      <c r="O389" s="455">
        <f>K389</f>
        <v>123960</v>
      </c>
      <c r="P389" s="325">
        <f>E389+J389</f>
        <v>540000</v>
      </c>
      <c r="Q389" s="20"/>
      <c r="R389" s="46"/>
    </row>
    <row r="390" spans="1:18" ht="47.25" hidden="1" thickTop="1" thickBot="1" x14ac:dyDescent="0.25">
      <c r="A390" s="123" t="s">
        <v>906</v>
      </c>
      <c r="B390" s="123" t="s">
        <v>702</v>
      </c>
      <c r="C390" s="123"/>
      <c r="D390" s="123" t="s">
        <v>703</v>
      </c>
      <c r="E390" s="125">
        <f>E391</f>
        <v>0</v>
      </c>
      <c r="F390" s="125">
        <f t="shared" ref="F390:P391" si="433">F391</f>
        <v>0</v>
      </c>
      <c r="G390" s="125">
        <f t="shared" si="433"/>
        <v>0</v>
      </c>
      <c r="H390" s="125">
        <f t="shared" si="433"/>
        <v>0</v>
      </c>
      <c r="I390" s="125">
        <f t="shared" si="433"/>
        <v>0</v>
      </c>
      <c r="J390" s="125">
        <f t="shared" si="433"/>
        <v>0</v>
      </c>
      <c r="K390" s="125">
        <f t="shared" si="433"/>
        <v>0</v>
      </c>
      <c r="L390" s="125">
        <f t="shared" si="433"/>
        <v>0</v>
      </c>
      <c r="M390" s="125">
        <f t="shared" si="433"/>
        <v>0</v>
      </c>
      <c r="N390" s="125">
        <f t="shared" si="433"/>
        <v>0</v>
      </c>
      <c r="O390" s="125">
        <f t="shared" si="433"/>
        <v>0</v>
      </c>
      <c r="P390" s="125">
        <f t="shared" si="433"/>
        <v>0</v>
      </c>
      <c r="Q390" s="20"/>
      <c r="R390" s="46"/>
    </row>
    <row r="391" spans="1:18" ht="91.5" hidden="1" thickTop="1" thickBot="1" x14ac:dyDescent="0.25">
      <c r="A391" s="134" t="s">
        <v>907</v>
      </c>
      <c r="B391" s="134" t="s">
        <v>705</v>
      </c>
      <c r="C391" s="134"/>
      <c r="D391" s="134" t="s">
        <v>706</v>
      </c>
      <c r="E391" s="135">
        <f>E392</f>
        <v>0</v>
      </c>
      <c r="F391" s="135">
        <f t="shared" si="433"/>
        <v>0</v>
      </c>
      <c r="G391" s="135">
        <f t="shared" si="433"/>
        <v>0</v>
      </c>
      <c r="H391" s="135">
        <f t="shared" si="433"/>
        <v>0</v>
      </c>
      <c r="I391" s="135">
        <f t="shared" si="433"/>
        <v>0</v>
      </c>
      <c r="J391" s="135">
        <f t="shared" si="433"/>
        <v>0</v>
      </c>
      <c r="K391" s="135">
        <f t="shared" si="433"/>
        <v>0</v>
      </c>
      <c r="L391" s="135">
        <f t="shared" si="433"/>
        <v>0</v>
      </c>
      <c r="M391" s="135">
        <f t="shared" si="433"/>
        <v>0</v>
      </c>
      <c r="N391" s="135">
        <f t="shared" si="433"/>
        <v>0</v>
      </c>
      <c r="O391" s="135">
        <f t="shared" si="433"/>
        <v>0</v>
      </c>
      <c r="P391" s="135">
        <f t="shared" si="433"/>
        <v>0</v>
      </c>
      <c r="Q391" s="20"/>
      <c r="R391" s="46"/>
    </row>
    <row r="392" spans="1:18" ht="48" hidden="1" thickTop="1" thickBot="1" x14ac:dyDescent="0.25">
      <c r="A392" s="126" t="s">
        <v>908</v>
      </c>
      <c r="B392" s="126" t="s">
        <v>363</v>
      </c>
      <c r="C392" s="126" t="s">
        <v>43</v>
      </c>
      <c r="D392" s="126" t="s">
        <v>364</v>
      </c>
      <c r="E392" s="125">
        <f t="shared" ref="E392" si="434">F392</f>
        <v>0</v>
      </c>
      <c r="F392" s="132"/>
      <c r="G392" s="132"/>
      <c r="H392" s="132"/>
      <c r="I392" s="132"/>
      <c r="J392" s="125">
        <f>L392+O392</f>
        <v>0</v>
      </c>
      <c r="K392" s="132"/>
      <c r="L392" s="132"/>
      <c r="M392" s="132"/>
      <c r="N392" s="132"/>
      <c r="O392" s="130">
        <f>K392</f>
        <v>0</v>
      </c>
      <c r="P392" s="125">
        <f>E392+J392</f>
        <v>0</v>
      </c>
      <c r="Q392" s="20"/>
      <c r="R392" s="46"/>
    </row>
    <row r="393" spans="1:18" ht="120" customHeight="1" thickTop="1" thickBot="1" x14ac:dyDescent="0.25">
      <c r="A393" s="645" t="s">
        <v>164</v>
      </c>
      <c r="B393" s="645"/>
      <c r="C393" s="645"/>
      <c r="D393" s="646" t="s">
        <v>887</v>
      </c>
      <c r="E393" s="647">
        <f>E394</f>
        <v>7099388</v>
      </c>
      <c r="F393" s="648">
        <f t="shared" ref="F393:G393" si="435">F394</f>
        <v>7099388</v>
      </c>
      <c r="G393" s="648">
        <f t="shared" si="435"/>
        <v>5498880</v>
      </c>
      <c r="H393" s="648">
        <f>H394</f>
        <v>150433</v>
      </c>
      <c r="I393" s="648">
        <f t="shared" ref="I393" si="436">I394</f>
        <v>0</v>
      </c>
      <c r="J393" s="647">
        <f>J394</f>
        <v>1200000</v>
      </c>
      <c r="K393" s="648">
        <f>K394</f>
        <v>0</v>
      </c>
      <c r="L393" s="648">
        <f>L394</f>
        <v>1200000</v>
      </c>
      <c r="M393" s="648">
        <f t="shared" ref="M393" si="437">M394</f>
        <v>0</v>
      </c>
      <c r="N393" s="648">
        <f>N394</f>
        <v>0</v>
      </c>
      <c r="O393" s="647">
        <f>O394</f>
        <v>0</v>
      </c>
      <c r="P393" s="648">
        <f t="shared" ref="P393" si="438">P394</f>
        <v>8299388</v>
      </c>
      <c r="Q393" s="20"/>
    </row>
    <row r="394" spans="1:18" ht="120" customHeight="1" thickTop="1" thickBot="1" x14ac:dyDescent="0.25">
      <c r="A394" s="642" t="s">
        <v>165</v>
      </c>
      <c r="B394" s="642"/>
      <c r="C394" s="642"/>
      <c r="D394" s="643" t="s">
        <v>886</v>
      </c>
      <c r="E394" s="644">
        <f>E395+E398+E401</f>
        <v>7099388</v>
      </c>
      <c r="F394" s="644">
        <f t="shared" ref="F394:P394" si="439">F395+F398+F401</f>
        <v>7099388</v>
      </c>
      <c r="G394" s="644">
        <f>G395+G398+G401</f>
        <v>5498880</v>
      </c>
      <c r="H394" s="644">
        <f t="shared" si="439"/>
        <v>150433</v>
      </c>
      <c r="I394" s="644">
        <f t="shared" si="439"/>
        <v>0</v>
      </c>
      <c r="J394" s="644">
        <f>J395+J398+J401</f>
        <v>1200000</v>
      </c>
      <c r="K394" s="644">
        <f t="shared" si="439"/>
        <v>0</v>
      </c>
      <c r="L394" s="644">
        <f>L395+L398+L401</f>
        <v>1200000</v>
      </c>
      <c r="M394" s="644">
        <f t="shared" si="439"/>
        <v>0</v>
      </c>
      <c r="N394" s="644">
        <f t="shared" si="439"/>
        <v>0</v>
      </c>
      <c r="O394" s="644">
        <f t="shared" si="439"/>
        <v>0</v>
      </c>
      <c r="P394" s="644">
        <f t="shared" si="439"/>
        <v>8299388</v>
      </c>
      <c r="Q394" s="492" t="b">
        <f>P394=P396+P400</f>
        <v>1</v>
      </c>
      <c r="R394" s="46"/>
    </row>
    <row r="395" spans="1:18" ht="47.25" thickTop="1" thickBot="1" x14ac:dyDescent="0.25">
      <c r="A395" s="308" t="s">
        <v>832</v>
      </c>
      <c r="B395" s="308" t="s">
        <v>684</v>
      </c>
      <c r="C395" s="308"/>
      <c r="D395" s="308" t="s">
        <v>685</v>
      </c>
      <c r="E395" s="325">
        <f>SUM(E396:E397)</f>
        <v>7099388</v>
      </c>
      <c r="F395" s="325">
        <f t="shared" ref="F395" si="440">SUM(F396:F397)</f>
        <v>7099388</v>
      </c>
      <c r="G395" s="325">
        <f t="shared" ref="G395" si="441">SUM(G396:G397)</f>
        <v>5498880</v>
      </c>
      <c r="H395" s="325">
        <f t="shared" ref="H395" si="442">SUM(H396:H397)</f>
        <v>150433</v>
      </c>
      <c r="I395" s="325">
        <f t="shared" ref="I395" si="443">SUM(I396:I397)</f>
        <v>0</v>
      </c>
      <c r="J395" s="325">
        <f t="shared" ref="J395" si="444">SUM(J396:J397)</f>
        <v>0</v>
      </c>
      <c r="K395" s="325">
        <f t="shared" ref="K395" si="445">SUM(K396:K397)</f>
        <v>0</v>
      </c>
      <c r="L395" s="325">
        <f t="shared" ref="L395" si="446">SUM(L396:L397)</f>
        <v>0</v>
      </c>
      <c r="M395" s="325">
        <f t="shared" ref="M395" si="447">SUM(M396:M397)</f>
        <v>0</v>
      </c>
      <c r="N395" s="325">
        <f t="shared" ref="N395" si="448">SUM(N396:N397)</f>
        <v>0</v>
      </c>
      <c r="O395" s="325">
        <f>SUM(O396:O397)</f>
        <v>0</v>
      </c>
      <c r="P395" s="325">
        <f t="shared" ref="P395" si="449">SUM(P396:P397)</f>
        <v>7099388</v>
      </c>
      <c r="Q395" s="47"/>
      <c r="R395" s="46"/>
    </row>
    <row r="396" spans="1:18" ht="93" thickTop="1" thickBot="1" x14ac:dyDescent="0.25">
      <c r="A396" s="101" t="s">
        <v>422</v>
      </c>
      <c r="B396" s="101" t="s">
        <v>236</v>
      </c>
      <c r="C396" s="101" t="s">
        <v>234</v>
      </c>
      <c r="D396" s="101" t="s">
        <v>235</v>
      </c>
      <c r="E396" s="325">
        <f>F396</f>
        <v>7099388</v>
      </c>
      <c r="F396" s="458">
        <f>(7070528)+28860</f>
        <v>7099388</v>
      </c>
      <c r="G396" s="458">
        <v>5498880</v>
      </c>
      <c r="H396" s="458">
        <f>(121573)+28860</f>
        <v>150433</v>
      </c>
      <c r="I396" s="458"/>
      <c r="J396" s="325">
        <f t="shared" ref="J396:J400" si="450">L396+O396</f>
        <v>0</v>
      </c>
      <c r="K396" s="458"/>
      <c r="L396" s="458"/>
      <c r="M396" s="458"/>
      <c r="N396" s="458"/>
      <c r="O396" s="455">
        <f>K396</f>
        <v>0</v>
      </c>
      <c r="P396" s="325">
        <f t="shared" ref="P396:P400" si="451">E396+J396</f>
        <v>7099388</v>
      </c>
      <c r="Q396" s="47"/>
      <c r="R396" s="46"/>
    </row>
    <row r="397" spans="1:18" ht="93" hidden="1" thickTop="1" thickBot="1" x14ac:dyDescent="0.25">
      <c r="A397" s="41" t="s">
        <v>633</v>
      </c>
      <c r="B397" s="41" t="s">
        <v>362</v>
      </c>
      <c r="C397" s="41" t="s">
        <v>625</v>
      </c>
      <c r="D397" s="41" t="s">
        <v>626</v>
      </c>
      <c r="E397" s="150">
        <f>F397</f>
        <v>0</v>
      </c>
      <c r="F397" s="127">
        <v>0</v>
      </c>
      <c r="G397" s="127"/>
      <c r="H397" s="127"/>
      <c r="I397" s="127"/>
      <c r="J397" s="125">
        <f t="shared" si="450"/>
        <v>0</v>
      </c>
      <c r="K397" s="127"/>
      <c r="L397" s="128"/>
      <c r="M397" s="128"/>
      <c r="N397" s="128"/>
      <c r="O397" s="130">
        <f t="shared" ref="O397" si="452">K397</f>
        <v>0</v>
      </c>
      <c r="P397" s="125">
        <f t="shared" ref="P397" si="453">+J397+E397</f>
        <v>0</v>
      </c>
      <c r="Q397" s="47"/>
      <c r="R397" s="46"/>
    </row>
    <row r="398" spans="1:18" ht="47.25" thickTop="1" thickBot="1" x14ac:dyDescent="0.25">
      <c r="A398" s="308" t="s">
        <v>833</v>
      </c>
      <c r="B398" s="308" t="s">
        <v>696</v>
      </c>
      <c r="C398" s="308"/>
      <c r="D398" s="308" t="s">
        <v>697</v>
      </c>
      <c r="E398" s="309">
        <f>E399</f>
        <v>0</v>
      </c>
      <c r="F398" s="309">
        <f t="shared" ref="F398:P399" si="454">F399</f>
        <v>0</v>
      </c>
      <c r="G398" s="309">
        <f t="shared" si="454"/>
        <v>0</v>
      </c>
      <c r="H398" s="309">
        <f t="shared" si="454"/>
        <v>0</v>
      </c>
      <c r="I398" s="309">
        <f t="shared" si="454"/>
        <v>0</v>
      </c>
      <c r="J398" s="309">
        <f t="shared" si="454"/>
        <v>1200000</v>
      </c>
      <c r="K398" s="309">
        <f t="shared" si="454"/>
        <v>0</v>
      </c>
      <c r="L398" s="309">
        <f t="shared" si="454"/>
        <v>1200000</v>
      </c>
      <c r="M398" s="309">
        <f t="shared" si="454"/>
        <v>0</v>
      </c>
      <c r="N398" s="309">
        <f t="shared" si="454"/>
        <v>0</v>
      </c>
      <c r="O398" s="309">
        <f t="shared" si="454"/>
        <v>0</v>
      </c>
      <c r="P398" s="309">
        <f t="shared" si="454"/>
        <v>1200000</v>
      </c>
      <c r="Q398" s="47"/>
      <c r="R398" s="46"/>
    </row>
    <row r="399" spans="1:18" ht="47.25" thickTop="1" thickBot="1" x14ac:dyDescent="0.25">
      <c r="A399" s="310" t="s">
        <v>834</v>
      </c>
      <c r="B399" s="310" t="s">
        <v>835</v>
      </c>
      <c r="C399" s="310"/>
      <c r="D399" s="310" t="s">
        <v>836</v>
      </c>
      <c r="E399" s="311">
        <f>E400</f>
        <v>0</v>
      </c>
      <c r="F399" s="311">
        <f t="shared" si="454"/>
        <v>0</v>
      </c>
      <c r="G399" s="311">
        <f t="shared" si="454"/>
        <v>0</v>
      </c>
      <c r="H399" s="311">
        <f t="shared" si="454"/>
        <v>0</v>
      </c>
      <c r="I399" s="311">
        <f t="shared" si="454"/>
        <v>0</v>
      </c>
      <c r="J399" s="311">
        <f t="shared" si="454"/>
        <v>1200000</v>
      </c>
      <c r="K399" s="311">
        <f t="shared" ref="K399:P399" si="455">K400</f>
        <v>0</v>
      </c>
      <c r="L399" s="311">
        <f t="shared" si="455"/>
        <v>1200000</v>
      </c>
      <c r="M399" s="311">
        <f t="shared" si="455"/>
        <v>0</v>
      </c>
      <c r="N399" s="311">
        <f t="shared" si="455"/>
        <v>0</v>
      </c>
      <c r="O399" s="311">
        <f t="shared" si="455"/>
        <v>0</v>
      </c>
      <c r="P399" s="311">
        <f t="shared" si="455"/>
        <v>1200000</v>
      </c>
      <c r="Q399" s="47"/>
      <c r="R399" s="46"/>
    </row>
    <row r="400" spans="1:18" ht="48" thickTop="1" thickBot="1" x14ac:dyDescent="0.25">
      <c r="A400" s="101" t="s">
        <v>1127</v>
      </c>
      <c r="B400" s="101" t="s">
        <v>1128</v>
      </c>
      <c r="C400" s="101" t="s">
        <v>51</v>
      </c>
      <c r="D400" s="101" t="s">
        <v>1129</v>
      </c>
      <c r="E400" s="325">
        <v>0</v>
      </c>
      <c r="F400" s="458"/>
      <c r="G400" s="458"/>
      <c r="H400" s="458"/>
      <c r="I400" s="458"/>
      <c r="J400" s="325">
        <f t="shared" si="450"/>
        <v>1200000</v>
      </c>
      <c r="K400" s="325"/>
      <c r="L400" s="458">
        <f>80000+60000+60000+80000+20000+100000+500000+300000</f>
        <v>1200000</v>
      </c>
      <c r="M400" s="458"/>
      <c r="N400" s="458"/>
      <c r="O400" s="455">
        <f>K400</f>
        <v>0</v>
      </c>
      <c r="P400" s="325">
        <f t="shared" si="451"/>
        <v>1200000</v>
      </c>
      <c r="Q400" s="492" t="b">
        <f>J400='d9'!F20</f>
        <v>1</v>
      </c>
    </row>
    <row r="401" spans="1:19" ht="47.25" hidden="1" thickTop="1" thickBot="1" x14ac:dyDescent="0.25">
      <c r="A401" s="123" t="s">
        <v>1249</v>
      </c>
      <c r="B401" s="123" t="s">
        <v>702</v>
      </c>
      <c r="C401" s="123"/>
      <c r="D401" s="123" t="s">
        <v>703</v>
      </c>
      <c r="E401" s="125">
        <f t="shared" ref="E401:L401" si="456">E402</f>
        <v>0</v>
      </c>
      <c r="F401" s="125">
        <f t="shared" si="456"/>
        <v>0</v>
      </c>
      <c r="G401" s="125">
        <f t="shared" si="456"/>
        <v>0</v>
      </c>
      <c r="H401" s="125">
        <f t="shared" si="456"/>
        <v>0</v>
      </c>
      <c r="I401" s="125">
        <f t="shared" si="456"/>
        <v>0</v>
      </c>
      <c r="J401" s="125">
        <f t="shared" si="456"/>
        <v>0</v>
      </c>
      <c r="K401" s="125">
        <f t="shared" si="456"/>
        <v>0</v>
      </c>
      <c r="L401" s="125">
        <f t="shared" si="456"/>
        <v>0</v>
      </c>
      <c r="M401" s="125">
        <f t="shared" ref="M401:P401" si="457">M402</f>
        <v>0</v>
      </c>
      <c r="N401" s="125">
        <f t="shared" si="457"/>
        <v>0</v>
      </c>
      <c r="O401" s="125">
        <f t="shared" si="457"/>
        <v>0</v>
      </c>
      <c r="P401" s="125">
        <f t="shared" si="457"/>
        <v>0</v>
      </c>
      <c r="Q401" s="47"/>
    </row>
    <row r="402" spans="1:19" ht="91.5" hidden="1" thickTop="1" thickBot="1" x14ac:dyDescent="0.25">
      <c r="A402" s="134" t="s">
        <v>1248</v>
      </c>
      <c r="B402" s="134" t="s">
        <v>514</v>
      </c>
      <c r="C402" s="134" t="s">
        <v>43</v>
      </c>
      <c r="D402" s="134" t="s">
        <v>515</v>
      </c>
      <c r="E402" s="135">
        <f t="shared" ref="E402" si="458">F402</f>
        <v>0</v>
      </c>
      <c r="F402" s="135">
        <v>0</v>
      </c>
      <c r="G402" s="135"/>
      <c r="H402" s="135"/>
      <c r="I402" s="135"/>
      <c r="J402" s="135">
        <f>L402+O402</f>
        <v>0</v>
      </c>
      <c r="K402" s="132">
        <v>0</v>
      </c>
      <c r="L402" s="135"/>
      <c r="M402" s="135"/>
      <c r="N402" s="135"/>
      <c r="O402" s="135">
        <f>(K402+0)</f>
        <v>0</v>
      </c>
      <c r="P402" s="135">
        <f>E402+J402</f>
        <v>0</v>
      </c>
      <c r="Q402" s="47"/>
    </row>
    <row r="403" spans="1:19" ht="120" customHeight="1" thickTop="1" thickBot="1" x14ac:dyDescent="0.25">
      <c r="A403" s="645" t="s">
        <v>162</v>
      </c>
      <c r="B403" s="645"/>
      <c r="C403" s="645"/>
      <c r="D403" s="646" t="s">
        <v>896</v>
      </c>
      <c r="E403" s="647">
        <f>E404</f>
        <v>10438624</v>
      </c>
      <c r="F403" s="648">
        <f t="shared" ref="F403:G403" si="459">F404</f>
        <v>10438624</v>
      </c>
      <c r="G403" s="648">
        <f t="shared" si="459"/>
        <v>7843804</v>
      </c>
      <c r="H403" s="648">
        <f>H404</f>
        <v>329783</v>
      </c>
      <c r="I403" s="648">
        <f t="shared" ref="I403" si="460">I404</f>
        <v>0</v>
      </c>
      <c r="J403" s="647">
        <f>J404</f>
        <v>85000</v>
      </c>
      <c r="K403" s="648">
        <f>K404</f>
        <v>85000</v>
      </c>
      <c r="L403" s="648">
        <f>L404</f>
        <v>0</v>
      </c>
      <c r="M403" s="648">
        <f t="shared" ref="M403" si="461">M404</f>
        <v>0</v>
      </c>
      <c r="N403" s="648">
        <f>N404</f>
        <v>0</v>
      </c>
      <c r="O403" s="647">
        <f>O404</f>
        <v>85000</v>
      </c>
      <c r="P403" s="648">
        <f t="shared" ref="P403" si="462">P404</f>
        <v>10523624</v>
      </c>
      <c r="Q403" s="20"/>
    </row>
    <row r="404" spans="1:19" ht="120" customHeight="1" thickTop="1" thickBot="1" x14ac:dyDescent="0.25">
      <c r="A404" s="642" t="s">
        <v>163</v>
      </c>
      <c r="B404" s="642"/>
      <c r="C404" s="642"/>
      <c r="D404" s="643" t="s">
        <v>895</v>
      </c>
      <c r="E404" s="644">
        <f>E405+E407</f>
        <v>10438624</v>
      </c>
      <c r="F404" s="644">
        <f t="shared" ref="F404:I404" si="463">F405+F407</f>
        <v>10438624</v>
      </c>
      <c r="G404" s="644">
        <f t="shared" si="463"/>
        <v>7843804</v>
      </c>
      <c r="H404" s="644">
        <f t="shared" si="463"/>
        <v>329783</v>
      </c>
      <c r="I404" s="644">
        <f t="shared" si="463"/>
        <v>0</v>
      </c>
      <c r="J404" s="644">
        <f>L404+O404</f>
        <v>85000</v>
      </c>
      <c r="K404" s="644">
        <f t="shared" ref="K404:O404" si="464">K405+K407</f>
        <v>85000</v>
      </c>
      <c r="L404" s="644">
        <f t="shared" si="464"/>
        <v>0</v>
      </c>
      <c r="M404" s="644">
        <f t="shared" si="464"/>
        <v>0</v>
      </c>
      <c r="N404" s="644">
        <f t="shared" si="464"/>
        <v>0</v>
      </c>
      <c r="O404" s="644">
        <f t="shared" si="464"/>
        <v>85000</v>
      </c>
      <c r="P404" s="644">
        <f>E404+J404</f>
        <v>10523624</v>
      </c>
      <c r="Q404" s="492" t="b">
        <f>P404=P406+P409+P411</f>
        <v>1</v>
      </c>
      <c r="R404" s="45"/>
    </row>
    <row r="405" spans="1:19" ht="47.25" thickTop="1" thickBot="1" x14ac:dyDescent="0.25">
      <c r="A405" s="308" t="s">
        <v>837</v>
      </c>
      <c r="B405" s="308" t="s">
        <v>684</v>
      </c>
      <c r="C405" s="308"/>
      <c r="D405" s="308" t="s">
        <v>685</v>
      </c>
      <c r="E405" s="325">
        <f>SUM(E406)</f>
        <v>10168624</v>
      </c>
      <c r="F405" s="325">
        <f t="shared" ref="F405:P405" si="465">SUM(F406)</f>
        <v>10168624</v>
      </c>
      <c r="G405" s="325">
        <f t="shared" si="465"/>
        <v>7843804</v>
      </c>
      <c r="H405" s="325">
        <f t="shared" si="465"/>
        <v>329783</v>
      </c>
      <c r="I405" s="325">
        <f t="shared" si="465"/>
        <v>0</v>
      </c>
      <c r="J405" s="325">
        <f t="shared" si="465"/>
        <v>0</v>
      </c>
      <c r="K405" s="325">
        <f t="shared" si="465"/>
        <v>0</v>
      </c>
      <c r="L405" s="325">
        <f t="shared" si="465"/>
        <v>0</v>
      </c>
      <c r="M405" s="325">
        <f t="shared" si="465"/>
        <v>0</v>
      </c>
      <c r="N405" s="325">
        <f t="shared" si="465"/>
        <v>0</v>
      </c>
      <c r="O405" s="325">
        <f t="shared" si="465"/>
        <v>0</v>
      </c>
      <c r="P405" s="325">
        <f t="shared" si="465"/>
        <v>10168624</v>
      </c>
      <c r="Q405" s="47"/>
      <c r="R405" s="45"/>
    </row>
    <row r="406" spans="1:19" ht="93" thickTop="1" thickBot="1" x14ac:dyDescent="0.25">
      <c r="A406" s="101" t="s">
        <v>418</v>
      </c>
      <c r="B406" s="101" t="s">
        <v>236</v>
      </c>
      <c r="C406" s="101" t="s">
        <v>234</v>
      </c>
      <c r="D406" s="101" t="s">
        <v>235</v>
      </c>
      <c r="E406" s="325">
        <f>F406</f>
        <v>10168624</v>
      </c>
      <c r="F406" s="458">
        <f>(10159624)+9000</f>
        <v>10168624</v>
      </c>
      <c r="G406" s="458">
        <v>7843804</v>
      </c>
      <c r="H406" s="458">
        <v>329783</v>
      </c>
      <c r="I406" s="458"/>
      <c r="J406" s="325">
        <f>L406+O406</f>
        <v>0</v>
      </c>
      <c r="K406" s="458">
        <v>0</v>
      </c>
      <c r="L406" s="458"/>
      <c r="M406" s="458"/>
      <c r="N406" s="458"/>
      <c r="O406" s="455">
        <f>K406</f>
        <v>0</v>
      </c>
      <c r="P406" s="325">
        <f>E406+J406</f>
        <v>10168624</v>
      </c>
      <c r="Q406" s="20"/>
      <c r="R406" s="45"/>
    </row>
    <row r="407" spans="1:19" ht="47.25" thickTop="1" thickBot="1" x14ac:dyDescent="0.25">
      <c r="A407" s="308" t="s">
        <v>838</v>
      </c>
      <c r="B407" s="308" t="s">
        <v>748</v>
      </c>
      <c r="C407" s="101"/>
      <c r="D407" s="308" t="s">
        <v>794</v>
      </c>
      <c r="E407" s="325">
        <f t="shared" ref="E407:P407" si="466">E408+E410</f>
        <v>270000</v>
      </c>
      <c r="F407" s="325">
        <f t="shared" si="466"/>
        <v>270000</v>
      </c>
      <c r="G407" s="325">
        <f t="shared" si="466"/>
        <v>0</v>
      </c>
      <c r="H407" s="325">
        <f t="shared" si="466"/>
        <v>0</v>
      </c>
      <c r="I407" s="325">
        <f t="shared" si="466"/>
        <v>0</v>
      </c>
      <c r="J407" s="325">
        <f t="shared" si="466"/>
        <v>85000</v>
      </c>
      <c r="K407" s="325">
        <f t="shared" si="466"/>
        <v>85000</v>
      </c>
      <c r="L407" s="325">
        <f t="shared" si="466"/>
        <v>0</v>
      </c>
      <c r="M407" s="325">
        <f t="shared" si="466"/>
        <v>0</v>
      </c>
      <c r="N407" s="325">
        <f t="shared" si="466"/>
        <v>0</v>
      </c>
      <c r="O407" s="325">
        <f t="shared" si="466"/>
        <v>85000</v>
      </c>
      <c r="P407" s="325">
        <f t="shared" si="466"/>
        <v>355000</v>
      </c>
      <c r="Q407" s="20"/>
      <c r="R407" s="47"/>
    </row>
    <row r="408" spans="1:19" ht="47.25" thickTop="1" thickBot="1" x14ac:dyDescent="0.25">
      <c r="A408" s="310" t="s">
        <v>839</v>
      </c>
      <c r="B408" s="310" t="s">
        <v>840</v>
      </c>
      <c r="C408" s="310"/>
      <c r="D408" s="310" t="s">
        <v>841</v>
      </c>
      <c r="E408" s="312">
        <f>SUM(E409)</f>
        <v>270000</v>
      </c>
      <c r="F408" s="312">
        <f t="shared" ref="F408:P408" si="467">SUM(F409)</f>
        <v>270000</v>
      </c>
      <c r="G408" s="312">
        <f t="shared" si="467"/>
        <v>0</v>
      </c>
      <c r="H408" s="312">
        <f t="shared" si="467"/>
        <v>0</v>
      </c>
      <c r="I408" s="312">
        <f t="shared" si="467"/>
        <v>0</v>
      </c>
      <c r="J408" s="312">
        <f t="shared" si="467"/>
        <v>0</v>
      </c>
      <c r="K408" s="312">
        <f t="shared" si="467"/>
        <v>0</v>
      </c>
      <c r="L408" s="312">
        <f t="shared" si="467"/>
        <v>0</v>
      </c>
      <c r="M408" s="312">
        <f t="shared" si="467"/>
        <v>0</v>
      </c>
      <c r="N408" s="312">
        <f t="shared" si="467"/>
        <v>0</v>
      </c>
      <c r="O408" s="312">
        <f t="shared" si="467"/>
        <v>0</v>
      </c>
      <c r="P408" s="312">
        <f t="shared" si="467"/>
        <v>270000</v>
      </c>
      <c r="Q408" s="20"/>
      <c r="R408" s="47"/>
    </row>
    <row r="409" spans="1:19" ht="48" thickTop="1" thickBot="1" x14ac:dyDescent="0.25">
      <c r="A409" s="101" t="s">
        <v>306</v>
      </c>
      <c r="B409" s="101" t="s">
        <v>307</v>
      </c>
      <c r="C409" s="101" t="s">
        <v>308</v>
      </c>
      <c r="D409" s="101" t="s">
        <v>461</v>
      </c>
      <c r="E409" s="325">
        <f>F409</f>
        <v>270000</v>
      </c>
      <c r="F409" s="458">
        <f>((30000)+80000+50000)+110000</f>
        <v>270000</v>
      </c>
      <c r="G409" s="458"/>
      <c r="H409" s="458"/>
      <c r="I409" s="458"/>
      <c r="J409" s="325">
        <f>L409+O409</f>
        <v>0</v>
      </c>
      <c r="K409" s="458">
        <f>(30000)-30000</f>
        <v>0</v>
      </c>
      <c r="L409" s="458"/>
      <c r="M409" s="458"/>
      <c r="N409" s="458"/>
      <c r="O409" s="455">
        <f>(K409)</f>
        <v>0</v>
      </c>
      <c r="P409" s="325">
        <f>E409+J409</f>
        <v>270000</v>
      </c>
      <c r="Q409" s="20"/>
      <c r="R409" s="45"/>
    </row>
    <row r="410" spans="1:19" ht="47.25" thickTop="1" thickBot="1" x14ac:dyDescent="0.25">
      <c r="A410" s="310" t="s">
        <v>842</v>
      </c>
      <c r="B410" s="310" t="s">
        <v>691</v>
      </c>
      <c r="C410" s="101"/>
      <c r="D410" s="310" t="s">
        <v>843</v>
      </c>
      <c r="E410" s="312">
        <f>SUM(E411)</f>
        <v>0</v>
      </c>
      <c r="F410" s="312">
        <f t="shared" ref="F410:P410" si="468">SUM(F411)</f>
        <v>0</v>
      </c>
      <c r="G410" s="312">
        <f t="shared" si="468"/>
        <v>0</v>
      </c>
      <c r="H410" s="312">
        <f t="shared" si="468"/>
        <v>0</v>
      </c>
      <c r="I410" s="312">
        <f t="shared" si="468"/>
        <v>0</v>
      </c>
      <c r="J410" s="312">
        <f t="shared" si="468"/>
        <v>85000</v>
      </c>
      <c r="K410" s="312">
        <f t="shared" si="468"/>
        <v>85000</v>
      </c>
      <c r="L410" s="312">
        <f t="shared" si="468"/>
        <v>0</v>
      </c>
      <c r="M410" s="312">
        <f t="shared" si="468"/>
        <v>0</v>
      </c>
      <c r="N410" s="312">
        <f t="shared" si="468"/>
        <v>0</v>
      </c>
      <c r="O410" s="312">
        <f t="shared" si="468"/>
        <v>85000</v>
      </c>
      <c r="P410" s="312">
        <f t="shared" si="468"/>
        <v>85000</v>
      </c>
      <c r="Q410" s="20"/>
    </row>
    <row r="411" spans="1:19" ht="48" thickTop="1" thickBot="1" x14ac:dyDescent="0.25">
      <c r="A411" s="101" t="s">
        <v>368</v>
      </c>
      <c r="B411" s="101" t="s">
        <v>369</v>
      </c>
      <c r="C411" s="101" t="s">
        <v>170</v>
      </c>
      <c r="D411" s="101" t="s">
        <v>370</v>
      </c>
      <c r="E411" s="325">
        <f>F411</f>
        <v>0</v>
      </c>
      <c r="F411" s="458"/>
      <c r="G411" s="458"/>
      <c r="H411" s="458"/>
      <c r="I411" s="458"/>
      <c r="J411" s="325">
        <f>L411+O411</f>
        <v>85000</v>
      </c>
      <c r="K411" s="458">
        <f>(((5000)+10000)+50000)+20000</f>
        <v>85000</v>
      </c>
      <c r="L411" s="458"/>
      <c r="M411" s="458"/>
      <c r="N411" s="458"/>
      <c r="O411" s="455">
        <f>K411</f>
        <v>85000</v>
      </c>
      <c r="P411" s="325">
        <f>E411+J411</f>
        <v>85000</v>
      </c>
      <c r="Q411" s="20"/>
      <c r="R411" s="45"/>
    </row>
    <row r="412" spans="1:19" ht="120" customHeight="1" thickTop="1" thickBot="1" x14ac:dyDescent="0.25">
      <c r="A412" s="645" t="s">
        <v>168</v>
      </c>
      <c r="B412" s="645"/>
      <c r="C412" s="645"/>
      <c r="D412" s="646" t="s">
        <v>27</v>
      </c>
      <c r="E412" s="647">
        <f>E413</f>
        <v>21004685.010000002</v>
      </c>
      <c r="F412" s="648">
        <f t="shared" ref="F412:G412" si="469">F413</f>
        <v>21004685.010000002</v>
      </c>
      <c r="G412" s="648">
        <f t="shared" si="469"/>
        <v>8214383</v>
      </c>
      <c r="H412" s="648">
        <f>H413</f>
        <v>258373</v>
      </c>
      <c r="I412" s="648">
        <f t="shared" ref="I412" si="470">I413</f>
        <v>0</v>
      </c>
      <c r="J412" s="647">
        <f>J413</f>
        <v>0</v>
      </c>
      <c r="K412" s="648">
        <f>K413</f>
        <v>0</v>
      </c>
      <c r="L412" s="648">
        <f>L413</f>
        <v>0</v>
      </c>
      <c r="M412" s="648">
        <f t="shared" ref="M412" si="471">M413</f>
        <v>0</v>
      </c>
      <c r="N412" s="648">
        <f>N413</f>
        <v>0</v>
      </c>
      <c r="O412" s="647">
        <f>O413</f>
        <v>0</v>
      </c>
      <c r="P412" s="648">
        <f t="shared" ref="P412" si="472">P413</f>
        <v>21004685.010000002</v>
      </c>
      <c r="Q412" s="20"/>
    </row>
    <row r="413" spans="1:19" ht="120" customHeight="1" thickTop="1" thickBot="1" x14ac:dyDescent="0.25">
      <c r="A413" s="642" t="s">
        <v>169</v>
      </c>
      <c r="B413" s="642"/>
      <c r="C413" s="642"/>
      <c r="D413" s="643" t="s">
        <v>40</v>
      </c>
      <c r="E413" s="644">
        <f>E414+E420+E427+E417</f>
        <v>21004685.010000002</v>
      </c>
      <c r="F413" s="644">
        <f t="shared" ref="F413:P413" si="473">F414+F420+F427+F417</f>
        <v>21004685.010000002</v>
      </c>
      <c r="G413" s="644">
        <f t="shared" si="473"/>
        <v>8214383</v>
      </c>
      <c r="H413" s="644">
        <f t="shared" si="473"/>
        <v>258373</v>
      </c>
      <c r="I413" s="644">
        <f t="shared" si="473"/>
        <v>0</v>
      </c>
      <c r="J413" s="644">
        <f t="shared" si="473"/>
        <v>0</v>
      </c>
      <c r="K413" s="644">
        <f t="shared" si="473"/>
        <v>0</v>
      </c>
      <c r="L413" s="644">
        <f t="shared" si="473"/>
        <v>0</v>
      </c>
      <c r="M413" s="644">
        <f t="shared" si="473"/>
        <v>0</v>
      </c>
      <c r="N413" s="644">
        <f t="shared" si="473"/>
        <v>0</v>
      </c>
      <c r="O413" s="644">
        <f t="shared" si="473"/>
        <v>0</v>
      </c>
      <c r="P413" s="644">
        <f t="shared" si="473"/>
        <v>21004685.010000002</v>
      </c>
      <c r="Q413" s="492" t="b">
        <f>P413=P415+P421+P423</f>
        <v>1</v>
      </c>
      <c r="R413" s="45"/>
    </row>
    <row r="414" spans="1:19" ht="47.25" thickTop="1" thickBot="1" x14ac:dyDescent="0.25">
      <c r="A414" s="308" t="s">
        <v>844</v>
      </c>
      <c r="B414" s="308" t="s">
        <v>684</v>
      </c>
      <c r="C414" s="308"/>
      <c r="D414" s="308" t="s">
        <v>685</v>
      </c>
      <c r="E414" s="325">
        <f>SUM(E415:E416)</f>
        <v>10337342</v>
      </c>
      <c r="F414" s="325">
        <f t="shared" ref="F414:P414" si="474">SUM(F415:F416)</f>
        <v>10337342</v>
      </c>
      <c r="G414" s="325">
        <f t="shared" si="474"/>
        <v>8214383</v>
      </c>
      <c r="H414" s="325">
        <f t="shared" si="474"/>
        <v>258373</v>
      </c>
      <c r="I414" s="325">
        <f t="shared" si="474"/>
        <v>0</v>
      </c>
      <c r="J414" s="325">
        <f t="shared" si="474"/>
        <v>0</v>
      </c>
      <c r="K414" s="325">
        <f t="shared" si="474"/>
        <v>0</v>
      </c>
      <c r="L414" s="325">
        <f t="shared" si="474"/>
        <v>0</v>
      </c>
      <c r="M414" s="325">
        <f t="shared" si="474"/>
        <v>0</v>
      </c>
      <c r="N414" s="325">
        <f t="shared" si="474"/>
        <v>0</v>
      </c>
      <c r="O414" s="325">
        <f t="shared" si="474"/>
        <v>0</v>
      </c>
      <c r="P414" s="325">
        <f t="shared" si="474"/>
        <v>10337342</v>
      </c>
      <c r="Q414" s="47"/>
      <c r="R414" s="50"/>
    </row>
    <row r="415" spans="1:19" ht="93" thickTop="1" thickBot="1" x14ac:dyDescent="0.25">
      <c r="A415" s="101" t="s">
        <v>420</v>
      </c>
      <c r="B415" s="101" t="s">
        <v>236</v>
      </c>
      <c r="C415" s="101" t="s">
        <v>234</v>
      </c>
      <c r="D415" s="101" t="s">
        <v>235</v>
      </c>
      <c r="E415" s="325">
        <f>F415</f>
        <v>10337342</v>
      </c>
      <c r="F415" s="458">
        <v>10337342</v>
      </c>
      <c r="G415" s="458">
        <v>8214383</v>
      </c>
      <c r="H415" s="458">
        <v>258373</v>
      </c>
      <c r="I415" s="458"/>
      <c r="J415" s="325">
        <f>L415+O415</f>
        <v>0</v>
      </c>
      <c r="K415" s="458">
        <v>0</v>
      </c>
      <c r="L415" s="458"/>
      <c r="M415" s="458"/>
      <c r="N415" s="458"/>
      <c r="O415" s="455">
        <f>K415</f>
        <v>0</v>
      </c>
      <c r="P415" s="325">
        <f>E415+J415</f>
        <v>10337342</v>
      </c>
      <c r="Q415" s="47"/>
      <c r="R415" s="50"/>
      <c r="S415" s="47"/>
    </row>
    <row r="416" spans="1:19" ht="93" hidden="1" thickTop="1" thickBot="1" x14ac:dyDescent="0.25">
      <c r="A416" s="126" t="s">
        <v>634</v>
      </c>
      <c r="B416" s="126" t="s">
        <v>362</v>
      </c>
      <c r="C416" s="126" t="s">
        <v>625</v>
      </c>
      <c r="D416" s="126" t="s">
        <v>626</v>
      </c>
      <c r="E416" s="150">
        <f>F416</f>
        <v>0</v>
      </c>
      <c r="F416" s="127"/>
      <c r="G416" s="127"/>
      <c r="H416" s="127"/>
      <c r="I416" s="127"/>
      <c r="J416" s="125">
        <f t="shared" ref="J416" si="475">L416+O416</f>
        <v>0</v>
      </c>
      <c r="K416" s="127"/>
      <c r="L416" s="128"/>
      <c r="M416" s="128"/>
      <c r="N416" s="128"/>
      <c r="O416" s="130">
        <f t="shared" ref="O416" si="476">K416</f>
        <v>0</v>
      </c>
      <c r="P416" s="125">
        <f t="shared" ref="P416" si="477">+J416+E416</f>
        <v>0</v>
      </c>
      <c r="Q416" s="47"/>
      <c r="R416" s="50"/>
    </row>
    <row r="417" spans="1:18" ht="47.25" hidden="1" thickTop="1" thickBot="1" x14ac:dyDescent="0.25">
      <c r="A417" s="134" t="s">
        <v>1204</v>
      </c>
      <c r="B417" s="134" t="s">
        <v>691</v>
      </c>
      <c r="C417" s="134"/>
      <c r="D417" s="134" t="s">
        <v>689</v>
      </c>
      <c r="E417" s="163">
        <f>E418</f>
        <v>0</v>
      </c>
      <c r="F417" s="163">
        <f t="shared" ref="F417:P418" si="478">F418</f>
        <v>0</v>
      </c>
      <c r="G417" s="163">
        <f t="shared" si="478"/>
        <v>0</v>
      </c>
      <c r="H417" s="163">
        <f t="shared" si="478"/>
        <v>0</v>
      </c>
      <c r="I417" s="163">
        <f t="shared" si="478"/>
        <v>0</v>
      </c>
      <c r="J417" s="163">
        <f t="shared" si="478"/>
        <v>0</v>
      </c>
      <c r="K417" s="163">
        <f t="shared" si="478"/>
        <v>0</v>
      </c>
      <c r="L417" s="163">
        <f t="shared" si="478"/>
        <v>0</v>
      </c>
      <c r="M417" s="163">
        <f t="shared" si="478"/>
        <v>0</v>
      </c>
      <c r="N417" s="163">
        <f t="shared" si="478"/>
        <v>0</v>
      </c>
      <c r="O417" s="163">
        <f t="shared" si="478"/>
        <v>0</v>
      </c>
      <c r="P417" s="163">
        <f t="shared" si="478"/>
        <v>0</v>
      </c>
      <c r="Q417" s="47"/>
      <c r="R417" s="50"/>
    </row>
    <row r="418" spans="1:18" ht="48" hidden="1" thickTop="1" thickBot="1" x14ac:dyDescent="0.25">
      <c r="A418" s="138" t="s">
        <v>1205</v>
      </c>
      <c r="B418" s="138" t="s">
        <v>694</v>
      </c>
      <c r="C418" s="138"/>
      <c r="D418" s="138" t="s">
        <v>692</v>
      </c>
      <c r="E418" s="139">
        <f>E419</f>
        <v>0</v>
      </c>
      <c r="F418" s="139">
        <f t="shared" si="478"/>
        <v>0</v>
      </c>
      <c r="G418" s="139">
        <f t="shared" si="478"/>
        <v>0</v>
      </c>
      <c r="H418" s="139">
        <f t="shared" si="478"/>
        <v>0</v>
      </c>
      <c r="I418" s="139">
        <f t="shared" si="478"/>
        <v>0</v>
      </c>
      <c r="J418" s="139">
        <f t="shared" si="478"/>
        <v>0</v>
      </c>
      <c r="K418" s="139">
        <f t="shared" si="478"/>
        <v>0</v>
      </c>
      <c r="L418" s="139">
        <f t="shared" si="478"/>
        <v>0</v>
      </c>
      <c r="M418" s="139">
        <f t="shared" si="478"/>
        <v>0</v>
      </c>
      <c r="N418" s="139">
        <f t="shared" si="478"/>
        <v>0</v>
      </c>
      <c r="O418" s="139">
        <f t="shared" si="478"/>
        <v>0</v>
      </c>
      <c r="P418" s="139">
        <f t="shared" si="478"/>
        <v>0</v>
      </c>
      <c r="Q418" s="47"/>
      <c r="R418" s="50"/>
    </row>
    <row r="419" spans="1:18" ht="48" hidden="1" thickTop="1" thickBot="1" x14ac:dyDescent="0.25">
      <c r="A419" s="126" t="s">
        <v>1206</v>
      </c>
      <c r="B419" s="126" t="s">
        <v>257</v>
      </c>
      <c r="C419" s="126" t="s">
        <v>170</v>
      </c>
      <c r="D419" s="126" t="s">
        <v>255</v>
      </c>
      <c r="E419" s="125">
        <f t="shared" ref="E419" si="479">F419</f>
        <v>0</v>
      </c>
      <c r="F419" s="132"/>
      <c r="G419" s="132"/>
      <c r="H419" s="132"/>
      <c r="I419" s="132"/>
      <c r="J419" s="125">
        <f t="shared" ref="J419" si="480">L419+O419</f>
        <v>0</v>
      </c>
      <c r="K419" s="132"/>
      <c r="L419" s="132"/>
      <c r="M419" s="132"/>
      <c r="N419" s="132"/>
      <c r="O419" s="130">
        <f>K419</f>
        <v>0</v>
      </c>
      <c r="P419" s="125">
        <f t="shared" ref="P419" si="481">E419+J419</f>
        <v>0</v>
      </c>
      <c r="Q419" s="47"/>
      <c r="R419" s="50"/>
    </row>
    <row r="420" spans="1:18" ht="47.25" thickTop="1" thickBot="1" x14ac:dyDescent="0.25">
      <c r="A420" s="308" t="s">
        <v>845</v>
      </c>
      <c r="B420" s="308" t="s">
        <v>696</v>
      </c>
      <c r="C420" s="308"/>
      <c r="D420" s="308" t="s">
        <v>697</v>
      </c>
      <c r="E420" s="309">
        <f t="shared" ref="E420:P420" si="482">E421+E422+E424</f>
        <v>10667343.010000002</v>
      </c>
      <c r="F420" s="309">
        <f t="shared" si="482"/>
        <v>10667343.010000002</v>
      </c>
      <c r="G420" s="309">
        <f t="shared" si="482"/>
        <v>0</v>
      </c>
      <c r="H420" s="309">
        <f t="shared" si="482"/>
        <v>0</v>
      </c>
      <c r="I420" s="309">
        <f t="shared" si="482"/>
        <v>0</v>
      </c>
      <c r="J420" s="309">
        <f t="shared" si="482"/>
        <v>0</v>
      </c>
      <c r="K420" s="309">
        <f t="shared" si="482"/>
        <v>0</v>
      </c>
      <c r="L420" s="309">
        <f t="shared" si="482"/>
        <v>0</v>
      </c>
      <c r="M420" s="309">
        <f t="shared" si="482"/>
        <v>0</v>
      </c>
      <c r="N420" s="309">
        <f t="shared" si="482"/>
        <v>0</v>
      </c>
      <c r="O420" s="309">
        <f t="shared" si="482"/>
        <v>0</v>
      </c>
      <c r="P420" s="309">
        <f t="shared" si="482"/>
        <v>10667343.010000002</v>
      </c>
      <c r="Q420" s="47"/>
      <c r="R420" s="50"/>
    </row>
    <row r="421" spans="1:18" ht="47.25" thickTop="1" thickBot="1" x14ac:dyDescent="0.25">
      <c r="A421" s="515">
        <v>3718600</v>
      </c>
      <c r="B421" s="515">
        <v>8600</v>
      </c>
      <c r="C421" s="310" t="s">
        <v>362</v>
      </c>
      <c r="D421" s="515" t="s">
        <v>452</v>
      </c>
      <c r="E421" s="312">
        <f>F421</f>
        <v>835650</v>
      </c>
      <c r="F421" s="312">
        <f>(525644)+310006</f>
        <v>835650</v>
      </c>
      <c r="G421" s="312"/>
      <c r="H421" s="312"/>
      <c r="I421" s="312"/>
      <c r="J421" s="312">
        <f>L421+O421</f>
        <v>0</v>
      </c>
      <c r="K421" s="312"/>
      <c r="L421" s="312"/>
      <c r="M421" s="312"/>
      <c r="N421" s="312"/>
      <c r="O421" s="516">
        <f>K421</f>
        <v>0</v>
      </c>
      <c r="P421" s="312">
        <f>E421+J421</f>
        <v>835650</v>
      </c>
      <c r="Q421" s="20"/>
    </row>
    <row r="422" spans="1:18" ht="47.25" thickTop="1" thickBot="1" x14ac:dyDescent="0.25">
      <c r="A422" s="515">
        <v>3718700</v>
      </c>
      <c r="B422" s="515">
        <v>8700</v>
      </c>
      <c r="C422" s="310"/>
      <c r="D422" s="515" t="s">
        <v>846</v>
      </c>
      <c r="E422" s="312">
        <f t="shared" ref="E422:P422" si="483">E423</f>
        <v>9831693.0100000016</v>
      </c>
      <c r="F422" s="312">
        <f t="shared" si="483"/>
        <v>9831693.0100000016</v>
      </c>
      <c r="G422" s="312">
        <f t="shared" si="483"/>
        <v>0</v>
      </c>
      <c r="H422" s="312">
        <f t="shared" si="483"/>
        <v>0</v>
      </c>
      <c r="I422" s="312">
        <f t="shared" si="483"/>
        <v>0</v>
      </c>
      <c r="J422" s="312">
        <f t="shared" si="483"/>
        <v>0</v>
      </c>
      <c r="K422" s="312">
        <f t="shared" si="483"/>
        <v>0</v>
      </c>
      <c r="L422" s="312">
        <f t="shared" si="483"/>
        <v>0</v>
      </c>
      <c r="M422" s="312">
        <f t="shared" si="483"/>
        <v>0</v>
      </c>
      <c r="N422" s="312">
        <f t="shared" si="483"/>
        <v>0</v>
      </c>
      <c r="O422" s="312">
        <f t="shared" si="483"/>
        <v>0</v>
      </c>
      <c r="P422" s="312">
        <f t="shared" si="483"/>
        <v>9831693.0100000016</v>
      </c>
      <c r="Q422" s="20"/>
    </row>
    <row r="423" spans="1:18" ht="69" customHeight="1" thickTop="1" thickBot="1" x14ac:dyDescent="0.25">
      <c r="A423" s="327">
        <v>3718710</v>
      </c>
      <c r="B423" s="327">
        <v>8710</v>
      </c>
      <c r="C423" s="101" t="s">
        <v>42</v>
      </c>
      <c r="D423" s="466" t="s">
        <v>640</v>
      </c>
      <c r="E423" s="325">
        <f>F423</f>
        <v>9831693.0100000016</v>
      </c>
      <c r="F423" s="458">
        <f>(50431231.78-20000000-8000000)-12299538.77-300000</f>
        <v>9831693.0100000016</v>
      </c>
      <c r="G423" s="458"/>
      <c r="H423" s="458"/>
      <c r="I423" s="458"/>
      <c r="J423" s="325">
        <f>L423+O423</f>
        <v>0</v>
      </c>
      <c r="K423" s="458"/>
      <c r="L423" s="458"/>
      <c r="M423" s="458"/>
      <c r="N423" s="458"/>
      <c r="O423" s="455">
        <f>K423</f>
        <v>0</v>
      </c>
      <c r="P423" s="325">
        <f>E423+J423</f>
        <v>9831693.0100000016</v>
      </c>
      <c r="Q423" s="20"/>
    </row>
    <row r="424" spans="1:18" ht="47.25" hidden="1" thickTop="1" thickBot="1" x14ac:dyDescent="0.25">
      <c r="A424" s="164">
        <v>3718800</v>
      </c>
      <c r="B424" s="164">
        <v>8800</v>
      </c>
      <c r="C424" s="134"/>
      <c r="D424" s="164" t="s">
        <v>854</v>
      </c>
      <c r="E424" s="135">
        <f>E425</f>
        <v>0</v>
      </c>
      <c r="F424" s="135">
        <f>F425</f>
        <v>0</v>
      </c>
      <c r="G424" s="135">
        <f t="shared" ref="G424:P425" si="484">G425</f>
        <v>0</v>
      </c>
      <c r="H424" s="135">
        <f t="shared" si="484"/>
        <v>0</v>
      </c>
      <c r="I424" s="135">
        <f t="shared" si="484"/>
        <v>0</v>
      </c>
      <c r="J424" s="135">
        <f t="shared" si="484"/>
        <v>0</v>
      </c>
      <c r="K424" s="135">
        <f t="shared" si="484"/>
        <v>0</v>
      </c>
      <c r="L424" s="135">
        <f t="shared" si="484"/>
        <v>0</v>
      </c>
      <c r="M424" s="135">
        <f t="shared" si="484"/>
        <v>0</v>
      </c>
      <c r="N424" s="135">
        <f t="shared" si="484"/>
        <v>0</v>
      </c>
      <c r="O424" s="135">
        <f t="shared" si="484"/>
        <v>0</v>
      </c>
      <c r="P424" s="135">
        <f t="shared" si="484"/>
        <v>0</v>
      </c>
      <c r="Q424" s="20"/>
    </row>
    <row r="425" spans="1:18" ht="93" hidden="1" thickTop="1" thickBot="1" x14ac:dyDescent="0.25">
      <c r="A425" s="165">
        <v>3718880</v>
      </c>
      <c r="B425" s="165">
        <v>8880</v>
      </c>
      <c r="C425" s="138"/>
      <c r="D425" s="151" t="s">
        <v>1154</v>
      </c>
      <c r="E425" s="139">
        <f>E426</f>
        <v>0</v>
      </c>
      <c r="F425" s="139">
        <f t="shared" ref="F425" si="485">F426</f>
        <v>0</v>
      </c>
      <c r="G425" s="139">
        <f t="shared" si="484"/>
        <v>0</v>
      </c>
      <c r="H425" s="139">
        <f t="shared" si="484"/>
        <v>0</v>
      </c>
      <c r="I425" s="139">
        <f t="shared" si="484"/>
        <v>0</v>
      </c>
      <c r="J425" s="139">
        <f t="shared" si="484"/>
        <v>0</v>
      </c>
      <c r="K425" s="139">
        <f t="shared" si="484"/>
        <v>0</v>
      </c>
      <c r="L425" s="139">
        <f t="shared" si="484"/>
        <v>0</v>
      </c>
      <c r="M425" s="139">
        <f t="shared" si="484"/>
        <v>0</v>
      </c>
      <c r="N425" s="139">
        <f t="shared" si="484"/>
        <v>0</v>
      </c>
      <c r="O425" s="139">
        <f t="shared" si="484"/>
        <v>0</v>
      </c>
      <c r="P425" s="139">
        <f t="shared" si="484"/>
        <v>0</v>
      </c>
      <c r="Q425" s="20"/>
    </row>
    <row r="426" spans="1:18" ht="93" hidden="1" thickTop="1" thickBot="1" x14ac:dyDescent="0.25">
      <c r="A426" s="126">
        <v>3718881</v>
      </c>
      <c r="B426" s="126">
        <v>8881</v>
      </c>
      <c r="C426" s="126" t="s">
        <v>170</v>
      </c>
      <c r="D426" s="126" t="s">
        <v>1155</v>
      </c>
      <c r="E426" s="150">
        <f>F426</f>
        <v>0</v>
      </c>
      <c r="F426" s="127">
        <f>(2500000)-2500000</f>
        <v>0</v>
      </c>
      <c r="G426" s="127"/>
      <c r="H426" s="127"/>
      <c r="I426" s="127"/>
      <c r="J426" s="125">
        <f t="shared" ref="J426" si="486">L426+O426</f>
        <v>0</v>
      </c>
      <c r="K426" s="127"/>
      <c r="L426" s="128"/>
      <c r="M426" s="128"/>
      <c r="N426" s="128"/>
      <c r="O426" s="130">
        <f t="shared" ref="O426" si="487">K426</f>
        <v>0</v>
      </c>
      <c r="P426" s="125">
        <f t="shared" ref="P426" si="488">+J426+E426</f>
        <v>0</v>
      </c>
      <c r="Q426" s="20"/>
    </row>
    <row r="427" spans="1:18" ht="47.25" hidden="1" thickTop="1" thickBot="1" x14ac:dyDescent="0.25">
      <c r="A427" s="123" t="s">
        <v>847</v>
      </c>
      <c r="B427" s="123" t="s">
        <v>702</v>
      </c>
      <c r="C427" s="123"/>
      <c r="D427" s="123" t="s">
        <v>703</v>
      </c>
      <c r="E427" s="125">
        <f>E428</f>
        <v>0</v>
      </c>
      <c r="F427" s="125">
        <f t="shared" ref="F427:P428" si="489">F428</f>
        <v>0</v>
      </c>
      <c r="G427" s="125">
        <f t="shared" si="489"/>
        <v>0</v>
      </c>
      <c r="H427" s="125">
        <f t="shared" si="489"/>
        <v>0</v>
      </c>
      <c r="I427" s="125">
        <f t="shared" si="489"/>
        <v>0</v>
      </c>
      <c r="J427" s="125">
        <f t="shared" si="489"/>
        <v>0</v>
      </c>
      <c r="K427" s="125">
        <f t="shared" si="489"/>
        <v>0</v>
      </c>
      <c r="L427" s="125">
        <f t="shared" si="489"/>
        <v>0</v>
      </c>
      <c r="M427" s="125">
        <f t="shared" si="489"/>
        <v>0</v>
      </c>
      <c r="N427" s="125">
        <f t="shared" si="489"/>
        <v>0</v>
      </c>
      <c r="O427" s="125">
        <f t="shared" si="489"/>
        <v>0</v>
      </c>
      <c r="P427" s="125">
        <f t="shared" si="489"/>
        <v>0</v>
      </c>
      <c r="Q427" s="20"/>
    </row>
    <row r="428" spans="1:18" ht="47.25" hidden="1" thickTop="1" thickBot="1" x14ac:dyDescent="0.25">
      <c r="A428" s="164">
        <v>3719100</v>
      </c>
      <c r="B428" s="134" t="s">
        <v>849</v>
      </c>
      <c r="C428" s="134"/>
      <c r="D428" s="134" t="s">
        <v>848</v>
      </c>
      <c r="E428" s="135">
        <f>E429</f>
        <v>0</v>
      </c>
      <c r="F428" s="135">
        <f t="shared" si="489"/>
        <v>0</v>
      </c>
      <c r="G428" s="135">
        <f t="shared" si="489"/>
        <v>0</v>
      </c>
      <c r="H428" s="135">
        <f t="shared" si="489"/>
        <v>0</v>
      </c>
      <c r="I428" s="135">
        <f t="shared" si="489"/>
        <v>0</v>
      </c>
      <c r="J428" s="135">
        <f t="shared" si="489"/>
        <v>0</v>
      </c>
      <c r="K428" s="135">
        <f t="shared" si="489"/>
        <v>0</v>
      </c>
      <c r="L428" s="135">
        <f t="shared" si="489"/>
        <v>0</v>
      </c>
      <c r="M428" s="135">
        <f t="shared" si="489"/>
        <v>0</v>
      </c>
      <c r="N428" s="135">
        <f t="shared" si="489"/>
        <v>0</v>
      </c>
      <c r="O428" s="135">
        <f t="shared" si="489"/>
        <v>0</v>
      </c>
      <c r="P428" s="135">
        <f t="shared" si="489"/>
        <v>0</v>
      </c>
      <c r="Q428" s="20"/>
    </row>
    <row r="429" spans="1:18" ht="51" hidden="1" customHeight="1" thickTop="1" thickBot="1" x14ac:dyDescent="0.25">
      <c r="A429" s="149">
        <v>3719110</v>
      </c>
      <c r="B429" s="149">
        <v>9110</v>
      </c>
      <c r="C429" s="126" t="s">
        <v>43</v>
      </c>
      <c r="D429" s="398" t="s">
        <v>451</v>
      </c>
      <c r="E429" s="125">
        <f>F429</f>
        <v>0</v>
      </c>
      <c r="F429" s="132">
        <v>0</v>
      </c>
      <c r="G429" s="132"/>
      <c r="H429" s="132"/>
      <c r="I429" s="132"/>
      <c r="J429" s="125">
        <f>L429+O429</f>
        <v>0</v>
      </c>
      <c r="K429" s="132"/>
      <c r="L429" s="132"/>
      <c r="M429" s="132"/>
      <c r="N429" s="132"/>
      <c r="O429" s="130">
        <f>K429</f>
        <v>0</v>
      </c>
      <c r="P429" s="125">
        <f>E429+J429</f>
        <v>0</v>
      </c>
      <c r="Q429" s="20"/>
    </row>
    <row r="430" spans="1:18" ht="111" customHeight="1" thickTop="1" thickBot="1" x14ac:dyDescent="0.25">
      <c r="A430" s="649" t="s">
        <v>381</v>
      </c>
      <c r="B430" s="649" t="s">
        <v>381</v>
      </c>
      <c r="C430" s="649" t="s">
        <v>381</v>
      </c>
      <c r="D430" s="649" t="s">
        <v>391</v>
      </c>
      <c r="E430" s="650">
        <f t="shared" ref="E430:P430" si="490">E16+E48+E222+E108+E140+E201++E321+E346+E413+E374+E394+E404+E355+E286+E258</f>
        <v>4012296495.3400002</v>
      </c>
      <c r="F430" s="650">
        <f t="shared" si="490"/>
        <v>4012296495.3400002</v>
      </c>
      <c r="G430" s="650">
        <f t="shared" si="490"/>
        <v>1892125083.73</v>
      </c>
      <c r="H430" s="650">
        <f t="shared" si="490"/>
        <v>197411158.12</v>
      </c>
      <c r="I430" s="650">
        <f t="shared" si="490"/>
        <v>0</v>
      </c>
      <c r="J430" s="650">
        <f t="shared" si="490"/>
        <v>1116599997.6900001</v>
      </c>
      <c r="K430" s="650">
        <f t="shared" si="490"/>
        <v>871398245.53999996</v>
      </c>
      <c r="L430" s="650">
        <f t="shared" si="490"/>
        <v>232161952.15000001</v>
      </c>
      <c r="M430" s="650">
        <f t="shared" si="490"/>
        <v>64772033</v>
      </c>
      <c r="N430" s="650">
        <f t="shared" si="490"/>
        <v>19222521</v>
      </c>
      <c r="O430" s="650">
        <f t="shared" si="490"/>
        <v>884438045.53999996</v>
      </c>
      <c r="P430" s="650">
        <f t="shared" si="490"/>
        <v>5128896493.0299997</v>
      </c>
      <c r="Q430" s="79" t="b">
        <f>P430=J430+E430</f>
        <v>1</v>
      </c>
    </row>
    <row r="431" spans="1:18" ht="46.5" thickTop="1" x14ac:dyDescent="0.2">
      <c r="A431" s="737" t="s">
        <v>1515</v>
      </c>
      <c r="B431" s="738"/>
      <c r="C431" s="738"/>
      <c r="D431" s="738"/>
      <c r="E431" s="738"/>
      <c r="F431" s="738"/>
      <c r="G431" s="738"/>
      <c r="H431" s="738"/>
      <c r="I431" s="738"/>
      <c r="J431" s="738"/>
      <c r="K431" s="738"/>
      <c r="L431" s="738"/>
      <c r="M431" s="738"/>
      <c r="N431" s="738"/>
      <c r="O431" s="738"/>
      <c r="P431" s="738"/>
      <c r="Q431" s="56"/>
    </row>
    <row r="432" spans="1:18" ht="60.75" hidden="1" x14ac:dyDescent="0.2">
      <c r="A432" s="15"/>
      <c r="B432" s="16"/>
      <c r="C432" s="16"/>
      <c r="D432" s="16"/>
      <c r="E432" s="539">
        <f>F432</f>
        <v>4012296495.3400002</v>
      </c>
      <c r="F432" s="539">
        <f>((((((3716414441.2)+222038975.97)+1158900+4436136.01)+21294370.59-600000-300000)-7761000+280000)+73066.32+30269.34)+55231335.91</f>
        <v>4012296495.3400002</v>
      </c>
      <c r="G432" s="539">
        <f>(((95820900+1446614253+3269881+127110999+52092425+53854513+94248348+1953964)+45702476.39+3377320)+949920+3007261+436671+76680)-35140527.66+50000+3000000-3300000-1000000</f>
        <v>1892125083.73</v>
      </c>
      <c r="H432" s="539">
        <f>(((((6241293+170645348+208800+8158262+4493410+2946945+4237921+58880)+92902.78)+140989.01)+137643)+73066.32+30269.34)-513671.33+28860+430240</f>
        <v>197411158.11999997</v>
      </c>
      <c r="I432" s="539">
        <v>0</v>
      </c>
      <c r="J432" s="539">
        <f>((((((480219450.8+'d2'!E42-'d4'!O29)+268859015.4)+7672111)+156908194.41+600000+300000)+7761000-280000)+121582175)+(198000726.08-121582175-850010)</f>
        <v>1115749987.6900001</v>
      </c>
      <c r="K432" s="539">
        <f>(((((480219450.8+'d2'!F42-'d4'!P29-1200000-5215800-229145152)+268859015.4-4737.15-663952)+156908194.41+600000+300000)+7761000-280000)+121582175)+(198000726.08-121582175-850010)-1300000</f>
        <v>871398245.54000008</v>
      </c>
      <c r="L432" s="539">
        <f>((((2604400+176000+570000+1000000)+206347210+6239260+10895910+1888442+1200000)+4737.15)-152499)-411508+1800000</f>
        <v>232161952.15000001</v>
      </c>
      <c r="M432" s="539">
        <f>((53944610+2604685+8032370+704165)-133500)-380297</f>
        <v>64772033</v>
      </c>
      <c r="N432" s="539">
        <f>(17336870+705805+284620+524376)+370850</f>
        <v>19222521</v>
      </c>
      <c r="O432" s="539">
        <f>((((((480219450.8+'d2'!F42-'d4'!O29-1200000-5215800-229145152+865400+3487390+24000+237940+25000)+268859015.4-4737.15)+7672111)+152499+156908194.41+600000+300000)+7761000-280000)+121582175)+(198000726.08-121582175-850010)-1300000+411508-500000</f>
        <v>884438045.54000008</v>
      </c>
      <c r="P432" s="539">
        <f>(((((4196633892+'d2'!C46-'d4'!Q29)+490897991.37)+7672111+4436136.01+1158900)+178202565)+73066.32+121612444.34)+253232061.99-121582175-850010</f>
        <v>5128046483.0299997</v>
      </c>
      <c r="Q432" s="79" t="b">
        <f>E432+J432=P432</f>
        <v>1</v>
      </c>
      <c r="R432" s="56"/>
    </row>
    <row r="433" spans="1:18" ht="45.75" x14ac:dyDescent="0.65">
      <c r="A433" s="15"/>
      <c r="B433" s="16"/>
      <c r="C433" s="16"/>
      <c r="D433" s="540" t="s">
        <v>1478</v>
      </c>
      <c r="E433" s="316"/>
      <c r="F433" s="316"/>
      <c r="G433" s="2"/>
      <c r="H433" s="3"/>
      <c r="I433" s="2"/>
      <c r="J433" s="3"/>
      <c r="K433" s="2" t="s">
        <v>1479</v>
      </c>
      <c r="L433" s="2"/>
      <c r="M433" s="2"/>
      <c r="N433" s="2"/>
      <c r="O433" s="2"/>
      <c r="P433" s="2"/>
      <c r="Q433" s="56"/>
    </row>
    <row r="434" spans="1:18" ht="45.75" hidden="1" x14ac:dyDescent="0.65">
      <c r="A434" s="166"/>
      <c r="B434" s="167"/>
      <c r="C434" s="167"/>
      <c r="D434" s="3" t="s">
        <v>1443</v>
      </c>
      <c r="E434" s="316"/>
      <c r="F434" s="316"/>
      <c r="G434" s="2"/>
      <c r="H434" s="3"/>
      <c r="I434" s="2"/>
      <c r="J434" s="3"/>
      <c r="K434" s="3" t="s">
        <v>1444</v>
      </c>
      <c r="L434" s="200"/>
      <c r="M434" s="200"/>
      <c r="N434" s="200"/>
      <c r="O434" s="200"/>
      <c r="P434" s="200"/>
      <c r="Q434" s="56"/>
    </row>
    <row r="435" spans="1:18" ht="26.25" customHeight="1" x14ac:dyDescent="0.65">
      <c r="A435" s="15"/>
      <c r="B435" s="16"/>
      <c r="C435" s="16"/>
      <c r="D435" s="780"/>
      <c r="E435" s="780"/>
      <c r="F435" s="780"/>
      <c r="G435" s="780"/>
      <c r="H435" s="780"/>
      <c r="I435" s="780"/>
      <c r="J435" s="780"/>
      <c r="K435" s="780"/>
      <c r="L435" s="780"/>
      <c r="M435" s="780"/>
      <c r="N435" s="780"/>
      <c r="O435" s="780"/>
      <c r="P435" s="780"/>
      <c r="Q435" s="83"/>
    </row>
    <row r="436" spans="1:18" ht="50.25" customHeight="1" thickBot="1" x14ac:dyDescent="0.7">
      <c r="A436" s="15"/>
      <c r="B436" s="16"/>
      <c r="C436" s="16"/>
      <c r="D436" s="794" t="s">
        <v>523</v>
      </c>
      <c r="E436" s="795"/>
      <c r="F436" s="795"/>
      <c r="G436" s="358"/>
      <c r="H436" s="358"/>
      <c r="I436" s="2"/>
      <c r="J436" s="2"/>
      <c r="K436" s="3" t="s">
        <v>1345</v>
      </c>
      <c r="L436" s="2"/>
      <c r="M436" s="2"/>
      <c r="N436" s="2"/>
      <c r="O436" s="2"/>
      <c r="P436" s="2"/>
      <c r="Q436" s="83"/>
    </row>
    <row r="437" spans="1:18" ht="47.25" thickTop="1" thickBot="1" x14ac:dyDescent="0.7">
      <c r="A437" s="19"/>
      <c r="B437" s="19"/>
      <c r="C437" s="19"/>
      <c r="D437" s="739"/>
      <c r="E437" s="739"/>
      <c r="F437" s="739"/>
      <c r="G437" s="739"/>
      <c r="H437" s="739"/>
      <c r="I437" s="739"/>
      <c r="J437" s="739"/>
      <c r="K437" s="739"/>
      <c r="L437" s="739"/>
      <c r="M437" s="739"/>
      <c r="N437" s="739"/>
      <c r="O437" s="739"/>
      <c r="P437" s="739"/>
      <c r="Q437" s="84"/>
    </row>
    <row r="438" spans="1:18" ht="95.25" customHeight="1" thickTop="1" x14ac:dyDescent="0.55000000000000004">
      <c r="E438" s="672"/>
      <c r="G438" s="58"/>
      <c r="H438" s="58"/>
      <c r="I438" s="91"/>
      <c r="J438" s="92"/>
      <c r="K438" s="92"/>
      <c r="L438" s="91"/>
      <c r="M438" s="91"/>
      <c r="N438" s="91"/>
      <c r="O438" s="91"/>
      <c r="P438" s="92"/>
      <c r="Q438" s="82"/>
    </row>
    <row r="439" spans="1:18" x14ac:dyDescent="0.2">
      <c r="E439" s="59"/>
      <c r="F439" s="60"/>
      <c r="G439" s="58"/>
      <c r="H439" s="58"/>
      <c r="I439" s="91"/>
      <c r="J439" s="93"/>
      <c r="K439" s="93"/>
      <c r="L439" s="91"/>
      <c r="M439" s="91"/>
      <c r="N439" s="91"/>
      <c r="O439" s="91"/>
      <c r="P439" s="92"/>
    </row>
    <row r="440" spans="1:18" x14ac:dyDescent="0.2">
      <c r="E440" s="59"/>
      <c r="F440" s="60"/>
      <c r="G440" s="58"/>
      <c r="H440" s="58"/>
      <c r="I440" s="91"/>
      <c r="J440" s="93"/>
      <c r="K440" s="93"/>
      <c r="L440" s="91"/>
      <c r="M440" s="91"/>
      <c r="N440" s="91"/>
      <c r="O440" s="91"/>
      <c r="P440" s="92"/>
    </row>
    <row r="441" spans="1:18" ht="60.75" x14ac:dyDescent="0.2">
      <c r="E441" s="672" t="b">
        <f>E432=E430</f>
        <v>1</v>
      </c>
      <c r="F441" s="672" t="b">
        <f>F432=F430</f>
        <v>1</v>
      </c>
      <c r="G441" s="672" t="b">
        <f>G432=G430</f>
        <v>1</v>
      </c>
      <c r="H441" s="672" t="b">
        <f t="shared" ref="H441:O441" si="491">H432=H430</f>
        <v>1</v>
      </c>
      <c r="I441" s="672" t="b">
        <f>I432=I430</f>
        <v>1</v>
      </c>
      <c r="J441" s="672" t="b">
        <f>J432=J430</f>
        <v>0</v>
      </c>
      <c r="K441" s="672" t="b">
        <f>K432=K430</f>
        <v>1</v>
      </c>
      <c r="L441" s="672" t="b">
        <f t="shared" si="491"/>
        <v>1</v>
      </c>
      <c r="M441" s="672" t="b">
        <f t="shared" si="491"/>
        <v>1</v>
      </c>
      <c r="N441" s="672" t="b">
        <f>N432=N430</f>
        <v>1</v>
      </c>
      <c r="O441" s="672" t="b">
        <f t="shared" si="491"/>
        <v>1</v>
      </c>
      <c r="P441" s="672" t="b">
        <f>P432=P430</f>
        <v>0</v>
      </c>
    </row>
    <row r="442" spans="1:18" ht="61.5" x14ac:dyDescent="0.2">
      <c r="E442" s="672" t="b">
        <f>E430=F430</f>
        <v>1</v>
      </c>
      <c r="F442" s="673">
        <f>F423/E430</f>
        <v>2.4503904488162379E-3</v>
      </c>
      <c r="G442" s="86"/>
      <c r="H442" s="87"/>
      <c r="I442" s="88"/>
      <c r="J442" s="672" t="b">
        <f>J432=L432+O432</f>
        <v>0</v>
      </c>
      <c r="K442" s="94"/>
      <c r="L442" s="79"/>
      <c r="M442" s="88"/>
      <c r="N442" s="88"/>
      <c r="O442" s="79"/>
      <c r="P442" s="672" t="b">
        <f>E430+J430=P430</f>
        <v>1</v>
      </c>
    </row>
    <row r="443" spans="1:18" ht="60.75" x14ac:dyDescent="0.2">
      <c r="E443" s="89"/>
      <c r="F443" s="90"/>
      <c r="G443" s="89"/>
      <c r="H443" s="674">
        <f>H432-H430</f>
        <v>0</v>
      </c>
      <c r="I443" s="89"/>
      <c r="J443" s="59"/>
      <c r="K443" s="59"/>
    </row>
    <row r="444" spans="1:18" ht="61.5" x14ac:dyDescent="0.2">
      <c r="A444" s="21"/>
      <c r="B444" s="21"/>
      <c r="C444" s="21"/>
      <c r="D444" s="22"/>
      <c r="E444" s="37">
        <f>E430-E432</f>
        <v>0</v>
      </c>
      <c r="F444" s="673">
        <f>400000/E430</f>
        <v>9.9693529744018626E-5</v>
      </c>
      <c r="G444" s="86"/>
      <c r="H444" s="61"/>
      <c r="I444" s="22"/>
      <c r="J444" s="37">
        <f>J430-J432</f>
        <v>850010</v>
      </c>
      <c r="K444" s="37">
        <f>K430-K432</f>
        <v>0</v>
      </c>
      <c r="L444" s="37"/>
      <c r="M444" s="37"/>
      <c r="N444" s="37"/>
      <c r="O444" s="37">
        <f>O430-O432</f>
        <v>0</v>
      </c>
      <c r="P444" s="37"/>
    </row>
    <row r="445" spans="1:18" ht="61.5" x14ac:dyDescent="0.2">
      <c r="D445" s="22"/>
      <c r="E445" s="37"/>
      <c r="F445" s="63"/>
      <c r="G445" s="55"/>
      <c r="H445" s="61"/>
      <c r="I445" s="22"/>
      <c r="J445" s="37"/>
      <c r="K445" s="37"/>
      <c r="L445" s="64"/>
      <c r="P445" s="55"/>
      <c r="Q445" s="85"/>
      <c r="R445" s="65"/>
    </row>
    <row r="446" spans="1:18" ht="60.75" x14ac:dyDescent="0.2">
      <c r="A446" s="21"/>
      <c r="B446" s="21"/>
      <c r="C446" s="21"/>
      <c r="D446" s="22"/>
      <c r="E446" s="26"/>
      <c r="F446" s="26"/>
      <c r="G446" s="26"/>
      <c r="H446" s="26"/>
      <c r="I446" s="66"/>
      <c r="J446" s="26"/>
      <c r="K446" s="26"/>
      <c r="L446" s="26"/>
      <c r="M446" s="26"/>
      <c r="N446" s="26"/>
      <c r="O446" s="26"/>
      <c r="P446" s="26"/>
      <c r="Q446" s="85"/>
      <c r="R446" s="65"/>
    </row>
    <row r="447" spans="1:18" ht="60.75" x14ac:dyDescent="0.2">
      <c r="D447" s="22"/>
      <c r="E447" s="37"/>
      <c r="F447" s="67"/>
      <c r="O447" s="55"/>
      <c r="P447" s="55"/>
    </row>
    <row r="448" spans="1:18" ht="60.75" x14ac:dyDescent="0.2">
      <c r="A448" s="21"/>
      <c r="B448" s="21"/>
      <c r="C448" s="21"/>
      <c r="D448" s="22"/>
      <c r="E448" s="37"/>
      <c r="F448" s="62"/>
      <c r="G448" s="64"/>
      <c r="I448" s="68"/>
      <c r="J448" s="59"/>
      <c r="K448" s="59"/>
      <c r="L448" s="21"/>
      <c r="M448" s="21"/>
      <c r="N448" s="21"/>
      <c r="O448" s="21"/>
      <c r="P448" s="55"/>
    </row>
    <row r="449" spans="1:16" ht="62.25" x14ac:dyDescent="0.8">
      <c r="A449" s="21"/>
      <c r="B449" s="21"/>
      <c r="C449" s="21"/>
      <c r="D449" s="21"/>
      <c r="E449" s="69"/>
      <c r="F449" s="62"/>
      <c r="J449" s="59"/>
      <c r="K449" s="59"/>
      <c r="L449" s="21"/>
      <c r="M449" s="21"/>
      <c r="N449" s="21"/>
      <c r="O449" s="21"/>
      <c r="P449" s="70"/>
    </row>
    <row r="450" spans="1:16" ht="45.75" x14ac:dyDescent="0.2">
      <c r="E450" s="71"/>
      <c r="F450" s="67"/>
    </row>
    <row r="451" spans="1:16" ht="45.75" x14ac:dyDescent="0.2">
      <c r="A451" s="21"/>
      <c r="B451" s="21"/>
      <c r="C451" s="21"/>
      <c r="D451" s="21"/>
      <c r="E451" s="69"/>
      <c r="F451" s="62"/>
      <c r="L451" s="21"/>
      <c r="M451" s="21"/>
      <c r="N451" s="21"/>
      <c r="O451" s="21"/>
      <c r="P451" s="21"/>
    </row>
    <row r="452" spans="1:16" ht="45.75" x14ac:dyDescent="0.2">
      <c r="E452" s="72"/>
      <c r="F452" s="67"/>
    </row>
    <row r="453" spans="1:16" ht="45.75" x14ac:dyDescent="0.2">
      <c r="E453" s="72"/>
      <c r="F453" s="67"/>
    </row>
    <row r="454" spans="1:16" ht="45.75" x14ac:dyDescent="0.2">
      <c r="E454" s="72"/>
      <c r="F454" s="67"/>
    </row>
    <row r="455" spans="1:16" ht="45.75" x14ac:dyDescent="0.2">
      <c r="A455" s="21"/>
      <c r="B455" s="21"/>
      <c r="C455" s="21"/>
      <c r="D455" s="21"/>
      <c r="E455" s="72"/>
      <c r="F455" s="67"/>
      <c r="G455" s="21"/>
      <c r="H455" s="21"/>
      <c r="I455" s="21"/>
      <c r="J455" s="21"/>
      <c r="K455" s="21"/>
      <c r="L455" s="21"/>
      <c r="M455" s="21"/>
      <c r="N455" s="21"/>
      <c r="O455" s="21"/>
      <c r="P455" s="21"/>
    </row>
    <row r="456" spans="1:16" ht="45.75" x14ac:dyDescent="0.2">
      <c r="A456" s="21"/>
      <c r="B456" s="21"/>
      <c r="C456" s="21"/>
      <c r="D456" s="21"/>
      <c r="E456" s="72"/>
      <c r="F456" s="67"/>
      <c r="G456" s="21"/>
      <c r="H456" s="21"/>
      <c r="I456" s="21"/>
      <c r="J456" s="21"/>
      <c r="K456" s="21"/>
      <c r="L456" s="21"/>
      <c r="M456" s="21"/>
      <c r="N456" s="21"/>
      <c r="O456" s="21"/>
      <c r="P456" s="21"/>
    </row>
    <row r="457" spans="1:16" ht="45.75" x14ac:dyDescent="0.2">
      <c r="A457" s="21"/>
      <c r="B457" s="21"/>
      <c r="C457" s="21"/>
      <c r="D457" s="21"/>
      <c r="E457" s="72"/>
      <c r="F457" s="67"/>
      <c r="G457" s="21"/>
      <c r="H457" s="21"/>
      <c r="I457" s="21"/>
      <c r="J457" s="21"/>
      <c r="K457" s="21"/>
      <c r="L457" s="21"/>
      <c r="M457" s="21"/>
      <c r="N457" s="21"/>
      <c r="O457" s="21"/>
      <c r="P457" s="21"/>
    </row>
    <row r="458" spans="1:16" ht="45.75" x14ac:dyDescent="0.2">
      <c r="A458" s="21"/>
      <c r="B458" s="21"/>
      <c r="C458" s="21"/>
      <c r="D458" s="21"/>
      <c r="E458" s="72"/>
      <c r="F458" s="67"/>
      <c r="G458" s="21"/>
      <c r="H458" s="21"/>
      <c r="I458" s="21"/>
      <c r="J458" s="21"/>
      <c r="K458" s="21"/>
      <c r="L458" s="21"/>
      <c r="M458" s="21"/>
      <c r="N458" s="21"/>
      <c r="O458" s="21"/>
      <c r="P458" s="21"/>
    </row>
  </sheetData>
  <mergeCells count="183">
    <mergeCell ref="D436:F436"/>
    <mergeCell ref="M180:M182"/>
    <mergeCell ref="N180:N182"/>
    <mergeCell ref="O180:O182"/>
    <mergeCell ref="P180:P182"/>
    <mergeCell ref="R180:R182"/>
    <mergeCell ref="C180:C182"/>
    <mergeCell ref="E180:E182"/>
    <mergeCell ref="F180:F182"/>
    <mergeCell ref="G180:G182"/>
    <mergeCell ref="H180:H182"/>
    <mergeCell ref="I180:I182"/>
    <mergeCell ref="J180:J182"/>
    <mergeCell ref="K180:K182"/>
    <mergeCell ref="L180:L182"/>
    <mergeCell ref="H309:H310"/>
    <mergeCell ref="I309:I310"/>
    <mergeCell ref="P278:P279"/>
    <mergeCell ref="K198:K199"/>
    <mergeCell ref="L198:L199"/>
    <mergeCell ref="M198:M199"/>
    <mergeCell ref="N198:N199"/>
    <mergeCell ref="O198:O199"/>
    <mergeCell ref="P198:P199"/>
    <mergeCell ref="P169:P172"/>
    <mergeCell ref="K173:K176"/>
    <mergeCell ref="L173:L176"/>
    <mergeCell ref="M173:M176"/>
    <mergeCell ref="N173:N176"/>
    <mergeCell ref="R169:R172"/>
    <mergeCell ref="R177:R179"/>
    <mergeCell ref="A177:A179"/>
    <mergeCell ref="B177:B179"/>
    <mergeCell ref="C177:C179"/>
    <mergeCell ref="E177:E179"/>
    <mergeCell ref="F177:F179"/>
    <mergeCell ref="G177:G179"/>
    <mergeCell ref="H177:H179"/>
    <mergeCell ref="I177:I179"/>
    <mergeCell ref="J177:J179"/>
    <mergeCell ref="K177:K179"/>
    <mergeCell ref="L177:L179"/>
    <mergeCell ref="M177:M179"/>
    <mergeCell ref="N177:N179"/>
    <mergeCell ref="O177:O179"/>
    <mergeCell ref="P177:P179"/>
    <mergeCell ref="R173:R176"/>
    <mergeCell ref="B173:B176"/>
    <mergeCell ref="Q169:Q172"/>
    <mergeCell ref="A173:A176"/>
    <mergeCell ref="P342:P343"/>
    <mergeCell ref="I76:I77"/>
    <mergeCell ref="J76:J77"/>
    <mergeCell ref="K76:K77"/>
    <mergeCell ref="L76:L77"/>
    <mergeCell ref="A342:A343"/>
    <mergeCell ref="B342:B343"/>
    <mergeCell ref="C342:C343"/>
    <mergeCell ref="E342:E343"/>
    <mergeCell ref="F342:F343"/>
    <mergeCell ref="G342:G343"/>
    <mergeCell ref="H342:H343"/>
    <mergeCell ref="I342:I343"/>
    <mergeCell ref="J342:J343"/>
    <mergeCell ref="F76:F77"/>
    <mergeCell ref="G76:G77"/>
    <mergeCell ref="H76:H77"/>
    <mergeCell ref="M76:M77"/>
    <mergeCell ref="N76:N77"/>
    <mergeCell ref="B309:B310"/>
    <mergeCell ref="C309:C310"/>
    <mergeCell ref="O76:O77"/>
    <mergeCell ref="P76:P77"/>
    <mergeCell ref="A169:A172"/>
    <mergeCell ref="D435:P435"/>
    <mergeCell ref="O309:O310"/>
    <mergeCell ref="P309:P310"/>
    <mergeCell ref="K309:K310"/>
    <mergeCell ref="L309:L310"/>
    <mergeCell ref="M309:M310"/>
    <mergeCell ref="N309:N310"/>
    <mergeCell ref="K342:K343"/>
    <mergeCell ref="L342:L343"/>
    <mergeCell ref="M342:M343"/>
    <mergeCell ref="N342:N343"/>
    <mergeCell ref="O342:O343"/>
    <mergeCell ref="E309:E310"/>
    <mergeCell ref="F309:F310"/>
    <mergeCell ref="G309:G310"/>
    <mergeCell ref="O173:O176"/>
    <mergeCell ref="P173:P176"/>
    <mergeCell ref="J169:J172"/>
    <mergeCell ref="K169:K172"/>
    <mergeCell ref="L169:L172"/>
    <mergeCell ref="M169:M172"/>
    <mergeCell ref="N169:N172"/>
    <mergeCell ref="I33:I34"/>
    <mergeCell ref="B33:B34"/>
    <mergeCell ref="C33:C34"/>
    <mergeCell ref="J309:J310"/>
    <mergeCell ref="A278:A279"/>
    <mergeCell ref="B278:B279"/>
    <mergeCell ref="C278:C279"/>
    <mergeCell ref="J198:J199"/>
    <mergeCell ref="A198:A199"/>
    <mergeCell ref="B198:B199"/>
    <mergeCell ref="A76:A77"/>
    <mergeCell ref="B76:B77"/>
    <mergeCell ref="B169:B172"/>
    <mergeCell ref="A180:A182"/>
    <mergeCell ref="B180:B182"/>
    <mergeCell ref="I173:I176"/>
    <mergeCell ref="J173:J176"/>
    <mergeCell ref="I169:I172"/>
    <mergeCell ref="C173:C176"/>
    <mergeCell ref="E173:E176"/>
    <mergeCell ref="F173:F176"/>
    <mergeCell ref="G173:G176"/>
    <mergeCell ref="H173:H176"/>
    <mergeCell ref="N278:N279"/>
    <mergeCell ref="O278:O279"/>
    <mergeCell ref="G198:G199"/>
    <mergeCell ref="H198:H199"/>
    <mergeCell ref="I198:I199"/>
    <mergeCell ref="C198:C199"/>
    <mergeCell ref="E198:E199"/>
    <mergeCell ref="F198:F199"/>
    <mergeCell ref="C76:C77"/>
    <mergeCell ref="D76:D77"/>
    <mergeCell ref="E76:E77"/>
    <mergeCell ref="C169:C172"/>
    <mergeCell ref="E169:E172"/>
    <mergeCell ref="F169:F172"/>
    <mergeCell ref="G169:G172"/>
    <mergeCell ref="H169:H172"/>
    <mergeCell ref="O169:O172"/>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A9:B9"/>
    <mergeCell ref="A11:A13"/>
    <mergeCell ref="B11:B13"/>
    <mergeCell ref="C11:C13"/>
    <mergeCell ref="D11:D13"/>
    <mergeCell ref="E11:I11"/>
    <mergeCell ref="A431:P431"/>
    <mergeCell ref="D437:P437"/>
    <mergeCell ref="K33:K34"/>
    <mergeCell ref="L33:L34"/>
    <mergeCell ref="M33:M34"/>
    <mergeCell ref="N33:N34"/>
    <mergeCell ref="O33:O34"/>
    <mergeCell ref="P33:P34"/>
    <mergeCell ref="E278:E279"/>
    <mergeCell ref="F278:F279"/>
    <mergeCell ref="G278:G279"/>
    <mergeCell ref="H278:H279"/>
    <mergeCell ref="I278:I279"/>
    <mergeCell ref="J278:J279"/>
    <mergeCell ref="A33:A34"/>
    <mergeCell ref="E33:E34"/>
    <mergeCell ref="F33:F34"/>
    <mergeCell ref="G33:G34"/>
    <mergeCell ref="H33:H34"/>
    <mergeCell ref="J33:J34"/>
    <mergeCell ref="A309:A310"/>
    <mergeCell ref="K278:K279"/>
    <mergeCell ref="L278:L279"/>
    <mergeCell ref="M278:M279"/>
  </mergeCells>
  <conditionalFormatting sqref="Q346:Q353">
    <cfRule type="iconSet" priority="31">
      <iconSet iconSet="3Arrows">
        <cfvo type="percent" val="0"/>
        <cfvo type="percent" val="33"/>
        <cfvo type="percent" val="67"/>
      </iconSet>
    </cfRule>
  </conditionalFormatting>
  <conditionalFormatting sqref="Q355:Q356">
    <cfRule type="iconSet" priority="19">
      <iconSet iconSet="3Arrows">
        <cfvo type="percent" val="0"/>
        <cfvo type="percent" val="33"/>
        <cfvo type="percent" val="67"/>
      </iconSet>
    </cfRule>
  </conditionalFormatting>
  <conditionalFormatting sqref="Q357:Q372">
    <cfRule type="iconSet" priority="50">
      <iconSet iconSet="3Arrows">
        <cfvo type="percent" val="0"/>
        <cfvo type="percent" val="33"/>
        <cfvo type="percent" val="67"/>
      </iconSet>
    </cfRule>
  </conditionalFormatting>
  <conditionalFormatting sqref="Q394:Q399">
    <cfRule type="iconSet" priority="46">
      <iconSet iconSet="3Arrows">
        <cfvo type="percent" val="0"/>
        <cfvo type="percent" val="33"/>
        <cfvo type="percent" val="67"/>
      </iconSet>
    </cfRule>
  </conditionalFormatting>
  <conditionalFormatting sqref="Q400">
    <cfRule type="iconSet" priority="2">
      <iconSet iconSet="3Arrows">
        <cfvo type="percent" val="0"/>
        <cfvo type="percent" val="33"/>
        <cfvo type="percent" val="67"/>
      </iconSet>
    </cfRule>
  </conditionalFormatting>
  <conditionalFormatting sqref="Q401:Q402">
    <cfRule type="iconSet" priority="10">
      <iconSet iconSet="3Arrows">
        <cfvo type="percent" val="0"/>
        <cfvo type="percent" val="33"/>
        <cfvo type="percent" val="67"/>
      </iconSet>
    </cfRule>
  </conditionalFormatting>
  <conditionalFormatting sqref="Q404">
    <cfRule type="iconSet" priority="3">
      <iconSet iconSet="3Arrows">
        <cfvo type="percent" val="0"/>
        <cfvo type="percent" val="33"/>
        <cfvo type="percent" val="67"/>
      </iconSet>
    </cfRule>
  </conditionalFormatting>
  <conditionalFormatting sqref="Q413">
    <cfRule type="iconSet" priority="1">
      <iconSet iconSet="3Arrows">
        <cfvo type="percent" val="0"/>
        <cfvo type="percent" val="33"/>
        <cfvo type="percent" val="67"/>
      </iconSet>
    </cfRule>
  </conditionalFormatting>
  <conditionalFormatting sqref="Q414 Q416:R420 R415:S415">
    <cfRule type="iconSet" priority="24">
      <iconSet iconSet="3Arrows">
        <cfvo type="percent" val="0"/>
        <cfvo type="percent" val="33"/>
        <cfvo type="percent" val="67"/>
      </iconSet>
    </cfRule>
  </conditionalFormatting>
  <conditionalFormatting sqref="Q415">
    <cfRule type="iconSet" priority="7">
      <iconSet iconSet="3Arrows">
        <cfvo type="percent" val="0"/>
        <cfvo type="percent" val="33"/>
        <cfvo type="percent" val="67"/>
      </iconSet>
    </cfRule>
  </conditionalFormatting>
  <conditionalFormatting sqref="Q374:R381">
    <cfRule type="iconSet" priority="56">
      <iconSet iconSet="3Arrows">
        <cfvo type="percent" val="0"/>
        <cfvo type="percent" val="33"/>
        <cfvo type="percent" val="67"/>
      </iconSet>
    </cfRule>
  </conditionalFormatting>
  <conditionalFormatting sqref="R346:R347">
    <cfRule type="iconSet" priority="16">
      <iconSet iconSet="3Arrows">
        <cfvo type="percent" val="0"/>
        <cfvo type="percent" val="33"/>
        <cfvo type="percent" val="67"/>
      </iconSet>
    </cfRule>
  </conditionalFormatting>
  <conditionalFormatting sqref="R348:R353">
    <cfRule type="iconSet" priority="15">
      <iconSet iconSet="3Arrows">
        <cfvo type="percent" val="0"/>
        <cfvo type="percent" val="33"/>
        <cfvo type="percent" val="67"/>
      </iconSet>
    </cfRule>
  </conditionalFormatting>
  <conditionalFormatting sqref="R355:R356">
    <cfRule type="iconSet" priority="18">
      <iconSet iconSet="3Arrows">
        <cfvo type="percent" val="0"/>
        <cfvo type="percent" val="33"/>
        <cfvo type="percent" val="67"/>
      </iconSet>
    </cfRule>
  </conditionalFormatting>
  <conditionalFormatting sqref="R357:R372">
    <cfRule type="iconSet" priority="52">
      <iconSet iconSet="3Arrows">
        <cfvo type="percent" val="0"/>
        <cfvo type="percent" val="33"/>
        <cfvo type="percent" val="67"/>
      </iconSet>
    </cfRule>
  </conditionalFormatting>
  <conditionalFormatting sqref="R382:R392">
    <cfRule type="iconSet" priority="41">
      <iconSet iconSet="3Arrows">
        <cfvo type="percent" val="0"/>
        <cfvo type="percent" val="33"/>
        <cfvo type="percent" val="67"/>
      </iconSet>
    </cfRule>
  </conditionalFormatting>
  <conditionalFormatting sqref="R394:R395">
    <cfRule type="iconSet" priority="14">
      <iconSet iconSet="3Arrows">
        <cfvo type="percent" val="0"/>
        <cfvo type="percent" val="33"/>
        <cfvo type="percent" val="67"/>
      </iconSet>
    </cfRule>
  </conditionalFormatting>
  <conditionalFormatting sqref="R396:R399">
    <cfRule type="iconSet" priority="45">
      <iconSet iconSet="3Arrows">
        <cfvo type="percent" val="0"/>
        <cfvo type="percent" val="33"/>
        <cfvo type="percent" val="67"/>
      </iconSet>
    </cfRule>
  </conditionalFormatting>
  <conditionalFormatting sqref="R406:R408 Q405:R405 R404">
    <cfRule type="iconSet" priority="23">
      <iconSet iconSet="3Arrows">
        <cfvo type="percent" val="0"/>
        <cfvo type="percent" val="33"/>
        <cfvo type="percent" val="67"/>
      </iconSet>
    </cfRule>
  </conditionalFormatting>
  <conditionalFormatting sqref="R409">
    <cfRule type="iconSet" priority="5">
      <iconSet iconSet="3Arrows">
        <cfvo type="percent" val="0"/>
        <cfvo type="percent" val="33"/>
        <cfvo type="percent" val="67"/>
      </iconSet>
    </cfRule>
  </conditionalFormatting>
  <conditionalFormatting sqref="R411">
    <cfRule type="iconSet" priority="4">
      <iconSet iconSet="3Arrows">
        <cfvo type="percent" val="0"/>
        <cfvo type="percent" val="33"/>
        <cfvo type="percent" val="67"/>
      </iconSet>
    </cfRule>
  </conditionalFormatting>
  <conditionalFormatting sqref="R413">
    <cfRule type="iconSet" priority="6">
      <iconSet iconSet="3Arrows">
        <cfvo type="percent" val="0"/>
        <cfvo type="percent" val="33"/>
        <cfvo type="percent" val="67"/>
      </iconSet>
    </cfRule>
  </conditionalFormatting>
  <conditionalFormatting sqref="R414">
    <cfRule type="iconSet" priority="22">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166" max="15" man="1"/>
    <brk id="22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R177"/>
  <sheetViews>
    <sheetView showGridLines="0" view="pageBreakPreview" topLeftCell="B20" zoomScale="85" zoomScaleNormal="85" zoomScaleSheetLayoutView="85" workbookViewId="0">
      <selection activeCell="K34" sqref="K34"/>
    </sheetView>
  </sheetViews>
  <sheetFormatPr defaultColWidth="7.85546875" defaultRowHeight="12.75" x14ac:dyDescent="0.2"/>
  <cols>
    <col min="1" max="1" width="0" style="168" hidden="1" customWidth="1"/>
    <col min="2" max="2" width="13" style="7" customWidth="1"/>
    <col min="3" max="3" width="13.5703125" style="7" customWidth="1"/>
    <col min="4" max="4" width="15.28515625" style="7" customWidth="1"/>
    <col min="5" max="5" width="38.85546875" style="7" customWidth="1"/>
    <col min="6" max="6" width="11.85546875" style="7" bestFit="1" customWidth="1"/>
    <col min="7" max="7" width="13.42578125" style="7" customWidth="1"/>
    <col min="8" max="8" width="13.28515625" style="7" customWidth="1"/>
    <col min="9" max="9" width="13.42578125" style="7" customWidth="1"/>
    <col min="10" max="10" width="12.140625" style="7" customWidth="1"/>
    <col min="11" max="11" width="18.140625" style="7" customWidth="1"/>
    <col min="12" max="12" width="13.5703125" style="7" customWidth="1"/>
    <col min="13" max="13" width="14.7109375" style="7" customWidth="1"/>
    <col min="14" max="14" width="11.42578125" style="7" customWidth="1"/>
    <col min="15" max="15" width="13.7109375" style="7" customWidth="1"/>
    <col min="16" max="16" width="13.42578125" style="7" customWidth="1"/>
    <col min="17" max="17" width="14.28515625" style="7" customWidth="1"/>
    <col min="18" max="18" width="10" style="7" bestFit="1" customWidth="1"/>
    <col min="19" max="16384" width="7.85546875" style="7"/>
  </cols>
  <sheetData>
    <row r="1" spans="1:18" x14ac:dyDescent="0.2">
      <c r="B1" s="493"/>
      <c r="C1" s="493"/>
      <c r="D1" s="493"/>
      <c r="E1" s="493"/>
      <c r="F1" s="493"/>
      <c r="G1" s="493"/>
      <c r="H1" s="493"/>
      <c r="I1" s="493"/>
      <c r="J1" s="493"/>
      <c r="K1" s="493"/>
      <c r="L1" s="493"/>
      <c r="M1" s="493"/>
      <c r="N1" s="493"/>
      <c r="O1" s="493"/>
      <c r="P1" s="493"/>
      <c r="Q1" s="493"/>
    </row>
    <row r="2" spans="1:18" ht="64.5" customHeight="1" x14ac:dyDescent="0.2">
      <c r="B2" s="337"/>
      <c r="C2" s="337"/>
      <c r="D2" s="337"/>
      <c r="E2" s="493"/>
      <c r="F2" s="493"/>
      <c r="G2" s="493"/>
      <c r="H2" s="493"/>
      <c r="I2" s="493"/>
      <c r="J2" s="493"/>
      <c r="K2" s="493"/>
      <c r="L2" s="493"/>
      <c r="M2" s="816" t="s">
        <v>1578</v>
      </c>
      <c r="N2" s="816"/>
      <c r="O2" s="816"/>
      <c r="P2" s="816"/>
      <c r="Q2" s="816"/>
    </row>
    <row r="3" spans="1:18" ht="18.75" x14ac:dyDescent="0.2">
      <c r="B3" s="800"/>
      <c r="C3" s="800"/>
      <c r="D3" s="337"/>
      <c r="E3" s="811" t="s">
        <v>571</v>
      </c>
      <c r="F3" s="811"/>
      <c r="G3" s="811"/>
      <c r="H3" s="811"/>
      <c r="I3" s="811"/>
      <c r="J3" s="811"/>
      <c r="K3" s="811"/>
      <c r="L3" s="811"/>
      <c r="M3" s="811"/>
      <c r="N3" s="494"/>
      <c r="O3" s="494"/>
      <c r="P3" s="494"/>
      <c r="Q3" s="494"/>
    </row>
    <row r="4" spans="1:18" ht="21" customHeight="1" x14ac:dyDescent="0.2">
      <c r="B4" s="495"/>
      <c r="C4" s="464"/>
      <c r="D4" s="496"/>
      <c r="E4" s="811" t="s">
        <v>1513</v>
      </c>
      <c r="F4" s="812"/>
      <c r="G4" s="812"/>
      <c r="H4" s="812"/>
      <c r="I4" s="812"/>
      <c r="J4" s="812"/>
      <c r="K4" s="812"/>
      <c r="L4" s="812"/>
      <c r="M4" s="812"/>
      <c r="N4" s="337"/>
      <c r="O4" s="337"/>
      <c r="P4" s="337"/>
      <c r="Q4" s="497"/>
    </row>
    <row r="5" spans="1:18" ht="12" customHeight="1" x14ac:dyDescent="0.2">
      <c r="B5" s="801">
        <v>2256400000</v>
      </c>
      <c r="C5" s="802"/>
      <c r="D5" s="496"/>
      <c r="E5" s="331"/>
      <c r="F5" s="331"/>
      <c r="G5" s="331"/>
      <c r="H5" s="331"/>
      <c r="I5" s="331"/>
      <c r="J5" s="331"/>
      <c r="K5" s="331"/>
      <c r="L5" s="331"/>
      <c r="M5" s="331"/>
      <c r="N5" s="337"/>
      <c r="O5" s="337"/>
      <c r="P5" s="337"/>
      <c r="Q5" s="497"/>
    </row>
    <row r="6" spans="1:18" ht="12" customHeight="1" x14ac:dyDescent="0.2">
      <c r="B6" s="803" t="s">
        <v>490</v>
      </c>
      <c r="C6" s="804"/>
      <c r="D6" s="496"/>
      <c r="E6" s="331"/>
      <c r="F6" s="331"/>
      <c r="G6" s="331"/>
      <c r="H6" s="331"/>
      <c r="I6" s="331"/>
      <c r="J6" s="331"/>
      <c r="K6" s="331"/>
      <c r="L6" s="331"/>
      <c r="M6" s="331"/>
      <c r="N6" s="337"/>
      <c r="O6" s="337"/>
      <c r="P6" s="337"/>
      <c r="Q6" s="497"/>
    </row>
    <row r="7" spans="1:18" ht="21" customHeight="1" thickBot="1" x14ac:dyDescent="0.35">
      <c r="B7" s="498"/>
      <c r="C7" s="498"/>
      <c r="D7" s="496"/>
      <c r="E7" s="331"/>
      <c r="F7" s="331"/>
      <c r="G7" s="331"/>
      <c r="H7" s="331"/>
      <c r="I7" s="331"/>
      <c r="J7" s="331"/>
      <c r="K7" s="331"/>
      <c r="L7" s="331"/>
      <c r="M7" s="331"/>
      <c r="N7" s="337"/>
      <c r="O7" s="337"/>
      <c r="P7" s="337"/>
      <c r="Q7" s="499" t="s">
        <v>404</v>
      </c>
    </row>
    <row r="8" spans="1:18" ht="17.45" customHeight="1" thickTop="1" thickBot="1" x14ac:dyDescent="0.25">
      <c r="A8" s="169"/>
      <c r="B8" s="807" t="s">
        <v>491</v>
      </c>
      <c r="C8" s="808" t="s">
        <v>492</v>
      </c>
      <c r="D8" s="808" t="s">
        <v>390</v>
      </c>
      <c r="E8" s="808" t="s">
        <v>573</v>
      </c>
      <c r="F8" s="807" t="s">
        <v>124</v>
      </c>
      <c r="G8" s="807"/>
      <c r="H8" s="807"/>
      <c r="I8" s="807"/>
      <c r="J8" s="807" t="s">
        <v>125</v>
      </c>
      <c r="K8" s="807"/>
      <c r="L8" s="807"/>
      <c r="M8" s="807"/>
      <c r="N8" s="807" t="s">
        <v>389</v>
      </c>
      <c r="O8" s="807"/>
      <c r="P8" s="807"/>
      <c r="Q8" s="807"/>
    </row>
    <row r="9" spans="1:18" ht="28.5" customHeight="1" thickTop="1" thickBot="1" x14ac:dyDescent="0.25">
      <c r="A9" s="170"/>
      <c r="B9" s="807"/>
      <c r="C9" s="765"/>
      <c r="D9" s="765"/>
      <c r="E9" s="809"/>
      <c r="F9" s="810" t="s">
        <v>386</v>
      </c>
      <c r="G9" s="810" t="s">
        <v>387</v>
      </c>
      <c r="H9" s="814"/>
      <c r="I9" s="810" t="s">
        <v>388</v>
      </c>
      <c r="J9" s="810" t="s">
        <v>386</v>
      </c>
      <c r="K9" s="810" t="s">
        <v>387</v>
      </c>
      <c r="L9" s="814"/>
      <c r="M9" s="810" t="s">
        <v>388</v>
      </c>
      <c r="N9" s="810" t="s">
        <v>386</v>
      </c>
      <c r="O9" s="810" t="s">
        <v>387</v>
      </c>
      <c r="P9" s="814"/>
      <c r="Q9" s="810" t="s">
        <v>388</v>
      </c>
    </row>
    <row r="10" spans="1:18" ht="65.25" customHeight="1" thickTop="1" thickBot="1" x14ac:dyDescent="0.25">
      <c r="A10" s="7"/>
      <c r="B10" s="807"/>
      <c r="C10" s="765"/>
      <c r="D10" s="765"/>
      <c r="E10" s="765"/>
      <c r="F10" s="810"/>
      <c r="G10" s="500" t="s">
        <v>384</v>
      </c>
      <c r="H10" s="500" t="s">
        <v>385</v>
      </c>
      <c r="I10" s="810"/>
      <c r="J10" s="810"/>
      <c r="K10" s="500" t="s">
        <v>384</v>
      </c>
      <c r="L10" s="500" t="s">
        <v>385</v>
      </c>
      <c r="M10" s="810"/>
      <c r="N10" s="810"/>
      <c r="O10" s="500" t="s">
        <v>384</v>
      </c>
      <c r="P10" s="500" t="s">
        <v>385</v>
      </c>
      <c r="Q10" s="810"/>
    </row>
    <row r="11" spans="1:18" ht="15" customHeight="1" thickTop="1" thickBot="1" x14ac:dyDescent="0.25">
      <c r="A11" s="7"/>
      <c r="B11" s="501">
        <v>1</v>
      </c>
      <c r="C11" s="502">
        <v>2</v>
      </c>
      <c r="D11" s="501">
        <v>3</v>
      </c>
      <c r="E11" s="502">
        <v>4</v>
      </c>
      <c r="F11" s="501">
        <v>5</v>
      </c>
      <c r="G11" s="502">
        <v>6</v>
      </c>
      <c r="H11" s="501">
        <v>7</v>
      </c>
      <c r="I11" s="502">
        <v>8</v>
      </c>
      <c r="J11" s="501">
        <v>9</v>
      </c>
      <c r="K11" s="502">
        <v>10</v>
      </c>
      <c r="L11" s="501">
        <v>11</v>
      </c>
      <c r="M11" s="502">
        <v>12</v>
      </c>
      <c r="N11" s="501">
        <v>13</v>
      </c>
      <c r="O11" s="502">
        <v>14</v>
      </c>
      <c r="P11" s="501">
        <v>15</v>
      </c>
      <c r="Q11" s="502">
        <v>16</v>
      </c>
    </row>
    <row r="12" spans="1:18" s="175" customFormat="1" ht="46.5" hidden="1" thickTop="1" thickBot="1" x14ac:dyDescent="0.25">
      <c r="A12" s="171"/>
      <c r="B12" s="407" t="s">
        <v>22</v>
      </c>
      <c r="C12" s="407"/>
      <c r="D12" s="407"/>
      <c r="E12" s="408" t="s">
        <v>23</v>
      </c>
      <c r="F12" s="409">
        <f>F13</f>
        <v>0</v>
      </c>
      <c r="G12" s="409">
        <f t="shared" ref="G12:Q12" si="0">G13</f>
        <v>0</v>
      </c>
      <c r="H12" s="409">
        <f t="shared" si="0"/>
        <v>0</v>
      </c>
      <c r="I12" s="410">
        <f>I13</f>
        <v>0</v>
      </c>
      <c r="J12" s="409">
        <f t="shared" si="0"/>
        <v>0</v>
      </c>
      <c r="K12" s="409">
        <f t="shared" si="0"/>
        <v>0</v>
      </c>
      <c r="L12" s="409">
        <f t="shared" si="0"/>
        <v>0</v>
      </c>
      <c r="M12" s="410">
        <f>M13</f>
        <v>0</v>
      </c>
      <c r="N12" s="409">
        <f t="shared" si="0"/>
        <v>0</v>
      </c>
      <c r="O12" s="409">
        <f t="shared" si="0"/>
        <v>0</v>
      </c>
      <c r="P12" s="409">
        <f t="shared" si="0"/>
        <v>0</v>
      </c>
      <c r="Q12" s="410">
        <f t="shared" si="0"/>
        <v>0</v>
      </c>
      <c r="R12" s="8"/>
    </row>
    <row r="13" spans="1:18" ht="44.25" hidden="1" thickTop="1" thickBot="1" x14ac:dyDescent="0.25">
      <c r="B13" s="411" t="s">
        <v>21</v>
      </c>
      <c r="C13" s="411"/>
      <c r="D13" s="411"/>
      <c r="E13" s="412" t="s">
        <v>35</v>
      </c>
      <c r="F13" s="413">
        <f t="shared" ref="F13:Q13" si="1">F18+F17+F19</f>
        <v>0</v>
      </c>
      <c r="G13" s="413">
        <f t="shared" si="1"/>
        <v>0</v>
      </c>
      <c r="H13" s="413">
        <f t="shared" si="1"/>
        <v>0</v>
      </c>
      <c r="I13" s="413">
        <f t="shared" si="1"/>
        <v>0</v>
      </c>
      <c r="J13" s="413">
        <f t="shared" si="1"/>
        <v>0</v>
      </c>
      <c r="K13" s="413">
        <f t="shared" si="1"/>
        <v>0</v>
      </c>
      <c r="L13" s="413">
        <f t="shared" si="1"/>
        <v>0</v>
      </c>
      <c r="M13" s="413">
        <f t="shared" si="1"/>
        <v>0</v>
      </c>
      <c r="N13" s="414">
        <f t="shared" si="1"/>
        <v>0</v>
      </c>
      <c r="O13" s="414">
        <f t="shared" si="1"/>
        <v>0</v>
      </c>
      <c r="P13" s="414">
        <f t="shared" si="1"/>
        <v>0</v>
      </c>
      <c r="Q13" s="413">
        <f t="shared" si="1"/>
        <v>0</v>
      </c>
    </row>
    <row r="14" spans="1:18" ht="15.75" hidden="1" thickTop="1" thickBot="1" x14ac:dyDescent="0.25">
      <c r="B14" s="415" t="s">
        <v>850</v>
      </c>
      <c r="C14" s="415" t="s">
        <v>696</v>
      </c>
      <c r="D14" s="415"/>
      <c r="E14" s="416" t="s">
        <v>851</v>
      </c>
      <c r="F14" s="417">
        <f>F15</f>
        <v>0</v>
      </c>
      <c r="G14" s="417">
        <f t="shared" ref="G14:Q15" si="2">G15</f>
        <v>0</v>
      </c>
      <c r="H14" s="417">
        <f t="shared" si="2"/>
        <v>0</v>
      </c>
      <c r="I14" s="417">
        <f t="shared" si="2"/>
        <v>0</v>
      </c>
      <c r="J14" s="417">
        <f t="shared" si="2"/>
        <v>0</v>
      </c>
      <c r="K14" s="417">
        <f t="shared" si="2"/>
        <v>0</v>
      </c>
      <c r="L14" s="417">
        <f t="shared" si="2"/>
        <v>0</v>
      </c>
      <c r="M14" s="417">
        <f t="shared" si="2"/>
        <v>0</v>
      </c>
      <c r="N14" s="417">
        <f t="shared" si="2"/>
        <v>0</v>
      </c>
      <c r="O14" s="417">
        <f t="shared" si="2"/>
        <v>0</v>
      </c>
      <c r="P14" s="417">
        <f t="shared" si="2"/>
        <v>0</v>
      </c>
      <c r="Q14" s="417">
        <f t="shared" si="2"/>
        <v>0</v>
      </c>
    </row>
    <row r="15" spans="1:18" ht="16.5" hidden="1" thickTop="1" thickBot="1" x14ac:dyDescent="0.25">
      <c r="B15" s="418" t="s">
        <v>852</v>
      </c>
      <c r="C15" s="418" t="s">
        <v>853</v>
      </c>
      <c r="D15" s="418"/>
      <c r="E15" s="419" t="s">
        <v>854</v>
      </c>
      <c r="F15" s="420">
        <f>F16</f>
        <v>0</v>
      </c>
      <c r="G15" s="420">
        <f t="shared" si="2"/>
        <v>0</v>
      </c>
      <c r="H15" s="420">
        <f t="shared" si="2"/>
        <v>0</v>
      </c>
      <c r="I15" s="420">
        <f t="shared" si="2"/>
        <v>0</v>
      </c>
      <c r="J15" s="420">
        <f t="shared" si="2"/>
        <v>0</v>
      </c>
      <c r="K15" s="420">
        <f t="shared" si="2"/>
        <v>0</v>
      </c>
      <c r="L15" s="420">
        <f t="shared" si="2"/>
        <v>0</v>
      </c>
      <c r="M15" s="420">
        <f t="shared" si="2"/>
        <v>0</v>
      </c>
      <c r="N15" s="420">
        <f t="shared" si="2"/>
        <v>0</v>
      </c>
      <c r="O15" s="420">
        <f t="shared" si="2"/>
        <v>0</v>
      </c>
      <c r="P15" s="420">
        <f t="shared" si="2"/>
        <v>0</v>
      </c>
      <c r="Q15" s="420">
        <f t="shared" si="2"/>
        <v>0</v>
      </c>
    </row>
    <row r="16" spans="1:18" ht="76.5" hidden="1" thickTop="1" thickBot="1" x14ac:dyDescent="0.25">
      <c r="B16" s="421" t="s">
        <v>855</v>
      </c>
      <c r="C16" s="422" t="s">
        <v>856</v>
      </c>
      <c r="D16" s="422"/>
      <c r="E16" s="423" t="s">
        <v>877</v>
      </c>
      <c r="F16" s="424">
        <f>SUM(F17:F18)</f>
        <v>0</v>
      </c>
      <c r="G16" s="424">
        <f t="shared" ref="G16:Q16" si="3">SUM(G17:G18)</f>
        <v>0</v>
      </c>
      <c r="H16" s="424">
        <f t="shared" si="3"/>
        <v>0</v>
      </c>
      <c r="I16" s="424">
        <f t="shared" si="3"/>
        <v>0</v>
      </c>
      <c r="J16" s="424">
        <f t="shared" si="3"/>
        <v>0</v>
      </c>
      <c r="K16" s="424">
        <f t="shared" si="3"/>
        <v>0</v>
      </c>
      <c r="L16" s="424">
        <f t="shared" si="3"/>
        <v>0</v>
      </c>
      <c r="M16" s="424">
        <f t="shared" si="3"/>
        <v>0</v>
      </c>
      <c r="N16" s="424">
        <f t="shared" si="3"/>
        <v>0</v>
      </c>
      <c r="O16" s="424">
        <f t="shared" si="3"/>
        <v>0</v>
      </c>
      <c r="P16" s="424">
        <f t="shared" si="3"/>
        <v>0</v>
      </c>
      <c r="Q16" s="424">
        <f t="shared" si="3"/>
        <v>0</v>
      </c>
    </row>
    <row r="17" spans="2:18" ht="76.5" hidden="1" thickTop="1" thickBot="1" x14ac:dyDescent="0.25">
      <c r="B17" s="421" t="s">
        <v>457</v>
      </c>
      <c r="C17" s="421" t="s">
        <v>459</v>
      </c>
      <c r="D17" s="421" t="s">
        <v>50</v>
      </c>
      <c r="E17" s="425" t="s">
        <v>879</v>
      </c>
      <c r="F17" s="426">
        <v>0</v>
      </c>
      <c r="G17" s="426">
        <v>0</v>
      </c>
      <c r="H17" s="426">
        <v>0</v>
      </c>
      <c r="I17" s="426">
        <f>F17+G17</f>
        <v>0</v>
      </c>
      <c r="J17" s="426">
        <v>0</v>
      </c>
      <c r="K17" s="426">
        <v>0</v>
      </c>
      <c r="L17" s="426"/>
      <c r="M17" s="426">
        <f>J17+K17</f>
        <v>0</v>
      </c>
      <c r="N17" s="426">
        <f>F17+J17</f>
        <v>0</v>
      </c>
      <c r="O17" s="426">
        <f>G17+K17</f>
        <v>0</v>
      </c>
      <c r="P17" s="426"/>
      <c r="Q17" s="426">
        <f>I17+M17</f>
        <v>0</v>
      </c>
    </row>
    <row r="18" spans="2:18" ht="76.5" hidden="1" thickTop="1" thickBot="1" x14ac:dyDescent="0.25">
      <c r="B18" s="421" t="s">
        <v>458</v>
      </c>
      <c r="C18" s="421" t="s">
        <v>460</v>
      </c>
      <c r="D18" s="421" t="s">
        <v>50</v>
      </c>
      <c r="E18" s="425" t="s">
        <v>878</v>
      </c>
      <c r="F18" s="426"/>
      <c r="G18" s="426">
        <f>H18+I18</f>
        <v>0</v>
      </c>
      <c r="H18" s="426"/>
      <c r="I18" s="426"/>
      <c r="J18" s="426"/>
      <c r="K18" s="426">
        <v>0</v>
      </c>
      <c r="L18" s="426"/>
      <c r="M18" s="426">
        <f>J18+K18</f>
        <v>0</v>
      </c>
      <c r="N18" s="426">
        <f>F18+J18</f>
        <v>0</v>
      </c>
      <c r="O18" s="426">
        <f>G18+K18</f>
        <v>0</v>
      </c>
      <c r="P18" s="426"/>
      <c r="Q18" s="426">
        <f>I18+M18</f>
        <v>0</v>
      </c>
    </row>
    <row r="19" spans="2:18" ht="61.5" hidden="1" thickTop="1" thickBot="1" x14ac:dyDescent="0.25">
      <c r="B19" s="421" t="s">
        <v>503</v>
      </c>
      <c r="C19" s="421" t="s">
        <v>504</v>
      </c>
      <c r="D19" s="421" t="s">
        <v>50</v>
      </c>
      <c r="E19" s="425" t="s">
        <v>502</v>
      </c>
      <c r="F19" s="426"/>
      <c r="G19" s="426"/>
      <c r="H19" s="426"/>
      <c r="I19" s="426"/>
      <c r="J19" s="426"/>
      <c r="K19" s="426"/>
      <c r="L19" s="426"/>
      <c r="M19" s="426">
        <f>J19+K19</f>
        <v>0</v>
      </c>
      <c r="N19" s="426"/>
      <c r="O19" s="426">
        <f>G19+K19</f>
        <v>0</v>
      </c>
      <c r="P19" s="426"/>
      <c r="Q19" s="426">
        <f>I19+M19</f>
        <v>0</v>
      </c>
    </row>
    <row r="20" spans="2:18" ht="50.1" customHeight="1" thickTop="1" thickBot="1" x14ac:dyDescent="0.25">
      <c r="B20" s="659" t="s">
        <v>168</v>
      </c>
      <c r="C20" s="659"/>
      <c r="D20" s="659"/>
      <c r="E20" s="660" t="s">
        <v>27</v>
      </c>
      <c r="F20" s="661">
        <f>F21</f>
        <v>0</v>
      </c>
      <c r="G20" s="661">
        <f t="shared" ref="G20:Q21" si="4">G21</f>
        <v>17857810</v>
      </c>
      <c r="H20" s="661">
        <f t="shared" si="4"/>
        <v>17857810</v>
      </c>
      <c r="I20" s="662">
        <f>I21</f>
        <v>17857810</v>
      </c>
      <c r="J20" s="661">
        <f t="shared" si="4"/>
        <v>0</v>
      </c>
      <c r="K20" s="661">
        <f t="shared" si="4"/>
        <v>-17857810</v>
      </c>
      <c r="L20" s="661">
        <f t="shared" si="4"/>
        <v>-17857810</v>
      </c>
      <c r="M20" s="662">
        <f>M21</f>
        <v>-17857810</v>
      </c>
      <c r="N20" s="661">
        <f t="shared" si="4"/>
        <v>0</v>
      </c>
      <c r="O20" s="661">
        <f t="shared" si="4"/>
        <v>0</v>
      </c>
      <c r="P20" s="661">
        <f t="shared" si="4"/>
        <v>0</v>
      </c>
      <c r="Q20" s="662">
        <f t="shared" si="4"/>
        <v>0</v>
      </c>
    </row>
    <row r="21" spans="2:18" ht="50.1" customHeight="1" thickTop="1" thickBot="1" x14ac:dyDescent="0.25">
      <c r="B21" s="663" t="s">
        <v>169</v>
      </c>
      <c r="C21" s="663"/>
      <c r="D21" s="663"/>
      <c r="E21" s="664" t="s">
        <v>40</v>
      </c>
      <c r="F21" s="665">
        <f>F22</f>
        <v>0</v>
      </c>
      <c r="G21" s="665">
        <f t="shared" si="4"/>
        <v>17857810</v>
      </c>
      <c r="H21" s="665">
        <f t="shared" si="4"/>
        <v>17857810</v>
      </c>
      <c r="I21" s="665">
        <f t="shared" si="4"/>
        <v>17857810</v>
      </c>
      <c r="J21" s="665">
        <f>J22</f>
        <v>0</v>
      </c>
      <c r="K21" s="665">
        <f>K22</f>
        <v>-17857810</v>
      </c>
      <c r="L21" s="665">
        <f t="shared" si="4"/>
        <v>-17857810</v>
      </c>
      <c r="M21" s="665">
        <f t="shared" si="4"/>
        <v>-17857810</v>
      </c>
      <c r="N21" s="665">
        <f t="shared" si="4"/>
        <v>0</v>
      </c>
      <c r="O21" s="665">
        <f t="shared" si="4"/>
        <v>0</v>
      </c>
      <c r="P21" s="665">
        <f t="shared" si="4"/>
        <v>0</v>
      </c>
      <c r="Q21" s="665">
        <f t="shared" si="4"/>
        <v>0</v>
      </c>
    </row>
    <row r="22" spans="2:18" ht="15.75" thickTop="1" thickBot="1" x14ac:dyDescent="0.25">
      <c r="B22" s="503" t="s">
        <v>845</v>
      </c>
      <c r="C22" s="503" t="s">
        <v>696</v>
      </c>
      <c r="D22" s="503"/>
      <c r="E22" s="504" t="s">
        <v>851</v>
      </c>
      <c r="F22" s="505">
        <f>F23</f>
        <v>0</v>
      </c>
      <c r="G22" s="505">
        <f t="shared" ref="G22:Q23" si="5">G23</f>
        <v>17857810</v>
      </c>
      <c r="H22" s="505">
        <f t="shared" si="5"/>
        <v>17857810</v>
      </c>
      <c r="I22" s="505">
        <f t="shared" si="5"/>
        <v>17857810</v>
      </c>
      <c r="J22" s="505">
        <f t="shared" si="5"/>
        <v>0</v>
      </c>
      <c r="K22" s="505">
        <f t="shared" si="5"/>
        <v>-17857810</v>
      </c>
      <c r="L22" s="505">
        <f t="shared" si="5"/>
        <v>-17857810</v>
      </c>
      <c r="M22" s="505">
        <f t="shared" si="5"/>
        <v>-17857810</v>
      </c>
      <c r="N22" s="505">
        <f t="shared" si="5"/>
        <v>0</v>
      </c>
      <c r="O22" s="505">
        <f t="shared" si="5"/>
        <v>0</v>
      </c>
      <c r="P22" s="505">
        <f t="shared" si="5"/>
        <v>0</v>
      </c>
      <c r="Q22" s="505">
        <f t="shared" si="5"/>
        <v>0</v>
      </c>
    </row>
    <row r="23" spans="2:18" ht="16.5" thickTop="1" thickBot="1" x14ac:dyDescent="0.25">
      <c r="B23" s="506" t="s">
        <v>1367</v>
      </c>
      <c r="C23" s="506" t="s">
        <v>853</v>
      </c>
      <c r="D23" s="506"/>
      <c r="E23" s="507" t="s">
        <v>854</v>
      </c>
      <c r="F23" s="508">
        <f>F24</f>
        <v>0</v>
      </c>
      <c r="G23" s="508">
        <f>G24</f>
        <v>17857810</v>
      </c>
      <c r="H23" s="508">
        <f t="shared" si="5"/>
        <v>17857810</v>
      </c>
      <c r="I23" s="508">
        <f t="shared" si="5"/>
        <v>17857810</v>
      </c>
      <c r="J23" s="508">
        <f t="shared" si="5"/>
        <v>0</v>
      </c>
      <c r="K23" s="508">
        <f t="shared" si="5"/>
        <v>-17857810</v>
      </c>
      <c r="L23" s="508">
        <f t="shared" si="5"/>
        <v>-17857810</v>
      </c>
      <c r="M23" s="508">
        <f t="shared" si="5"/>
        <v>-17857810</v>
      </c>
      <c r="N23" s="508">
        <f t="shared" si="5"/>
        <v>0</v>
      </c>
      <c r="O23" s="508">
        <f t="shared" si="5"/>
        <v>0</v>
      </c>
      <c r="P23" s="508">
        <f t="shared" si="5"/>
        <v>0</v>
      </c>
      <c r="Q23" s="508">
        <f t="shared" si="5"/>
        <v>0</v>
      </c>
    </row>
    <row r="24" spans="2:18" ht="46.5" thickTop="1" thickBot="1" x14ac:dyDescent="0.25">
      <c r="B24" s="509" t="s">
        <v>1368</v>
      </c>
      <c r="C24" s="510" t="s">
        <v>1551</v>
      </c>
      <c r="D24" s="510"/>
      <c r="E24" s="511" t="s">
        <v>1154</v>
      </c>
      <c r="F24" s="512">
        <f t="shared" ref="F24:L24" si="6">F25+F27</f>
        <v>0</v>
      </c>
      <c r="G24" s="512">
        <f t="shared" si="6"/>
        <v>17857810</v>
      </c>
      <c r="H24" s="512">
        <f t="shared" si="6"/>
        <v>17857810</v>
      </c>
      <c r="I24" s="512">
        <f t="shared" si="6"/>
        <v>17857810</v>
      </c>
      <c r="J24" s="512">
        <f t="shared" si="6"/>
        <v>0</v>
      </c>
      <c r="K24" s="512">
        <f t="shared" si="6"/>
        <v>-17857810</v>
      </c>
      <c r="L24" s="512">
        <f t="shared" si="6"/>
        <v>-17857810</v>
      </c>
      <c r="M24" s="512">
        <f t="shared" ref="M24:M26" si="7">J24+K24</f>
        <v>-17857810</v>
      </c>
      <c r="N24" s="512">
        <f t="shared" ref="N24:N26" si="8">F24+J24</f>
        <v>0</v>
      </c>
      <c r="O24" s="512">
        <f t="shared" ref="O24:O26" si="9">G24+K24</f>
        <v>0</v>
      </c>
      <c r="P24" s="512">
        <f>P25+P27</f>
        <v>0</v>
      </c>
      <c r="Q24" s="512">
        <f>Q25+Q27</f>
        <v>0</v>
      </c>
    </row>
    <row r="25" spans="2:18" ht="61.5" thickTop="1" thickBot="1" x14ac:dyDescent="0.25">
      <c r="B25" s="509" t="s">
        <v>1369</v>
      </c>
      <c r="C25" s="509" t="s">
        <v>1370</v>
      </c>
      <c r="D25" s="509" t="s">
        <v>170</v>
      </c>
      <c r="E25" s="333" t="s">
        <v>1155</v>
      </c>
      <c r="F25" s="513">
        <f>F26</f>
        <v>0</v>
      </c>
      <c r="G25" s="513">
        <f>G26</f>
        <v>17857810</v>
      </c>
      <c r="H25" s="513">
        <f t="shared" ref="H25:P25" si="10">H26</f>
        <v>17857810</v>
      </c>
      <c r="I25" s="513">
        <f>I26</f>
        <v>17857810</v>
      </c>
      <c r="J25" s="513">
        <f t="shared" si="10"/>
        <v>0</v>
      </c>
      <c r="K25" s="513">
        <f t="shared" si="10"/>
        <v>0</v>
      </c>
      <c r="L25" s="513">
        <f t="shared" si="10"/>
        <v>0</v>
      </c>
      <c r="M25" s="513">
        <f t="shared" si="7"/>
        <v>0</v>
      </c>
      <c r="N25" s="513">
        <f t="shared" si="8"/>
        <v>0</v>
      </c>
      <c r="O25" s="513">
        <f t="shared" si="9"/>
        <v>17857810</v>
      </c>
      <c r="P25" s="513">
        <f t="shared" si="10"/>
        <v>17857810</v>
      </c>
      <c r="Q25" s="513">
        <f t="shared" ref="Q25:Q26" si="11">I25+M25</f>
        <v>17857810</v>
      </c>
    </row>
    <row r="26" spans="2:18" ht="31.5" thickTop="1" thickBot="1" x14ac:dyDescent="0.25">
      <c r="B26" s="509" t="s">
        <v>1374</v>
      </c>
      <c r="C26" s="509"/>
      <c r="D26" s="509"/>
      <c r="E26" s="333" t="s">
        <v>1375</v>
      </c>
      <c r="F26" s="513">
        <v>0</v>
      </c>
      <c r="G26" s="513">
        <f>(7660012)+10197798</f>
        <v>17857810</v>
      </c>
      <c r="H26" s="513">
        <f>(7660012)+10197798</f>
        <v>17857810</v>
      </c>
      <c r="I26" s="513">
        <f>F26+G26</f>
        <v>17857810</v>
      </c>
      <c r="J26" s="513">
        <v>0</v>
      </c>
      <c r="K26" s="513">
        <v>0</v>
      </c>
      <c r="L26" s="513">
        <v>0</v>
      </c>
      <c r="M26" s="513">
        <f t="shared" si="7"/>
        <v>0</v>
      </c>
      <c r="N26" s="513">
        <f t="shared" si="8"/>
        <v>0</v>
      </c>
      <c r="O26" s="513">
        <f t="shared" si="9"/>
        <v>17857810</v>
      </c>
      <c r="P26" s="513">
        <f>H26+L26</f>
        <v>17857810</v>
      </c>
      <c r="Q26" s="513">
        <f t="shared" si="11"/>
        <v>17857810</v>
      </c>
    </row>
    <row r="27" spans="2:18" ht="61.5" thickTop="1" thickBot="1" x14ac:dyDescent="0.25">
      <c r="B27" s="509" t="s">
        <v>1371</v>
      </c>
      <c r="C27" s="509" t="s">
        <v>1372</v>
      </c>
      <c r="D27" s="509" t="s">
        <v>170</v>
      </c>
      <c r="E27" s="333" t="s">
        <v>1373</v>
      </c>
      <c r="F27" s="513">
        <f>F28</f>
        <v>0</v>
      </c>
      <c r="G27" s="513">
        <f t="shared" ref="G27:Q27" si="12">G28</f>
        <v>0</v>
      </c>
      <c r="H27" s="513">
        <f t="shared" si="12"/>
        <v>0</v>
      </c>
      <c r="I27" s="513">
        <f t="shared" si="12"/>
        <v>0</v>
      </c>
      <c r="J27" s="513">
        <f t="shared" si="12"/>
        <v>0</v>
      </c>
      <c r="K27" s="513">
        <f t="shared" si="12"/>
        <v>-17857810</v>
      </c>
      <c r="L27" s="513">
        <f t="shared" si="12"/>
        <v>-17857810</v>
      </c>
      <c r="M27" s="513">
        <f t="shared" si="12"/>
        <v>-17857810</v>
      </c>
      <c r="N27" s="513">
        <f t="shared" si="12"/>
        <v>0</v>
      </c>
      <c r="O27" s="513">
        <f t="shared" si="12"/>
        <v>-17857810</v>
      </c>
      <c r="P27" s="513">
        <f t="shared" si="12"/>
        <v>-17857810</v>
      </c>
      <c r="Q27" s="513">
        <f t="shared" si="12"/>
        <v>-17857810</v>
      </c>
    </row>
    <row r="28" spans="2:18" ht="31.5" thickTop="1" thickBot="1" x14ac:dyDescent="0.25">
      <c r="B28" s="509" t="s">
        <v>1587</v>
      </c>
      <c r="C28" s="509"/>
      <c r="D28" s="509"/>
      <c r="E28" s="333" t="s">
        <v>1588</v>
      </c>
      <c r="F28" s="513">
        <v>0</v>
      </c>
      <c r="G28" s="513">
        <v>0</v>
      </c>
      <c r="H28" s="513">
        <v>0</v>
      </c>
      <c r="I28" s="513">
        <v>0</v>
      </c>
      <c r="J28" s="513">
        <v>0</v>
      </c>
      <c r="K28" s="513">
        <f>(0)-17857810</f>
        <v>-17857810</v>
      </c>
      <c r="L28" s="513">
        <f>(0)-17857810</f>
        <v>-17857810</v>
      </c>
      <c r="M28" s="513">
        <f t="shared" ref="M28" si="13">J28+K28</f>
        <v>-17857810</v>
      </c>
      <c r="N28" s="513">
        <f t="shared" ref="N28" si="14">F28+J28</f>
        <v>0</v>
      </c>
      <c r="O28" s="513">
        <f t="shared" ref="O28" si="15">G28+K28</f>
        <v>-17857810</v>
      </c>
      <c r="P28" s="513">
        <f>H28+L28</f>
        <v>-17857810</v>
      </c>
      <c r="Q28" s="513">
        <f t="shared" ref="Q28" si="16">I28+M28</f>
        <v>-17857810</v>
      </c>
    </row>
    <row r="29" spans="2:18" ht="27.75" customHeight="1" thickTop="1" thickBot="1" x14ac:dyDescent="0.25">
      <c r="B29" s="666" t="s">
        <v>381</v>
      </c>
      <c r="C29" s="666" t="s">
        <v>381</v>
      </c>
      <c r="D29" s="666" t="s">
        <v>381</v>
      </c>
      <c r="E29" s="666" t="s">
        <v>391</v>
      </c>
      <c r="F29" s="667">
        <f t="shared" ref="F29:Q29" si="17">F12+F20</f>
        <v>0</v>
      </c>
      <c r="G29" s="667">
        <f t="shared" si="17"/>
        <v>17857810</v>
      </c>
      <c r="H29" s="667">
        <f t="shared" si="17"/>
        <v>17857810</v>
      </c>
      <c r="I29" s="667">
        <f t="shared" si="17"/>
        <v>17857810</v>
      </c>
      <c r="J29" s="667">
        <f t="shared" si="17"/>
        <v>0</v>
      </c>
      <c r="K29" s="667">
        <f t="shared" si="17"/>
        <v>-17857810</v>
      </c>
      <c r="L29" s="667">
        <f t="shared" si="17"/>
        <v>-17857810</v>
      </c>
      <c r="M29" s="667">
        <f t="shared" si="17"/>
        <v>-17857810</v>
      </c>
      <c r="N29" s="667">
        <f>N12+N20</f>
        <v>0</v>
      </c>
      <c r="O29" s="667">
        <f t="shared" si="17"/>
        <v>0</v>
      </c>
      <c r="P29" s="667">
        <f t="shared" si="17"/>
        <v>0</v>
      </c>
      <c r="Q29" s="667">
        <f t="shared" si="17"/>
        <v>0</v>
      </c>
      <c r="R29" s="700" t="b">
        <f>Q29=N29+O29</f>
        <v>1</v>
      </c>
    </row>
    <row r="30" spans="2:18" ht="16.5" customHeight="1" thickTop="1" x14ac:dyDescent="0.2">
      <c r="B30" s="427"/>
      <c r="C30" s="427"/>
      <c r="D30" s="427"/>
      <c r="E30" s="428"/>
      <c r="F30" s="429"/>
      <c r="G30" s="429"/>
      <c r="H30" s="429"/>
      <c r="I30" s="429"/>
      <c r="J30" s="429"/>
      <c r="K30" s="429"/>
      <c r="L30" s="429"/>
      <c r="M30" s="429"/>
      <c r="N30" s="429"/>
      <c r="O30" s="429"/>
      <c r="P30" s="429"/>
      <c r="Q30" s="429"/>
    </row>
    <row r="31" spans="2:18" ht="15" x14ac:dyDescent="0.25">
      <c r="B31" s="427"/>
      <c r="C31" s="427"/>
      <c r="D31" s="813" t="s">
        <v>1478</v>
      </c>
      <c r="E31" s="726"/>
      <c r="F31" s="342"/>
      <c r="G31" s="343"/>
      <c r="H31" s="341"/>
      <c r="I31" s="343"/>
      <c r="J31" s="341"/>
      <c r="K31" s="343" t="s">
        <v>1479</v>
      </c>
      <c r="L31" s="343"/>
      <c r="M31" s="343"/>
      <c r="N31" s="343"/>
      <c r="O31" s="343"/>
      <c r="P31" s="343"/>
      <c r="Q31" s="429"/>
    </row>
    <row r="32" spans="2:18" ht="15" hidden="1" x14ac:dyDescent="0.25">
      <c r="B32" s="427"/>
      <c r="C32" s="427"/>
      <c r="D32" s="341" t="s">
        <v>1443</v>
      </c>
      <c r="E32" s="342"/>
      <c r="F32" s="342"/>
      <c r="G32" s="343"/>
      <c r="H32" s="341"/>
      <c r="I32" s="343"/>
      <c r="J32" s="341"/>
      <c r="K32" s="341" t="s">
        <v>1444</v>
      </c>
      <c r="L32" s="343"/>
      <c r="M32" s="343"/>
      <c r="N32" s="343"/>
      <c r="O32" s="343"/>
      <c r="P32" s="343"/>
      <c r="Q32" s="429"/>
    </row>
    <row r="33" spans="2:17" ht="15" x14ac:dyDescent="0.25">
      <c r="B33" s="427"/>
      <c r="C33" s="432"/>
      <c r="D33" s="817"/>
      <c r="E33" s="817"/>
      <c r="F33" s="817"/>
      <c r="G33" s="817"/>
      <c r="H33" s="817"/>
      <c r="I33" s="817"/>
      <c r="J33" s="817"/>
      <c r="K33" s="817"/>
      <c r="L33" s="817"/>
      <c r="M33" s="817"/>
      <c r="N33" s="817"/>
      <c r="O33" s="817"/>
      <c r="P33" s="817"/>
      <c r="Q33" s="429"/>
    </row>
    <row r="34" spans="2:17" ht="15" customHeight="1" x14ac:dyDescent="0.25">
      <c r="B34" s="179"/>
      <c r="C34" s="179"/>
      <c r="D34" s="813" t="s">
        <v>523</v>
      </c>
      <c r="E34" s="726"/>
      <c r="F34" s="491"/>
      <c r="G34" s="514"/>
      <c r="H34" s="514"/>
      <c r="I34" s="343"/>
      <c r="J34" s="343"/>
      <c r="K34" s="341" t="s">
        <v>1345</v>
      </c>
      <c r="L34" s="343"/>
      <c r="M34" s="343"/>
      <c r="N34" s="343"/>
      <c r="O34" s="343"/>
      <c r="P34" s="343"/>
      <c r="Q34" s="180"/>
    </row>
    <row r="35" spans="2:17" ht="15" x14ac:dyDescent="0.25">
      <c r="B35" s="179"/>
      <c r="C35" s="179"/>
      <c r="D35" s="815"/>
      <c r="E35" s="815"/>
      <c r="F35" s="815"/>
      <c r="G35" s="815"/>
      <c r="H35" s="815"/>
      <c r="I35" s="815"/>
      <c r="J35" s="815"/>
      <c r="K35" s="815"/>
      <c r="L35" s="815"/>
      <c r="M35" s="815"/>
      <c r="N35" s="815"/>
      <c r="O35" s="815"/>
      <c r="P35" s="815"/>
      <c r="Q35" s="180"/>
    </row>
    <row r="36" spans="2:17" ht="15" x14ac:dyDescent="0.25">
      <c r="D36" s="815"/>
      <c r="E36" s="815"/>
      <c r="F36" s="815"/>
      <c r="G36" s="815"/>
      <c r="H36" s="815"/>
      <c r="I36" s="815"/>
      <c r="J36" s="815"/>
      <c r="K36" s="815"/>
      <c r="L36" s="815"/>
      <c r="M36" s="815"/>
      <c r="N36" s="815"/>
      <c r="O36" s="815"/>
      <c r="P36" s="815"/>
    </row>
    <row r="37" spans="2:17" ht="15" x14ac:dyDescent="0.25">
      <c r="D37" s="815"/>
      <c r="E37" s="815"/>
      <c r="F37" s="815"/>
      <c r="G37" s="815"/>
      <c r="H37" s="815"/>
      <c r="I37" s="815"/>
      <c r="J37" s="815"/>
      <c r="K37" s="815"/>
      <c r="L37" s="815"/>
      <c r="M37" s="815"/>
      <c r="N37" s="815"/>
      <c r="O37" s="815"/>
      <c r="P37" s="815"/>
    </row>
    <row r="38" spans="2:17" ht="15" x14ac:dyDescent="0.2">
      <c r="D38" s="181"/>
      <c r="E38" s="182"/>
      <c r="F38" s="183"/>
      <c r="G38" s="181"/>
      <c r="H38" s="181"/>
      <c r="I38" s="184"/>
      <c r="J38" s="182"/>
      <c r="K38" s="184"/>
      <c r="L38" s="181"/>
      <c r="M38" s="181"/>
      <c r="N38" s="184"/>
      <c r="O38" s="185"/>
      <c r="P38" s="186"/>
    </row>
    <row r="39" spans="2:17" ht="15" x14ac:dyDescent="0.25">
      <c r="D39" s="187"/>
      <c r="E39" s="187"/>
      <c r="F39" s="187"/>
      <c r="G39" s="187"/>
      <c r="H39" s="187"/>
      <c r="I39" s="187"/>
      <c r="J39" s="187"/>
      <c r="K39" s="187"/>
      <c r="L39" s="187"/>
      <c r="M39" s="187"/>
      <c r="N39" s="187"/>
      <c r="O39" s="187"/>
      <c r="P39" s="187"/>
    </row>
    <row r="64" spans="7:7" x14ac:dyDescent="0.2">
      <c r="G64" s="7">
        <f>H64+I64</f>
        <v>0</v>
      </c>
    </row>
    <row r="66" spans="7:7" x14ac:dyDescent="0.2">
      <c r="G66" s="7">
        <f t="shared" ref="G66:G84" si="18">H66+I66</f>
        <v>0</v>
      </c>
    </row>
    <row r="67" spans="7:7" x14ac:dyDescent="0.2">
      <c r="G67" s="7">
        <f t="shared" si="18"/>
        <v>0</v>
      </c>
    </row>
    <row r="68" spans="7:7" x14ac:dyDescent="0.2">
      <c r="G68" s="7">
        <f t="shared" si="18"/>
        <v>0</v>
      </c>
    </row>
    <row r="69" spans="7:7" x14ac:dyDescent="0.2">
      <c r="G69" s="7">
        <f t="shared" si="18"/>
        <v>0</v>
      </c>
    </row>
    <row r="70" spans="7:7" x14ac:dyDescent="0.2">
      <c r="G70" s="7">
        <f t="shared" si="18"/>
        <v>0</v>
      </c>
    </row>
    <row r="71" spans="7:7" x14ac:dyDescent="0.2">
      <c r="G71" s="7">
        <f t="shared" si="18"/>
        <v>0</v>
      </c>
    </row>
    <row r="72" spans="7:7" x14ac:dyDescent="0.2">
      <c r="G72" s="7">
        <f t="shared" si="18"/>
        <v>0</v>
      </c>
    </row>
    <row r="73" spans="7:7" x14ac:dyDescent="0.2">
      <c r="G73" s="7">
        <f t="shared" si="18"/>
        <v>0</v>
      </c>
    </row>
    <row r="74" spans="7:7" x14ac:dyDescent="0.2">
      <c r="G74" s="7">
        <f t="shared" si="18"/>
        <v>0</v>
      </c>
    </row>
    <row r="75" spans="7:7" x14ac:dyDescent="0.2">
      <c r="G75" s="7">
        <f t="shared" si="18"/>
        <v>0</v>
      </c>
    </row>
    <row r="76" spans="7:7" x14ac:dyDescent="0.2">
      <c r="G76" s="7">
        <f t="shared" si="18"/>
        <v>0</v>
      </c>
    </row>
    <row r="77" spans="7:7" x14ac:dyDescent="0.2">
      <c r="G77" s="7">
        <f t="shared" si="18"/>
        <v>0</v>
      </c>
    </row>
    <row r="78" spans="7:7" x14ac:dyDescent="0.2">
      <c r="G78" s="7">
        <f t="shared" si="18"/>
        <v>0</v>
      </c>
    </row>
    <row r="79" spans="7:7" x14ac:dyDescent="0.2">
      <c r="G79" s="7">
        <f t="shared" si="18"/>
        <v>0</v>
      </c>
    </row>
    <row r="80" spans="7:7" x14ac:dyDescent="0.2">
      <c r="G80" s="7">
        <f t="shared" si="18"/>
        <v>0</v>
      </c>
    </row>
    <row r="81" spans="7:7" x14ac:dyDescent="0.2">
      <c r="G81" s="7">
        <f t="shared" si="18"/>
        <v>0</v>
      </c>
    </row>
    <row r="82" spans="7:7" x14ac:dyDescent="0.2">
      <c r="G82" s="7">
        <f t="shared" si="18"/>
        <v>0</v>
      </c>
    </row>
    <row r="83" spans="7:7" x14ac:dyDescent="0.2">
      <c r="G83" s="7">
        <f t="shared" si="18"/>
        <v>0</v>
      </c>
    </row>
    <row r="84" spans="7:7" x14ac:dyDescent="0.2">
      <c r="G84" s="7">
        <f t="shared" si="18"/>
        <v>0</v>
      </c>
    </row>
    <row r="86" spans="7:7" x14ac:dyDescent="0.2">
      <c r="G86" s="7">
        <f>H86+I86</f>
        <v>0</v>
      </c>
    </row>
    <row r="87" spans="7:7" x14ac:dyDescent="0.2">
      <c r="G87" s="7">
        <f>H87+I87</f>
        <v>0</v>
      </c>
    </row>
    <row r="88" spans="7:7" x14ac:dyDescent="0.2">
      <c r="G88" s="7">
        <f>H88+I88</f>
        <v>0</v>
      </c>
    </row>
    <row r="89" spans="7:7" x14ac:dyDescent="0.2">
      <c r="G89" s="7">
        <f>H89+I89</f>
        <v>0</v>
      </c>
    </row>
    <row r="91" spans="7:7" x14ac:dyDescent="0.2">
      <c r="G91" s="7">
        <f>H91+I91</f>
        <v>0</v>
      </c>
    </row>
    <row r="94" spans="7:7" x14ac:dyDescent="0.2">
      <c r="G94" s="805"/>
    </row>
    <row r="95" spans="7:7" x14ac:dyDescent="0.2">
      <c r="G95" s="806"/>
    </row>
    <row r="131" spans="7:7" x14ac:dyDescent="0.2">
      <c r="G131" s="7">
        <f>H131+I131</f>
        <v>0</v>
      </c>
    </row>
    <row r="133" spans="7:7" x14ac:dyDescent="0.2">
      <c r="G133" s="7">
        <f t="shared" ref="G133:G143" si="19">H133+I133</f>
        <v>0</v>
      </c>
    </row>
    <row r="134" spans="7:7" x14ac:dyDescent="0.2">
      <c r="G134" s="7">
        <f t="shared" si="19"/>
        <v>0</v>
      </c>
    </row>
    <row r="135" spans="7:7" x14ac:dyDescent="0.2">
      <c r="G135" s="7">
        <f t="shared" si="19"/>
        <v>0</v>
      </c>
    </row>
    <row r="136" spans="7:7" x14ac:dyDescent="0.2">
      <c r="G136" s="7">
        <f t="shared" si="19"/>
        <v>0</v>
      </c>
    </row>
    <row r="137" spans="7:7" x14ac:dyDescent="0.2">
      <c r="G137" s="7">
        <f t="shared" si="19"/>
        <v>0</v>
      </c>
    </row>
    <row r="138" spans="7:7" x14ac:dyDescent="0.2">
      <c r="G138" s="7">
        <f t="shared" si="19"/>
        <v>0</v>
      </c>
    </row>
    <row r="139" spans="7:7" x14ac:dyDescent="0.2">
      <c r="G139" s="7">
        <f t="shared" si="19"/>
        <v>0</v>
      </c>
    </row>
    <row r="140" spans="7:7" x14ac:dyDescent="0.2">
      <c r="G140" s="7">
        <f t="shared" si="19"/>
        <v>0</v>
      </c>
    </row>
    <row r="141" spans="7:7" x14ac:dyDescent="0.2">
      <c r="G141" s="7">
        <f t="shared" si="19"/>
        <v>0</v>
      </c>
    </row>
    <row r="142" spans="7:7" x14ac:dyDescent="0.2">
      <c r="G142" s="7">
        <f t="shared" si="19"/>
        <v>0</v>
      </c>
    </row>
    <row r="143" spans="7:7" x14ac:dyDescent="0.2">
      <c r="G143" s="7">
        <f t="shared" si="19"/>
        <v>0</v>
      </c>
    </row>
    <row r="145" spans="7:10" x14ac:dyDescent="0.2">
      <c r="G145" s="7">
        <f>H146+I146</f>
        <v>0</v>
      </c>
    </row>
    <row r="146" spans="7:10" x14ac:dyDescent="0.2">
      <c r="G146" s="7">
        <f t="shared" ref="G146" si="20">H146+I146</f>
        <v>0</v>
      </c>
    </row>
    <row r="147" spans="7:10" x14ac:dyDescent="0.2">
      <c r="G147" s="7">
        <f>H147+I147</f>
        <v>0</v>
      </c>
    </row>
    <row r="148" spans="7:10" x14ac:dyDescent="0.2">
      <c r="G148" s="7">
        <f>H148+I148</f>
        <v>0</v>
      </c>
    </row>
    <row r="149" spans="7:10" x14ac:dyDescent="0.2">
      <c r="G149" s="7">
        <f>H149+I149</f>
        <v>0</v>
      </c>
    </row>
    <row r="150" spans="7:10" x14ac:dyDescent="0.2">
      <c r="G150" s="7">
        <f>H150+I150</f>
        <v>0</v>
      </c>
    </row>
    <row r="155" spans="7:10" ht="46.5" x14ac:dyDescent="0.65">
      <c r="J155" s="188"/>
    </row>
    <row r="158" spans="7:10" ht="46.5" x14ac:dyDescent="0.65">
      <c r="G158" s="188">
        <f>H158+I158</f>
        <v>0</v>
      </c>
      <c r="J158" s="188"/>
    </row>
    <row r="177" spans="11:11" ht="90" x14ac:dyDescent="1.1499999999999999">
      <c r="K177" s="189" t="b">
        <f>G177=H177+I177</f>
        <v>1</v>
      </c>
    </row>
  </sheetData>
  <mergeCells count="29">
    <mergeCell ref="O9:P9"/>
    <mergeCell ref="D37:P37"/>
    <mergeCell ref="D36:P36"/>
    <mergeCell ref="M2:Q2"/>
    <mergeCell ref="E3:M3"/>
    <mergeCell ref="J8:M8"/>
    <mergeCell ref="N8:Q8"/>
    <mergeCell ref="Q9:Q10"/>
    <mergeCell ref="M9:M10"/>
    <mergeCell ref="N9:N10"/>
    <mergeCell ref="J9:J10"/>
    <mergeCell ref="D35:P35"/>
    <mergeCell ref="G9:H9"/>
    <mergeCell ref="K9:L9"/>
    <mergeCell ref="D33:P33"/>
    <mergeCell ref="D31:E31"/>
    <mergeCell ref="B3:C3"/>
    <mergeCell ref="B5:C5"/>
    <mergeCell ref="B6:C6"/>
    <mergeCell ref="G94:G95"/>
    <mergeCell ref="B8:B10"/>
    <mergeCell ref="C8:C10"/>
    <mergeCell ref="D8:D10"/>
    <mergeCell ref="E8:E10"/>
    <mergeCell ref="F8:I8"/>
    <mergeCell ref="F9:F10"/>
    <mergeCell ref="I9:I10"/>
    <mergeCell ref="E4:M4"/>
    <mergeCell ref="D34:E34"/>
  </mergeCells>
  <printOptions horizontalCentered="1"/>
  <pageMargins left="0.19685039370078741" right="0" top="0.59055118110236227" bottom="0.39370078740157483" header="0.31496062992125984" footer="0.31496062992125984"/>
  <pageSetup paperSize="9" scale="5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view="pageBreakPreview" topLeftCell="A75" zoomScale="40" zoomScaleNormal="25" zoomScaleSheetLayoutView="40" zoomScalePageLayoutView="10" workbookViewId="0">
      <selection activeCell="D84" sqref="D84"/>
    </sheetView>
  </sheetViews>
  <sheetFormatPr defaultColWidth="9.140625" defaultRowHeight="12.75" x14ac:dyDescent="0.2"/>
  <cols>
    <col min="1" max="1" width="62.28515625" style="202" customWidth="1"/>
    <col min="2" max="2" width="49.140625" style="202" customWidth="1"/>
    <col min="3" max="3" width="150.140625" style="202" customWidth="1"/>
    <col min="4" max="4" width="69.7109375" style="202" customWidth="1"/>
    <col min="5" max="6" width="26.5703125" style="192" bestFit="1" customWidth="1"/>
    <col min="7" max="16384" width="9.140625" style="192"/>
  </cols>
  <sheetData>
    <row r="1" spans="1:15" ht="48.75" customHeight="1" x14ac:dyDescent="0.35">
      <c r="A1" s="75"/>
      <c r="B1" s="551"/>
      <c r="C1" s="551"/>
      <c r="D1" s="552" t="s">
        <v>590</v>
      </c>
      <c r="E1" s="191"/>
      <c r="F1" s="191"/>
      <c r="G1" s="191"/>
      <c r="H1" s="191"/>
    </row>
    <row r="2" spans="1:15" ht="84.75" customHeight="1" x14ac:dyDescent="0.35">
      <c r="A2" s="76"/>
      <c r="B2" s="551"/>
      <c r="C2" s="551"/>
      <c r="D2" s="552" t="s">
        <v>1579</v>
      </c>
      <c r="E2" s="191"/>
      <c r="F2" s="191"/>
      <c r="G2" s="191"/>
      <c r="H2" s="191"/>
    </row>
    <row r="3" spans="1:15" ht="40.700000000000003" customHeight="1" x14ac:dyDescent="0.2">
      <c r="A3" s="76"/>
      <c r="B3" s="76"/>
      <c r="C3" s="76"/>
      <c r="D3" s="77"/>
      <c r="N3" s="841"/>
      <c r="O3" s="841"/>
    </row>
    <row r="4" spans="1:15" ht="45.75" hidden="1" x14ac:dyDescent="0.2">
      <c r="A4" s="76"/>
      <c r="B4" s="76"/>
      <c r="C4" s="76"/>
      <c r="D4" s="77"/>
      <c r="N4" s="841"/>
      <c r="O4" s="842"/>
    </row>
    <row r="5" spans="1:15" ht="45.75" x14ac:dyDescent="0.2">
      <c r="A5" s="757" t="s">
        <v>1523</v>
      </c>
      <c r="B5" s="757"/>
      <c r="C5" s="757"/>
      <c r="D5" s="757"/>
      <c r="N5" s="841"/>
      <c r="O5" s="842"/>
    </row>
    <row r="6" spans="1:15" ht="45.75" x14ac:dyDescent="0.65">
      <c r="A6" s="758">
        <v>2256400000</v>
      </c>
      <c r="B6" s="730"/>
      <c r="C6" s="730"/>
      <c r="D6" s="730"/>
    </row>
    <row r="7" spans="1:15" ht="45.75" x14ac:dyDescent="0.2">
      <c r="A7" s="763" t="s">
        <v>490</v>
      </c>
      <c r="B7" s="730"/>
      <c r="C7" s="730"/>
      <c r="D7" s="730"/>
    </row>
    <row r="8" spans="1:15" ht="45.75" x14ac:dyDescent="0.2">
      <c r="A8" s="469"/>
      <c r="B8" s="471"/>
      <c r="C8" s="471"/>
      <c r="D8" s="471"/>
    </row>
    <row r="9" spans="1:15" ht="53.45" customHeight="1" x14ac:dyDescent="0.2">
      <c r="A9" s="826" t="s">
        <v>1111</v>
      </c>
      <c r="B9" s="827"/>
      <c r="C9" s="827"/>
      <c r="D9" s="827"/>
    </row>
    <row r="10" spans="1:15" ht="53.45" customHeight="1" thickBot="1" x14ac:dyDescent="0.25">
      <c r="A10" s="77"/>
      <c r="B10" s="77"/>
      <c r="C10" s="77"/>
      <c r="D10" s="313" t="s">
        <v>404</v>
      </c>
    </row>
    <row r="11" spans="1:15" ht="140.25" customHeight="1" thickTop="1" thickBot="1" x14ac:dyDescent="0.25">
      <c r="A11" s="314" t="s">
        <v>595</v>
      </c>
      <c r="B11" s="831" t="s">
        <v>594</v>
      </c>
      <c r="C11" s="832"/>
      <c r="D11" s="314" t="s">
        <v>383</v>
      </c>
    </row>
    <row r="12" spans="1:15" s="193" customFormat="1" ht="47.25" thickTop="1" thickBot="1" x14ac:dyDescent="0.25">
      <c r="A12" s="101" t="s">
        <v>2</v>
      </c>
      <c r="B12" s="833" t="s">
        <v>3</v>
      </c>
      <c r="C12" s="834"/>
      <c r="D12" s="101" t="s">
        <v>14</v>
      </c>
    </row>
    <row r="13" spans="1:15" s="193" customFormat="1" ht="70.5" customHeight="1" thickTop="1" thickBot="1" x14ac:dyDescent="0.25">
      <c r="A13" s="828" t="s">
        <v>596</v>
      </c>
      <c r="B13" s="829"/>
      <c r="C13" s="829"/>
      <c r="D13" s="830"/>
    </row>
    <row r="14" spans="1:15" s="193" customFormat="1" ht="70.5" hidden="1" customHeight="1" thickTop="1" thickBot="1" x14ac:dyDescent="0.25">
      <c r="A14" s="123" t="s">
        <v>1338</v>
      </c>
      <c r="B14" s="835" t="s">
        <v>1337</v>
      </c>
      <c r="C14" s="836"/>
      <c r="D14" s="434">
        <f>SUM(D15)</f>
        <v>0</v>
      </c>
    </row>
    <row r="15" spans="1:15" s="193" customFormat="1" ht="254.25" hidden="1" customHeight="1" thickTop="1" thickBot="1" x14ac:dyDescent="0.25">
      <c r="A15" s="126">
        <v>41021400</v>
      </c>
      <c r="B15" s="818" t="s">
        <v>1344</v>
      </c>
      <c r="C15" s="819"/>
      <c r="D15" s="436"/>
    </row>
    <row r="16" spans="1:15" s="193" customFormat="1" ht="47.25" hidden="1" thickTop="1" thickBot="1" x14ac:dyDescent="0.25">
      <c r="A16" s="126" t="s">
        <v>1291</v>
      </c>
      <c r="B16" s="818" t="s">
        <v>574</v>
      </c>
      <c r="C16" s="819"/>
      <c r="D16" s="194">
        <f>D15</f>
        <v>0</v>
      </c>
    </row>
    <row r="17" spans="1:6" s="193" customFormat="1" ht="46.5" thickTop="1" thickBot="1" x14ac:dyDescent="0.25">
      <c r="A17" s="308" t="s">
        <v>606</v>
      </c>
      <c r="B17" s="837" t="s">
        <v>438</v>
      </c>
      <c r="C17" s="838"/>
      <c r="D17" s="617">
        <f>SUM(D18:D24)</f>
        <v>762406300</v>
      </c>
    </row>
    <row r="18" spans="1:6" s="193" customFormat="1" ht="47.25" hidden="1" thickTop="1" thickBot="1" x14ac:dyDescent="0.25">
      <c r="A18" s="101" t="s">
        <v>984</v>
      </c>
      <c r="B18" s="820" t="s">
        <v>983</v>
      </c>
      <c r="C18" s="821"/>
      <c r="D18" s="618">
        <v>0</v>
      </c>
    </row>
    <row r="19" spans="1:6" s="193" customFormat="1" ht="148.5" customHeight="1" thickTop="1" thickBot="1" x14ac:dyDescent="0.25">
      <c r="A19" s="101" t="s">
        <v>1079</v>
      </c>
      <c r="B19" s="820" t="s">
        <v>1043</v>
      </c>
      <c r="C19" s="821"/>
      <c r="D19" s="618">
        <v>8649900</v>
      </c>
    </row>
    <row r="20" spans="1:6" s="193" customFormat="1" ht="47.25" thickTop="1" thickBot="1" x14ac:dyDescent="0.25">
      <c r="A20" s="101" t="s">
        <v>605</v>
      </c>
      <c r="B20" s="820" t="s">
        <v>618</v>
      </c>
      <c r="C20" s="821"/>
      <c r="D20" s="315">
        <f>(752597500)+1158900</f>
        <v>753756400</v>
      </c>
    </row>
    <row r="21" spans="1:6" s="193" customFormat="1" ht="47.25" hidden="1" thickTop="1" thickBot="1" x14ac:dyDescent="0.25">
      <c r="A21" s="101" t="s">
        <v>1077</v>
      </c>
      <c r="B21" s="820" t="s">
        <v>1044</v>
      </c>
      <c r="C21" s="840"/>
      <c r="D21" s="315">
        <v>0</v>
      </c>
    </row>
    <row r="22" spans="1:6" s="193" customFormat="1" ht="47.25" hidden="1" thickTop="1" thickBot="1" x14ac:dyDescent="0.25">
      <c r="A22" s="101" t="s">
        <v>986</v>
      </c>
      <c r="B22" s="820" t="s">
        <v>985</v>
      </c>
      <c r="C22" s="821"/>
      <c r="D22" s="315">
        <v>0</v>
      </c>
    </row>
    <row r="23" spans="1:6" s="193" customFormat="1" ht="47.25" hidden="1" thickTop="1" thickBot="1" x14ac:dyDescent="0.25">
      <c r="A23" s="101" t="s">
        <v>995</v>
      </c>
      <c r="B23" s="820" t="s">
        <v>996</v>
      </c>
      <c r="C23" s="821"/>
      <c r="D23" s="315">
        <v>0</v>
      </c>
    </row>
    <row r="24" spans="1:6" s="193" customFormat="1" ht="47.25" hidden="1" thickTop="1" thickBot="1" x14ac:dyDescent="0.25">
      <c r="A24" s="101" t="s">
        <v>976</v>
      </c>
      <c r="B24" s="820" t="s">
        <v>975</v>
      </c>
      <c r="C24" s="821"/>
      <c r="D24" s="315">
        <v>0</v>
      </c>
    </row>
    <row r="25" spans="1:6" s="193" customFormat="1" ht="47.25" thickTop="1" thickBot="1" x14ac:dyDescent="0.25">
      <c r="A25" s="101" t="s">
        <v>1291</v>
      </c>
      <c r="B25" s="820" t="s">
        <v>574</v>
      </c>
      <c r="C25" s="821"/>
      <c r="D25" s="315">
        <f>D17</f>
        <v>762406300</v>
      </c>
    </row>
    <row r="26" spans="1:6" s="193" customFormat="1" ht="46.5" thickTop="1" thickBot="1" x14ac:dyDescent="0.25">
      <c r="A26" s="308" t="s">
        <v>610</v>
      </c>
      <c r="B26" s="837" t="s">
        <v>344</v>
      </c>
      <c r="C26" s="839"/>
      <c r="D26" s="617">
        <f>SUM(D27:D28)</f>
        <v>7753824.6699999999</v>
      </c>
    </row>
    <row r="27" spans="1:6" s="193" customFormat="1" ht="196.5" customHeight="1" thickTop="1" thickBot="1" x14ac:dyDescent="0.25">
      <c r="A27" s="101" t="s">
        <v>611</v>
      </c>
      <c r="B27" s="820" t="s">
        <v>619</v>
      </c>
      <c r="C27" s="821"/>
      <c r="D27" s="618">
        <v>7509500</v>
      </c>
    </row>
    <row r="28" spans="1:6" s="193" customFormat="1" ht="62.25" customHeight="1" thickTop="1" thickBot="1" x14ac:dyDescent="0.25">
      <c r="A28" s="101" t="s">
        <v>1218</v>
      </c>
      <c r="B28" s="820" t="s">
        <v>1217</v>
      </c>
      <c r="C28" s="821"/>
      <c r="D28" s="618">
        <f>((0)+140989.01)+73066.32+30269.34</f>
        <v>244324.67</v>
      </c>
    </row>
    <row r="29" spans="1:6" s="193" customFormat="1" ht="47.25" thickTop="1" thickBot="1" x14ac:dyDescent="0.25">
      <c r="A29" s="101" t="s">
        <v>1295</v>
      </c>
      <c r="B29" s="820" t="s">
        <v>609</v>
      </c>
      <c r="C29" s="821"/>
      <c r="D29" s="315">
        <f>SUM(D27:D28)</f>
        <v>7753824.6699999999</v>
      </c>
    </row>
    <row r="30" spans="1:6" s="193" customFormat="1" ht="46.5" thickTop="1" thickBot="1" x14ac:dyDescent="0.25">
      <c r="A30" s="308" t="s">
        <v>612</v>
      </c>
      <c r="B30" s="837" t="s">
        <v>613</v>
      </c>
      <c r="C30" s="839"/>
      <c r="D30" s="617">
        <f>D49+D51</f>
        <v>138022559</v>
      </c>
      <c r="E30" s="671" t="b">
        <f>D30=D49+D51</f>
        <v>1</v>
      </c>
      <c r="F30" s="671" t="b">
        <f>D30='d1'!D129</f>
        <v>1</v>
      </c>
    </row>
    <row r="31" spans="1:6" s="193" customFormat="1" ht="408.75" customHeight="1" thickTop="1" x14ac:dyDescent="0.65">
      <c r="A31" s="773" t="s">
        <v>1080</v>
      </c>
      <c r="B31" s="822" t="s">
        <v>1424</v>
      </c>
      <c r="C31" s="823"/>
      <c r="D31" s="740">
        <f>(0)+82535515</f>
        <v>82535515</v>
      </c>
    </row>
    <row r="32" spans="1:6" s="193" customFormat="1" ht="409.5" customHeight="1" thickBot="1" x14ac:dyDescent="0.25">
      <c r="A32" s="775"/>
      <c r="B32" s="824" t="s">
        <v>1425</v>
      </c>
      <c r="C32" s="825"/>
      <c r="D32" s="775"/>
    </row>
    <row r="33" spans="1:4" s="193" customFormat="1" ht="376.5" customHeight="1" thickTop="1" x14ac:dyDescent="0.65">
      <c r="A33" s="773" t="s">
        <v>1078</v>
      </c>
      <c r="B33" s="822" t="s">
        <v>1426</v>
      </c>
      <c r="C33" s="823"/>
      <c r="D33" s="740">
        <f>(0)+9627478</f>
        <v>9627478</v>
      </c>
    </row>
    <row r="34" spans="1:4" s="193" customFormat="1" ht="204.75" customHeight="1" thickBot="1" x14ac:dyDescent="0.25">
      <c r="A34" s="775"/>
      <c r="B34" s="824" t="s">
        <v>1427</v>
      </c>
      <c r="C34" s="825"/>
      <c r="D34" s="775"/>
    </row>
    <row r="35" spans="1:4" s="193" customFormat="1" ht="408.75" customHeight="1" thickTop="1" x14ac:dyDescent="0.65">
      <c r="A35" s="773">
        <v>41050600</v>
      </c>
      <c r="B35" s="822" t="s">
        <v>1428</v>
      </c>
      <c r="C35" s="823"/>
      <c r="D35" s="740">
        <f>(0)+29419182</f>
        <v>29419182</v>
      </c>
    </row>
    <row r="36" spans="1:4" s="193" customFormat="1" ht="379.5" customHeight="1" thickBot="1" x14ac:dyDescent="0.25">
      <c r="A36" s="775"/>
      <c r="B36" s="824" t="s">
        <v>1429</v>
      </c>
      <c r="C36" s="825"/>
      <c r="D36" s="775"/>
    </row>
    <row r="37" spans="1:4" s="193" customFormat="1" ht="47.25" hidden="1" thickTop="1" thickBot="1" x14ac:dyDescent="0.25">
      <c r="A37" s="101">
        <v>41050900</v>
      </c>
      <c r="B37" s="820" t="s">
        <v>1081</v>
      </c>
      <c r="C37" s="821"/>
      <c r="D37" s="315">
        <v>0</v>
      </c>
    </row>
    <row r="38" spans="1:4" s="193" customFormat="1" ht="124.5" customHeight="1" thickTop="1" thickBot="1" x14ac:dyDescent="0.25">
      <c r="A38" s="101" t="s">
        <v>614</v>
      </c>
      <c r="B38" s="820" t="s">
        <v>615</v>
      </c>
      <c r="C38" s="821"/>
      <c r="D38" s="315">
        <v>11127203</v>
      </c>
    </row>
    <row r="39" spans="1:4" s="193" customFormat="1" ht="153" customHeight="1" thickTop="1" thickBot="1" x14ac:dyDescent="0.25">
      <c r="A39" s="101" t="s">
        <v>616</v>
      </c>
      <c r="B39" s="820" t="s">
        <v>1290</v>
      </c>
      <c r="C39" s="821"/>
      <c r="D39" s="618">
        <f>(0)+3668858</f>
        <v>3668858</v>
      </c>
    </row>
    <row r="40" spans="1:4" s="193" customFormat="1" ht="47.25" hidden="1" thickTop="1" thickBot="1" x14ac:dyDescent="0.25">
      <c r="A40" s="101" t="s">
        <v>987</v>
      </c>
      <c r="B40" s="820" t="s">
        <v>988</v>
      </c>
      <c r="C40" s="821"/>
      <c r="D40" s="618">
        <v>0</v>
      </c>
    </row>
    <row r="41" spans="1:4" s="193" customFormat="1" ht="192" customHeight="1" thickTop="1" thickBot="1" x14ac:dyDescent="0.25">
      <c r="A41" s="101" t="s">
        <v>944</v>
      </c>
      <c r="B41" s="820" t="s">
        <v>945</v>
      </c>
      <c r="C41" s="821"/>
      <c r="D41" s="618">
        <f>(0)+532739</f>
        <v>532739</v>
      </c>
    </row>
    <row r="42" spans="1:4" s="193" customFormat="1" ht="47.25" thickTop="1" thickBot="1" x14ac:dyDescent="0.25">
      <c r="A42" s="101">
        <v>41053900</v>
      </c>
      <c r="B42" s="820" t="s">
        <v>364</v>
      </c>
      <c r="C42" s="821"/>
      <c r="D42" s="618">
        <v>1018034</v>
      </c>
    </row>
    <row r="43" spans="1:4" s="193" customFormat="1" ht="20.25" hidden="1" thickTop="1" x14ac:dyDescent="0.65">
      <c r="A43" s="773" t="s">
        <v>1082</v>
      </c>
      <c r="B43" s="822" t="s">
        <v>1083</v>
      </c>
      <c r="C43" s="823"/>
      <c r="D43" s="740">
        <v>0</v>
      </c>
    </row>
    <row r="44" spans="1:4" s="193" customFormat="1" ht="13.5" hidden="1" thickBot="1" x14ac:dyDescent="0.25">
      <c r="A44" s="775"/>
      <c r="B44" s="824" t="s">
        <v>1084</v>
      </c>
      <c r="C44" s="825"/>
      <c r="D44" s="775"/>
    </row>
    <row r="45" spans="1:4" s="193" customFormat="1" ht="47.25" hidden="1" thickTop="1" thickBot="1" x14ac:dyDescent="0.25">
      <c r="A45" s="101" t="s">
        <v>617</v>
      </c>
      <c r="B45" s="820" t="s">
        <v>620</v>
      </c>
      <c r="C45" s="821"/>
      <c r="D45" s="618">
        <v>0</v>
      </c>
    </row>
    <row r="46" spans="1:4" s="193" customFormat="1" ht="47.25" hidden="1" thickTop="1" thickBot="1" x14ac:dyDescent="0.25">
      <c r="A46" s="101" t="s">
        <v>1026</v>
      </c>
      <c r="B46" s="820" t="s">
        <v>1027</v>
      </c>
      <c r="C46" s="821"/>
      <c r="D46" s="315">
        <f>10623233.82-10623233.82</f>
        <v>0</v>
      </c>
    </row>
    <row r="47" spans="1:4" s="193" customFormat="1" ht="168.75" customHeight="1" thickTop="1" thickBot="1" x14ac:dyDescent="0.25">
      <c r="A47" s="101">
        <v>41057700</v>
      </c>
      <c r="B47" s="820" t="s">
        <v>1376</v>
      </c>
      <c r="C47" s="821"/>
      <c r="D47" s="618">
        <f>(0)+93550</f>
        <v>93550</v>
      </c>
    </row>
    <row r="48" spans="1:4" s="193" customFormat="1" ht="47.25" thickTop="1" thickBot="1" x14ac:dyDescent="0.25">
      <c r="A48" s="101">
        <v>41059000</v>
      </c>
      <c r="B48" s="820" t="s">
        <v>1401</v>
      </c>
      <c r="C48" s="821"/>
      <c r="D48" s="618">
        <v>0</v>
      </c>
    </row>
    <row r="49" spans="1:5" s="193" customFormat="1" ht="47.25" thickTop="1" thickBot="1" x14ac:dyDescent="0.55000000000000004">
      <c r="A49" s="101" t="s">
        <v>1295</v>
      </c>
      <c r="B49" s="820" t="s">
        <v>609</v>
      </c>
      <c r="C49" s="821"/>
      <c r="D49" s="315">
        <f>SUM(D31:D48)</f>
        <v>138022559</v>
      </c>
      <c r="E49" s="195"/>
    </row>
    <row r="50" spans="1:5" s="193" customFormat="1" ht="47.25" hidden="1" thickTop="1" thickBot="1" x14ac:dyDescent="0.25">
      <c r="A50" s="196" t="s">
        <v>1104</v>
      </c>
      <c r="B50" s="845" t="s">
        <v>1105</v>
      </c>
      <c r="C50" s="846"/>
      <c r="D50" s="437">
        <v>0</v>
      </c>
    </row>
    <row r="51" spans="1:5" s="193" customFormat="1" ht="47.25" hidden="1" thickTop="1" thickBot="1" x14ac:dyDescent="0.25">
      <c r="A51" s="196" t="s">
        <v>576</v>
      </c>
      <c r="B51" s="845" t="s">
        <v>577</v>
      </c>
      <c r="C51" s="846"/>
      <c r="D51" s="197">
        <f>D50</f>
        <v>0</v>
      </c>
    </row>
    <row r="52" spans="1:5" ht="76.5" customHeight="1" thickTop="1" thickBot="1" x14ac:dyDescent="0.25">
      <c r="A52" s="828" t="s">
        <v>597</v>
      </c>
      <c r="B52" s="829"/>
      <c r="C52" s="829"/>
      <c r="D52" s="830"/>
    </row>
    <row r="53" spans="1:5" ht="46.5" hidden="1" thickTop="1" thickBot="1" x14ac:dyDescent="0.25">
      <c r="A53" s="619" t="s">
        <v>606</v>
      </c>
      <c r="B53" s="847" t="s">
        <v>438</v>
      </c>
      <c r="C53" s="848"/>
      <c r="D53" s="620">
        <f>D54</f>
        <v>0</v>
      </c>
    </row>
    <row r="54" spans="1:5" ht="47.25" hidden="1" thickTop="1" thickBot="1" x14ac:dyDescent="0.25">
      <c r="A54" s="621" t="s">
        <v>1077</v>
      </c>
      <c r="B54" s="849" t="s">
        <v>1044</v>
      </c>
      <c r="C54" s="850"/>
      <c r="D54" s="622">
        <v>0</v>
      </c>
    </row>
    <row r="55" spans="1:5" ht="47.25" hidden="1" thickTop="1" thickBot="1" x14ac:dyDescent="0.25">
      <c r="A55" s="621" t="s">
        <v>880</v>
      </c>
      <c r="B55" s="849" t="s">
        <v>574</v>
      </c>
      <c r="C55" s="850"/>
      <c r="D55" s="623">
        <f>D53</f>
        <v>0</v>
      </c>
    </row>
    <row r="56" spans="1:5" ht="46.5" thickTop="1" thickBot="1" x14ac:dyDescent="0.25">
      <c r="A56" s="308" t="s">
        <v>612</v>
      </c>
      <c r="B56" s="837" t="s">
        <v>613</v>
      </c>
      <c r="C56" s="839"/>
      <c r="D56" s="617">
        <f>D61+D63</f>
        <v>7672111</v>
      </c>
      <c r="E56" s="669" t="b">
        <f>D56=D57+D58+D62+D59+D60</f>
        <v>1</v>
      </c>
    </row>
    <row r="57" spans="1:5" ht="47.25" hidden="1" thickTop="1" thickBot="1" x14ac:dyDescent="0.25">
      <c r="A57" s="621" t="s">
        <v>946</v>
      </c>
      <c r="B57" s="849" t="s">
        <v>949</v>
      </c>
      <c r="C57" s="850"/>
      <c r="D57" s="622">
        <v>0</v>
      </c>
    </row>
    <row r="58" spans="1:5" ht="47.25" hidden="1" thickTop="1" thickBot="1" x14ac:dyDescent="0.25">
      <c r="A58" s="621">
        <v>41053900</v>
      </c>
      <c r="B58" s="849" t="s">
        <v>950</v>
      </c>
      <c r="C58" s="850"/>
      <c r="D58" s="622">
        <v>0</v>
      </c>
    </row>
    <row r="59" spans="1:5" ht="47.25" hidden="1" thickTop="1" thickBot="1" x14ac:dyDescent="0.25">
      <c r="A59" s="101" t="s">
        <v>614</v>
      </c>
      <c r="B59" s="820" t="s">
        <v>615</v>
      </c>
      <c r="C59" s="821"/>
      <c r="D59" s="618">
        <v>0</v>
      </c>
    </row>
    <row r="60" spans="1:5" ht="122.25" customHeight="1" thickTop="1" thickBot="1" x14ac:dyDescent="0.25">
      <c r="A60" s="101" t="s">
        <v>1617</v>
      </c>
      <c r="B60" s="820" t="s">
        <v>1591</v>
      </c>
      <c r="C60" s="821"/>
      <c r="D60" s="618">
        <v>7672111</v>
      </c>
    </row>
    <row r="61" spans="1:5" ht="47.25" thickTop="1" thickBot="1" x14ac:dyDescent="0.25">
      <c r="A61" s="101" t="s">
        <v>1295</v>
      </c>
      <c r="B61" s="820" t="s">
        <v>609</v>
      </c>
      <c r="C61" s="821"/>
      <c r="D61" s="315">
        <f>SUM(D57:D60)</f>
        <v>7672111</v>
      </c>
    </row>
    <row r="62" spans="1:5" ht="47.25" hidden="1" thickTop="1" thickBot="1" x14ac:dyDescent="0.25">
      <c r="A62" s="621">
        <v>41053900</v>
      </c>
      <c r="B62" s="849" t="s">
        <v>1103</v>
      </c>
      <c r="C62" s="850"/>
      <c r="D62" s="622">
        <v>0</v>
      </c>
    </row>
    <row r="63" spans="1:5" ht="47.25" hidden="1" thickTop="1" thickBot="1" x14ac:dyDescent="0.25">
      <c r="A63" s="621" t="s">
        <v>576</v>
      </c>
      <c r="B63" s="849" t="s">
        <v>577</v>
      </c>
      <c r="C63" s="850"/>
      <c r="D63" s="623">
        <f>D62</f>
        <v>0</v>
      </c>
    </row>
    <row r="64" spans="1:5" ht="47.25" thickTop="1" thickBot="1" x14ac:dyDescent="0.25">
      <c r="A64" s="675" t="s">
        <v>381</v>
      </c>
      <c r="B64" s="856" t="s">
        <v>598</v>
      </c>
      <c r="C64" s="857"/>
      <c r="D64" s="676">
        <f>D65+D66</f>
        <v>915854794.66999996</v>
      </c>
      <c r="E64" s="670" t="b">
        <f>D64='d1'!C114</f>
        <v>1</v>
      </c>
    </row>
    <row r="65" spans="1:6" ht="47.25" thickTop="1" thickBot="1" x14ac:dyDescent="0.25">
      <c r="A65" s="101" t="s">
        <v>381</v>
      </c>
      <c r="B65" s="820" t="s">
        <v>386</v>
      </c>
      <c r="C65" s="821"/>
      <c r="D65" s="315">
        <f>D49+D25+D29+D51+D16</f>
        <v>908182683.66999996</v>
      </c>
      <c r="E65" s="670" t="b">
        <f>D65='d1'!D114</f>
        <v>1</v>
      </c>
    </row>
    <row r="66" spans="1:6" ht="47.25" thickTop="1" thickBot="1" x14ac:dyDescent="0.25">
      <c r="A66" s="101" t="s">
        <v>381</v>
      </c>
      <c r="B66" s="820" t="s">
        <v>387</v>
      </c>
      <c r="C66" s="821"/>
      <c r="D66" s="315">
        <f>D61+D55+D63</f>
        <v>7672111</v>
      </c>
      <c r="E66" s="670" t="b">
        <f>D66='d1'!E114</f>
        <v>1</v>
      </c>
    </row>
    <row r="67" spans="1:6" ht="31.7" customHeight="1" thickTop="1" x14ac:dyDescent="0.2">
      <c r="A67" s="166"/>
      <c r="B67" s="167"/>
      <c r="C67" s="167"/>
      <c r="D67" s="167"/>
    </row>
    <row r="68" spans="1:6" ht="31.7" customHeight="1" x14ac:dyDescent="0.2">
      <c r="A68" s="166"/>
      <c r="B68" s="167"/>
      <c r="C68" s="167"/>
      <c r="D68" s="167"/>
    </row>
    <row r="69" spans="1:6" ht="60" customHeight="1" x14ac:dyDescent="0.2">
      <c r="A69" s="826" t="s">
        <v>1112</v>
      </c>
      <c r="B69" s="827"/>
      <c r="C69" s="827"/>
      <c r="D69" s="827"/>
    </row>
    <row r="70" spans="1:6" ht="54" customHeight="1" thickBot="1" x14ac:dyDescent="0.25">
      <c r="A70" s="15"/>
      <c r="B70" s="16"/>
      <c r="C70" s="16"/>
      <c r="D70" s="313" t="s">
        <v>404</v>
      </c>
    </row>
    <row r="71" spans="1:6" ht="325.5" customHeight="1" thickTop="1" thickBot="1" x14ac:dyDescent="0.25">
      <c r="A71" s="314" t="s">
        <v>599</v>
      </c>
      <c r="B71" s="574" t="s">
        <v>492</v>
      </c>
      <c r="C71" s="314" t="s">
        <v>600</v>
      </c>
      <c r="D71" s="314" t="s">
        <v>383</v>
      </c>
    </row>
    <row r="72" spans="1:6" ht="50.25" customHeight="1" thickTop="1" thickBot="1" x14ac:dyDescent="0.25">
      <c r="A72" s="101" t="s">
        <v>2</v>
      </c>
      <c r="B72" s="101" t="s">
        <v>3</v>
      </c>
      <c r="C72" s="101" t="s">
        <v>14</v>
      </c>
      <c r="D72" s="101" t="s">
        <v>5</v>
      </c>
    </row>
    <row r="73" spans="1:6" ht="65.25" customHeight="1" thickTop="1" thickBot="1" x14ac:dyDescent="0.25">
      <c r="A73" s="853" t="s">
        <v>601</v>
      </c>
      <c r="B73" s="854"/>
      <c r="C73" s="854"/>
      <c r="D73" s="855"/>
    </row>
    <row r="74" spans="1:6" ht="184.5" thickTop="1" thickBot="1" x14ac:dyDescent="0.55000000000000004">
      <c r="A74" s="101" t="s">
        <v>245</v>
      </c>
      <c r="B74" s="101" t="s">
        <v>246</v>
      </c>
      <c r="C74" s="550" t="s">
        <v>443</v>
      </c>
      <c r="D74" s="315">
        <f>SUM(D75:D76)</f>
        <v>1178000</v>
      </c>
      <c r="E74" s="670" t="b">
        <f>D74='d3'!E44</f>
        <v>1</v>
      </c>
      <c r="F74" s="195"/>
    </row>
    <row r="75" spans="1:6" ht="93" thickTop="1" thickBot="1" x14ac:dyDescent="0.55000000000000004">
      <c r="A75" s="101" t="s">
        <v>1294</v>
      </c>
      <c r="B75" s="101"/>
      <c r="C75" s="550" t="s">
        <v>578</v>
      </c>
      <c r="D75" s="315">
        <v>506400</v>
      </c>
      <c r="E75" s="195"/>
      <c r="F75" s="195"/>
    </row>
    <row r="76" spans="1:6" ht="93" thickTop="1" thickBot="1" x14ac:dyDescent="0.55000000000000004">
      <c r="A76" s="101" t="s">
        <v>1293</v>
      </c>
      <c r="B76" s="101"/>
      <c r="C76" s="550" t="s">
        <v>579</v>
      </c>
      <c r="D76" s="315">
        <v>671600</v>
      </c>
      <c r="E76" s="195"/>
      <c r="F76" s="195"/>
    </row>
    <row r="77" spans="1:6" ht="47.25" thickTop="1" thickBot="1" x14ac:dyDescent="0.55000000000000004">
      <c r="A77" s="101" t="s">
        <v>575</v>
      </c>
      <c r="B77" s="101" t="s">
        <v>363</v>
      </c>
      <c r="C77" s="550" t="s">
        <v>364</v>
      </c>
      <c r="D77" s="315">
        <f>SUM(D78)</f>
        <v>155600</v>
      </c>
      <c r="E77" s="670" t="b">
        <f>D77='d3'!E45</f>
        <v>1</v>
      </c>
      <c r="F77" s="195"/>
    </row>
    <row r="78" spans="1:6" ht="47.25" thickTop="1" thickBot="1" x14ac:dyDescent="0.55000000000000004">
      <c r="A78" s="101" t="s">
        <v>1292</v>
      </c>
      <c r="B78" s="101"/>
      <c r="C78" s="550" t="s">
        <v>577</v>
      </c>
      <c r="D78" s="315">
        <v>155600</v>
      </c>
      <c r="E78" s="195"/>
      <c r="F78" s="195"/>
    </row>
    <row r="79" spans="1:6" ht="47.25" thickTop="1" thickBot="1" x14ac:dyDescent="0.55000000000000004">
      <c r="A79" s="101" t="s">
        <v>1483</v>
      </c>
      <c r="B79" s="101" t="s">
        <v>363</v>
      </c>
      <c r="C79" s="550" t="s">
        <v>364</v>
      </c>
      <c r="D79" s="315">
        <f>D80</f>
        <v>150000</v>
      </c>
      <c r="E79" s="670" t="b">
        <f>D79='d3'!E319</f>
        <v>1</v>
      </c>
      <c r="F79" s="195"/>
    </row>
    <row r="80" spans="1:6" ht="47.25" thickTop="1" thickBot="1" x14ac:dyDescent="0.55000000000000004">
      <c r="A80" s="101" t="s">
        <v>1295</v>
      </c>
      <c r="B80" s="101"/>
      <c r="C80" s="550" t="s">
        <v>609</v>
      </c>
      <c r="D80" s="315">
        <v>150000</v>
      </c>
      <c r="E80" s="195"/>
      <c r="F80" s="195"/>
    </row>
    <row r="81" spans="1:6" ht="138.75" thickTop="1" thickBot="1" x14ac:dyDescent="0.55000000000000004">
      <c r="A81" s="101" t="s">
        <v>513</v>
      </c>
      <c r="B81" s="101" t="s">
        <v>514</v>
      </c>
      <c r="C81" s="550" t="s">
        <v>515</v>
      </c>
      <c r="D81" s="315">
        <f>((((40873318.14-300000+2000000)+58713600)+5262218-400000+225000-600000)-579000+280000)+16496035+1000000</f>
        <v>122971171.14</v>
      </c>
      <c r="E81" s="670" t="b">
        <f>D81='d3'!E46</f>
        <v>1</v>
      </c>
      <c r="F81" s="195"/>
    </row>
    <row r="82" spans="1:6" ht="138.75" hidden="1" thickTop="1" thickBot="1" x14ac:dyDescent="0.55000000000000004">
      <c r="A82" s="126" t="s">
        <v>1334</v>
      </c>
      <c r="B82" s="126" t="s">
        <v>514</v>
      </c>
      <c r="C82" s="438" t="s">
        <v>515</v>
      </c>
      <c r="D82" s="194"/>
      <c r="E82" s="359" t="b">
        <f>D82='d3'!E372</f>
        <v>1</v>
      </c>
      <c r="F82" s="195"/>
    </row>
    <row r="83" spans="1:6" ht="138.75" hidden="1" thickTop="1" thickBot="1" x14ac:dyDescent="0.55000000000000004">
      <c r="A83" s="126" t="s">
        <v>1248</v>
      </c>
      <c r="B83" s="126" t="s">
        <v>514</v>
      </c>
      <c r="C83" s="438" t="s">
        <v>515</v>
      </c>
      <c r="D83" s="194"/>
      <c r="E83" s="359" t="b">
        <f>D83='d3'!E402</f>
        <v>1</v>
      </c>
      <c r="F83" s="195"/>
    </row>
    <row r="84" spans="1:6" ht="47.25" thickTop="1" thickBot="1" x14ac:dyDescent="0.55000000000000004">
      <c r="A84" s="101" t="s">
        <v>1291</v>
      </c>
      <c r="B84" s="101"/>
      <c r="C84" s="550" t="s">
        <v>574</v>
      </c>
      <c r="D84" s="315">
        <f>SUM(D81:D83)</f>
        <v>122971171.14</v>
      </c>
      <c r="E84" s="195"/>
      <c r="F84" s="195"/>
    </row>
    <row r="85" spans="1:6" ht="47.25" hidden="1" thickTop="1" thickBot="1" x14ac:dyDescent="0.55000000000000004">
      <c r="A85" s="196" t="s">
        <v>586</v>
      </c>
      <c r="B85" s="196" t="s">
        <v>363</v>
      </c>
      <c r="C85" s="198" t="s">
        <v>364</v>
      </c>
      <c r="D85" s="197">
        <f>SUM(D86)</f>
        <v>0</v>
      </c>
      <c r="E85" s="359" t="b">
        <f>D85='d3'!E220</f>
        <v>1</v>
      </c>
      <c r="F85" s="195"/>
    </row>
    <row r="86" spans="1:6" ht="93" hidden="1" thickTop="1" thickBot="1" x14ac:dyDescent="0.55000000000000004">
      <c r="A86" s="196" t="s">
        <v>580</v>
      </c>
      <c r="B86" s="196"/>
      <c r="C86" s="198" t="s">
        <v>581</v>
      </c>
      <c r="D86" s="197">
        <v>0</v>
      </c>
      <c r="E86" s="195"/>
      <c r="F86" s="195"/>
    </row>
    <row r="87" spans="1:6" ht="47.25" hidden="1" thickTop="1" thickBot="1" x14ac:dyDescent="0.55000000000000004">
      <c r="A87" s="196" t="s">
        <v>1109</v>
      </c>
      <c r="B87" s="196" t="s">
        <v>363</v>
      </c>
      <c r="C87" s="198" t="s">
        <v>364</v>
      </c>
      <c r="D87" s="197">
        <v>0</v>
      </c>
      <c r="E87" s="359" t="b">
        <f>D87='d3'!E256</f>
        <v>1</v>
      </c>
      <c r="F87" s="195"/>
    </row>
    <row r="88" spans="1:6" ht="47.25" hidden="1" thickTop="1" thickBot="1" x14ac:dyDescent="0.55000000000000004">
      <c r="A88" s="126" t="s">
        <v>908</v>
      </c>
      <c r="B88" s="126" t="s">
        <v>363</v>
      </c>
      <c r="C88" s="438" t="s">
        <v>364</v>
      </c>
      <c r="D88" s="194"/>
      <c r="E88" s="359" t="b">
        <f>D88='d3'!E392</f>
        <v>1</v>
      </c>
      <c r="F88" s="195"/>
    </row>
    <row r="89" spans="1:6" ht="47.25" hidden="1" thickTop="1" thickBot="1" x14ac:dyDescent="0.55000000000000004">
      <c r="A89" s="126" t="s">
        <v>1295</v>
      </c>
      <c r="B89" s="126"/>
      <c r="C89" s="438" t="s">
        <v>609</v>
      </c>
      <c r="D89" s="194">
        <f>SUM(D87:D88)</f>
        <v>0</v>
      </c>
      <c r="E89" s="195"/>
      <c r="F89" s="195"/>
    </row>
    <row r="90" spans="1:6" ht="409.6" hidden="1" thickTop="1" thickBot="1" x14ac:dyDescent="0.55000000000000004">
      <c r="A90" s="126" t="s">
        <v>1387</v>
      </c>
      <c r="B90" s="126" t="s">
        <v>1388</v>
      </c>
      <c r="C90" s="438" t="s">
        <v>1386</v>
      </c>
      <c r="D90" s="194">
        <f>(2000000)-2000000</f>
        <v>0</v>
      </c>
      <c r="E90" s="195"/>
      <c r="F90" s="195"/>
    </row>
    <row r="91" spans="1:6" ht="47.25" hidden="1" thickTop="1" thickBot="1" x14ac:dyDescent="0.55000000000000004">
      <c r="A91" s="126" t="s">
        <v>1291</v>
      </c>
      <c r="B91" s="126"/>
      <c r="C91" s="438" t="s">
        <v>574</v>
      </c>
      <c r="D91" s="194">
        <f>D90</f>
        <v>0</v>
      </c>
      <c r="E91" s="195"/>
      <c r="F91" s="195"/>
    </row>
    <row r="92" spans="1:6" ht="47.25" hidden="1" thickTop="1" thickBot="1" x14ac:dyDescent="0.55000000000000004">
      <c r="A92" s="126" t="s">
        <v>603</v>
      </c>
      <c r="B92" s="126" t="s">
        <v>604</v>
      </c>
      <c r="C92" s="438" t="s">
        <v>451</v>
      </c>
      <c r="D92" s="194">
        <f>SUM(D93)</f>
        <v>0</v>
      </c>
      <c r="E92" s="359" t="b">
        <f>D92='d3'!E429</f>
        <v>1</v>
      </c>
      <c r="F92" s="195"/>
    </row>
    <row r="93" spans="1:6" ht="47.25" hidden="1" thickTop="1" thickBot="1" x14ac:dyDescent="0.55000000000000004">
      <c r="A93" s="126" t="s">
        <v>1291</v>
      </c>
      <c r="B93" s="126"/>
      <c r="C93" s="438" t="s">
        <v>574</v>
      </c>
      <c r="D93" s="194"/>
      <c r="E93" s="195"/>
      <c r="F93" s="195"/>
    </row>
    <row r="94" spans="1:6" ht="69" customHeight="1" thickTop="1" thickBot="1" x14ac:dyDescent="0.55000000000000004">
      <c r="A94" s="853" t="s">
        <v>602</v>
      </c>
      <c r="B94" s="854"/>
      <c r="C94" s="854"/>
      <c r="D94" s="855"/>
      <c r="E94" s="195"/>
      <c r="F94" s="195"/>
    </row>
    <row r="95" spans="1:6" ht="138.75" thickTop="1" thickBot="1" x14ac:dyDescent="0.55000000000000004">
      <c r="A95" s="101" t="s">
        <v>513</v>
      </c>
      <c r="B95" s="101" t="s">
        <v>514</v>
      </c>
      <c r="C95" s="550" t="s">
        <v>515</v>
      </c>
      <c r="D95" s="315">
        <f>((((26816681.86-700000)+100285900)+28871250-800000-10025000+9800000+600000+300000)+7761000-280000)+13887124</f>
        <v>176516955.86000001</v>
      </c>
      <c r="E95" s="670" t="b">
        <f>D95='d3'!J46</f>
        <v>1</v>
      </c>
      <c r="F95" s="195"/>
    </row>
    <row r="96" spans="1:6" ht="138.75" hidden="1" thickTop="1" thickBot="1" x14ac:dyDescent="0.55000000000000004">
      <c r="A96" s="126" t="s">
        <v>1248</v>
      </c>
      <c r="B96" s="126" t="s">
        <v>514</v>
      </c>
      <c r="C96" s="438" t="s">
        <v>515</v>
      </c>
      <c r="D96" s="194">
        <v>0</v>
      </c>
      <c r="E96" s="359" t="b">
        <f>D96='d3'!P402</f>
        <v>1</v>
      </c>
      <c r="F96" s="195"/>
    </row>
    <row r="97" spans="1:12" ht="138.75" hidden="1" thickTop="1" thickBot="1" x14ac:dyDescent="0.55000000000000004">
      <c r="A97" s="126" t="s">
        <v>1248</v>
      </c>
      <c r="B97" s="126" t="s">
        <v>514</v>
      </c>
      <c r="C97" s="438" t="s">
        <v>515</v>
      </c>
      <c r="D97" s="194"/>
      <c r="E97" s="359" t="b">
        <f>D97='d3'!J402</f>
        <v>1</v>
      </c>
      <c r="F97" s="195"/>
    </row>
    <row r="98" spans="1:12" ht="47.25" thickTop="1" thickBot="1" x14ac:dyDescent="0.55000000000000004">
      <c r="A98" s="101" t="s">
        <v>1291</v>
      </c>
      <c r="B98" s="101"/>
      <c r="C98" s="550" t="s">
        <v>574</v>
      </c>
      <c r="D98" s="315">
        <f>D95+D97</f>
        <v>176516955.86000001</v>
      </c>
      <c r="E98" s="195"/>
      <c r="F98" s="195"/>
    </row>
    <row r="99" spans="1:12" ht="47.25" hidden="1" thickTop="1" thickBot="1" x14ac:dyDescent="0.55000000000000004">
      <c r="A99" s="196" t="s">
        <v>1031</v>
      </c>
      <c r="B99" s="196" t="s">
        <v>363</v>
      </c>
      <c r="C99" s="198" t="s">
        <v>364</v>
      </c>
      <c r="D99" s="197">
        <v>0</v>
      </c>
      <c r="E99" s="359" t="b">
        <f>D99='d3'!J106</f>
        <v>1</v>
      </c>
      <c r="F99" s="195"/>
    </row>
    <row r="100" spans="1:12" ht="47.25" hidden="1" thickTop="1" thickBot="1" x14ac:dyDescent="0.55000000000000004">
      <c r="A100" s="196" t="s">
        <v>1109</v>
      </c>
      <c r="B100" s="196" t="s">
        <v>363</v>
      </c>
      <c r="C100" s="198" t="s">
        <v>364</v>
      </c>
      <c r="D100" s="197">
        <v>0</v>
      </c>
      <c r="E100" s="359" t="b">
        <f>D100='d3'!J256</f>
        <v>1</v>
      </c>
      <c r="F100" s="195"/>
    </row>
    <row r="101" spans="1:12" ht="47.25" hidden="1" thickTop="1" thickBot="1" x14ac:dyDescent="0.55000000000000004">
      <c r="A101" s="126" t="s">
        <v>1483</v>
      </c>
      <c r="B101" s="126" t="s">
        <v>363</v>
      </c>
      <c r="C101" s="438" t="s">
        <v>364</v>
      </c>
      <c r="D101" s="194"/>
      <c r="E101" s="359" t="b">
        <f>D101='d3'!J319</f>
        <v>1</v>
      </c>
      <c r="F101" s="195"/>
    </row>
    <row r="102" spans="1:12" ht="47.25" hidden="1" thickTop="1" thickBot="1" x14ac:dyDescent="0.55000000000000004">
      <c r="A102" s="126" t="s">
        <v>908</v>
      </c>
      <c r="B102" s="126" t="s">
        <v>363</v>
      </c>
      <c r="C102" s="438" t="s">
        <v>364</v>
      </c>
      <c r="D102" s="194">
        <v>0</v>
      </c>
      <c r="E102" s="359" t="b">
        <f>D102='d3'!J392</f>
        <v>1</v>
      </c>
      <c r="F102" s="195"/>
    </row>
    <row r="103" spans="1:12" ht="47.25" hidden="1" thickTop="1" thickBot="1" x14ac:dyDescent="0.55000000000000004">
      <c r="A103" s="126" t="s">
        <v>1295</v>
      </c>
      <c r="B103" s="126"/>
      <c r="C103" s="438" t="s">
        <v>609</v>
      </c>
      <c r="D103" s="194">
        <f>SUM(D99:D102)</f>
        <v>0</v>
      </c>
      <c r="E103" s="195"/>
      <c r="F103" s="195"/>
    </row>
    <row r="104" spans="1:12" ht="47.25" thickTop="1" thickBot="1" x14ac:dyDescent="0.55000000000000004">
      <c r="A104" s="433"/>
      <c r="B104" s="433"/>
      <c r="C104" s="435"/>
      <c r="D104" s="439"/>
      <c r="E104" s="195"/>
      <c r="F104" s="195"/>
    </row>
    <row r="105" spans="1:12" ht="84.75" customHeight="1" thickTop="1" thickBot="1" x14ac:dyDescent="0.25">
      <c r="A105" s="677" t="s">
        <v>381</v>
      </c>
      <c r="B105" s="677" t="s">
        <v>381</v>
      </c>
      <c r="C105" s="678" t="s">
        <v>598</v>
      </c>
      <c r="D105" s="679">
        <f>D75+D76+D78+D84+D86+D89+D93+D98+D103+D91+D80</f>
        <v>300971727</v>
      </c>
      <c r="E105" s="671" t="b">
        <f>D105=D106+D107</f>
        <v>1</v>
      </c>
      <c r="F105" s="671" t="b">
        <f>D105=D92+'d7'!G45+'d7'!G46+'d7'!G47+'d7'!G48+'d7'!G49+'d7'!G50+'d7'!G51+'d7'!G52+'d7'!G53+'d7'!G55+'d7'!G56+'d7'!G327+'d7'!G350+'d7'!G43+'d7'!G44+'d7'!G57+'d7'!G343+'d7'!G288+'d7'!G54</f>
        <v>1</v>
      </c>
    </row>
    <row r="106" spans="1:12" ht="47.25" thickTop="1" thickBot="1" x14ac:dyDescent="0.55000000000000004">
      <c r="A106" s="101" t="s">
        <v>381</v>
      </c>
      <c r="B106" s="101" t="s">
        <v>381</v>
      </c>
      <c r="C106" s="550" t="s">
        <v>386</v>
      </c>
      <c r="D106" s="315">
        <f>'d3'!E42+'d3'!E371+'d3'!E401+'d3'!E427+'d3'!E392+'d3'!E319</f>
        <v>124454771.14</v>
      </c>
      <c r="E106" s="671" t="b">
        <f>D106=D74+D77+D85+D88+D92+D81+D87+D83+D82+D90+D79</f>
        <v>1</v>
      </c>
      <c r="F106" s="440"/>
    </row>
    <row r="107" spans="1:12" ht="47.25" thickTop="1" thickBot="1" x14ac:dyDescent="0.55000000000000004">
      <c r="A107" s="101" t="s">
        <v>381</v>
      </c>
      <c r="B107" s="101" t="s">
        <v>381</v>
      </c>
      <c r="C107" s="550" t="s">
        <v>387</v>
      </c>
      <c r="D107" s="315">
        <f>'d3'!J42+'d3'!J371+'d3'!J401+'d3'!J427+'d3'!J319</f>
        <v>176516955.86000001</v>
      </c>
      <c r="E107" s="671" t="b">
        <f>D107=D97+D95+D101</f>
        <v>1</v>
      </c>
      <c r="F107" s="440"/>
    </row>
    <row r="108" spans="1:12" ht="91.5" customHeight="1" thickTop="1" x14ac:dyDescent="0.2">
      <c r="A108" s="15"/>
      <c r="B108" s="16"/>
      <c r="C108" s="16"/>
      <c r="D108" s="16"/>
      <c r="E108" s="13"/>
      <c r="F108" s="13"/>
    </row>
    <row r="109" spans="1:12" ht="45.75" x14ac:dyDescent="0.65">
      <c r="A109" s="15"/>
      <c r="B109" s="851" t="s">
        <v>1478</v>
      </c>
      <c r="C109" s="726"/>
      <c r="D109" s="2" t="s">
        <v>1479</v>
      </c>
      <c r="E109" s="381"/>
      <c r="F109" s="199"/>
      <c r="G109" s="200"/>
      <c r="H109" s="199"/>
      <c r="I109" s="199"/>
      <c r="J109" s="201"/>
      <c r="K109" s="201"/>
      <c r="L109" s="201"/>
    </row>
    <row r="110" spans="1:12" ht="45.75" hidden="1" x14ac:dyDescent="0.65">
      <c r="A110" s="15"/>
      <c r="B110" s="3" t="s">
        <v>1443</v>
      </c>
      <c r="C110" s="316"/>
      <c r="D110" s="3" t="s">
        <v>1444</v>
      </c>
      <c r="E110" s="381"/>
      <c r="F110" s="199"/>
      <c r="G110" s="200"/>
      <c r="H110" s="199"/>
      <c r="I110" s="199"/>
      <c r="J110" s="201"/>
      <c r="K110" s="201"/>
      <c r="L110" s="201"/>
    </row>
    <row r="111" spans="1:12" ht="27.75" customHeight="1" x14ac:dyDescent="0.65">
      <c r="A111" s="76"/>
      <c r="B111" s="3"/>
      <c r="C111" s="3"/>
      <c r="D111" s="3"/>
      <c r="E111" s="382"/>
      <c r="F111" s="13"/>
    </row>
    <row r="112" spans="1:12" ht="42" customHeight="1" x14ac:dyDescent="0.65">
      <c r="A112" s="75"/>
      <c r="B112" s="851" t="s">
        <v>523</v>
      </c>
      <c r="C112" s="726"/>
      <c r="D112" s="3" t="s">
        <v>1345</v>
      </c>
      <c r="E112" s="382"/>
      <c r="F112" s="431"/>
      <c r="G112" s="430"/>
      <c r="H112" s="431"/>
      <c r="I112" s="431"/>
    </row>
    <row r="113" spans="1:6" ht="45.75" x14ac:dyDescent="0.65">
      <c r="A113" s="190"/>
      <c r="B113" s="843"/>
      <c r="C113" s="844"/>
      <c r="D113" s="199"/>
      <c r="E113" s="13"/>
      <c r="F113" s="13"/>
    </row>
    <row r="114" spans="1:6" ht="45.75" x14ac:dyDescent="0.65">
      <c r="A114" s="190"/>
      <c r="B114" s="852"/>
      <c r="C114" s="852"/>
      <c r="D114" s="852"/>
      <c r="E114" s="13"/>
      <c r="F114" s="13"/>
    </row>
    <row r="117" spans="1:6" x14ac:dyDescent="0.2">
      <c r="A117" s="192"/>
      <c r="B117" s="192"/>
      <c r="C117" s="192"/>
    </row>
    <row r="119" spans="1:6" x14ac:dyDescent="0.2">
      <c r="A119" s="192"/>
      <c r="B119" s="192"/>
      <c r="C119" s="192"/>
    </row>
    <row r="123" spans="1:6" x14ac:dyDescent="0.2">
      <c r="A123" s="192"/>
      <c r="B123" s="192"/>
      <c r="C123" s="192"/>
      <c r="D123" s="192"/>
    </row>
    <row r="124" spans="1:6" x14ac:dyDescent="0.2">
      <c r="A124" s="192"/>
      <c r="B124" s="192"/>
      <c r="C124" s="192"/>
      <c r="D124" s="192"/>
    </row>
    <row r="125" spans="1:6" x14ac:dyDescent="0.2">
      <c r="A125" s="192"/>
      <c r="B125" s="192"/>
      <c r="C125" s="192"/>
      <c r="D125" s="192"/>
    </row>
    <row r="126" spans="1:6" x14ac:dyDescent="0.2">
      <c r="A126" s="192"/>
      <c r="B126" s="192"/>
      <c r="C126" s="192"/>
      <c r="D126" s="192"/>
    </row>
  </sheetData>
  <mergeCells count="78">
    <mergeCell ref="B47:C47"/>
    <mergeCell ref="B49:C49"/>
    <mergeCell ref="B114:D114"/>
    <mergeCell ref="A73:D73"/>
    <mergeCell ref="A94:D94"/>
    <mergeCell ref="B56:C56"/>
    <mergeCell ref="B65:C65"/>
    <mergeCell ref="B66:C66"/>
    <mergeCell ref="B64:C64"/>
    <mergeCell ref="B57:C57"/>
    <mergeCell ref="B61:C61"/>
    <mergeCell ref="A69:D69"/>
    <mergeCell ref="B62:C62"/>
    <mergeCell ref="B63:C63"/>
    <mergeCell ref="B58:C58"/>
    <mergeCell ref="B112:C112"/>
    <mergeCell ref="B113:C113"/>
    <mergeCell ref="B50:C50"/>
    <mergeCell ref="B51:C51"/>
    <mergeCell ref="B53:C53"/>
    <mergeCell ref="B54:C54"/>
    <mergeCell ref="B55:C55"/>
    <mergeCell ref="A52:D52"/>
    <mergeCell ref="B59:C59"/>
    <mergeCell ref="B109:C109"/>
    <mergeCell ref="B60:C60"/>
    <mergeCell ref="B46:C46"/>
    <mergeCell ref="B28:C28"/>
    <mergeCell ref="B30:C30"/>
    <mergeCell ref="B29:C29"/>
    <mergeCell ref="B40:C40"/>
    <mergeCell ref="B42:C42"/>
    <mergeCell ref="B31:C31"/>
    <mergeCell ref="B32:C32"/>
    <mergeCell ref="B35:C35"/>
    <mergeCell ref="B45:C45"/>
    <mergeCell ref="B38:C38"/>
    <mergeCell ref="B36:C36"/>
    <mergeCell ref="B33:C33"/>
    <mergeCell ref="B34:C34"/>
    <mergeCell ref="N3:O3"/>
    <mergeCell ref="N4:O4"/>
    <mergeCell ref="N5:O5"/>
    <mergeCell ref="A6:D6"/>
    <mergeCell ref="A7:D7"/>
    <mergeCell ref="A5:D5"/>
    <mergeCell ref="B19:C19"/>
    <mergeCell ref="B17:C17"/>
    <mergeCell ref="B26:C26"/>
    <mergeCell ref="B27:C27"/>
    <mergeCell ref="B20:C20"/>
    <mergeCell ref="B24:C24"/>
    <mergeCell ref="B18:C18"/>
    <mergeCell ref="B22:C22"/>
    <mergeCell ref="B23:C23"/>
    <mergeCell ref="B21:C21"/>
    <mergeCell ref="B25:C25"/>
    <mergeCell ref="A9:D9"/>
    <mergeCell ref="A13:D13"/>
    <mergeCell ref="B11:C11"/>
    <mergeCell ref="B12:C12"/>
    <mergeCell ref="B14:C14"/>
    <mergeCell ref="B15:C15"/>
    <mergeCell ref="B16:C16"/>
    <mergeCell ref="B48:C48"/>
    <mergeCell ref="A31:A32"/>
    <mergeCell ref="D31:D32"/>
    <mergeCell ref="B37:C37"/>
    <mergeCell ref="B43:C43"/>
    <mergeCell ref="A43:A44"/>
    <mergeCell ref="D43:D44"/>
    <mergeCell ref="B44:C44"/>
    <mergeCell ref="A33:A34"/>
    <mergeCell ref="D33:D34"/>
    <mergeCell ref="A35:A36"/>
    <mergeCell ref="D35:D36"/>
    <mergeCell ref="B39:C39"/>
    <mergeCell ref="B41:C41"/>
  </mergeCells>
  <pageMargins left="0.23622047244094491" right="0.27559055118110237" top="0.27559055118110237" bottom="0.15748031496062992" header="0.23622047244094491" footer="0.27559055118110237"/>
  <pageSetup paperSize="9" scale="30" fitToHeight="0" orientation="portrait" verticalDpi="4294967295" r:id="rId1"/>
  <headerFooter alignWithMargins="0">
    <oddFooter>&amp;C&amp;"Times New Roman Cyr,курсив"Сторінка &amp;P з &amp;N</oddFooter>
  </headerFooter>
  <rowBreaks count="1" manualBreakCount="1">
    <brk id="11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3"/>
  <sheetViews>
    <sheetView view="pageBreakPreview" topLeftCell="B1" zoomScale="70" zoomScaleNormal="40" zoomScaleSheetLayoutView="70" workbookViewId="0">
      <pane ySplit="10" topLeftCell="A118" activePane="bottomLeft" state="frozen"/>
      <selection activeCell="G144" sqref="G144"/>
      <selection pane="bottomLeft" activeCell="G128" sqref="G128"/>
    </sheetView>
  </sheetViews>
  <sheetFormatPr defaultColWidth="7.85546875" defaultRowHeight="12.75" x14ac:dyDescent="0.2"/>
  <cols>
    <col min="1" max="1" width="3.28515625" style="168" hidden="1" customWidth="1"/>
    <col min="2" max="3" width="15.42578125" style="11" customWidth="1"/>
    <col min="4" max="4" width="16.85546875" style="11" customWidth="1"/>
    <col min="5" max="5" width="41.5703125" style="11" customWidth="1"/>
    <col min="6" max="6" width="48.7109375" style="11" customWidth="1"/>
    <col min="7" max="8" width="18.140625" style="250" customWidth="1"/>
    <col min="9" max="9" width="20.28515625" style="250" customWidth="1"/>
    <col min="10" max="10" width="23" style="250" customWidth="1"/>
    <col min="11" max="11" width="18.140625" style="250" customWidth="1"/>
    <col min="12" max="14" width="15.42578125" style="168" bestFit="1" customWidth="1"/>
    <col min="15" max="15" width="12.7109375" style="168" customWidth="1"/>
    <col min="16" max="16384" width="7.85546875" style="168"/>
  </cols>
  <sheetData>
    <row r="1" spans="2:18" s="246" customFormat="1" ht="22.7" customHeight="1" x14ac:dyDescent="0.25">
      <c r="B1" s="862"/>
      <c r="C1" s="862"/>
      <c r="D1" s="862"/>
      <c r="E1" s="862"/>
      <c r="F1" s="862"/>
      <c r="G1" s="862"/>
      <c r="H1" s="862"/>
      <c r="I1" s="862"/>
      <c r="J1" s="862"/>
      <c r="K1" s="862"/>
    </row>
    <row r="2" spans="2:18" ht="41.25" customHeight="1" x14ac:dyDescent="0.2">
      <c r="B2" s="329"/>
      <c r="C2" s="329"/>
      <c r="D2" s="329"/>
      <c r="E2" s="329"/>
      <c r="F2" s="329"/>
      <c r="G2" s="816" t="s">
        <v>1580</v>
      </c>
      <c r="H2" s="816"/>
      <c r="I2" s="816"/>
      <c r="J2" s="816"/>
      <c r="K2" s="816"/>
    </row>
    <row r="3" spans="2:18" ht="29.25" customHeight="1" x14ac:dyDescent="0.2">
      <c r="B3" s="329"/>
      <c r="C3" s="329"/>
      <c r="D3" s="329"/>
      <c r="E3" s="329"/>
      <c r="F3" s="329"/>
      <c r="G3" s="330"/>
      <c r="H3" s="330"/>
      <c r="I3" s="330"/>
      <c r="J3" s="330"/>
      <c r="K3" s="330"/>
    </row>
    <row r="4" spans="2:18" ht="31.7" customHeight="1" x14ac:dyDescent="0.2">
      <c r="B4" s="863" t="s">
        <v>1113</v>
      </c>
      <c r="C4" s="811"/>
      <c r="D4" s="811"/>
      <c r="E4" s="811"/>
      <c r="F4" s="811"/>
      <c r="G4" s="811"/>
      <c r="H4" s="811"/>
      <c r="I4" s="811"/>
      <c r="J4" s="811"/>
      <c r="K4" s="811"/>
    </row>
    <row r="5" spans="2:18" ht="31.7" customHeight="1" x14ac:dyDescent="0.2">
      <c r="B5" s="863" t="s">
        <v>1114</v>
      </c>
      <c r="C5" s="811"/>
      <c r="D5" s="811"/>
      <c r="E5" s="811"/>
      <c r="F5" s="811"/>
      <c r="G5" s="811"/>
      <c r="H5" s="811"/>
      <c r="I5" s="811"/>
      <c r="J5" s="811"/>
      <c r="K5" s="811"/>
    </row>
    <row r="6" spans="2:18" ht="24.75" customHeight="1" x14ac:dyDescent="0.2">
      <c r="B6" s="863" t="s">
        <v>1518</v>
      </c>
      <c r="C6" s="811"/>
      <c r="D6" s="811"/>
      <c r="E6" s="811"/>
      <c r="F6" s="811"/>
      <c r="G6" s="811"/>
      <c r="H6" s="811"/>
      <c r="I6" s="811"/>
      <c r="J6" s="811"/>
      <c r="K6" s="811"/>
    </row>
    <row r="7" spans="2:18" ht="18.75" x14ac:dyDescent="0.2">
      <c r="B7" s="801">
        <v>2256400000</v>
      </c>
      <c r="C7" s="802"/>
      <c r="D7" s="331"/>
      <c r="E7" s="331"/>
      <c r="F7" s="331"/>
      <c r="G7" s="331"/>
      <c r="H7" s="331"/>
      <c r="I7" s="331"/>
      <c r="J7" s="331"/>
      <c r="K7" s="331"/>
    </row>
    <row r="8" spans="2:18" ht="19.5" thickBot="1" x14ac:dyDescent="0.25">
      <c r="B8" s="803" t="s">
        <v>490</v>
      </c>
      <c r="C8" s="804"/>
      <c r="D8" s="331"/>
      <c r="E8" s="331"/>
      <c r="F8" s="331"/>
      <c r="G8" s="331"/>
      <c r="H8" s="331"/>
      <c r="I8" s="331"/>
      <c r="J8" s="331"/>
      <c r="K8" s="331"/>
    </row>
    <row r="9" spans="2:18" ht="120" customHeight="1" thickTop="1" thickBot="1" x14ac:dyDescent="0.25">
      <c r="B9" s="332" t="s">
        <v>491</v>
      </c>
      <c r="C9" s="332" t="s">
        <v>492</v>
      </c>
      <c r="D9" s="332" t="s">
        <v>390</v>
      </c>
      <c r="E9" s="332" t="s">
        <v>573</v>
      </c>
      <c r="F9" s="333" t="s">
        <v>1115</v>
      </c>
      <c r="G9" s="333" t="s">
        <v>1116</v>
      </c>
      <c r="H9" s="333" t="s">
        <v>1117</v>
      </c>
      <c r="I9" s="333" t="s">
        <v>1118</v>
      </c>
      <c r="J9" s="333" t="s">
        <v>1552</v>
      </c>
      <c r="K9" s="333" t="s">
        <v>1553</v>
      </c>
      <c r="L9" s="203"/>
      <c r="M9" s="203"/>
      <c r="N9" s="203"/>
      <c r="O9" s="203"/>
      <c r="P9" s="203"/>
      <c r="Q9" s="203"/>
      <c r="R9" s="203"/>
    </row>
    <row r="10" spans="2:18" ht="16.5" thickTop="1" thickBot="1" x14ac:dyDescent="0.25">
      <c r="B10" s="332">
        <v>1</v>
      </c>
      <c r="C10" s="332">
        <v>2</v>
      </c>
      <c r="D10" s="332">
        <v>3</v>
      </c>
      <c r="E10" s="332">
        <v>4</v>
      </c>
      <c r="F10" s="332">
        <v>5</v>
      </c>
      <c r="G10" s="332">
        <v>6</v>
      </c>
      <c r="H10" s="332">
        <v>7</v>
      </c>
      <c r="I10" s="332">
        <v>8</v>
      </c>
      <c r="J10" s="332">
        <v>9</v>
      </c>
      <c r="K10" s="332">
        <v>10</v>
      </c>
      <c r="L10" s="203"/>
      <c r="M10" s="203"/>
      <c r="N10" s="203"/>
      <c r="O10" s="203"/>
      <c r="P10" s="203"/>
      <c r="Q10" s="203"/>
      <c r="R10" s="203"/>
    </row>
    <row r="11" spans="2:18" ht="31.5" hidden="1" thickTop="1" thickBot="1" x14ac:dyDescent="0.25">
      <c r="B11" s="204" t="s">
        <v>148</v>
      </c>
      <c r="C11" s="204"/>
      <c r="D11" s="204"/>
      <c r="E11" s="205" t="s">
        <v>150</v>
      </c>
      <c r="F11" s="204"/>
      <c r="G11" s="204"/>
      <c r="H11" s="204"/>
      <c r="I11" s="205"/>
      <c r="J11" s="206">
        <f>J12</f>
        <v>0</v>
      </c>
      <c r="K11" s="204"/>
      <c r="L11" s="203"/>
      <c r="M11" s="203"/>
      <c r="N11" s="203"/>
      <c r="O11" s="203"/>
      <c r="P11" s="203"/>
      <c r="Q11" s="203"/>
      <c r="R11" s="203"/>
    </row>
    <row r="12" spans="2:18" ht="44.25" hidden="1" thickTop="1" thickBot="1" x14ac:dyDescent="0.25">
      <c r="B12" s="207" t="s">
        <v>149</v>
      </c>
      <c r="C12" s="207"/>
      <c r="D12" s="207"/>
      <c r="E12" s="208" t="s">
        <v>151</v>
      </c>
      <c r="F12" s="207"/>
      <c r="G12" s="207"/>
      <c r="H12" s="207"/>
      <c r="I12" s="208"/>
      <c r="J12" s="209">
        <f>SUM(J13:J18)</f>
        <v>0</v>
      </c>
      <c r="K12" s="207"/>
      <c r="L12" s="203"/>
      <c r="M12" s="203"/>
      <c r="N12" s="203"/>
      <c r="O12" s="203"/>
      <c r="P12" s="203"/>
      <c r="Q12" s="203"/>
      <c r="R12" s="203"/>
    </row>
    <row r="13" spans="2:18" ht="76.5" hidden="1" thickTop="1" thickBot="1" x14ac:dyDescent="0.25">
      <c r="B13" s="210" t="s">
        <v>232</v>
      </c>
      <c r="C13" s="210" t="s">
        <v>233</v>
      </c>
      <c r="D13" s="210" t="s">
        <v>234</v>
      </c>
      <c r="E13" s="210" t="s">
        <v>231</v>
      </c>
      <c r="F13" s="211" t="s">
        <v>520</v>
      </c>
      <c r="G13" s="212"/>
      <c r="H13" s="213"/>
      <c r="I13" s="212"/>
      <c r="J13" s="214"/>
      <c r="K13" s="214"/>
      <c r="L13" s="203"/>
      <c r="M13" s="203"/>
      <c r="N13" s="203"/>
      <c r="O13" s="203"/>
      <c r="P13" s="203"/>
      <c r="Q13" s="203"/>
      <c r="R13" s="203"/>
    </row>
    <row r="14" spans="2:18" ht="76.5" hidden="1" thickTop="1" thickBot="1" x14ac:dyDescent="0.25">
      <c r="B14" s="210" t="s">
        <v>232</v>
      </c>
      <c r="C14" s="210" t="s">
        <v>233</v>
      </c>
      <c r="D14" s="210" t="s">
        <v>234</v>
      </c>
      <c r="E14" s="210" t="s">
        <v>231</v>
      </c>
      <c r="F14" s="211" t="s">
        <v>1093</v>
      </c>
      <c r="G14" s="215" t="s">
        <v>558</v>
      </c>
      <c r="H14" s="216"/>
      <c r="I14" s="217"/>
      <c r="J14" s="214"/>
      <c r="K14" s="217"/>
      <c r="L14" s="203"/>
      <c r="M14" s="203"/>
      <c r="N14" s="203"/>
      <c r="O14" s="203"/>
      <c r="P14" s="203"/>
      <c r="Q14" s="203"/>
      <c r="R14" s="203"/>
    </row>
    <row r="15" spans="2:18" ht="31.5" hidden="1" thickTop="1" thickBot="1" x14ac:dyDescent="0.25">
      <c r="B15" s="210" t="s">
        <v>238</v>
      </c>
      <c r="C15" s="210" t="s">
        <v>239</v>
      </c>
      <c r="D15" s="210" t="s">
        <v>240</v>
      </c>
      <c r="E15" s="210" t="s">
        <v>237</v>
      </c>
      <c r="F15" s="211" t="s">
        <v>520</v>
      </c>
      <c r="G15" s="212"/>
      <c r="H15" s="213"/>
      <c r="I15" s="212"/>
      <c r="J15" s="214"/>
      <c r="K15" s="214"/>
      <c r="L15" s="203"/>
      <c r="M15" s="203"/>
      <c r="N15" s="203"/>
      <c r="O15" s="203"/>
      <c r="P15" s="203"/>
      <c r="Q15" s="203"/>
      <c r="R15" s="203"/>
    </row>
    <row r="16" spans="2:18" ht="61.5" hidden="1" thickTop="1" thickBot="1" x14ac:dyDescent="0.25">
      <c r="B16" s="210" t="s">
        <v>513</v>
      </c>
      <c r="C16" s="210" t="s">
        <v>514</v>
      </c>
      <c r="D16" s="210" t="s">
        <v>43</v>
      </c>
      <c r="E16" s="210" t="s">
        <v>515</v>
      </c>
      <c r="F16" s="211" t="s">
        <v>520</v>
      </c>
      <c r="G16" s="212"/>
      <c r="H16" s="213"/>
      <c r="I16" s="212"/>
      <c r="J16" s="214"/>
      <c r="K16" s="214"/>
      <c r="L16" s="203"/>
      <c r="M16" s="203"/>
      <c r="N16" s="203"/>
      <c r="O16" s="203"/>
      <c r="P16" s="203"/>
      <c r="Q16" s="203"/>
      <c r="R16" s="203"/>
    </row>
    <row r="17" spans="1:18" ht="151.5" hidden="1" thickTop="1" thickBot="1" x14ac:dyDescent="0.25">
      <c r="B17" s="210" t="s">
        <v>513</v>
      </c>
      <c r="C17" s="210" t="s">
        <v>514</v>
      </c>
      <c r="D17" s="210" t="s">
        <v>43</v>
      </c>
      <c r="E17" s="210" t="s">
        <v>515</v>
      </c>
      <c r="F17" s="211" t="s">
        <v>1106</v>
      </c>
      <c r="G17" s="212"/>
      <c r="H17" s="213"/>
      <c r="I17" s="212"/>
      <c r="J17" s="214"/>
      <c r="K17" s="214"/>
      <c r="L17" s="203"/>
      <c r="M17" s="203"/>
      <c r="N17" s="203"/>
      <c r="O17" s="203"/>
      <c r="P17" s="203"/>
      <c r="Q17" s="203"/>
      <c r="R17" s="203"/>
    </row>
    <row r="18" spans="1:18" ht="61.5" hidden="1" thickTop="1" thickBot="1" x14ac:dyDescent="0.25">
      <c r="B18" s="210" t="s">
        <v>513</v>
      </c>
      <c r="C18" s="210" t="s">
        <v>514</v>
      </c>
      <c r="D18" s="210" t="s">
        <v>43</v>
      </c>
      <c r="E18" s="210" t="s">
        <v>515</v>
      </c>
      <c r="F18" s="211" t="s">
        <v>933</v>
      </c>
      <c r="G18" s="212"/>
      <c r="H18" s="213"/>
      <c r="I18" s="212"/>
      <c r="J18" s="214"/>
      <c r="K18" s="214"/>
      <c r="L18" s="203"/>
      <c r="M18" s="203"/>
      <c r="N18" s="203"/>
      <c r="O18" s="203"/>
      <c r="P18" s="203"/>
      <c r="Q18" s="203"/>
      <c r="R18" s="203"/>
    </row>
    <row r="19" spans="1:18" ht="59.25" customHeight="1" thickTop="1" thickBot="1" x14ac:dyDescent="0.25">
      <c r="A19" s="247"/>
      <c r="B19" s="659" t="s">
        <v>152</v>
      </c>
      <c r="C19" s="659"/>
      <c r="D19" s="659"/>
      <c r="E19" s="660" t="s">
        <v>0</v>
      </c>
      <c r="F19" s="659"/>
      <c r="G19" s="659"/>
      <c r="H19" s="661">
        <f>H20</f>
        <v>136998690</v>
      </c>
      <c r="I19" s="661">
        <f>I20</f>
        <v>70787950.289999992</v>
      </c>
      <c r="J19" s="661">
        <f>J20</f>
        <v>55718208.070000008</v>
      </c>
      <c r="K19" s="690"/>
      <c r="L19" s="203"/>
      <c r="M19" s="203"/>
      <c r="N19" s="203"/>
      <c r="O19" s="203"/>
      <c r="P19" s="203"/>
      <c r="Q19" s="203"/>
      <c r="R19" s="203"/>
    </row>
    <row r="20" spans="1:18" ht="56.25" customHeight="1" thickTop="1" thickBot="1" x14ac:dyDescent="0.25">
      <c r="A20" s="247"/>
      <c r="B20" s="663" t="s">
        <v>153</v>
      </c>
      <c r="C20" s="663"/>
      <c r="D20" s="663"/>
      <c r="E20" s="664" t="s">
        <v>1</v>
      </c>
      <c r="F20" s="663"/>
      <c r="G20" s="663"/>
      <c r="H20" s="691">
        <f>H22+H24+H25+H26+H27+H21+H28</f>
        <v>136998690</v>
      </c>
      <c r="I20" s="691">
        <f>I22+I24+I25+I26+I27+I21+I28</f>
        <v>70787950.289999992</v>
      </c>
      <c r="J20" s="691">
        <f>J22+J24+J25+J26+J27+J21+J28</f>
        <v>55718208.070000008</v>
      </c>
      <c r="K20" s="692"/>
      <c r="L20" s="203"/>
      <c r="M20" s="203"/>
      <c r="N20" s="203"/>
      <c r="O20" s="203"/>
      <c r="P20" s="203"/>
      <c r="Q20" s="203"/>
      <c r="R20" s="203"/>
    </row>
    <row r="21" spans="1:18" ht="61.5" thickTop="1" thickBot="1" x14ac:dyDescent="0.25">
      <c r="A21" s="247"/>
      <c r="B21" s="328" t="s">
        <v>641</v>
      </c>
      <c r="C21" s="328" t="s">
        <v>642</v>
      </c>
      <c r="D21" s="328" t="s">
        <v>204</v>
      </c>
      <c r="E21" s="328" t="s">
        <v>1275</v>
      </c>
      <c r="F21" s="632" t="s">
        <v>1569</v>
      </c>
      <c r="G21" s="335" t="s">
        <v>1570</v>
      </c>
      <c r="H21" s="336">
        <v>4405109</v>
      </c>
      <c r="I21" s="336">
        <f>2110572.76+45090+J21</f>
        <v>3405109</v>
      </c>
      <c r="J21" s="338">
        <f>2249446.24-1000000</f>
        <v>1249446.2400000002</v>
      </c>
      <c r="K21" s="339">
        <f>I21/H21</f>
        <v>0.77299086129310313</v>
      </c>
      <c r="L21" s="203"/>
      <c r="M21" s="203"/>
      <c r="N21" s="203"/>
      <c r="O21" s="203"/>
      <c r="P21" s="203"/>
      <c r="Q21" s="203"/>
      <c r="R21" s="203"/>
    </row>
    <row r="22" spans="1:18" ht="76.5" thickTop="1" thickBot="1" x14ac:dyDescent="0.25">
      <c r="A22" s="337"/>
      <c r="B22" s="328" t="s">
        <v>1392</v>
      </c>
      <c r="C22" s="328" t="s">
        <v>1393</v>
      </c>
      <c r="D22" s="328" t="s">
        <v>210</v>
      </c>
      <c r="E22" s="328" t="s">
        <v>1548</v>
      </c>
      <c r="F22" s="334" t="s">
        <v>1458</v>
      </c>
      <c r="G22" s="335" t="s">
        <v>1455</v>
      </c>
      <c r="H22" s="336">
        <v>41197697</v>
      </c>
      <c r="I22" s="336">
        <f>2323251.03+4691300.88+J22</f>
        <v>24014551.91</v>
      </c>
      <c r="J22" s="336">
        <f>(((5000000)+10000000)+12000000)-10000000</f>
        <v>17000000</v>
      </c>
      <c r="K22" s="339">
        <f>(I22+I23-I23)/H22</f>
        <v>0.58291005708401611</v>
      </c>
      <c r="L22" s="226"/>
      <c r="M22" s="227"/>
      <c r="N22" s="203"/>
      <c r="O22" s="203"/>
      <c r="P22" s="203"/>
      <c r="Q22" s="203"/>
      <c r="R22" s="203"/>
    </row>
    <row r="23" spans="1:18" ht="61.5" hidden="1" thickTop="1" thickBot="1" x14ac:dyDescent="0.25">
      <c r="A23" s="337"/>
      <c r="B23" s="220" t="s">
        <v>1394</v>
      </c>
      <c r="C23" s="220" t="s">
        <v>1395</v>
      </c>
      <c r="D23" s="220" t="s">
        <v>210</v>
      </c>
      <c r="E23" s="220" t="s">
        <v>1396</v>
      </c>
      <c r="F23" s="240" t="s">
        <v>1458</v>
      </c>
      <c r="G23" s="222" t="s">
        <v>1455</v>
      </c>
      <c r="H23" s="223">
        <v>41197697</v>
      </c>
      <c r="I23" s="223">
        <f>J23</f>
        <v>7200000</v>
      </c>
      <c r="J23" s="224">
        <v>7200000</v>
      </c>
      <c r="K23" s="225">
        <f>(I23+I22-I22)/H23</f>
        <v>0.17476705069217827</v>
      </c>
      <c r="L23" s="226"/>
      <c r="M23" s="227"/>
      <c r="N23" s="203"/>
      <c r="O23" s="203"/>
      <c r="P23" s="203"/>
      <c r="Q23" s="203"/>
      <c r="R23" s="203"/>
    </row>
    <row r="24" spans="1:18" ht="76.5" thickTop="1" thickBot="1" x14ac:dyDescent="0.25">
      <c r="A24" s="337"/>
      <c r="B24" s="328" t="s">
        <v>1102</v>
      </c>
      <c r="C24" s="328" t="s">
        <v>311</v>
      </c>
      <c r="D24" s="328" t="s">
        <v>304</v>
      </c>
      <c r="E24" s="328" t="s">
        <v>1300</v>
      </c>
      <c r="F24" s="334" t="s">
        <v>1456</v>
      </c>
      <c r="G24" s="335" t="s">
        <v>1455</v>
      </c>
      <c r="H24" s="336">
        <v>27852755</v>
      </c>
      <c r="I24" s="336">
        <f>4294746.41+J24</f>
        <v>26154973.670000002</v>
      </c>
      <c r="J24" s="336">
        <f>((5000000)+17260227.26)-400000</f>
        <v>21860227.260000002</v>
      </c>
      <c r="K24" s="339">
        <v>1</v>
      </c>
      <c r="L24" s="226"/>
      <c r="M24" s="227"/>
      <c r="N24" s="203"/>
      <c r="O24" s="203"/>
      <c r="P24" s="203"/>
      <c r="Q24" s="203"/>
      <c r="R24" s="203"/>
    </row>
    <row r="25" spans="1:18" ht="76.5" thickTop="1" thickBot="1" x14ac:dyDescent="0.25">
      <c r="A25" s="337"/>
      <c r="B25" s="328" t="s">
        <v>1102</v>
      </c>
      <c r="C25" s="328" t="s">
        <v>311</v>
      </c>
      <c r="D25" s="328" t="s">
        <v>304</v>
      </c>
      <c r="E25" s="328" t="s">
        <v>1300</v>
      </c>
      <c r="F25" s="334" t="s">
        <v>1571</v>
      </c>
      <c r="G25" s="335" t="s">
        <v>1455</v>
      </c>
      <c r="H25" s="336">
        <v>25022708</v>
      </c>
      <c r="I25" s="336">
        <f>539263.14+J25</f>
        <v>10539263.140000001</v>
      </c>
      <c r="J25" s="336">
        <f>((2000000)+3000000)+5000000</f>
        <v>10000000</v>
      </c>
      <c r="K25" s="339">
        <f>I25/H25</f>
        <v>0.42118795215929472</v>
      </c>
      <c r="L25" s="633" t="s">
        <v>1572</v>
      </c>
      <c r="M25" s="227"/>
      <c r="N25" s="203"/>
      <c r="O25" s="203"/>
      <c r="P25" s="203"/>
      <c r="Q25" s="203"/>
      <c r="R25" s="203"/>
    </row>
    <row r="26" spans="1:18" ht="91.5" thickTop="1" thickBot="1" x14ac:dyDescent="0.25">
      <c r="A26" s="337"/>
      <c r="B26" s="328" t="s">
        <v>1102</v>
      </c>
      <c r="C26" s="328" t="s">
        <v>311</v>
      </c>
      <c r="D26" s="328" t="s">
        <v>304</v>
      </c>
      <c r="E26" s="328" t="s">
        <v>1300</v>
      </c>
      <c r="F26" s="334" t="s">
        <v>1573</v>
      </c>
      <c r="G26" s="335" t="s">
        <v>1455</v>
      </c>
      <c r="H26" s="336">
        <v>18359547</v>
      </c>
      <c r="I26" s="336">
        <f>466622.37+J26</f>
        <v>2466622.37</v>
      </c>
      <c r="J26" s="336">
        <v>2000000</v>
      </c>
      <c r="K26" s="339">
        <f t="shared" ref="K26" si="0">I26/H26</f>
        <v>0.13435093850627142</v>
      </c>
      <c r="L26" s="633" t="s">
        <v>1572</v>
      </c>
      <c r="M26" s="227"/>
      <c r="N26" s="203"/>
      <c r="O26" s="203"/>
      <c r="P26" s="203"/>
      <c r="Q26" s="203"/>
      <c r="R26" s="203"/>
    </row>
    <row r="27" spans="1:18" ht="76.5" thickTop="1" thickBot="1" x14ac:dyDescent="0.25">
      <c r="A27" s="337"/>
      <c r="B27" s="328" t="s">
        <v>1102</v>
      </c>
      <c r="C27" s="328" t="s">
        <v>311</v>
      </c>
      <c r="D27" s="328" t="s">
        <v>304</v>
      </c>
      <c r="E27" s="328" t="s">
        <v>1300</v>
      </c>
      <c r="F27" s="334" t="s">
        <v>1457</v>
      </c>
      <c r="G27" s="335" t="s">
        <v>1455</v>
      </c>
      <c r="H27" s="336">
        <v>20032080</v>
      </c>
      <c r="I27" s="336">
        <f>588603.2+J27</f>
        <v>4088603.2</v>
      </c>
      <c r="J27" s="336">
        <f>(2000000)+1500000</f>
        <v>3500000</v>
      </c>
      <c r="K27" s="339">
        <f>I27/H27</f>
        <v>0.20410277914225583</v>
      </c>
      <c r="L27" s="226"/>
      <c r="M27" s="227"/>
      <c r="N27" s="203"/>
      <c r="O27" s="203"/>
      <c r="P27" s="203"/>
      <c r="Q27" s="203"/>
      <c r="R27" s="203"/>
    </row>
    <row r="28" spans="1:18" ht="61.5" thickTop="1" thickBot="1" x14ac:dyDescent="0.25">
      <c r="A28" s="337"/>
      <c r="B28" s="328" t="s">
        <v>1102</v>
      </c>
      <c r="C28" s="328" t="s">
        <v>311</v>
      </c>
      <c r="D28" s="328" t="s">
        <v>304</v>
      </c>
      <c r="E28" s="328" t="s">
        <v>1300</v>
      </c>
      <c r="F28" s="334" t="s">
        <v>1635</v>
      </c>
      <c r="G28" s="335" t="s">
        <v>1455</v>
      </c>
      <c r="H28" s="336">
        <v>128794</v>
      </c>
      <c r="I28" s="336">
        <f>10292.43+J28</f>
        <v>118827</v>
      </c>
      <c r="J28" s="336">
        <v>108534.57</v>
      </c>
      <c r="K28" s="339">
        <v>1</v>
      </c>
      <c r="L28" s="226"/>
      <c r="M28" s="227"/>
      <c r="N28" s="203"/>
      <c r="O28" s="203"/>
      <c r="P28" s="203"/>
      <c r="Q28" s="203"/>
      <c r="R28" s="203"/>
    </row>
    <row r="29" spans="1:18" ht="61.5" hidden="1" thickTop="1" thickBot="1" x14ac:dyDescent="0.25">
      <c r="B29" s="220" t="s">
        <v>1102</v>
      </c>
      <c r="C29" s="220" t="s">
        <v>311</v>
      </c>
      <c r="D29" s="220" t="s">
        <v>304</v>
      </c>
      <c r="E29" s="220" t="s">
        <v>1238</v>
      </c>
      <c r="F29" s="221" t="s">
        <v>1133</v>
      </c>
      <c r="G29" s="222" t="s">
        <v>994</v>
      </c>
      <c r="H29" s="223">
        <v>4179432</v>
      </c>
      <c r="I29" s="224">
        <f>(49000)+13800</f>
        <v>62800</v>
      </c>
      <c r="J29" s="224">
        <f>(700000)-700000</f>
        <v>0</v>
      </c>
      <c r="K29" s="225">
        <f>(J29+I29)/H29</f>
        <v>1.5025965250780489E-2</v>
      </c>
      <c r="L29" s="228"/>
      <c r="M29" s="227"/>
      <c r="N29" s="203"/>
      <c r="O29" s="203"/>
      <c r="P29" s="203"/>
      <c r="Q29" s="203"/>
      <c r="R29" s="203"/>
    </row>
    <row r="30" spans="1:18" ht="57" customHeight="1" thickTop="1" thickBot="1" x14ac:dyDescent="0.25">
      <c r="B30" s="659" t="s">
        <v>154</v>
      </c>
      <c r="C30" s="659"/>
      <c r="D30" s="659"/>
      <c r="E30" s="660" t="s">
        <v>18</v>
      </c>
      <c r="F30" s="659"/>
      <c r="G30" s="659"/>
      <c r="H30" s="661">
        <f>H31</f>
        <v>7773427.5700000003</v>
      </c>
      <c r="I30" s="661">
        <f>I31</f>
        <v>5835937.54</v>
      </c>
      <c r="J30" s="661">
        <f>J31</f>
        <v>2058924.99</v>
      </c>
      <c r="K30" s="690"/>
      <c r="L30" s="203"/>
      <c r="M30" s="203"/>
      <c r="N30" s="203"/>
      <c r="O30" s="203"/>
      <c r="P30" s="203"/>
      <c r="Q30" s="203"/>
      <c r="R30" s="203"/>
    </row>
    <row r="31" spans="1:18" ht="57" customHeight="1" thickTop="1" thickBot="1" x14ac:dyDescent="0.25">
      <c r="B31" s="663" t="s">
        <v>155</v>
      </c>
      <c r="C31" s="663"/>
      <c r="D31" s="663"/>
      <c r="E31" s="664" t="s">
        <v>36</v>
      </c>
      <c r="F31" s="663"/>
      <c r="G31" s="663"/>
      <c r="H31" s="691">
        <f>H34</f>
        <v>7773427.5700000003</v>
      </c>
      <c r="I31" s="691">
        <f t="shared" ref="I31:J31" si="1">I34</f>
        <v>5835937.54</v>
      </c>
      <c r="J31" s="691">
        <f t="shared" si="1"/>
        <v>2058924.99</v>
      </c>
      <c r="K31" s="692"/>
      <c r="L31" s="203"/>
      <c r="M31" s="203"/>
      <c r="N31" s="203"/>
      <c r="O31" s="203"/>
      <c r="P31" s="203"/>
      <c r="Q31" s="203"/>
      <c r="R31" s="203"/>
    </row>
    <row r="32" spans="1:18" ht="76.5" hidden="1" thickTop="1" thickBot="1" x14ac:dyDescent="0.25">
      <c r="B32" s="210" t="s">
        <v>416</v>
      </c>
      <c r="C32" s="210" t="s">
        <v>236</v>
      </c>
      <c r="D32" s="210" t="s">
        <v>234</v>
      </c>
      <c r="E32" s="210" t="s">
        <v>235</v>
      </c>
      <c r="F32" s="211" t="s">
        <v>1094</v>
      </c>
      <c r="G32" s="215" t="s">
        <v>1095</v>
      </c>
      <c r="H32" s="216"/>
      <c r="I32" s="217"/>
      <c r="J32" s="214"/>
      <c r="K32" s="217"/>
      <c r="L32" s="203"/>
      <c r="M32" s="203"/>
      <c r="N32" s="203"/>
      <c r="O32" s="203"/>
      <c r="P32" s="203"/>
      <c r="Q32" s="203"/>
      <c r="R32" s="203"/>
    </row>
    <row r="33" spans="1:18" ht="76.5" hidden="1" thickTop="1" thickBot="1" x14ac:dyDescent="0.25">
      <c r="B33" s="220" t="s">
        <v>214</v>
      </c>
      <c r="C33" s="220" t="s">
        <v>211</v>
      </c>
      <c r="D33" s="220" t="s">
        <v>215</v>
      </c>
      <c r="E33" s="220" t="s">
        <v>19</v>
      </c>
      <c r="F33" s="229" t="s">
        <v>1121</v>
      </c>
      <c r="G33" s="222" t="s">
        <v>608</v>
      </c>
      <c r="H33" s="223">
        <v>24579593</v>
      </c>
      <c r="I33" s="223">
        <f>600000+5500000</f>
        <v>6100000</v>
      </c>
      <c r="J33" s="224"/>
      <c r="K33" s="225">
        <f>(J33+I33)/H33</f>
        <v>0.24817335258561848</v>
      </c>
      <c r="L33" s="203"/>
      <c r="M33" s="203"/>
      <c r="N33" s="203"/>
      <c r="O33" s="203"/>
      <c r="P33" s="203"/>
      <c r="Q33" s="203"/>
      <c r="R33" s="203"/>
    </row>
    <row r="34" spans="1:18" ht="161.25" customHeight="1" thickTop="1" thickBot="1" x14ac:dyDescent="0.25">
      <c r="B34" s="328" t="s">
        <v>1179</v>
      </c>
      <c r="C34" s="328" t="s">
        <v>1181</v>
      </c>
      <c r="D34" s="328" t="s">
        <v>304</v>
      </c>
      <c r="E34" s="328" t="s">
        <v>1556</v>
      </c>
      <c r="F34" s="630" t="s">
        <v>1557</v>
      </c>
      <c r="G34" s="335" t="s">
        <v>1455</v>
      </c>
      <c r="H34" s="336">
        <v>7773427.5700000003</v>
      </c>
      <c r="I34" s="336">
        <f>3730838.96+46173.59+J34</f>
        <v>5835937.54</v>
      </c>
      <c r="J34" s="338">
        <f>(0)+2058924.99</f>
        <v>2058924.99</v>
      </c>
      <c r="K34" s="339">
        <v>1</v>
      </c>
      <c r="L34" s="203"/>
      <c r="M34" s="203"/>
      <c r="N34" s="203"/>
      <c r="O34" s="203"/>
      <c r="P34" s="203"/>
      <c r="Q34" s="203"/>
      <c r="R34" s="203"/>
    </row>
    <row r="35" spans="1:18" ht="76.5" hidden="1" thickTop="1" thickBot="1" x14ac:dyDescent="0.25">
      <c r="B35" s="220" t="s">
        <v>1179</v>
      </c>
      <c r="C35" s="220" t="s">
        <v>1181</v>
      </c>
      <c r="D35" s="220" t="s">
        <v>304</v>
      </c>
      <c r="E35" s="220" t="s">
        <v>1239</v>
      </c>
      <c r="F35" s="229" t="s">
        <v>1256</v>
      </c>
      <c r="G35" s="222" t="s">
        <v>1263</v>
      </c>
      <c r="H35" s="223">
        <v>20032733</v>
      </c>
      <c r="I35" s="223">
        <f>0+J35</f>
        <v>18828250</v>
      </c>
      <c r="J35" s="224">
        <f>(11239495)+7588755</f>
        <v>18828250</v>
      </c>
      <c r="K35" s="225">
        <v>1</v>
      </c>
      <c r="L35" s="346" t="s">
        <v>1270</v>
      </c>
      <c r="M35" s="203"/>
      <c r="N35" s="203"/>
      <c r="O35" s="203"/>
      <c r="P35" s="203"/>
      <c r="Q35" s="203"/>
      <c r="R35" s="203"/>
    </row>
    <row r="36" spans="1:18" ht="76.5" hidden="1" thickTop="1" thickBot="1" x14ac:dyDescent="0.25">
      <c r="B36" s="220" t="s">
        <v>1179</v>
      </c>
      <c r="C36" s="220" t="s">
        <v>1181</v>
      </c>
      <c r="D36" s="220" t="s">
        <v>304</v>
      </c>
      <c r="E36" s="220" t="s">
        <v>1239</v>
      </c>
      <c r="F36" s="229" t="s">
        <v>1182</v>
      </c>
      <c r="G36" s="222" t="s">
        <v>1136</v>
      </c>
      <c r="H36" s="223">
        <v>300000</v>
      </c>
      <c r="I36" s="223">
        <v>0</v>
      </c>
      <c r="J36" s="224"/>
      <c r="K36" s="225">
        <f>(J36+I36)/H36</f>
        <v>0</v>
      </c>
      <c r="L36" s="203"/>
      <c r="M36" s="203"/>
      <c r="N36" s="203"/>
      <c r="O36" s="203"/>
      <c r="P36" s="203"/>
      <c r="Q36" s="203"/>
      <c r="R36" s="203"/>
    </row>
    <row r="37" spans="1:18" ht="65.099999999999994" customHeight="1" thickTop="1" thickBot="1" x14ac:dyDescent="0.25">
      <c r="B37" s="659" t="s">
        <v>156</v>
      </c>
      <c r="C37" s="659"/>
      <c r="D37" s="659"/>
      <c r="E37" s="660" t="s">
        <v>37</v>
      </c>
      <c r="F37" s="659"/>
      <c r="G37" s="659"/>
      <c r="H37" s="661">
        <f t="shared" ref="H37:J37" si="2">H38</f>
        <v>56817979</v>
      </c>
      <c r="I37" s="661">
        <f t="shared" si="2"/>
        <v>30309476.950000003</v>
      </c>
      <c r="J37" s="661">
        <f t="shared" si="2"/>
        <v>27341314.939999998</v>
      </c>
      <c r="K37" s="690"/>
      <c r="L37" s="203"/>
      <c r="M37" s="203"/>
      <c r="N37" s="203"/>
      <c r="O37" s="203"/>
      <c r="P37" s="203"/>
      <c r="Q37" s="203"/>
      <c r="R37" s="203"/>
    </row>
    <row r="38" spans="1:18" ht="65.099999999999994" customHeight="1" thickTop="1" thickBot="1" x14ac:dyDescent="0.25">
      <c r="B38" s="663" t="s">
        <v>157</v>
      </c>
      <c r="C38" s="663"/>
      <c r="D38" s="663"/>
      <c r="E38" s="664" t="s">
        <v>38</v>
      </c>
      <c r="F38" s="663"/>
      <c r="G38" s="663"/>
      <c r="H38" s="691">
        <f>H40+H39+H41</f>
        <v>56817979</v>
      </c>
      <c r="I38" s="691">
        <f>I40+I39+I41</f>
        <v>30309476.950000003</v>
      </c>
      <c r="J38" s="691">
        <f>J40+J39+J41</f>
        <v>27341314.939999998</v>
      </c>
      <c r="K38" s="692"/>
      <c r="L38" s="203"/>
      <c r="M38" s="203"/>
      <c r="N38" s="203"/>
      <c r="O38" s="203"/>
      <c r="P38" s="203"/>
      <c r="Q38" s="203"/>
      <c r="R38" s="203"/>
    </row>
    <row r="39" spans="1:18" ht="121.5" thickTop="1" thickBot="1" x14ac:dyDescent="0.25">
      <c r="B39" s="328" t="s">
        <v>1203</v>
      </c>
      <c r="C39" s="328" t="s">
        <v>1200</v>
      </c>
      <c r="D39" s="328" t="s">
        <v>206</v>
      </c>
      <c r="E39" s="629" t="s">
        <v>1201</v>
      </c>
      <c r="F39" s="630" t="s">
        <v>1555</v>
      </c>
      <c r="G39" s="335" t="s">
        <v>1455</v>
      </c>
      <c r="H39" s="336">
        <v>31195664</v>
      </c>
      <c r="I39" s="338">
        <f>1082344.8+J39</f>
        <v>13711560.720000001</v>
      </c>
      <c r="J39" s="336">
        <f>(6000000)+9865740-3236524.08</f>
        <v>12629215.92</v>
      </c>
      <c r="K39" s="339">
        <f>I39/H39</f>
        <v>0.43953418398146615</v>
      </c>
      <c r="L39" s="203"/>
      <c r="M39" s="203"/>
      <c r="N39" s="203"/>
      <c r="O39" s="203"/>
      <c r="P39" s="203"/>
      <c r="Q39" s="203"/>
      <c r="R39" s="203"/>
    </row>
    <row r="40" spans="1:18" ht="106.5" thickTop="1" thickBot="1" x14ac:dyDescent="0.25">
      <c r="B40" s="328" t="s">
        <v>1203</v>
      </c>
      <c r="C40" s="328" t="s">
        <v>1200</v>
      </c>
      <c r="D40" s="328" t="s">
        <v>206</v>
      </c>
      <c r="E40" s="629" t="s">
        <v>1201</v>
      </c>
      <c r="F40" s="630" t="s">
        <v>1454</v>
      </c>
      <c r="G40" s="335" t="s">
        <v>1455</v>
      </c>
      <c r="H40" s="336">
        <v>24622660</v>
      </c>
      <c r="I40" s="338">
        <f>1885817.21+J40</f>
        <v>16147916.23</v>
      </c>
      <c r="J40" s="336">
        <f>(8796386.02)+5465713</f>
        <v>14262099.02</v>
      </c>
      <c r="K40" s="339">
        <f>I40/H40</f>
        <v>0.65581526244524357</v>
      </c>
      <c r="L40" s="203" t="s">
        <v>1602</v>
      </c>
      <c r="M40" s="203"/>
      <c r="N40" s="203"/>
      <c r="O40" s="203"/>
      <c r="P40" s="203"/>
      <c r="Q40" s="203"/>
      <c r="R40" s="203"/>
    </row>
    <row r="41" spans="1:18" ht="46.5" thickTop="1" thickBot="1" x14ac:dyDescent="0.25">
      <c r="B41" s="328" t="s">
        <v>924</v>
      </c>
      <c r="C41" s="328" t="s">
        <v>925</v>
      </c>
      <c r="D41" s="328" t="s">
        <v>304</v>
      </c>
      <c r="E41" s="328" t="s">
        <v>1615</v>
      </c>
      <c r="F41" s="630" t="s">
        <v>1616</v>
      </c>
      <c r="G41" s="335" t="s">
        <v>1502</v>
      </c>
      <c r="H41" s="336">
        <v>999655</v>
      </c>
      <c r="I41" s="338">
        <f>0+J41</f>
        <v>450000</v>
      </c>
      <c r="J41" s="336">
        <f>999655-549655</f>
        <v>450000</v>
      </c>
      <c r="K41" s="339">
        <f>I41/H41</f>
        <v>0.45015530357973499</v>
      </c>
      <c r="L41" s="203"/>
      <c r="M41" s="203"/>
      <c r="N41" s="203"/>
      <c r="O41" s="203"/>
      <c r="P41" s="203"/>
      <c r="Q41" s="203"/>
      <c r="R41" s="203"/>
    </row>
    <row r="42" spans="1:18" ht="46.5" hidden="1" thickTop="1" thickBot="1" x14ac:dyDescent="0.25">
      <c r="A42" s="248"/>
      <c r="B42" s="231">
        <v>1000000</v>
      </c>
      <c r="C42" s="231"/>
      <c r="D42" s="231"/>
      <c r="E42" s="232" t="s">
        <v>24</v>
      </c>
      <c r="F42" s="231"/>
      <c r="G42" s="231"/>
      <c r="H42" s="233">
        <f>H43</f>
        <v>27064985</v>
      </c>
      <c r="I42" s="233">
        <f>I43</f>
        <v>19955037.289999999</v>
      </c>
      <c r="J42" s="233">
        <f>J43</f>
        <v>0</v>
      </c>
      <c r="K42" s="234"/>
      <c r="L42" s="203"/>
      <c r="M42" s="203"/>
      <c r="N42" s="203"/>
      <c r="O42" s="203"/>
      <c r="P42" s="203"/>
      <c r="Q42" s="203"/>
      <c r="R42" s="203"/>
    </row>
    <row r="43" spans="1:18" ht="44.25" hidden="1" thickTop="1" thickBot="1" x14ac:dyDescent="0.25">
      <c r="A43" s="248"/>
      <c r="B43" s="235">
        <v>1010000</v>
      </c>
      <c r="C43" s="235"/>
      <c r="D43" s="235"/>
      <c r="E43" s="236" t="s">
        <v>39</v>
      </c>
      <c r="F43" s="235"/>
      <c r="G43" s="235"/>
      <c r="H43" s="237">
        <f>SUM(H44:H45)</f>
        <v>27064985</v>
      </c>
      <c r="I43" s="237">
        <f>SUM(I44:I45)</f>
        <v>19955037.289999999</v>
      </c>
      <c r="J43" s="237">
        <f>SUM(J44:J45)</f>
        <v>0</v>
      </c>
      <c r="K43" s="238"/>
      <c r="L43" s="203"/>
      <c r="M43" s="203"/>
      <c r="N43" s="203"/>
      <c r="O43" s="203"/>
      <c r="P43" s="203"/>
      <c r="Q43" s="203"/>
      <c r="R43" s="203"/>
    </row>
    <row r="44" spans="1:18" ht="46.5" hidden="1" thickTop="1" thickBot="1" x14ac:dyDescent="0.25">
      <c r="B44" s="220" t="s">
        <v>176</v>
      </c>
      <c r="C44" s="220" t="s">
        <v>177</v>
      </c>
      <c r="D44" s="220" t="s">
        <v>174</v>
      </c>
      <c r="E44" s="220" t="s">
        <v>463</v>
      </c>
      <c r="F44" s="221" t="s">
        <v>936</v>
      </c>
      <c r="G44" s="223" t="s">
        <v>521</v>
      </c>
      <c r="H44" s="223">
        <v>27064985</v>
      </c>
      <c r="I44" s="223">
        <f>1430336+2994769.5+4929931.79+5600000+(3000000)+2000000</f>
        <v>19955037.289999999</v>
      </c>
      <c r="J44" s="223">
        <f>(4652920)-4652920</f>
        <v>0</v>
      </c>
      <c r="K44" s="239">
        <f>(J44+I44)/H44</f>
        <v>0.73730088119391157</v>
      </c>
      <c r="L44" s="203"/>
      <c r="M44" s="203"/>
      <c r="N44" s="203"/>
      <c r="O44" s="203"/>
      <c r="P44" s="203"/>
      <c r="Q44" s="203"/>
      <c r="R44" s="203"/>
    </row>
    <row r="45" spans="1:18" ht="106.5" hidden="1" thickTop="1" thickBot="1" x14ac:dyDescent="0.25">
      <c r="A45" s="248"/>
      <c r="B45" s="210" t="s">
        <v>917</v>
      </c>
      <c r="C45" s="210" t="s">
        <v>197</v>
      </c>
      <c r="D45" s="210" t="s">
        <v>170</v>
      </c>
      <c r="E45" s="210" t="s">
        <v>34</v>
      </c>
      <c r="F45" s="230" t="s">
        <v>943</v>
      </c>
      <c r="G45" s="215" t="s">
        <v>558</v>
      </c>
      <c r="H45" s="216"/>
      <c r="I45" s="217"/>
      <c r="J45" s="216"/>
      <c r="K45" s="217"/>
      <c r="L45" s="203"/>
      <c r="M45" s="203"/>
      <c r="N45" s="203"/>
      <c r="O45" s="203"/>
      <c r="P45" s="203"/>
      <c r="Q45" s="203"/>
      <c r="R45" s="203"/>
    </row>
    <row r="46" spans="1:18" ht="65.099999999999994" customHeight="1" thickTop="1" thickBot="1" x14ac:dyDescent="0.25">
      <c r="B46" s="659" t="s">
        <v>22</v>
      </c>
      <c r="C46" s="659"/>
      <c r="D46" s="659"/>
      <c r="E46" s="660" t="s">
        <v>23</v>
      </c>
      <c r="F46" s="659"/>
      <c r="G46" s="659"/>
      <c r="H46" s="661">
        <f t="shared" ref="H46:J46" si="3">H47</f>
        <v>35118863</v>
      </c>
      <c r="I46" s="661">
        <f t="shared" si="3"/>
        <v>31387992.66</v>
      </c>
      <c r="J46" s="661">
        <f t="shared" si="3"/>
        <v>1000000</v>
      </c>
      <c r="K46" s="690"/>
      <c r="L46" s="203"/>
      <c r="M46" s="203"/>
      <c r="N46" s="203"/>
      <c r="O46" s="203"/>
      <c r="P46" s="203"/>
      <c r="Q46" s="203"/>
      <c r="R46" s="203"/>
    </row>
    <row r="47" spans="1:18" ht="57" customHeight="1" thickTop="1" thickBot="1" x14ac:dyDescent="0.25">
      <c r="B47" s="663" t="s">
        <v>21</v>
      </c>
      <c r="C47" s="663"/>
      <c r="D47" s="663"/>
      <c r="E47" s="664" t="s">
        <v>35</v>
      </c>
      <c r="F47" s="663"/>
      <c r="G47" s="663"/>
      <c r="H47" s="691">
        <f>H49</f>
        <v>35118863</v>
      </c>
      <c r="I47" s="691">
        <f t="shared" ref="I47:J47" si="4">I49</f>
        <v>31387992.66</v>
      </c>
      <c r="J47" s="691">
        <f t="shared" si="4"/>
        <v>1000000</v>
      </c>
      <c r="K47" s="692"/>
      <c r="L47" s="203"/>
      <c r="M47" s="203"/>
      <c r="N47" s="203"/>
      <c r="O47" s="203"/>
      <c r="P47" s="203"/>
      <c r="Q47" s="203"/>
      <c r="R47" s="203"/>
    </row>
    <row r="48" spans="1:18" ht="46.5" hidden="1" thickTop="1" thickBot="1" x14ac:dyDescent="0.25">
      <c r="B48" s="328" t="s">
        <v>189</v>
      </c>
      <c r="C48" s="328" t="s">
        <v>190</v>
      </c>
      <c r="D48" s="328" t="s">
        <v>185</v>
      </c>
      <c r="E48" s="328" t="s">
        <v>10</v>
      </c>
      <c r="F48" s="334" t="s">
        <v>1258</v>
      </c>
      <c r="G48" s="335" t="s">
        <v>608</v>
      </c>
      <c r="H48" s="336">
        <v>2102059</v>
      </c>
      <c r="I48" s="338">
        <f>66820+3338.56+J48</f>
        <v>80838.559999999998</v>
      </c>
      <c r="J48" s="338">
        <v>10680</v>
      </c>
      <c r="K48" s="339">
        <f>I48/H48</f>
        <v>3.8456846358736835E-2</v>
      </c>
      <c r="L48" s="203"/>
      <c r="M48" s="203"/>
      <c r="N48" s="203"/>
      <c r="O48" s="203"/>
      <c r="P48" s="203"/>
      <c r="Q48" s="203"/>
      <c r="R48" s="203"/>
    </row>
    <row r="49" spans="1:18" s="249" customFormat="1" ht="83.25" customHeight="1" thickTop="1" thickBot="1" x14ac:dyDescent="0.25">
      <c r="B49" s="328" t="s">
        <v>28</v>
      </c>
      <c r="C49" s="328" t="s">
        <v>192</v>
      </c>
      <c r="D49" s="328" t="s">
        <v>195</v>
      </c>
      <c r="E49" s="328" t="s">
        <v>48</v>
      </c>
      <c r="F49" s="334" t="s">
        <v>1254</v>
      </c>
      <c r="G49" s="335" t="s">
        <v>1268</v>
      </c>
      <c r="H49" s="336">
        <v>35118863</v>
      </c>
      <c r="I49" s="338">
        <f>30387992.66+J49</f>
        <v>31387992.66</v>
      </c>
      <c r="J49" s="338">
        <v>1000000</v>
      </c>
      <c r="K49" s="339">
        <f>I49/H49</f>
        <v>0.89376448947108567</v>
      </c>
      <c r="L49" s="347">
        <f>H49-I49-4929869.92</f>
        <v>-1198999.58</v>
      </c>
      <c r="M49" s="241"/>
      <c r="N49" s="241"/>
      <c r="O49" s="241"/>
      <c r="P49" s="241"/>
      <c r="Q49" s="241"/>
      <c r="R49" s="241"/>
    </row>
    <row r="50" spans="1:18" s="249" customFormat="1" ht="16.5" hidden="1" thickTop="1" thickBot="1" x14ac:dyDescent="0.25">
      <c r="B50" s="328"/>
      <c r="C50" s="328"/>
      <c r="D50" s="328"/>
      <c r="E50" s="328"/>
      <c r="F50" s="334"/>
      <c r="G50" s="335"/>
      <c r="H50" s="336"/>
      <c r="I50" s="338"/>
      <c r="J50" s="338"/>
      <c r="K50" s="339"/>
      <c r="L50" s="347"/>
      <c r="M50" s="241"/>
      <c r="N50" s="241"/>
      <c r="O50" s="241"/>
      <c r="P50" s="241"/>
      <c r="Q50" s="241"/>
      <c r="R50" s="241"/>
    </row>
    <row r="51" spans="1:18" s="249" customFormat="1" ht="16.5" hidden="1" thickTop="1" thickBot="1" x14ac:dyDescent="0.25">
      <c r="B51" s="328"/>
      <c r="C51" s="328"/>
      <c r="D51" s="328"/>
      <c r="E51" s="328"/>
      <c r="F51" s="334"/>
      <c r="G51" s="335"/>
      <c r="H51" s="336"/>
      <c r="I51" s="338"/>
      <c r="J51" s="338"/>
      <c r="K51" s="339"/>
      <c r="L51" s="347"/>
      <c r="M51" s="241"/>
      <c r="N51" s="241"/>
      <c r="O51" s="241"/>
      <c r="P51" s="241"/>
      <c r="Q51" s="241"/>
      <c r="R51" s="241"/>
    </row>
    <row r="52" spans="1:18" s="249" customFormat="1" ht="46.5" hidden="1" thickTop="1" thickBot="1" x14ac:dyDescent="0.25">
      <c r="B52" s="172" t="s">
        <v>158</v>
      </c>
      <c r="C52" s="172"/>
      <c r="D52" s="172"/>
      <c r="E52" s="173" t="s">
        <v>561</v>
      </c>
      <c r="F52" s="172"/>
      <c r="G52" s="172"/>
      <c r="H52" s="174">
        <f t="shared" ref="H52:J52" si="5">H53</f>
        <v>4177606</v>
      </c>
      <c r="I52" s="174">
        <f t="shared" si="5"/>
        <v>0</v>
      </c>
      <c r="J52" s="174">
        <f t="shared" si="5"/>
        <v>0</v>
      </c>
      <c r="K52" s="218"/>
      <c r="L52" s="242"/>
      <c r="M52" s="241"/>
      <c r="N52" s="241"/>
      <c r="O52" s="241"/>
      <c r="P52" s="241"/>
      <c r="Q52" s="241"/>
      <c r="R52" s="241"/>
    </row>
    <row r="53" spans="1:18" s="249" customFormat="1" ht="44.25" hidden="1" thickTop="1" thickBot="1" x14ac:dyDescent="0.25">
      <c r="B53" s="176" t="s">
        <v>159</v>
      </c>
      <c r="C53" s="176"/>
      <c r="D53" s="176"/>
      <c r="E53" s="177" t="s">
        <v>562</v>
      </c>
      <c r="F53" s="176"/>
      <c r="G53" s="176"/>
      <c r="H53" s="178">
        <f>H54</f>
        <v>4177606</v>
      </c>
      <c r="I53" s="178">
        <f>I54</f>
        <v>0</v>
      </c>
      <c r="J53" s="178">
        <f>J54</f>
        <v>0</v>
      </c>
      <c r="K53" s="219"/>
      <c r="L53" s="242"/>
      <c r="M53" s="241"/>
      <c r="N53" s="241"/>
      <c r="O53" s="241"/>
      <c r="P53" s="241"/>
      <c r="Q53" s="241"/>
      <c r="R53" s="241"/>
    </row>
    <row r="54" spans="1:18" s="249" customFormat="1" ht="33.75" hidden="1" thickTop="1" thickBot="1" x14ac:dyDescent="0.25">
      <c r="B54" s="220" t="s">
        <v>1146</v>
      </c>
      <c r="C54" s="220" t="s">
        <v>305</v>
      </c>
      <c r="D54" s="220" t="s">
        <v>304</v>
      </c>
      <c r="E54" s="220" t="s">
        <v>1240</v>
      </c>
      <c r="F54" s="240" t="s">
        <v>1153</v>
      </c>
      <c r="G54" s="223" t="s">
        <v>1136</v>
      </c>
      <c r="H54" s="223">
        <v>4177606</v>
      </c>
      <c r="I54" s="223">
        <v>0</v>
      </c>
      <c r="J54" s="224"/>
      <c r="K54" s="239">
        <f>(I54+J54)/H54</f>
        <v>0</v>
      </c>
      <c r="L54" s="242"/>
      <c r="M54" s="241"/>
      <c r="N54" s="241"/>
      <c r="O54" s="241"/>
      <c r="P54" s="241"/>
      <c r="Q54" s="241"/>
      <c r="R54" s="241"/>
    </row>
    <row r="55" spans="1:18" s="249" customFormat="1" ht="57" customHeight="1" thickTop="1" thickBot="1" x14ac:dyDescent="0.25">
      <c r="B55" s="659" t="s">
        <v>540</v>
      </c>
      <c r="C55" s="659"/>
      <c r="D55" s="659"/>
      <c r="E55" s="660" t="s">
        <v>559</v>
      </c>
      <c r="F55" s="659"/>
      <c r="G55" s="659"/>
      <c r="H55" s="661">
        <f>H56</f>
        <v>181925120</v>
      </c>
      <c r="I55" s="661">
        <f>I56</f>
        <v>110430280.75999999</v>
      </c>
      <c r="J55" s="661">
        <f>J56</f>
        <v>34763436.990000002</v>
      </c>
      <c r="K55" s="690"/>
      <c r="L55" s="242"/>
      <c r="M55" s="241"/>
      <c r="N55" s="241"/>
      <c r="O55" s="241"/>
      <c r="P55" s="241"/>
      <c r="Q55" s="241"/>
      <c r="R55" s="241"/>
    </row>
    <row r="56" spans="1:18" s="249" customFormat="1" ht="59.25" customHeight="1" thickTop="1" thickBot="1" x14ac:dyDescent="0.25">
      <c r="B56" s="663" t="s">
        <v>541</v>
      </c>
      <c r="C56" s="663"/>
      <c r="D56" s="663"/>
      <c r="E56" s="664" t="s">
        <v>560</v>
      </c>
      <c r="F56" s="663"/>
      <c r="G56" s="663"/>
      <c r="H56" s="691">
        <f>H64+H65+H75+H82+H83+H84+H85+H63+H96+H100</f>
        <v>181925120</v>
      </c>
      <c r="I56" s="691">
        <f>I64+I65+I75+I82+I83+I84+I85+I63+I96+I100</f>
        <v>110430280.75999999</v>
      </c>
      <c r="J56" s="691">
        <f>J64+J65+J75+J82+J83+J84+J85+J63+J96+J100</f>
        <v>34763436.990000002</v>
      </c>
      <c r="K56" s="692"/>
      <c r="L56" s="242"/>
      <c r="M56" s="241"/>
      <c r="N56" s="241"/>
      <c r="O56" s="241"/>
      <c r="P56" s="241"/>
      <c r="Q56" s="241"/>
      <c r="R56" s="241"/>
    </row>
    <row r="57" spans="1:18" s="249" customFormat="1" ht="46.5" hidden="1" thickTop="1" thickBot="1" x14ac:dyDescent="0.25">
      <c r="A57" s="168"/>
      <c r="B57" s="220" t="s">
        <v>548</v>
      </c>
      <c r="C57" s="220" t="s">
        <v>305</v>
      </c>
      <c r="D57" s="220" t="s">
        <v>304</v>
      </c>
      <c r="E57" s="220" t="s">
        <v>469</v>
      </c>
      <c r="F57" s="243" t="s">
        <v>1134</v>
      </c>
      <c r="G57" s="223" t="s">
        <v>1268</v>
      </c>
      <c r="H57" s="223">
        <v>10423167</v>
      </c>
      <c r="I57" s="223">
        <f>1987516+J57</f>
        <v>2297516</v>
      </c>
      <c r="J57" s="223">
        <f>(3000000-2000000)-690000</f>
        <v>310000</v>
      </c>
      <c r="K57" s="239">
        <f>I57/H57</f>
        <v>0.22042398438017927</v>
      </c>
      <c r="L57" s="242"/>
      <c r="M57" s="241"/>
      <c r="N57" s="241"/>
      <c r="O57" s="241"/>
      <c r="P57" s="241"/>
      <c r="Q57" s="241"/>
      <c r="R57" s="241"/>
    </row>
    <row r="58" spans="1:18" s="249" customFormat="1" ht="31.5" hidden="1" thickTop="1" thickBot="1" x14ac:dyDescent="0.25">
      <c r="A58" s="168"/>
      <c r="B58" s="220" t="s">
        <v>548</v>
      </c>
      <c r="C58" s="220" t="s">
        <v>305</v>
      </c>
      <c r="D58" s="220" t="s">
        <v>304</v>
      </c>
      <c r="E58" s="220" t="s">
        <v>469</v>
      </c>
      <c r="F58" s="243" t="s">
        <v>1135</v>
      </c>
      <c r="G58" s="223" t="s">
        <v>522</v>
      </c>
      <c r="H58" s="223">
        <v>19973126</v>
      </c>
      <c r="I58" s="223">
        <v>3000000</v>
      </c>
      <c r="J58" s="223">
        <f>(2000000)-2000000</f>
        <v>0</v>
      </c>
      <c r="K58" s="239">
        <f t="shared" ref="K58:K98" si="6">(I58+J58)/H58</f>
        <v>0.15020182619385669</v>
      </c>
      <c r="L58" s="242"/>
      <c r="M58" s="241"/>
      <c r="N58" s="241"/>
      <c r="O58" s="241"/>
      <c r="P58" s="241"/>
      <c r="Q58" s="241"/>
      <c r="R58" s="241"/>
    </row>
    <row r="59" spans="1:18" s="249" customFormat="1" ht="46.5" hidden="1" thickTop="1" thickBot="1" x14ac:dyDescent="0.25">
      <c r="A59" s="168"/>
      <c r="B59" s="220" t="s">
        <v>548</v>
      </c>
      <c r="C59" s="220" t="s">
        <v>305</v>
      </c>
      <c r="D59" s="220" t="s">
        <v>304</v>
      </c>
      <c r="E59" s="220" t="s">
        <v>469</v>
      </c>
      <c r="F59" s="243" t="s">
        <v>1172</v>
      </c>
      <c r="G59" s="223" t="s">
        <v>1136</v>
      </c>
      <c r="H59" s="223">
        <v>7326277</v>
      </c>
      <c r="I59" s="223">
        <v>0</v>
      </c>
      <c r="J59" s="223"/>
      <c r="K59" s="239">
        <f t="shared" si="6"/>
        <v>0</v>
      </c>
      <c r="L59" s="242"/>
      <c r="M59" s="241"/>
      <c r="N59" s="241"/>
      <c r="O59" s="241"/>
      <c r="P59" s="241"/>
      <c r="Q59" s="241"/>
      <c r="R59" s="241"/>
    </row>
    <row r="60" spans="1:18" s="249" customFormat="1" ht="46.5" hidden="1" thickTop="1" thickBot="1" x14ac:dyDescent="0.25">
      <c r="A60" s="168"/>
      <c r="B60" s="220" t="s">
        <v>548</v>
      </c>
      <c r="C60" s="220" t="s">
        <v>305</v>
      </c>
      <c r="D60" s="220" t="s">
        <v>304</v>
      </c>
      <c r="E60" s="220" t="s">
        <v>469</v>
      </c>
      <c r="F60" s="243" t="s">
        <v>1140</v>
      </c>
      <c r="G60" s="223" t="s">
        <v>1136</v>
      </c>
      <c r="H60" s="223">
        <v>8650378</v>
      </c>
      <c r="I60" s="223">
        <v>0</v>
      </c>
      <c r="J60" s="223"/>
      <c r="K60" s="239">
        <f t="shared" si="6"/>
        <v>0</v>
      </c>
      <c r="L60" s="242"/>
      <c r="M60" s="241"/>
      <c r="N60" s="241"/>
      <c r="O60" s="241"/>
      <c r="P60" s="241"/>
      <c r="Q60" s="241"/>
      <c r="R60" s="241"/>
    </row>
    <row r="61" spans="1:18" s="249" customFormat="1" ht="46.5" hidden="1" thickTop="1" thickBot="1" x14ac:dyDescent="0.25">
      <c r="A61" s="168"/>
      <c r="B61" s="220" t="s">
        <v>548</v>
      </c>
      <c r="C61" s="220" t="s">
        <v>305</v>
      </c>
      <c r="D61" s="220" t="s">
        <v>304</v>
      </c>
      <c r="E61" s="220" t="s">
        <v>469</v>
      </c>
      <c r="F61" s="243" t="s">
        <v>1141</v>
      </c>
      <c r="G61" s="223" t="s">
        <v>521</v>
      </c>
      <c r="H61" s="223">
        <v>68621716</v>
      </c>
      <c r="I61" s="223">
        <v>65923472</v>
      </c>
      <c r="J61" s="223"/>
      <c r="K61" s="239">
        <f t="shared" si="6"/>
        <v>0.96067944439046093</v>
      </c>
      <c r="L61" s="242"/>
      <c r="M61" s="241"/>
      <c r="N61" s="241"/>
      <c r="O61" s="241"/>
      <c r="P61" s="241"/>
      <c r="Q61" s="241"/>
      <c r="R61" s="241"/>
    </row>
    <row r="62" spans="1:18" s="249" customFormat="1" ht="46.5" hidden="1" thickTop="1" thickBot="1" x14ac:dyDescent="0.25">
      <c r="A62" s="168"/>
      <c r="B62" s="220" t="s">
        <v>548</v>
      </c>
      <c r="C62" s="220" t="s">
        <v>305</v>
      </c>
      <c r="D62" s="220" t="s">
        <v>304</v>
      </c>
      <c r="E62" s="220" t="s">
        <v>469</v>
      </c>
      <c r="F62" s="243" t="s">
        <v>1160</v>
      </c>
      <c r="G62" s="223" t="s">
        <v>521</v>
      </c>
      <c r="H62" s="223">
        <v>18370999</v>
      </c>
      <c r="I62" s="223">
        <f>(300000+171778.77+2000000+2000000)</f>
        <v>4471778.7699999996</v>
      </c>
      <c r="J62" s="223"/>
      <c r="K62" s="239">
        <f>(I62+J62)/H62</f>
        <v>0.24341511150264608</v>
      </c>
      <c r="L62" s="242"/>
      <c r="M62" s="241"/>
      <c r="N62" s="241"/>
      <c r="O62" s="241"/>
      <c r="P62" s="241"/>
      <c r="Q62" s="241"/>
      <c r="R62" s="241"/>
    </row>
    <row r="63" spans="1:18" s="249" customFormat="1" ht="46.5" thickTop="1" thickBot="1" x14ac:dyDescent="0.25">
      <c r="A63" s="168"/>
      <c r="B63" s="328" t="s">
        <v>548</v>
      </c>
      <c r="C63" s="328" t="s">
        <v>305</v>
      </c>
      <c r="D63" s="328" t="s">
        <v>304</v>
      </c>
      <c r="E63" s="328" t="s">
        <v>469</v>
      </c>
      <c r="F63" s="689" t="s">
        <v>1603</v>
      </c>
      <c r="G63" s="336" t="s">
        <v>1455</v>
      </c>
      <c r="H63" s="634">
        <v>3786090</v>
      </c>
      <c r="I63" s="336">
        <f>1240165.95+J63</f>
        <v>2440165.9500000002</v>
      </c>
      <c r="J63" s="336">
        <v>1200000</v>
      </c>
      <c r="K63" s="626">
        <f>I63/H63</f>
        <v>0.64450817333977806</v>
      </c>
      <c r="L63" s="242"/>
      <c r="M63" s="241"/>
      <c r="N63" s="241"/>
      <c r="O63" s="241"/>
      <c r="P63" s="241"/>
      <c r="Q63" s="241"/>
      <c r="R63" s="241"/>
    </row>
    <row r="64" spans="1:18" s="249" customFormat="1" ht="46.5" thickTop="1" thickBot="1" x14ac:dyDescent="0.25">
      <c r="A64" s="168"/>
      <c r="B64" s="328" t="s">
        <v>549</v>
      </c>
      <c r="C64" s="328" t="s">
        <v>293</v>
      </c>
      <c r="D64" s="328" t="s">
        <v>295</v>
      </c>
      <c r="E64" s="328" t="s">
        <v>294</v>
      </c>
      <c r="F64" s="332" t="s">
        <v>1487</v>
      </c>
      <c r="G64" s="336" t="s">
        <v>1268</v>
      </c>
      <c r="H64" s="634">
        <v>96666042</v>
      </c>
      <c r="I64" s="336">
        <f>29190319.74+J64</f>
        <v>41190319.739999995</v>
      </c>
      <c r="J64" s="336">
        <f>(2000000)+10000000</f>
        <v>12000000</v>
      </c>
      <c r="K64" s="626">
        <f>I64/H64</f>
        <v>0.42610950948007154</v>
      </c>
      <c r="L64" s="242"/>
      <c r="M64" s="241"/>
      <c r="N64" s="241"/>
      <c r="O64" s="241"/>
      <c r="P64" s="241"/>
      <c r="Q64" s="241"/>
      <c r="R64" s="241"/>
    </row>
    <row r="65" spans="1:18" s="249" customFormat="1" ht="61.5" thickTop="1" thickBot="1" x14ac:dyDescent="0.25">
      <c r="A65" s="168"/>
      <c r="B65" s="328" t="s">
        <v>550</v>
      </c>
      <c r="C65" s="328" t="s">
        <v>212</v>
      </c>
      <c r="D65" s="328" t="s">
        <v>213</v>
      </c>
      <c r="E65" s="328" t="s">
        <v>41</v>
      </c>
      <c r="F65" s="635" t="s">
        <v>1137</v>
      </c>
      <c r="G65" s="335" t="s">
        <v>1498</v>
      </c>
      <c r="H65" s="636">
        <v>41231871</v>
      </c>
      <c r="I65" s="336">
        <f>19590037.78+J65</f>
        <v>35498808.770000003</v>
      </c>
      <c r="J65" s="336">
        <f>((9760000)+4303884+1500000)+344886.99</f>
        <v>15908770.99</v>
      </c>
      <c r="K65" s="339">
        <v>1</v>
      </c>
      <c r="L65" s="242"/>
      <c r="M65" s="241"/>
      <c r="N65" s="241"/>
      <c r="O65" s="241"/>
      <c r="P65" s="241"/>
      <c r="Q65" s="241"/>
      <c r="R65" s="241"/>
    </row>
    <row r="66" spans="1:18" s="249" customFormat="1" ht="31.5" hidden="1" thickTop="1" thickBot="1" x14ac:dyDescent="0.25">
      <c r="A66" s="168"/>
      <c r="B66" s="422" t="s">
        <v>551</v>
      </c>
      <c r="C66" s="422" t="s">
        <v>197</v>
      </c>
      <c r="D66" s="422" t="s">
        <v>170</v>
      </c>
      <c r="E66" s="422" t="s">
        <v>34</v>
      </c>
      <c r="F66" s="442" t="s">
        <v>1327</v>
      </c>
      <c r="G66" s="222"/>
      <c r="H66" s="441"/>
      <c r="I66" s="223"/>
      <c r="J66" s="223"/>
      <c r="K66" s="225"/>
      <c r="L66" s="242"/>
      <c r="M66" s="241"/>
      <c r="N66" s="241"/>
      <c r="O66" s="241"/>
      <c r="P66" s="241"/>
      <c r="Q66" s="241"/>
      <c r="R66" s="241"/>
    </row>
    <row r="67" spans="1:18" s="249" customFormat="1" ht="76.5" hidden="1" thickTop="1" thickBot="1" x14ac:dyDescent="0.25">
      <c r="A67" s="168"/>
      <c r="B67" s="220" t="s">
        <v>551</v>
      </c>
      <c r="C67" s="220" t="s">
        <v>197</v>
      </c>
      <c r="D67" s="220" t="s">
        <v>170</v>
      </c>
      <c r="E67" s="220" t="s">
        <v>34</v>
      </c>
      <c r="F67" s="244" t="s">
        <v>1138</v>
      </c>
      <c r="G67" s="222" t="s">
        <v>1132</v>
      </c>
      <c r="H67" s="223">
        <v>4730960</v>
      </c>
      <c r="I67" s="223">
        <f>5000</f>
        <v>5000</v>
      </c>
      <c r="J67" s="223"/>
      <c r="K67" s="239">
        <f t="shared" si="6"/>
        <v>1.0568679506907689E-3</v>
      </c>
      <c r="L67" s="242"/>
      <c r="M67" s="241"/>
      <c r="N67" s="241"/>
      <c r="O67" s="241"/>
      <c r="P67" s="241"/>
      <c r="Q67" s="241"/>
      <c r="R67" s="241"/>
    </row>
    <row r="68" spans="1:18" s="249" customFormat="1" ht="31.5" hidden="1" thickTop="1" thickBot="1" x14ac:dyDescent="0.25">
      <c r="A68" s="168"/>
      <c r="B68" s="220" t="s">
        <v>551</v>
      </c>
      <c r="C68" s="220" t="s">
        <v>197</v>
      </c>
      <c r="D68" s="220" t="s">
        <v>170</v>
      </c>
      <c r="E68" s="220" t="s">
        <v>34</v>
      </c>
      <c r="F68" s="229" t="s">
        <v>1328</v>
      </c>
      <c r="G68" s="222" t="s">
        <v>1253</v>
      </c>
      <c r="H68" s="223">
        <v>3936902</v>
      </c>
      <c r="I68" s="223">
        <f>J68</f>
        <v>100000</v>
      </c>
      <c r="J68" s="223">
        <v>100000</v>
      </c>
      <c r="K68" s="225">
        <f>I68/H68</f>
        <v>2.5400683075169257E-2</v>
      </c>
      <c r="L68" s="242"/>
      <c r="M68" s="241"/>
      <c r="N68" s="241"/>
      <c r="O68" s="241"/>
      <c r="P68" s="241"/>
      <c r="Q68" s="241"/>
      <c r="R68" s="241"/>
    </row>
    <row r="69" spans="1:18" s="249" customFormat="1" ht="31.5" hidden="1" thickTop="1" thickBot="1" x14ac:dyDescent="0.25">
      <c r="A69" s="168"/>
      <c r="B69" s="422" t="s">
        <v>551</v>
      </c>
      <c r="C69" s="422" t="s">
        <v>197</v>
      </c>
      <c r="D69" s="422" t="s">
        <v>170</v>
      </c>
      <c r="E69" s="422" t="s">
        <v>34</v>
      </c>
      <c r="F69" s="442" t="s">
        <v>1327</v>
      </c>
      <c r="G69" s="222"/>
      <c r="H69" s="223"/>
      <c r="I69" s="223"/>
      <c r="J69" s="223"/>
      <c r="K69" s="239"/>
      <c r="L69" s="242"/>
      <c r="M69" s="241"/>
      <c r="N69" s="241"/>
      <c r="O69" s="241"/>
      <c r="P69" s="241"/>
      <c r="Q69" s="241"/>
      <c r="R69" s="241"/>
    </row>
    <row r="70" spans="1:18" s="249" customFormat="1" ht="46.5" hidden="1" thickTop="1" thickBot="1" x14ac:dyDescent="0.25">
      <c r="A70" s="168"/>
      <c r="B70" s="220" t="s">
        <v>551</v>
      </c>
      <c r="C70" s="220" t="s">
        <v>197</v>
      </c>
      <c r="D70" s="220" t="s">
        <v>170</v>
      </c>
      <c r="E70" s="220" t="s">
        <v>34</v>
      </c>
      <c r="F70" s="229" t="s">
        <v>1406</v>
      </c>
      <c r="G70" s="222" t="s">
        <v>1268</v>
      </c>
      <c r="H70" s="223">
        <v>7619432.4500000002</v>
      </c>
      <c r="I70" s="223">
        <f>2006390.45+J70</f>
        <v>6506390.4500000002</v>
      </c>
      <c r="J70" s="223">
        <f>(((100000)+1500000)+2000000)+900000</f>
        <v>4500000</v>
      </c>
      <c r="K70" s="225">
        <f>I70/H70</f>
        <v>0.85392061583274492</v>
      </c>
      <c r="L70" s="242"/>
      <c r="M70" s="241"/>
      <c r="N70" s="241"/>
      <c r="O70" s="241"/>
      <c r="P70" s="241"/>
      <c r="Q70" s="241"/>
      <c r="R70" s="241"/>
    </row>
    <row r="71" spans="1:18" s="249" customFormat="1" ht="31.5" hidden="1" thickTop="1" thickBot="1" x14ac:dyDescent="0.25">
      <c r="A71" s="168"/>
      <c r="B71" s="422" t="s">
        <v>551</v>
      </c>
      <c r="C71" s="422" t="s">
        <v>197</v>
      </c>
      <c r="D71" s="422" t="s">
        <v>170</v>
      </c>
      <c r="E71" s="422" t="s">
        <v>34</v>
      </c>
      <c r="F71" s="442" t="s">
        <v>1326</v>
      </c>
      <c r="G71" s="222"/>
      <c r="H71" s="223"/>
      <c r="I71" s="223"/>
      <c r="J71" s="223"/>
      <c r="K71" s="239"/>
      <c r="L71" s="242"/>
      <c r="M71" s="241"/>
      <c r="N71" s="241"/>
      <c r="O71" s="241"/>
      <c r="P71" s="241"/>
      <c r="Q71" s="241"/>
      <c r="R71" s="241"/>
    </row>
    <row r="72" spans="1:18" s="249" customFormat="1" ht="61.5" hidden="1" thickTop="1" thickBot="1" x14ac:dyDescent="0.25">
      <c r="A72" s="168"/>
      <c r="B72" s="220" t="s">
        <v>551</v>
      </c>
      <c r="C72" s="220" t="s">
        <v>197</v>
      </c>
      <c r="D72" s="220" t="s">
        <v>170</v>
      </c>
      <c r="E72" s="220" t="s">
        <v>34</v>
      </c>
      <c r="F72" s="229" t="s">
        <v>1325</v>
      </c>
      <c r="G72" s="223" t="s">
        <v>1264</v>
      </c>
      <c r="H72" s="223">
        <v>1814685</v>
      </c>
      <c r="I72" s="223">
        <f>0+J72</f>
        <v>1814685</v>
      </c>
      <c r="J72" s="223">
        <v>1814685</v>
      </c>
      <c r="K72" s="225">
        <f>I72/H72</f>
        <v>1</v>
      </c>
      <c r="L72" s="242"/>
      <c r="M72" s="241"/>
      <c r="N72" s="241"/>
      <c r="O72" s="241"/>
      <c r="P72" s="241"/>
      <c r="Q72" s="241"/>
      <c r="R72" s="241"/>
    </row>
    <row r="73" spans="1:18" s="249" customFormat="1" ht="46.5" thickTop="1" thickBot="1" x14ac:dyDescent="0.25">
      <c r="A73" s="168"/>
      <c r="B73" s="510" t="s">
        <v>551</v>
      </c>
      <c r="C73" s="510" t="s">
        <v>197</v>
      </c>
      <c r="D73" s="510" t="s">
        <v>170</v>
      </c>
      <c r="E73" s="510" t="s">
        <v>34</v>
      </c>
      <c r="F73" s="637" t="s">
        <v>1605</v>
      </c>
      <c r="G73" s="638"/>
      <c r="H73" s="638"/>
      <c r="I73" s="638"/>
      <c r="J73" s="638"/>
      <c r="K73" s="639"/>
      <c r="L73" s="242"/>
      <c r="M73" s="241"/>
      <c r="N73" s="241"/>
      <c r="O73" s="241"/>
      <c r="P73" s="241"/>
      <c r="Q73" s="241"/>
      <c r="R73" s="241"/>
    </row>
    <row r="74" spans="1:18" s="249" customFormat="1" ht="46.5" hidden="1" thickTop="1" thickBot="1" x14ac:dyDescent="0.25">
      <c r="A74" s="168"/>
      <c r="B74" s="220" t="s">
        <v>551</v>
      </c>
      <c r="C74" s="220" t="s">
        <v>197</v>
      </c>
      <c r="D74" s="220" t="s">
        <v>170</v>
      </c>
      <c r="E74" s="220" t="s">
        <v>34</v>
      </c>
      <c r="F74" s="229" t="s">
        <v>1312</v>
      </c>
      <c r="G74" s="223" t="s">
        <v>1263</v>
      </c>
      <c r="H74" s="223">
        <v>5372119</v>
      </c>
      <c r="I74" s="223">
        <f>98758+J74</f>
        <v>3645877</v>
      </c>
      <c r="J74" s="223">
        <f>(((800000)+4473361)-1008242)-718000</f>
        <v>3547119</v>
      </c>
      <c r="K74" s="225">
        <v>1</v>
      </c>
      <c r="L74" s="242"/>
      <c r="M74" s="241"/>
      <c r="N74" s="241"/>
      <c r="O74" s="241"/>
      <c r="P74" s="241"/>
      <c r="Q74" s="241"/>
      <c r="R74" s="241"/>
    </row>
    <row r="75" spans="1:18" s="249" customFormat="1" ht="46.5" thickTop="1" thickBot="1" x14ac:dyDescent="0.25">
      <c r="A75" s="337"/>
      <c r="B75" s="328" t="s">
        <v>551</v>
      </c>
      <c r="C75" s="328" t="s">
        <v>197</v>
      </c>
      <c r="D75" s="328" t="s">
        <v>170</v>
      </c>
      <c r="E75" s="328" t="s">
        <v>34</v>
      </c>
      <c r="F75" s="630" t="s">
        <v>1584</v>
      </c>
      <c r="G75" s="336" t="s">
        <v>1455</v>
      </c>
      <c r="H75" s="336">
        <v>7772411</v>
      </c>
      <c r="I75" s="336">
        <f>4658497.53+J75</f>
        <v>5308497.53</v>
      </c>
      <c r="J75" s="336">
        <v>650000</v>
      </c>
      <c r="K75" s="339">
        <v>1</v>
      </c>
      <c r="L75" s="242"/>
      <c r="M75" s="241"/>
      <c r="N75" s="241"/>
      <c r="O75" s="241"/>
      <c r="P75" s="241"/>
      <c r="Q75" s="241"/>
      <c r="R75" s="241"/>
    </row>
    <row r="76" spans="1:18" s="249" customFormat="1" ht="46.5" hidden="1" thickTop="1" thickBot="1" x14ac:dyDescent="0.25">
      <c r="A76" s="168"/>
      <c r="B76" s="220" t="s">
        <v>551</v>
      </c>
      <c r="C76" s="220" t="s">
        <v>197</v>
      </c>
      <c r="D76" s="220" t="s">
        <v>170</v>
      </c>
      <c r="E76" s="220" t="s">
        <v>34</v>
      </c>
      <c r="F76" s="229" t="s">
        <v>1313</v>
      </c>
      <c r="G76" s="223" t="s">
        <v>1264</v>
      </c>
      <c r="H76" s="223">
        <f>9279628-9279628</f>
        <v>0</v>
      </c>
      <c r="I76" s="223">
        <f t="shared" ref="I76:I81" si="7">0+J76</f>
        <v>0</v>
      </c>
      <c r="J76" s="223">
        <f>(((800000)+8479628)-752674)-8526954</f>
        <v>0</v>
      </c>
      <c r="K76" s="225">
        <v>1</v>
      </c>
      <c r="L76" s="242"/>
      <c r="M76" s="241"/>
      <c r="N76" s="241"/>
      <c r="O76" s="241"/>
      <c r="P76" s="241"/>
      <c r="Q76" s="241"/>
      <c r="R76" s="241"/>
    </row>
    <row r="77" spans="1:18" s="249" customFormat="1" ht="46.5" hidden="1" thickTop="1" thickBot="1" x14ac:dyDescent="0.25">
      <c r="A77" s="168"/>
      <c r="B77" s="220" t="s">
        <v>551</v>
      </c>
      <c r="C77" s="220" t="s">
        <v>197</v>
      </c>
      <c r="D77" s="220" t="s">
        <v>170</v>
      </c>
      <c r="E77" s="220" t="s">
        <v>34</v>
      </c>
      <c r="F77" s="229" t="s">
        <v>1314</v>
      </c>
      <c r="G77" s="223" t="s">
        <v>1264</v>
      </c>
      <c r="H77" s="223">
        <v>1414397</v>
      </c>
      <c r="I77" s="223">
        <f t="shared" si="7"/>
        <v>1392754</v>
      </c>
      <c r="J77" s="223">
        <f>((216700)+1197697)-21643</f>
        <v>1392754</v>
      </c>
      <c r="K77" s="225">
        <v>1</v>
      </c>
      <c r="L77" s="242"/>
      <c r="M77" s="241"/>
      <c r="N77" s="241"/>
      <c r="O77" s="241"/>
      <c r="P77" s="241"/>
      <c r="Q77" s="241"/>
      <c r="R77" s="241"/>
    </row>
    <row r="78" spans="1:18" s="249" customFormat="1" ht="31.5" hidden="1" thickTop="1" thickBot="1" x14ac:dyDescent="0.25">
      <c r="A78" s="168"/>
      <c r="B78" s="220" t="s">
        <v>551</v>
      </c>
      <c r="C78" s="220" t="s">
        <v>197</v>
      </c>
      <c r="D78" s="220" t="s">
        <v>170</v>
      </c>
      <c r="E78" s="220" t="s">
        <v>34</v>
      </c>
      <c r="F78" s="229" t="s">
        <v>1318</v>
      </c>
      <c r="G78" s="223" t="s">
        <v>1264</v>
      </c>
      <c r="H78" s="223">
        <v>1102662</v>
      </c>
      <c r="I78" s="223">
        <f t="shared" si="7"/>
        <v>1083784</v>
      </c>
      <c r="J78" s="223">
        <f>((500000)+602662)-18878</f>
        <v>1083784</v>
      </c>
      <c r="K78" s="225">
        <v>1</v>
      </c>
      <c r="L78" s="242"/>
      <c r="M78" s="241"/>
      <c r="N78" s="241"/>
      <c r="O78" s="241"/>
      <c r="P78" s="241"/>
      <c r="Q78" s="241"/>
      <c r="R78" s="241"/>
    </row>
    <row r="79" spans="1:18" s="249" customFormat="1" ht="46.5" hidden="1" thickTop="1" thickBot="1" x14ac:dyDescent="0.25">
      <c r="A79" s="168"/>
      <c r="B79" s="220" t="s">
        <v>551</v>
      </c>
      <c r="C79" s="220" t="s">
        <v>197</v>
      </c>
      <c r="D79" s="220" t="s">
        <v>170</v>
      </c>
      <c r="E79" s="220" t="s">
        <v>34</v>
      </c>
      <c r="F79" s="229" t="s">
        <v>1315</v>
      </c>
      <c r="G79" s="223" t="s">
        <v>1264</v>
      </c>
      <c r="H79" s="223">
        <v>2295880</v>
      </c>
      <c r="I79" s="223">
        <f t="shared" si="7"/>
        <v>2272102</v>
      </c>
      <c r="J79" s="223">
        <f>((800000)+1495880)-23778</f>
        <v>2272102</v>
      </c>
      <c r="K79" s="225">
        <v>1</v>
      </c>
      <c r="L79" s="242"/>
      <c r="M79" s="241"/>
      <c r="N79" s="241"/>
      <c r="O79" s="241"/>
      <c r="P79" s="241"/>
      <c r="Q79" s="241"/>
      <c r="R79" s="241"/>
    </row>
    <row r="80" spans="1:18" s="249" customFormat="1" ht="46.5" hidden="1" thickTop="1" thickBot="1" x14ac:dyDescent="0.25">
      <c r="A80" s="168"/>
      <c r="B80" s="220" t="s">
        <v>551</v>
      </c>
      <c r="C80" s="220" t="s">
        <v>197</v>
      </c>
      <c r="D80" s="220" t="s">
        <v>170</v>
      </c>
      <c r="E80" s="220" t="s">
        <v>34</v>
      </c>
      <c r="F80" s="229" t="s">
        <v>1316</v>
      </c>
      <c r="G80" s="223" t="s">
        <v>1264</v>
      </c>
      <c r="H80" s="223">
        <v>130655</v>
      </c>
      <c r="I80" s="223">
        <f t="shared" si="7"/>
        <v>130655</v>
      </c>
      <c r="J80" s="223">
        <f>(119860)+10795</f>
        <v>130655</v>
      </c>
      <c r="K80" s="225">
        <f t="shared" ref="K80:K81" si="8">I80/H80</f>
        <v>1</v>
      </c>
      <c r="L80" s="242"/>
      <c r="M80" s="241"/>
      <c r="N80" s="241"/>
      <c r="O80" s="241"/>
      <c r="P80" s="241"/>
      <c r="Q80" s="241"/>
      <c r="R80" s="241"/>
    </row>
    <row r="81" spans="1:18" s="249" customFormat="1" ht="46.5" hidden="1" thickTop="1" thickBot="1" x14ac:dyDescent="0.25">
      <c r="A81" s="168"/>
      <c r="B81" s="220" t="s">
        <v>551</v>
      </c>
      <c r="C81" s="220" t="s">
        <v>197</v>
      </c>
      <c r="D81" s="220" t="s">
        <v>170</v>
      </c>
      <c r="E81" s="220" t="s">
        <v>34</v>
      </c>
      <c r="F81" s="229" t="s">
        <v>1317</v>
      </c>
      <c r="G81" s="223" t="s">
        <v>1264</v>
      </c>
      <c r="H81" s="223">
        <v>294266</v>
      </c>
      <c r="I81" s="223">
        <f t="shared" si="7"/>
        <v>294266</v>
      </c>
      <c r="J81" s="223">
        <f>(213380)+80886</f>
        <v>294266</v>
      </c>
      <c r="K81" s="225">
        <f t="shared" si="8"/>
        <v>1</v>
      </c>
      <c r="L81" s="242"/>
      <c r="M81" s="241"/>
      <c r="N81" s="241"/>
      <c r="O81" s="241"/>
      <c r="P81" s="241"/>
      <c r="Q81" s="241"/>
      <c r="R81" s="241"/>
    </row>
    <row r="82" spans="1:18" s="249" customFormat="1" ht="61.5" thickTop="1" thickBot="1" x14ac:dyDescent="0.25">
      <c r="A82" s="168"/>
      <c r="B82" s="328" t="s">
        <v>551</v>
      </c>
      <c r="C82" s="328" t="s">
        <v>197</v>
      </c>
      <c r="D82" s="328" t="s">
        <v>170</v>
      </c>
      <c r="E82" s="328" t="s">
        <v>34</v>
      </c>
      <c r="F82" s="630" t="s">
        <v>1585</v>
      </c>
      <c r="G82" s="336" t="s">
        <v>1455</v>
      </c>
      <c r="H82" s="336">
        <v>17008063</v>
      </c>
      <c r="I82" s="336">
        <f>12294844.89+J82</f>
        <v>12818628.890000001</v>
      </c>
      <c r="J82" s="336">
        <v>523784</v>
      </c>
      <c r="K82" s="339">
        <v>1</v>
      </c>
      <c r="L82" s="242"/>
      <c r="M82" s="241"/>
      <c r="N82" s="241"/>
      <c r="O82" s="241"/>
      <c r="P82" s="241"/>
      <c r="Q82" s="241"/>
      <c r="R82" s="241"/>
    </row>
    <row r="83" spans="1:18" s="249" customFormat="1" ht="46.5" thickTop="1" thickBot="1" x14ac:dyDescent="0.25">
      <c r="A83" s="168"/>
      <c r="B83" s="328" t="s">
        <v>551</v>
      </c>
      <c r="C83" s="328" t="s">
        <v>197</v>
      </c>
      <c r="D83" s="328" t="s">
        <v>170</v>
      </c>
      <c r="E83" s="328" t="s">
        <v>34</v>
      </c>
      <c r="F83" s="630" t="s">
        <v>1586</v>
      </c>
      <c r="G83" s="336" t="s">
        <v>1455</v>
      </c>
      <c r="H83" s="336">
        <v>5736181</v>
      </c>
      <c r="I83" s="336">
        <f>4740400.33+J83</f>
        <v>5067178.33</v>
      </c>
      <c r="J83" s="336">
        <v>326778</v>
      </c>
      <c r="K83" s="339">
        <v>1</v>
      </c>
      <c r="L83" s="242"/>
      <c r="M83" s="241"/>
      <c r="N83" s="241"/>
      <c r="O83" s="241"/>
      <c r="P83" s="241"/>
      <c r="Q83" s="241"/>
      <c r="R83" s="241"/>
    </row>
    <row r="84" spans="1:18" s="249" customFormat="1" ht="76.5" thickTop="1" thickBot="1" x14ac:dyDescent="0.25">
      <c r="A84" s="168"/>
      <c r="B84" s="328" t="s">
        <v>551</v>
      </c>
      <c r="C84" s="328" t="s">
        <v>197</v>
      </c>
      <c r="D84" s="328" t="s">
        <v>170</v>
      </c>
      <c r="E84" s="328" t="s">
        <v>34</v>
      </c>
      <c r="F84" s="630" t="s">
        <v>1589</v>
      </c>
      <c r="G84" s="336" t="s">
        <v>1455</v>
      </c>
      <c r="H84" s="336">
        <v>2852505</v>
      </c>
      <c r="I84" s="336">
        <f>1038210.19+J84</f>
        <v>2774696.19</v>
      </c>
      <c r="J84" s="336">
        <v>1736486</v>
      </c>
      <c r="K84" s="339">
        <v>1</v>
      </c>
      <c r="L84" s="242"/>
      <c r="M84" s="241"/>
      <c r="N84" s="241"/>
      <c r="O84" s="241"/>
      <c r="P84" s="241"/>
      <c r="Q84" s="241"/>
      <c r="R84" s="241"/>
    </row>
    <row r="85" spans="1:18" s="249" customFormat="1" ht="45.75" customHeight="1" thickTop="1" thickBot="1" x14ac:dyDescent="0.25">
      <c r="A85" s="168"/>
      <c r="B85" s="328" t="s">
        <v>551</v>
      </c>
      <c r="C85" s="328" t="s">
        <v>197</v>
      </c>
      <c r="D85" s="328" t="s">
        <v>170</v>
      </c>
      <c r="E85" s="328" t="s">
        <v>34</v>
      </c>
      <c r="F85" s="630" t="s">
        <v>1319</v>
      </c>
      <c r="G85" s="336" t="s">
        <v>1455</v>
      </c>
      <c r="H85" s="336">
        <v>3610921</v>
      </c>
      <c r="I85" s="336">
        <f>2914367.36+J85</f>
        <v>3178721.36</v>
      </c>
      <c r="J85" s="336">
        <v>264354</v>
      </c>
      <c r="K85" s="339">
        <v>1</v>
      </c>
      <c r="L85" s="242"/>
      <c r="M85" s="241"/>
      <c r="N85" s="241"/>
      <c r="O85" s="241"/>
      <c r="P85" s="241"/>
      <c r="Q85" s="241"/>
      <c r="R85" s="241"/>
    </row>
    <row r="86" spans="1:18" s="249" customFormat="1" ht="46.5" hidden="1" thickTop="1" thickBot="1" x14ac:dyDescent="0.25">
      <c r="A86" s="168"/>
      <c r="B86" s="220" t="s">
        <v>551</v>
      </c>
      <c r="C86" s="220" t="s">
        <v>197</v>
      </c>
      <c r="D86" s="220" t="s">
        <v>170</v>
      </c>
      <c r="E86" s="220" t="s">
        <v>34</v>
      </c>
      <c r="F86" s="229" t="s">
        <v>1320</v>
      </c>
      <c r="G86" s="223" t="s">
        <v>1253</v>
      </c>
      <c r="H86" s="223">
        <v>2163176</v>
      </c>
      <c r="I86" s="223">
        <f>333866.12+J86</f>
        <v>1685143</v>
      </c>
      <c r="J86" s="223">
        <f>(778960+362316.88)+210000</f>
        <v>1351276.88</v>
      </c>
      <c r="K86" s="225">
        <f>I86/H86</f>
        <v>0.77901335813636985</v>
      </c>
      <c r="L86" s="242" t="s">
        <v>1484</v>
      </c>
      <c r="M86" s="241"/>
      <c r="N86" s="241"/>
      <c r="O86" s="241"/>
      <c r="P86" s="241"/>
      <c r="Q86" s="241"/>
      <c r="R86" s="241"/>
    </row>
    <row r="87" spans="1:18" s="249" customFormat="1" ht="61.5" hidden="1" thickTop="1" thickBot="1" x14ac:dyDescent="0.25">
      <c r="A87" s="168"/>
      <c r="B87" s="220" t="s">
        <v>551</v>
      </c>
      <c r="C87" s="220" t="s">
        <v>197</v>
      </c>
      <c r="D87" s="220" t="s">
        <v>170</v>
      </c>
      <c r="E87" s="220" t="s">
        <v>34</v>
      </c>
      <c r="F87" s="229" t="s">
        <v>1321</v>
      </c>
      <c r="G87" s="223" t="s">
        <v>1253</v>
      </c>
      <c r="H87" s="223">
        <v>990371</v>
      </c>
      <c r="I87" s="223">
        <f>495172+J87</f>
        <v>602150</v>
      </c>
      <c r="J87" s="223">
        <v>106978</v>
      </c>
      <c r="K87" s="225">
        <f>I87/H87</f>
        <v>0.60800447509064781</v>
      </c>
      <c r="L87" s="242" t="s">
        <v>1322</v>
      </c>
      <c r="M87" s="241"/>
      <c r="N87" s="241"/>
      <c r="O87" s="241"/>
      <c r="P87" s="241"/>
      <c r="Q87" s="241"/>
      <c r="R87" s="241"/>
    </row>
    <row r="88" spans="1:18" s="249" customFormat="1" ht="61.5" hidden="1" thickTop="1" thickBot="1" x14ac:dyDescent="0.25">
      <c r="A88" s="168"/>
      <c r="B88" s="220" t="s">
        <v>551</v>
      </c>
      <c r="C88" s="220" t="s">
        <v>197</v>
      </c>
      <c r="D88" s="220" t="s">
        <v>170</v>
      </c>
      <c r="E88" s="220" t="s">
        <v>34</v>
      </c>
      <c r="F88" s="229" t="s">
        <v>1324</v>
      </c>
      <c r="G88" s="223" t="s">
        <v>1253</v>
      </c>
      <c r="H88" s="223">
        <v>3193463</v>
      </c>
      <c r="I88" s="223">
        <f>990793.71+J88</f>
        <v>2706428.58</v>
      </c>
      <c r="J88" s="223">
        <f>500000+1215634.87</f>
        <v>1715634.87</v>
      </c>
      <c r="K88" s="225">
        <f>I88/H88</f>
        <v>0.84749019481359267</v>
      </c>
      <c r="L88" s="242" t="s">
        <v>1322</v>
      </c>
      <c r="M88" s="241"/>
      <c r="N88" s="241"/>
      <c r="O88" s="241"/>
      <c r="P88" s="241"/>
      <c r="Q88" s="241"/>
      <c r="R88" s="241"/>
    </row>
    <row r="89" spans="1:18" s="249" customFormat="1" ht="76.5" hidden="1" thickTop="1" thickBot="1" x14ac:dyDescent="0.25">
      <c r="A89" s="168"/>
      <c r="B89" s="220" t="s">
        <v>551</v>
      </c>
      <c r="C89" s="220" t="s">
        <v>197</v>
      </c>
      <c r="D89" s="220" t="s">
        <v>170</v>
      </c>
      <c r="E89" s="220" t="s">
        <v>34</v>
      </c>
      <c r="F89" s="229" t="s">
        <v>1142</v>
      </c>
      <c r="G89" s="223" t="s">
        <v>1136</v>
      </c>
      <c r="H89" s="223">
        <v>3387286</v>
      </c>
      <c r="I89" s="223">
        <v>0</v>
      </c>
      <c r="J89" s="223">
        <f>(500000)-500000</f>
        <v>0</v>
      </c>
      <c r="K89" s="239">
        <f t="shared" si="6"/>
        <v>0</v>
      </c>
      <c r="L89" s="242"/>
      <c r="M89" s="241"/>
      <c r="N89" s="241"/>
      <c r="O89" s="241"/>
      <c r="P89" s="241"/>
      <c r="Q89" s="241"/>
      <c r="R89" s="241"/>
    </row>
    <row r="90" spans="1:18" s="249" customFormat="1" ht="76.5" hidden="1" thickTop="1" thickBot="1" x14ac:dyDescent="0.25">
      <c r="A90" s="168"/>
      <c r="B90" s="220" t="s">
        <v>551</v>
      </c>
      <c r="C90" s="220" t="s">
        <v>197</v>
      </c>
      <c r="D90" s="220" t="s">
        <v>170</v>
      </c>
      <c r="E90" s="220" t="s">
        <v>34</v>
      </c>
      <c r="F90" s="229" t="s">
        <v>1139</v>
      </c>
      <c r="G90" s="223" t="s">
        <v>1136</v>
      </c>
      <c r="H90" s="223">
        <v>5891152</v>
      </c>
      <c r="I90" s="223">
        <v>0</v>
      </c>
      <c r="J90" s="223">
        <f>(1000000)-1000000</f>
        <v>0</v>
      </c>
      <c r="K90" s="239">
        <f t="shared" si="6"/>
        <v>0</v>
      </c>
      <c r="L90" s="242"/>
      <c r="M90" s="241"/>
      <c r="N90" s="241"/>
      <c r="O90" s="241"/>
      <c r="P90" s="241"/>
      <c r="Q90" s="241"/>
      <c r="R90" s="241"/>
    </row>
    <row r="91" spans="1:18" s="249" customFormat="1" ht="31.5" hidden="1" thickTop="1" thickBot="1" x14ac:dyDescent="0.25">
      <c r="A91" s="168"/>
      <c r="B91" s="220" t="s">
        <v>551</v>
      </c>
      <c r="C91" s="220" t="s">
        <v>197</v>
      </c>
      <c r="D91" s="220" t="s">
        <v>170</v>
      </c>
      <c r="E91" s="220" t="s">
        <v>34</v>
      </c>
      <c r="F91" s="229" t="s">
        <v>1323</v>
      </c>
      <c r="G91" s="223" t="s">
        <v>1263</v>
      </c>
      <c r="H91" s="223">
        <v>1442309</v>
      </c>
      <c r="I91" s="223">
        <f>0+J91</f>
        <v>1165856.81</v>
      </c>
      <c r="J91" s="223">
        <v>1165856.81</v>
      </c>
      <c r="K91" s="225">
        <v>1</v>
      </c>
      <c r="L91" s="242"/>
      <c r="M91" s="241"/>
      <c r="N91" s="241"/>
      <c r="O91" s="241"/>
      <c r="P91" s="241"/>
      <c r="Q91" s="241"/>
      <c r="R91" s="241"/>
    </row>
    <row r="92" spans="1:18" s="249" customFormat="1" ht="46.5" hidden="1" thickTop="1" thickBot="1" x14ac:dyDescent="0.25">
      <c r="A92" s="168"/>
      <c r="B92" s="220" t="s">
        <v>551</v>
      </c>
      <c r="C92" s="220" t="s">
        <v>197</v>
      </c>
      <c r="D92" s="220" t="s">
        <v>170</v>
      </c>
      <c r="E92" s="220" t="s">
        <v>34</v>
      </c>
      <c r="F92" s="229" t="s">
        <v>1336</v>
      </c>
      <c r="G92" s="223" t="s">
        <v>939</v>
      </c>
      <c r="H92" s="223">
        <v>21842639</v>
      </c>
      <c r="I92" s="223">
        <f>3147154.85+J92</f>
        <v>9252879.8499999996</v>
      </c>
      <c r="J92" s="223">
        <f>(5891152)+214573</f>
        <v>6105725</v>
      </c>
      <c r="K92" s="225">
        <f t="shared" ref="K92:K97" si="9">I92/H92</f>
        <v>0.42361547292888918</v>
      </c>
      <c r="L92" s="242"/>
      <c r="M92" s="241"/>
      <c r="N92" s="241"/>
      <c r="O92" s="241"/>
      <c r="P92" s="241"/>
      <c r="Q92" s="241"/>
      <c r="R92" s="241"/>
    </row>
    <row r="93" spans="1:18" s="249" customFormat="1" ht="31.5" hidden="1" thickTop="1" thickBot="1" x14ac:dyDescent="0.25">
      <c r="A93" s="168"/>
      <c r="B93" s="220" t="s">
        <v>551</v>
      </c>
      <c r="C93" s="220" t="s">
        <v>197</v>
      </c>
      <c r="D93" s="220" t="s">
        <v>170</v>
      </c>
      <c r="E93" s="220" t="s">
        <v>34</v>
      </c>
      <c r="F93" s="229" t="s">
        <v>1440</v>
      </c>
      <c r="G93" s="223" t="s">
        <v>1264</v>
      </c>
      <c r="H93" s="223">
        <v>428388</v>
      </c>
      <c r="I93" s="223">
        <v>428388</v>
      </c>
      <c r="J93" s="223">
        <f>(428388)-12412</f>
        <v>415976</v>
      </c>
      <c r="K93" s="225">
        <f t="shared" si="9"/>
        <v>1</v>
      </c>
      <c r="L93" s="242"/>
      <c r="M93" s="241"/>
      <c r="N93" s="241"/>
      <c r="O93" s="241"/>
      <c r="P93" s="241"/>
      <c r="Q93" s="241"/>
      <c r="R93" s="241"/>
    </row>
    <row r="94" spans="1:18" s="249" customFormat="1" ht="46.5" hidden="1" thickTop="1" thickBot="1" x14ac:dyDescent="0.25">
      <c r="A94" s="168"/>
      <c r="B94" s="220" t="s">
        <v>551</v>
      </c>
      <c r="C94" s="220" t="s">
        <v>197</v>
      </c>
      <c r="D94" s="220" t="s">
        <v>170</v>
      </c>
      <c r="E94" s="220" t="s">
        <v>34</v>
      </c>
      <c r="F94" s="229" t="s">
        <v>1492</v>
      </c>
      <c r="G94" s="223" t="s">
        <v>1264</v>
      </c>
      <c r="H94" s="223">
        <v>3122498</v>
      </c>
      <c r="I94" s="223">
        <v>3122498</v>
      </c>
      <c r="J94" s="223">
        <f>(3122498)-325803</f>
        <v>2796695</v>
      </c>
      <c r="K94" s="225">
        <f t="shared" si="9"/>
        <v>1</v>
      </c>
      <c r="L94" s="242"/>
      <c r="M94" s="241"/>
      <c r="N94" s="241"/>
      <c r="O94" s="241"/>
      <c r="P94" s="241"/>
      <c r="Q94" s="241"/>
      <c r="R94" s="241"/>
    </row>
    <row r="95" spans="1:18" s="249" customFormat="1" ht="31.5" hidden="1" thickTop="1" thickBot="1" x14ac:dyDescent="0.25">
      <c r="A95" s="168"/>
      <c r="B95" s="220" t="s">
        <v>551</v>
      </c>
      <c r="C95" s="220" t="s">
        <v>197</v>
      </c>
      <c r="D95" s="220" t="s">
        <v>170</v>
      </c>
      <c r="E95" s="220" t="s">
        <v>34</v>
      </c>
      <c r="F95" s="229" t="s">
        <v>1417</v>
      </c>
      <c r="G95" s="223" t="s">
        <v>1264</v>
      </c>
      <c r="H95" s="223">
        <v>738847</v>
      </c>
      <c r="I95" s="223">
        <v>738847</v>
      </c>
      <c r="J95" s="223">
        <f>(738847)-43844</f>
        <v>695003</v>
      </c>
      <c r="K95" s="225">
        <f t="shared" si="9"/>
        <v>1</v>
      </c>
      <c r="L95" s="242"/>
      <c r="M95" s="241"/>
      <c r="N95" s="241"/>
      <c r="O95" s="241"/>
      <c r="P95" s="241"/>
      <c r="Q95" s="241"/>
      <c r="R95" s="241"/>
    </row>
    <row r="96" spans="1:18" s="249" customFormat="1" ht="31.5" thickTop="1" thickBot="1" x14ac:dyDescent="0.25">
      <c r="A96" s="168"/>
      <c r="B96" s="328" t="s">
        <v>551</v>
      </c>
      <c r="C96" s="328" t="s">
        <v>197</v>
      </c>
      <c r="D96" s="328" t="s">
        <v>170</v>
      </c>
      <c r="E96" s="328" t="s">
        <v>34</v>
      </c>
      <c r="F96" s="630" t="s">
        <v>1418</v>
      </c>
      <c r="G96" s="335" t="s">
        <v>1455</v>
      </c>
      <c r="H96" s="336">
        <v>963194</v>
      </c>
      <c r="I96" s="336">
        <f>0+J96</f>
        <v>663000</v>
      </c>
      <c r="J96" s="336">
        <v>663000</v>
      </c>
      <c r="K96" s="339">
        <f t="shared" si="9"/>
        <v>0.68833485258421456</v>
      </c>
      <c r="L96" s="242"/>
      <c r="M96" s="241"/>
      <c r="N96" s="241"/>
      <c r="O96" s="241"/>
      <c r="P96" s="241"/>
      <c r="Q96" s="241"/>
      <c r="R96" s="241"/>
    </row>
    <row r="97" spans="1:18" s="249" customFormat="1" ht="46.5" hidden="1" thickTop="1" thickBot="1" x14ac:dyDescent="0.25">
      <c r="A97" s="168"/>
      <c r="B97" s="220" t="s">
        <v>551</v>
      </c>
      <c r="C97" s="220" t="s">
        <v>197</v>
      </c>
      <c r="D97" s="220" t="s">
        <v>170</v>
      </c>
      <c r="E97" s="220" t="s">
        <v>34</v>
      </c>
      <c r="F97" s="229" t="s">
        <v>1419</v>
      </c>
      <c r="G97" s="223" t="s">
        <v>1264</v>
      </c>
      <c r="H97" s="223">
        <v>923291</v>
      </c>
      <c r="I97" s="223">
        <v>923291</v>
      </c>
      <c r="J97" s="223">
        <f>(923291)-17624</f>
        <v>905667</v>
      </c>
      <c r="K97" s="225">
        <f t="shared" si="9"/>
        <v>1</v>
      </c>
      <c r="L97" s="242"/>
      <c r="M97" s="241"/>
      <c r="N97" s="241"/>
      <c r="O97" s="241"/>
      <c r="P97" s="241"/>
      <c r="Q97" s="241"/>
      <c r="R97" s="241"/>
    </row>
    <row r="98" spans="1:18" s="249" customFormat="1" ht="76.5" hidden="1" thickTop="1" thickBot="1" x14ac:dyDescent="0.25">
      <c r="A98" s="168"/>
      <c r="B98" s="220" t="s">
        <v>551</v>
      </c>
      <c r="C98" s="220" t="s">
        <v>197</v>
      </c>
      <c r="D98" s="220" t="s">
        <v>170</v>
      </c>
      <c r="E98" s="220" t="s">
        <v>34</v>
      </c>
      <c r="F98" s="229" t="s">
        <v>905</v>
      </c>
      <c r="G98" s="222" t="s">
        <v>994</v>
      </c>
      <c r="H98" s="223">
        <v>2924077</v>
      </c>
      <c r="I98" s="223">
        <v>100000</v>
      </c>
      <c r="J98" s="223">
        <f>(500000)-500000</f>
        <v>0</v>
      </c>
      <c r="K98" s="239">
        <f t="shared" si="6"/>
        <v>3.4198825817514385E-2</v>
      </c>
      <c r="L98" s="242"/>
      <c r="M98" s="241"/>
      <c r="N98" s="241"/>
      <c r="O98" s="241"/>
      <c r="P98" s="241"/>
      <c r="Q98" s="241"/>
      <c r="R98" s="241"/>
    </row>
    <row r="99" spans="1:18" s="249" customFormat="1" ht="61.5" thickTop="1" thickBot="1" x14ac:dyDescent="0.25">
      <c r="A99" s="168"/>
      <c r="B99" s="510" t="s">
        <v>551</v>
      </c>
      <c r="C99" s="510" t="s">
        <v>197</v>
      </c>
      <c r="D99" s="510" t="s">
        <v>170</v>
      </c>
      <c r="E99" s="510" t="s">
        <v>34</v>
      </c>
      <c r="F99" s="637" t="s">
        <v>1604</v>
      </c>
      <c r="G99" s="638"/>
      <c r="H99" s="638"/>
      <c r="I99" s="638"/>
      <c r="J99" s="638"/>
      <c r="K99" s="639"/>
      <c r="L99" s="242"/>
      <c r="M99" s="241"/>
      <c r="N99" s="241"/>
      <c r="O99" s="241"/>
      <c r="P99" s="241"/>
      <c r="Q99" s="241"/>
      <c r="R99" s="241"/>
    </row>
    <row r="100" spans="1:18" s="249" customFormat="1" ht="61.5" thickTop="1" thickBot="1" x14ac:dyDescent="0.25">
      <c r="A100" s="168"/>
      <c r="B100" s="328" t="s">
        <v>548</v>
      </c>
      <c r="C100" s="328" t="s">
        <v>305</v>
      </c>
      <c r="D100" s="328" t="s">
        <v>304</v>
      </c>
      <c r="E100" s="328" t="s">
        <v>469</v>
      </c>
      <c r="F100" s="689" t="s">
        <v>1606</v>
      </c>
      <c r="G100" s="336" t="s">
        <v>1502</v>
      </c>
      <c r="H100" s="634">
        <v>2297842</v>
      </c>
      <c r="I100" s="336">
        <f>0+J100</f>
        <v>1490264</v>
      </c>
      <c r="J100" s="336">
        <f>(1090264)+400000</f>
        <v>1490264</v>
      </c>
      <c r="K100" s="626">
        <f>I100/H100</f>
        <v>0.6485493780686401</v>
      </c>
      <c r="L100" s="242"/>
      <c r="M100" s="241"/>
      <c r="N100" s="241"/>
      <c r="O100" s="241"/>
      <c r="P100" s="241"/>
      <c r="Q100" s="241"/>
      <c r="R100" s="241"/>
    </row>
    <row r="101" spans="1:18" ht="54.75" customHeight="1" thickTop="1" thickBot="1" x14ac:dyDescent="0.25">
      <c r="B101" s="659" t="s">
        <v>25</v>
      </c>
      <c r="C101" s="659"/>
      <c r="D101" s="659"/>
      <c r="E101" s="660" t="s">
        <v>891</v>
      </c>
      <c r="F101" s="659"/>
      <c r="G101" s="659"/>
      <c r="H101" s="661">
        <f>H102</f>
        <v>505828074</v>
      </c>
      <c r="I101" s="661">
        <f>I102</f>
        <v>127215147.26000001</v>
      </c>
      <c r="J101" s="661">
        <f>J102</f>
        <v>83752293.939999998</v>
      </c>
      <c r="K101" s="690"/>
      <c r="L101" s="245"/>
      <c r="M101" s="203"/>
      <c r="N101" s="203"/>
      <c r="O101" s="203"/>
      <c r="P101" s="203"/>
      <c r="Q101" s="203"/>
      <c r="R101" s="203"/>
    </row>
    <row r="102" spans="1:18" ht="56.25" customHeight="1" thickTop="1" thickBot="1" x14ac:dyDescent="0.25">
      <c r="B102" s="663" t="s">
        <v>26</v>
      </c>
      <c r="C102" s="663"/>
      <c r="D102" s="663"/>
      <c r="E102" s="664" t="s">
        <v>892</v>
      </c>
      <c r="F102" s="663"/>
      <c r="G102" s="663"/>
      <c r="H102" s="691">
        <f>H108+H109+H110+H120+H121+H118+H112</f>
        <v>505828074</v>
      </c>
      <c r="I102" s="691">
        <f>I108+I109+I110+I120+I121+I118+I112</f>
        <v>127215147.26000001</v>
      </c>
      <c r="J102" s="691">
        <f>J108+J109+J110+J120+J121+J118+J112</f>
        <v>83752293.939999998</v>
      </c>
      <c r="K102" s="692"/>
      <c r="L102" s="245"/>
      <c r="M102" s="203"/>
      <c r="N102" s="203"/>
      <c r="O102" s="203"/>
      <c r="P102" s="203"/>
      <c r="Q102" s="203"/>
      <c r="R102" s="203"/>
    </row>
    <row r="103" spans="1:18" ht="91.5" hidden="1" thickTop="1" thickBot="1" x14ac:dyDescent="0.25">
      <c r="A103" s="337"/>
      <c r="B103" s="443" t="s">
        <v>433</v>
      </c>
      <c r="C103" s="443" t="s">
        <v>434</v>
      </c>
      <c r="D103" s="443" t="s">
        <v>195</v>
      </c>
      <c r="E103" s="443" t="s">
        <v>1178</v>
      </c>
      <c r="F103" s="240" t="s">
        <v>1122</v>
      </c>
      <c r="G103" s="223" t="s">
        <v>1124</v>
      </c>
      <c r="H103" s="223">
        <v>448128773</v>
      </c>
      <c r="I103" s="223">
        <f>287427907.48+3866315.08+J103</f>
        <v>293494222.56</v>
      </c>
      <c r="J103" s="223">
        <f>(3000000)-800000</f>
        <v>2200000</v>
      </c>
      <c r="K103" s="239">
        <f t="shared" ref="K103:K121" si="10">I103/H103</f>
        <v>0.6549327787974909</v>
      </c>
      <c r="L103" s="245"/>
      <c r="M103" s="203"/>
      <c r="N103" s="203"/>
      <c r="O103" s="203"/>
      <c r="P103" s="203"/>
      <c r="Q103" s="203"/>
      <c r="R103" s="203"/>
    </row>
    <row r="104" spans="1:18" ht="46.5" hidden="1" thickTop="1" thickBot="1" x14ac:dyDescent="0.25">
      <c r="A104" s="337"/>
      <c r="B104" s="443" t="s">
        <v>927</v>
      </c>
      <c r="C104" s="443" t="s">
        <v>305</v>
      </c>
      <c r="D104" s="443" t="s">
        <v>304</v>
      </c>
      <c r="E104" s="443" t="s">
        <v>469</v>
      </c>
      <c r="F104" s="444" t="s">
        <v>1123</v>
      </c>
      <c r="G104" s="223" t="s">
        <v>1268</v>
      </c>
      <c r="H104" s="223">
        <v>6293206</v>
      </c>
      <c r="I104" s="223">
        <f>1639036.69+J104</f>
        <v>6139036.6899999995</v>
      </c>
      <c r="J104" s="223">
        <f>(100000+1000000)+3400000</f>
        <v>4500000</v>
      </c>
      <c r="K104" s="239">
        <f t="shared" si="10"/>
        <v>0.97550226228094228</v>
      </c>
      <c r="L104" s="445">
        <f>1639037+J104</f>
        <v>6139037</v>
      </c>
      <c r="M104" s="203"/>
      <c r="N104" s="203"/>
      <c r="O104" s="203"/>
      <c r="P104" s="203"/>
      <c r="Q104" s="203"/>
      <c r="R104" s="203"/>
    </row>
    <row r="105" spans="1:18" ht="61.5" hidden="1" thickTop="1" thickBot="1" x14ac:dyDescent="0.25">
      <c r="A105" s="337"/>
      <c r="B105" s="443" t="s">
        <v>310</v>
      </c>
      <c r="C105" s="443" t="s">
        <v>311</v>
      </c>
      <c r="D105" s="443" t="s">
        <v>304</v>
      </c>
      <c r="E105" s="443" t="s">
        <v>309</v>
      </c>
      <c r="F105" s="444" t="s">
        <v>937</v>
      </c>
      <c r="G105" s="223" t="s">
        <v>1124</v>
      </c>
      <c r="H105" s="223">
        <f>(9300000+10829899)-20129899</f>
        <v>0</v>
      </c>
      <c r="I105" s="223">
        <f>(7572904.16+J105)-7572904.16</f>
        <v>0</v>
      </c>
      <c r="J105" s="223">
        <f>(200000+2000000)-2200000</f>
        <v>0</v>
      </c>
      <c r="K105" s="239" t="e">
        <f t="shared" si="10"/>
        <v>#DIV/0!</v>
      </c>
      <c r="L105" s="445">
        <f>7572904+J105</f>
        <v>7572904</v>
      </c>
      <c r="M105" s="203"/>
      <c r="N105" s="203"/>
      <c r="O105" s="203"/>
      <c r="P105" s="203"/>
      <c r="Q105" s="203"/>
      <c r="R105" s="203"/>
    </row>
    <row r="106" spans="1:18" ht="46.5" hidden="1" thickTop="1" thickBot="1" x14ac:dyDescent="0.25">
      <c r="A106" s="337"/>
      <c r="B106" s="443" t="s">
        <v>310</v>
      </c>
      <c r="C106" s="443" t="s">
        <v>311</v>
      </c>
      <c r="D106" s="443" t="s">
        <v>304</v>
      </c>
      <c r="E106" s="443" t="s">
        <v>309</v>
      </c>
      <c r="F106" s="444" t="s">
        <v>1339</v>
      </c>
      <c r="G106" s="223" t="s">
        <v>1340</v>
      </c>
      <c r="H106" s="223">
        <f>56437448-56437448</f>
        <v>0</v>
      </c>
      <c r="I106" s="223">
        <f>48973733.31+J106-48973733.31</f>
        <v>0</v>
      </c>
      <c r="J106" s="223">
        <f>(2000000)-2000000</f>
        <v>0</v>
      </c>
      <c r="K106" s="239" t="e">
        <f>I106/H106</f>
        <v>#DIV/0!</v>
      </c>
      <c r="L106" s="445">
        <f>28071676+15122869+2857360+1500000+1458181+J106</f>
        <v>49010086</v>
      </c>
      <c r="M106" s="356"/>
      <c r="N106" s="203"/>
      <c r="O106" s="203"/>
      <c r="P106" s="203"/>
      <c r="Q106" s="203"/>
      <c r="R106" s="203"/>
    </row>
    <row r="107" spans="1:18" ht="61.5" hidden="1" thickTop="1" thickBot="1" x14ac:dyDescent="0.25">
      <c r="A107" s="337"/>
      <c r="B107" s="443" t="s">
        <v>310</v>
      </c>
      <c r="C107" s="443" t="s">
        <v>311</v>
      </c>
      <c r="D107" s="443" t="s">
        <v>304</v>
      </c>
      <c r="E107" s="443" t="s">
        <v>309</v>
      </c>
      <c r="F107" s="444" t="s">
        <v>1341</v>
      </c>
      <c r="G107" s="223" t="s">
        <v>1342</v>
      </c>
      <c r="H107" s="223">
        <f>34056704-34056704</f>
        <v>0</v>
      </c>
      <c r="I107" s="223">
        <f>24032981.17+J107-24032981.17</f>
        <v>0</v>
      </c>
      <c r="J107" s="223">
        <f>1000000-1000000</f>
        <v>0</v>
      </c>
      <c r="K107" s="239" t="e">
        <f>I107/H107</f>
        <v>#DIV/0!</v>
      </c>
      <c r="L107" s="445">
        <f>13051785+7748088+1427600+2095030-176100+J107</f>
        <v>24146403</v>
      </c>
      <c r="M107" s="356"/>
      <c r="N107" s="203"/>
      <c r="O107" s="203"/>
      <c r="P107" s="203"/>
      <c r="Q107" s="203"/>
      <c r="R107" s="203"/>
    </row>
    <row r="108" spans="1:18" ht="79.5" thickTop="1" thickBot="1" x14ac:dyDescent="0.25">
      <c r="A108" s="337"/>
      <c r="B108" s="624" t="s">
        <v>310</v>
      </c>
      <c r="C108" s="624" t="s">
        <v>311</v>
      </c>
      <c r="D108" s="624" t="s">
        <v>304</v>
      </c>
      <c r="E108" s="624" t="s">
        <v>309</v>
      </c>
      <c r="F108" s="625" t="s">
        <v>1642</v>
      </c>
      <c r="G108" s="336" t="s">
        <v>1455</v>
      </c>
      <c r="H108" s="336">
        <v>31706437</v>
      </c>
      <c r="I108" s="336">
        <f>9023652.06+J108</f>
        <v>28789468</v>
      </c>
      <c r="J108" s="336">
        <f>((5000000)+12265815.94)+2500000</f>
        <v>19765815.939999998</v>
      </c>
      <c r="K108" s="626">
        <f t="shared" ref="K108:K111" si="11">I108/H108</f>
        <v>0.90800073183877461</v>
      </c>
      <c r="L108" s="445"/>
      <c r="M108" s="356"/>
      <c r="N108" s="203"/>
      <c r="O108" s="203"/>
      <c r="P108" s="203"/>
      <c r="Q108" s="203"/>
      <c r="R108" s="203"/>
    </row>
    <row r="109" spans="1:18" ht="80.25" thickTop="1" thickBot="1" x14ac:dyDescent="0.25">
      <c r="A109" s="337"/>
      <c r="B109" s="624" t="s">
        <v>310</v>
      </c>
      <c r="C109" s="624" t="s">
        <v>311</v>
      </c>
      <c r="D109" s="624" t="s">
        <v>304</v>
      </c>
      <c r="E109" s="624" t="s">
        <v>309</v>
      </c>
      <c r="F109" s="627" t="s">
        <v>1609</v>
      </c>
      <c r="G109" s="336" t="s">
        <v>1455</v>
      </c>
      <c r="H109" s="336">
        <v>42847731</v>
      </c>
      <c r="I109" s="336">
        <f>5381378.3+J109</f>
        <v>19541378.300000001</v>
      </c>
      <c r="J109" s="336">
        <f>(((5000000)+10160000)+10000000)-11000000</f>
        <v>14160000</v>
      </c>
      <c r="K109" s="626">
        <f t="shared" si="11"/>
        <v>0.45606565024411677</v>
      </c>
      <c r="L109" s="445"/>
      <c r="M109" s="356"/>
      <c r="N109" s="203"/>
      <c r="O109" s="203"/>
      <c r="P109" s="203"/>
      <c r="Q109" s="203"/>
      <c r="R109" s="203"/>
    </row>
    <row r="110" spans="1:18" ht="96" thickTop="1" thickBot="1" x14ac:dyDescent="0.25">
      <c r="A110" s="337"/>
      <c r="B110" s="624" t="s">
        <v>310</v>
      </c>
      <c r="C110" s="624" t="s">
        <v>311</v>
      </c>
      <c r="D110" s="624" t="s">
        <v>304</v>
      </c>
      <c r="E110" s="624" t="s">
        <v>309</v>
      </c>
      <c r="F110" s="627" t="s">
        <v>1554</v>
      </c>
      <c r="G110" s="336" t="s">
        <v>1455</v>
      </c>
      <c r="H110" s="336">
        <v>48619051</v>
      </c>
      <c r="I110" s="336">
        <f>5758322.59+J110</f>
        <v>12758322.59</v>
      </c>
      <c r="J110" s="336">
        <f>(2000000)+5000000</f>
        <v>7000000</v>
      </c>
      <c r="K110" s="626">
        <f t="shared" si="11"/>
        <v>0.26241406048834642</v>
      </c>
      <c r="L110" s="445"/>
      <c r="M110" s="356"/>
      <c r="N110" s="203"/>
      <c r="O110" s="203"/>
      <c r="P110" s="203"/>
      <c r="Q110" s="203"/>
      <c r="R110" s="203"/>
    </row>
    <row r="111" spans="1:18" ht="80.25" hidden="1" thickTop="1" thickBot="1" x14ac:dyDescent="0.25">
      <c r="A111" s="337"/>
      <c r="B111" s="443" t="s">
        <v>310</v>
      </c>
      <c r="C111" s="443" t="s">
        <v>311</v>
      </c>
      <c r="D111" s="443" t="s">
        <v>304</v>
      </c>
      <c r="E111" s="443" t="s">
        <v>309</v>
      </c>
      <c r="F111" s="668" t="s">
        <v>1550</v>
      </c>
      <c r="G111" s="223" t="s">
        <v>1455</v>
      </c>
      <c r="H111" s="223">
        <v>54864985</v>
      </c>
      <c r="I111" s="223">
        <f>1449509.74+J111</f>
        <v>1449509.74</v>
      </c>
      <c r="J111" s="223">
        <f>(1000000)-1000000</f>
        <v>0</v>
      </c>
      <c r="K111" s="239">
        <f t="shared" si="11"/>
        <v>2.641957780540722E-2</v>
      </c>
      <c r="L111" s="445"/>
      <c r="M111" s="356"/>
      <c r="N111" s="203"/>
      <c r="O111" s="203"/>
      <c r="P111" s="203"/>
      <c r="Q111" s="203"/>
      <c r="R111" s="203"/>
    </row>
    <row r="112" spans="1:18" ht="46.5" thickTop="1" thickBot="1" x14ac:dyDescent="0.25">
      <c r="B112" s="624" t="s">
        <v>516</v>
      </c>
      <c r="C112" s="624" t="s">
        <v>517</v>
      </c>
      <c r="D112" s="624" t="s">
        <v>304</v>
      </c>
      <c r="E112" s="624" t="s">
        <v>1611</v>
      </c>
      <c r="F112" s="625" t="s">
        <v>1610</v>
      </c>
      <c r="G112" s="336" t="s">
        <v>939</v>
      </c>
      <c r="H112" s="336">
        <v>22598484</v>
      </c>
      <c r="I112" s="336">
        <f>980635.67+J112</f>
        <v>2080535.67</v>
      </c>
      <c r="J112" s="336">
        <f>(1000000)+99900</f>
        <v>1099900</v>
      </c>
      <c r="K112" s="626">
        <f>I112/H112</f>
        <v>9.2065276148612443E-2</v>
      </c>
      <c r="L112" s="445">
        <f>730636+J112</f>
        <v>1830536</v>
      </c>
      <c r="M112" s="203"/>
      <c r="N112" s="203"/>
      <c r="O112" s="203"/>
      <c r="P112" s="203"/>
      <c r="Q112" s="203"/>
      <c r="R112" s="203"/>
    </row>
    <row r="113" spans="1:18" ht="61.5" hidden="1" thickTop="1" thickBot="1" x14ac:dyDescent="0.25">
      <c r="B113" s="443" t="s">
        <v>314</v>
      </c>
      <c r="C113" s="443" t="s">
        <v>315</v>
      </c>
      <c r="D113" s="443" t="s">
        <v>304</v>
      </c>
      <c r="E113" s="443" t="s">
        <v>462</v>
      </c>
      <c r="F113" s="446" t="s">
        <v>1125</v>
      </c>
      <c r="G113" s="223" t="s">
        <v>940</v>
      </c>
      <c r="H113" s="223">
        <v>15423995</v>
      </c>
      <c r="I113" s="223">
        <f>211261.75+1743.5+J113</f>
        <v>663787.25</v>
      </c>
      <c r="J113" s="223">
        <f>100000+350782</f>
        <v>450782</v>
      </c>
      <c r="K113" s="239">
        <f t="shared" si="10"/>
        <v>4.3036013043313358E-2</v>
      </c>
      <c r="L113" s="445">
        <f>213005+J113</f>
        <v>663787</v>
      </c>
      <c r="M113" s="203"/>
      <c r="N113" s="203"/>
      <c r="O113" s="203"/>
      <c r="P113" s="203"/>
      <c r="Q113" s="203"/>
      <c r="R113" s="203"/>
    </row>
    <row r="114" spans="1:18" ht="61.5" hidden="1" thickTop="1" thickBot="1" x14ac:dyDescent="0.25">
      <c r="B114" s="443" t="s">
        <v>314</v>
      </c>
      <c r="C114" s="443" t="s">
        <v>315</v>
      </c>
      <c r="D114" s="443" t="s">
        <v>304</v>
      </c>
      <c r="E114" s="443" t="s">
        <v>462</v>
      </c>
      <c r="F114" s="446" t="s">
        <v>1126</v>
      </c>
      <c r="G114" s="223" t="s">
        <v>1124</v>
      </c>
      <c r="H114" s="223">
        <v>14473674</v>
      </c>
      <c r="I114" s="223">
        <f>8250400.29+J114</f>
        <v>8833240.2899999991</v>
      </c>
      <c r="J114" s="223">
        <f>((100000+1760720)+4362554)-5640434</f>
        <v>582840</v>
      </c>
      <c r="K114" s="239">
        <f t="shared" si="10"/>
        <v>0.61029703239136102</v>
      </c>
      <c r="L114" s="445">
        <f>8250400+J114</f>
        <v>8833240</v>
      </c>
      <c r="M114" s="203"/>
      <c r="N114" s="203"/>
      <c r="O114" s="203"/>
      <c r="P114" s="203"/>
      <c r="Q114" s="203"/>
      <c r="R114" s="203"/>
    </row>
    <row r="115" spans="1:18" ht="31.5" hidden="1" thickTop="1" thickBot="1" x14ac:dyDescent="0.25">
      <c r="B115" s="443" t="s">
        <v>314</v>
      </c>
      <c r="C115" s="443" t="s">
        <v>315</v>
      </c>
      <c r="D115" s="443" t="s">
        <v>304</v>
      </c>
      <c r="E115" s="443" t="s">
        <v>462</v>
      </c>
      <c r="F115" s="446" t="s">
        <v>1402</v>
      </c>
      <c r="G115" s="223" t="s">
        <v>938</v>
      </c>
      <c r="H115" s="223">
        <v>80787509</v>
      </c>
      <c r="I115" s="223">
        <f>1618673.51+31922.71+J115</f>
        <v>2046000.22</v>
      </c>
      <c r="J115" s="223">
        <f>(270000)+125404</f>
        <v>395404</v>
      </c>
      <c r="K115" s="239">
        <f t="shared" si="10"/>
        <v>2.5325700041079369E-2</v>
      </c>
      <c r="L115" s="445">
        <f>1618674+J115</f>
        <v>2014078</v>
      </c>
      <c r="M115" s="203"/>
      <c r="N115" s="203"/>
      <c r="O115" s="203"/>
      <c r="P115" s="203"/>
      <c r="Q115" s="203"/>
      <c r="R115" s="203"/>
    </row>
    <row r="116" spans="1:18" ht="46.5" hidden="1" thickTop="1" thickBot="1" x14ac:dyDescent="0.25">
      <c r="B116" s="443" t="s">
        <v>314</v>
      </c>
      <c r="C116" s="443" t="s">
        <v>315</v>
      </c>
      <c r="D116" s="443" t="s">
        <v>304</v>
      </c>
      <c r="E116" s="443" t="s">
        <v>462</v>
      </c>
      <c r="F116" s="447" t="s">
        <v>1228</v>
      </c>
      <c r="G116" s="223" t="s">
        <v>940</v>
      </c>
      <c r="H116" s="223">
        <v>65017720</v>
      </c>
      <c r="I116" s="223">
        <f>22468487.3+J116</f>
        <v>38809572.299999997</v>
      </c>
      <c r="J116" s="223">
        <f>(100000+2000000)+14241085</f>
        <v>16341085</v>
      </c>
      <c r="K116" s="239">
        <f t="shared" si="10"/>
        <v>0.59690761687736815</v>
      </c>
      <c r="L116" s="445">
        <f>22468487+J116</f>
        <v>38809572</v>
      </c>
      <c r="M116" s="203"/>
      <c r="N116" s="203"/>
      <c r="O116" s="203"/>
      <c r="P116" s="203"/>
      <c r="Q116" s="203"/>
      <c r="R116" s="203"/>
    </row>
    <row r="117" spans="1:18" ht="61.5" hidden="1" thickTop="1" thickBot="1" x14ac:dyDescent="0.25">
      <c r="B117" s="443" t="s">
        <v>314</v>
      </c>
      <c r="C117" s="443" t="s">
        <v>315</v>
      </c>
      <c r="D117" s="443" t="s">
        <v>304</v>
      </c>
      <c r="E117" s="443" t="s">
        <v>462</v>
      </c>
      <c r="F117" s="447" t="s">
        <v>1267</v>
      </c>
      <c r="G117" s="223" t="s">
        <v>1269</v>
      </c>
      <c r="H117" s="223">
        <v>14225016</v>
      </c>
      <c r="I117" s="223">
        <f>49956+33089.84+J117</f>
        <v>133045.84</v>
      </c>
      <c r="J117" s="223">
        <v>50000</v>
      </c>
      <c r="K117" s="239">
        <f t="shared" si="10"/>
        <v>9.3529483552074744E-3</v>
      </c>
      <c r="L117" s="445">
        <f>83046+J117</f>
        <v>133046</v>
      </c>
      <c r="M117" s="203"/>
      <c r="N117" s="203"/>
      <c r="O117" s="203"/>
      <c r="P117" s="203"/>
      <c r="Q117" s="203"/>
      <c r="R117" s="203"/>
    </row>
    <row r="118" spans="1:18" ht="61.5" thickTop="1" thickBot="1" x14ac:dyDescent="0.25">
      <c r="B118" s="624" t="s">
        <v>314</v>
      </c>
      <c r="C118" s="624" t="s">
        <v>315</v>
      </c>
      <c r="D118" s="624" t="s">
        <v>304</v>
      </c>
      <c r="E118" s="624" t="s">
        <v>462</v>
      </c>
      <c r="F118" s="628" t="s">
        <v>1639</v>
      </c>
      <c r="G118" s="336" t="s">
        <v>939</v>
      </c>
      <c r="H118" s="336">
        <v>192098922</v>
      </c>
      <c r="I118" s="336">
        <f>1481149.2+J118</f>
        <v>29557727.199999999</v>
      </c>
      <c r="J118" s="336">
        <f>(((0)+50000)+26578)+28000000</f>
        <v>28076578</v>
      </c>
      <c r="K118" s="626">
        <f t="shared" si="10"/>
        <v>0.15386722055629234</v>
      </c>
      <c r="L118" s="445">
        <f>151662+J118</f>
        <v>28228240</v>
      </c>
      <c r="M118" s="203"/>
      <c r="N118" s="203"/>
      <c r="O118" s="203"/>
      <c r="P118" s="203"/>
      <c r="Q118" s="203"/>
      <c r="R118" s="203"/>
    </row>
    <row r="119" spans="1:18" ht="61.5" hidden="1" thickTop="1" thickBot="1" x14ac:dyDescent="0.25">
      <c r="B119" s="443" t="s">
        <v>314</v>
      </c>
      <c r="C119" s="443" t="s">
        <v>315</v>
      </c>
      <c r="D119" s="443" t="s">
        <v>304</v>
      </c>
      <c r="E119" s="443" t="s">
        <v>462</v>
      </c>
      <c r="F119" s="447" t="s">
        <v>1421</v>
      </c>
      <c r="G119" s="223" t="s">
        <v>1301</v>
      </c>
      <c r="H119" s="223">
        <v>2848861</v>
      </c>
      <c r="I119" s="223">
        <f>102794.48+J119</f>
        <v>2848861.48</v>
      </c>
      <c r="J119" s="223">
        <f>(2000000)+746067</f>
        <v>2746067</v>
      </c>
      <c r="K119" s="239">
        <f t="shared" si="10"/>
        <v>1.0000001684883888</v>
      </c>
      <c r="L119" s="445">
        <f>102794+J119</f>
        <v>2848861</v>
      </c>
      <c r="M119" s="203"/>
      <c r="N119" s="203"/>
      <c r="O119" s="203"/>
      <c r="P119" s="203"/>
      <c r="Q119" s="203"/>
      <c r="R119" s="203"/>
    </row>
    <row r="120" spans="1:18" ht="76.5" thickTop="1" thickBot="1" x14ac:dyDescent="0.25">
      <c r="B120" s="624" t="s">
        <v>314</v>
      </c>
      <c r="C120" s="624" t="s">
        <v>315</v>
      </c>
      <c r="D120" s="624" t="s">
        <v>304</v>
      </c>
      <c r="E120" s="624" t="s">
        <v>462</v>
      </c>
      <c r="F120" s="628" t="s">
        <v>1501</v>
      </c>
      <c r="G120" s="336" t="s">
        <v>1502</v>
      </c>
      <c r="H120" s="336">
        <v>1516892</v>
      </c>
      <c r="I120" s="336">
        <f>J120</f>
        <v>1500000</v>
      </c>
      <c r="J120" s="336">
        <v>1500000</v>
      </c>
      <c r="K120" s="626">
        <f t="shared" si="10"/>
        <v>0.98886407206313964</v>
      </c>
      <c r="L120" s="445"/>
      <c r="M120" s="203"/>
      <c r="N120" s="203"/>
      <c r="O120" s="203"/>
      <c r="P120" s="203"/>
      <c r="Q120" s="203"/>
      <c r="R120" s="203"/>
    </row>
    <row r="121" spans="1:18" ht="61.5" thickTop="1" thickBot="1" x14ac:dyDescent="0.25">
      <c r="B121" s="624" t="s">
        <v>314</v>
      </c>
      <c r="C121" s="624" t="s">
        <v>315</v>
      </c>
      <c r="D121" s="624" t="s">
        <v>304</v>
      </c>
      <c r="E121" s="624" t="s">
        <v>462</v>
      </c>
      <c r="F121" s="628" t="s">
        <v>1640</v>
      </c>
      <c r="G121" s="336" t="s">
        <v>939</v>
      </c>
      <c r="H121" s="336">
        <v>166440557</v>
      </c>
      <c r="I121" s="336">
        <f>20837715.5+J121</f>
        <v>32987715.5</v>
      </c>
      <c r="J121" s="336">
        <f>((1500000+50000)+2600000)+8000000</f>
        <v>12150000</v>
      </c>
      <c r="K121" s="626">
        <f t="shared" si="10"/>
        <v>0.19819517607117837</v>
      </c>
      <c r="L121" s="445">
        <f>4088+756990+J121</f>
        <v>12911078</v>
      </c>
      <c r="M121" s="203"/>
      <c r="N121" s="203"/>
      <c r="O121" s="203"/>
      <c r="P121" s="203"/>
      <c r="Q121" s="203"/>
      <c r="R121" s="203"/>
    </row>
    <row r="122" spans="1:18" ht="21.75" thickTop="1" thickBot="1" x14ac:dyDescent="0.25">
      <c r="A122" s="247"/>
      <c r="B122" s="693" t="s">
        <v>381</v>
      </c>
      <c r="C122" s="693" t="s">
        <v>381</v>
      </c>
      <c r="D122" s="693" t="s">
        <v>381</v>
      </c>
      <c r="E122" s="693" t="s">
        <v>383</v>
      </c>
      <c r="F122" s="693" t="s">
        <v>381</v>
      </c>
      <c r="G122" s="693" t="s">
        <v>381</v>
      </c>
      <c r="H122" s="693">
        <f>H101+H55+H46+H37+H19+H30</f>
        <v>924462153.57000005</v>
      </c>
      <c r="I122" s="693">
        <f>I101+I55+I46+I37+I19+I30</f>
        <v>375966785.45999998</v>
      </c>
      <c r="J122" s="693">
        <f>J101+J55+J46+J37+J19+J30</f>
        <v>204634178.93000001</v>
      </c>
      <c r="K122" s="693" t="s">
        <v>381</v>
      </c>
      <c r="L122" s="699" t="b">
        <f>H122=H121+H120+H118+H112+H110+H109+H108+H100+H96+H85+H84+H83+H82+H75+H65+H64+H63+H49+H41+H40+H39+H34+H27+H26+H25+H24+H22+H21+H28</f>
        <v>1</v>
      </c>
      <c r="M122" s="699" t="b">
        <f>I122=I121+I120+I118+I112+I110+I109+I108+I100+I96+I85+I84+I83+I82+I75+I65+I64+I63+I49+I41+I40+I39+I34+I27+I26+I25+I24+I22+I21+I28</f>
        <v>1</v>
      </c>
      <c r="N122" s="699" t="b">
        <f>J122=J121+J120+J118+J112+J110+J109+J108+J100+J96+J85+J84+J83+J82+J75+J65+J64+J63+J49+J41+J40+J39+J34+J27+J26+J25+J24+J22+J21+J28</f>
        <v>1</v>
      </c>
      <c r="O122" s="203"/>
      <c r="P122" s="203"/>
      <c r="Q122" s="203"/>
      <c r="R122" s="203"/>
    </row>
    <row r="123" spans="1:18" ht="16.5" thickTop="1" x14ac:dyDescent="0.2">
      <c r="B123" s="860" t="s">
        <v>1535</v>
      </c>
      <c r="C123" s="827"/>
      <c r="D123" s="827"/>
      <c r="E123" s="827"/>
      <c r="F123" s="827"/>
      <c r="G123" s="827"/>
      <c r="H123" s="827"/>
      <c r="I123" s="827"/>
      <c r="J123" s="827"/>
      <c r="K123" s="827"/>
      <c r="L123" s="827"/>
      <c r="M123" s="827"/>
      <c r="N123" s="827"/>
      <c r="O123" s="827"/>
      <c r="P123" s="827"/>
      <c r="Q123" s="827"/>
      <c r="R123" s="827"/>
    </row>
    <row r="124" spans="1:18" ht="14.25" customHeight="1" x14ac:dyDescent="0.2">
      <c r="B124" s="861"/>
      <c r="C124" s="861"/>
      <c r="D124" s="861"/>
      <c r="E124" s="861"/>
      <c r="F124" s="861"/>
      <c r="G124" s="861"/>
      <c r="H124" s="861"/>
      <c r="I124" s="861"/>
      <c r="J124" s="861"/>
      <c r="K124" s="861"/>
      <c r="L124" s="337"/>
      <c r="M124" s="337"/>
      <c r="N124" s="337"/>
      <c r="O124" s="337"/>
      <c r="P124" s="337"/>
      <c r="Q124" s="337"/>
      <c r="R124" s="337"/>
    </row>
    <row r="125" spans="1:18" ht="15" x14ac:dyDescent="0.25">
      <c r="B125" s="329"/>
      <c r="C125" s="329"/>
      <c r="D125" s="858" t="s">
        <v>1478</v>
      </c>
      <c r="E125" s="859"/>
      <c r="F125" s="365"/>
      <c r="G125" s="365" t="s">
        <v>1479</v>
      </c>
      <c r="H125" s="348"/>
      <c r="I125" s="343"/>
      <c r="J125" s="343"/>
      <c r="K125" s="341"/>
      <c r="L125" s="337"/>
      <c r="M125" s="337"/>
      <c r="N125" s="337"/>
      <c r="O125" s="337"/>
      <c r="P125" s="337"/>
      <c r="Q125" s="337"/>
      <c r="R125" s="337"/>
    </row>
    <row r="126" spans="1:18" ht="15" hidden="1" x14ac:dyDescent="0.25">
      <c r="B126" s="329"/>
      <c r="C126" s="329"/>
      <c r="D126" s="341" t="s">
        <v>1480</v>
      </c>
      <c r="E126" s="342"/>
      <c r="F126" s="341"/>
      <c r="G126" s="341" t="s">
        <v>1444</v>
      </c>
      <c r="H126" s="348"/>
      <c r="I126" s="343"/>
      <c r="J126" s="343"/>
      <c r="K126" s="341"/>
      <c r="L126" s="337"/>
      <c r="M126" s="337"/>
      <c r="N126" s="337"/>
      <c r="O126" s="337"/>
      <c r="P126" s="337"/>
      <c r="Q126" s="337"/>
      <c r="R126" s="337"/>
    </row>
    <row r="127" spans="1:18" ht="3" customHeight="1" x14ac:dyDescent="0.25">
      <c r="B127" s="329"/>
      <c r="C127" s="329"/>
      <c r="D127" s="341"/>
      <c r="E127" s="341"/>
      <c r="F127" s="341"/>
      <c r="G127" s="341"/>
      <c r="H127" s="348"/>
      <c r="I127" s="348"/>
      <c r="J127" s="329"/>
      <c r="K127" s="329"/>
      <c r="L127" s="337"/>
      <c r="M127" s="337"/>
      <c r="N127" s="337"/>
      <c r="O127" s="337"/>
      <c r="P127" s="337"/>
      <c r="Q127" s="337"/>
      <c r="R127" s="337"/>
    </row>
    <row r="128" spans="1:18" ht="15" x14ac:dyDescent="0.25">
      <c r="B128" s="329"/>
      <c r="C128" s="329"/>
      <c r="D128" s="858" t="s">
        <v>523</v>
      </c>
      <c r="E128" s="859"/>
      <c r="F128" s="341"/>
      <c r="G128" s="341" t="s">
        <v>1345</v>
      </c>
      <c r="H128" s="341"/>
      <c r="I128" s="343"/>
      <c r="J128" s="343"/>
      <c r="K128" s="341"/>
      <c r="L128" s="337"/>
      <c r="M128" s="337"/>
      <c r="N128" s="337"/>
      <c r="O128" s="337"/>
      <c r="P128" s="337"/>
      <c r="Q128" s="337"/>
      <c r="R128" s="337"/>
    </row>
    <row r="139" spans="4:11" x14ac:dyDescent="0.2">
      <c r="D139" s="11">
        <f>SUM(D140:D152)+D159</f>
        <v>88281</v>
      </c>
    </row>
    <row r="140" spans="4:11" ht="46.5" x14ac:dyDescent="0.2">
      <c r="K140" s="251"/>
    </row>
    <row r="143" spans="4:11" ht="46.5" x14ac:dyDescent="0.2">
      <c r="G143" s="251"/>
      <c r="K143" s="251"/>
    </row>
    <row r="159" spans="1:10" x14ac:dyDescent="0.2">
      <c r="A159" s="168">
        <v>41057700</v>
      </c>
      <c r="B159" s="11" t="s">
        <v>1376</v>
      </c>
      <c r="D159" s="11">
        <v>88281</v>
      </c>
    </row>
    <row r="160" spans="1:10" x14ac:dyDescent="0.2">
      <c r="G160" s="250" t="e">
        <f>C160=C156+C155+C154+C134+C128+C121+C114+C113+C105+C104+C103+C102+C92+C91+C90+C89+C87+C86+C84+C82+C81+C80+C77+C76+C75+C73+C72+C66+C65+C64+C60+C59+C58+C56+C55+C51+C50+C49+C48+C47+C46+C45+C44+C43+C42+C36+C33+C30+#REF!+#REF!+#REF!+#REF!+C20+C19+C18+C118+C117+C37+C53+C145+C144+C125+C159</f>
        <v>#REF!</v>
      </c>
      <c r="H160" s="250" t="e">
        <f>D160=D156+D155+D154+D134+D128+D121+D114+D113+D105+D104+D103+D102+D92+D91+D90+D89+D87+D86+D84+D82+D81+D80+D77+D76+D75+D73+D72+D66+D65+D64+D60+D59+D58+D56+D55+D51+D50+D49+D48+D47+D46+D45+D44+D43+D42+D36+D33+D30+#REF!+#REF!+#REF!+#REF!+D20+D19+D18+D118+D117+D37+D53+D145+D144+D125+D159</f>
        <v>#VALUE!</v>
      </c>
      <c r="I160" s="250" t="e">
        <f>E160=E156+E155+E154+E134+E128+E121+E114+E113+E105+E104+E103+E102+E92+E91+E90+E89+E87+E86+E84+E82+E81+E80+E77+E76+E75+E73+E72+E66+E65+E64+E60+E59+E58+E56+E55+E51+E50+E49+E48+E47+E46+E45+E44+E43+E42+E36+E33+E30+#REF!+#REF!+#REF!+#REF!+E20+E19+E18+E118+E117+E37+E53+E145+E144+E125+E159</f>
        <v>#VALUE!</v>
      </c>
      <c r="J160" s="250" t="e">
        <f>F160=F156+F155+F154+F134+F128+F121+F114+F113+F105+F104+F103+F102+F92+F91+F90+F89+F87+F86+F84+F82+F81+F80+F77+F76+F75+F73+F72+F66+F65+F64+F60+F59+F58+F56+F55+F51+F50+F49+F48+F47+F46+F45+F44+F43+F42+F36+F33+F30+#REF!+#REF!+#REF!+#REF!+F20+F19+F18+F118+F117+F37+F53+F145+F144+F125+F159</f>
        <v>#VALUE!</v>
      </c>
    </row>
    <row r="161" spans="7:12" x14ac:dyDescent="0.2">
      <c r="G161" s="250" t="b">
        <f>(3453807039-'d2'!C37+7423154+961639+622418100+3715400+4544686)+16400+4309689+6350319+16579700+88281=C160</f>
        <v>0</v>
      </c>
    </row>
    <row r="163" spans="7:12" ht="90" x14ac:dyDescent="1.1499999999999999">
      <c r="L163" s="189"/>
    </row>
  </sheetData>
  <mergeCells count="11">
    <mergeCell ref="D128:E128"/>
    <mergeCell ref="B123:R123"/>
    <mergeCell ref="B124:K124"/>
    <mergeCell ref="B8:C8"/>
    <mergeCell ref="B1:K1"/>
    <mergeCell ref="G2:K2"/>
    <mergeCell ref="B4:K4"/>
    <mergeCell ref="B5:K5"/>
    <mergeCell ref="B7:C7"/>
    <mergeCell ref="B6:K6"/>
    <mergeCell ref="D125:E125"/>
  </mergeCells>
  <printOptions horizontalCentered="1"/>
  <pageMargins left="0.82677165354330717" right="0" top="0.31496062992125984" bottom="0.31496062992125984" header="0.23622047244094491" footer="0.19685039370078741"/>
  <pageSetup paperSize="9" scale="59" fitToHeight="0" orientation="landscape" r:id="rId1"/>
  <headerFooter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2"/>
  <sheetViews>
    <sheetView view="pageBreakPreview" zoomScale="25" zoomScaleNormal="25" zoomScaleSheetLayoutView="25" zoomScalePageLayoutView="10" workbookViewId="0">
      <pane ySplit="14" topLeftCell="A358" activePane="bottomLeft" state="frozen"/>
      <selection activeCell="H66" sqref="H63:H66"/>
      <selection pane="bottomLeft" activeCell="H46" sqref="H46"/>
    </sheetView>
  </sheetViews>
  <sheetFormatPr defaultColWidth="9.140625" defaultRowHeight="12.75" x14ac:dyDescent="0.2"/>
  <cols>
    <col min="1" max="1" width="48" style="190" customWidth="1"/>
    <col min="2" max="2" width="52.5703125" style="190" customWidth="1"/>
    <col min="3" max="3" width="65.7109375" style="190" customWidth="1"/>
    <col min="4" max="4" width="158.28515625" style="190" customWidth="1"/>
    <col min="5" max="5" width="161.85546875" style="283" customWidth="1"/>
    <col min="6" max="6" width="114" style="190" customWidth="1"/>
    <col min="7" max="7" width="55.42578125" style="190" customWidth="1"/>
    <col min="8" max="8" width="63.5703125" style="190" customWidth="1"/>
    <col min="9" max="9" width="62.140625" style="190" customWidth="1"/>
    <col min="10" max="10" width="70.28515625" style="283" customWidth="1"/>
    <col min="11" max="11" width="100.28515625" style="121" customWidth="1"/>
    <col min="12" max="12" width="99.5703125" style="121" bestFit="1" customWidth="1"/>
    <col min="13" max="13" width="71.5703125" style="121" bestFit="1" customWidth="1"/>
    <col min="14" max="14" width="71.5703125" style="13" bestFit="1" customWidth="1"/>
    <col min="15" max="15" width="52.140625" style="13" bestFit="1" customWidth="1"/>
    <col min="16" max="16" width="9.140625" style="13"/>
    <col min="17" max="17" width="70.28515625" style="13" customWidth="1"/>
    <col min="18" max="16384" width="9.140625" style="13"/>
  </cols>
  <sheetData>
    <row r="1" spans="1:13" ht="45.75" x14ac:dyDescent="0.2">
      <c r="A1" s="75"/>
      <c r="B1" s="75"/>
      <c r="C1" s="75"/>
      <c r="D1" s="76"/>
      <c r="E1" s="77"/>
      <c r="F1" s="78"/>
      <c r="G1" s="77"/>
      <c r="H1" s="77"/>
      <c r="I1" s="753" t="s">
        <v>591</v>
      </c>
      <c r="J1" s="753"/>
    </row>
    <row r="2" spans="1:13" ht="45.75" x14ac:dyDescent="0.2">
      <c r="A2" s="76"/>
      <c r="B2" s="76"/>
      <c r="C2" s="76"/>
      <c r="D2" s="76"/>
      <c r="E2" s="77"/>
      <c r="F2" s="78"/>
      <c r="G2" s="77"/>
      <c r="H2" s="77"/>
      <c r="I2" s="753" t="s">
        <v>1581</v>
      </c>
      <c r="J2" s="756"/>
    </row>
    <row r="3" spans="1:13" ht="40.700000000000003" customHeight="1" x14ac:dyDescent="0.2">
      <c r="A3" s="76"/>
      <c r="B3" s="76"/>
      <c r="C3" s="76"/>
      <c r="D3" s="76"/>
      <c r="E3" s="77"/>
      <c r="F3" s="78"/>
      <c r="G3" s="77"/>
      <c r="H3" s="77"/>
      <c r="I3" s="753"/>
      <c r="J3" s="756"/>
    </row>
    <row r="4" spans="1:13" ht="45.75" hidden="1" x14ac:dyDescent="0.2">
      <c r="A4" s="76"/>
      <c r="B4" s="76"/>
      <c r="C4" s="76"/>
      <c r="D4" s="76"/>
      <c r="E4" s="77"/>
      <c r="F4" s="78"/>
      <c r="G4" s="77"/>
      <c r="H4" s="77"/>
      <c r="I4" s="76"/>
      <c r="J4" s="78"/>
    </row>
    <row r="5" spans="1:13" ht="45" x14ac:dyDescent="0.2">
      <c r="A5" s="757" t="s">
        <v>565</v>
      </c>
      <c r="B5" s="757"/>
      <c r="C5" s="757"/>
      <c r="D5" s="757"/>
      <c r="E5" s="757"/>
      <c r="F5" s="757"/>
      <c r="G5" s="757"/>
      <c r="H5" s="757"/>
      <c r="I5" s="757"/>
      <c r="J5" s="757"/>
    </row>
    <row r="6" spans="1:13" ht="45" x14ac:dyDescent="0.2">
      <c r="A6" s="757" t="s">
        <v>1119</v>
      </c>
      <c r="B6" s="757"/>
      <c r="C6" s="757"/>
      <c r="D6" s="757"/>
      <c r="E6" s="757"/>
      <c r="F6" s="757"/>
      <c r="G6" s="757"/>
      <c r="H6" s="757"/>
      <c r="I6" s="757"/>
      <c r="J6" s="757"/>
    </row>
    <row r="7" spans="1:13" ht="45" x14ac:dyDescent="0.2">
      <c r="A7" s="757" t="s">
        <v>1494</v>
      </c>
      <c r="B7" s="757"/>
      <c r="C7" s="757"/>
      <c r="D7" s="757"/>
      <c r="E7" s="757"/>
      <c r="F7" s="757"/>
      <c r="G7" s="757"/>
      <c r="H7" s="757"/>
      <c r="I7" s="757"/>
      <c r="J7" s="757"/>
    </row>
    <row r="8" spans="1:13" ht="45" x14ac:dyDescent="0.2">
      <c r="A8" s="757"/>
      <c r="B8" s="757"/>
      <c r="C8" s="757"/>
      <c r="D8" s="757"/>
      <c r="E8" s="757"/>
      <c r="F8" s="757"/>
      <c r="G8" s="757"/>
      <c r="H8" s="757"/>
      <c r="I8" s="757"/>
      <c r="J8" s="757"/>
    </row>
    <row r="9" spans="1:13" ht="45.75" x14ac:dyDescent="0.65">
      <c r="A9" s="758">
        <v>2256400000</v>
      </c>
      <c r="B9" s="759"/>
      <c r="C9" s="730"/>
      <c r="D9" s="730"/>
      <c r="E9" s="730"/>
      <c r="F9" s="730"/>
      <c r="G9" s="730"/>
      <c r="H9" s="730"/>
      <c r="I9" s="730"/>
      <c r="J9" s="730"/>
      <c r="K9" s="137"/>
      <c r="L9" s="137"/>
      <c r="M9" s="137"/>
    </row>
    <row r="10" spans="1:13" ht="45.75" x14ac:dyDescent="0.2">
      <c r="A10" s="763" t="s">
        <v>490</v>
      </c>
      <c r="B10" s="764"/>
      <c r="C10" s="730"/>
      <c r="D10" s="730"/>
      <c r="E10" s="730"/>
      <c r="F10" s="730"/>
      <c r="G10" s="730"/>
      <c r="H10" s="730"/>
      <c r="I10" s="730"/>
      <c r="J10" s="730"/>
      <c r="K10" s="137"/>
      <c r="L10" s="137"/>
      <c r="M10" s="137"/>
    </row>
    <row r="11" spans="1:13" ht="53.45" customHeight="1" thickBot="1" x14ac:dyDescent="0.25">
      <c r="A11" s="77"/>
      <c r="B11" s="77"/>
      <c r="C11" s="77"/>
      <c r="D11" s="77"/>
      <c r="E11" s="77"/>
      <c r="F11" s="78"/>
      <c r="G11" s="77"/>
      <c r="H11" s="77"/>
      <c r="I11" s="77"/>
      <c r="J11" s="313" t="s">
        <v>404</v>
      </c>
      <c r="K11" s="137"/>
      <c r="L11" s="137"/>
      <c r="M11" s="137"/>
    </row>
    <row r="12" spans="1:13" ht="104.25" customHeight="1" thickTop="1" thickBot="1" x14ac:dyDescent="0.25">
      <c r="A12" s="879" t="s">
        <v>491</v>
      </c>
      <c r="B12" s="879" t="s">
        <v>492</v>
      </c>
      <c r="C12" s="879" t="s">
        <v>390</v>
      </c>
      <c r="D12" s="879" t="s">
        <v>566</v>
      </c>
      <c r="E12" s="879" t="s">
        <v>495</v>
      </c>
      <c r="F12" s="879" t="s">
        <v>496</v>
      </c>
      <c r="G12" s="879" t="s">
        <v>383</v>
      </c>
      <c r="H12" s="879" t="s">
        <v>12</v>
      </c>
      <c r="I12" s="880" t="s">
        <v>52</v>
      </c>
      <c r="J12" s="761"/>
      <c r="K12" s="137"/>
      <c r="L12" s="137"/>
      <c r="M12" s="137"/>
    </row>
    <row r="13" spans="1:13" ht="406.5" customHeight="1" thickTop="1" thickBot="1" x14ac:dyDescent="0.25">
      <c r="A13" s="880"/>
      <c r="B13" s="761"/>
      <c r="C13" s="761"/>
      <c r="D13" s="880"/>
      <c r="E13" s="880"/>
      <c r="F13" s="880"/>
      <c r="G13" s="880"/>
      <c r="H13" s="880"/>
      <c r="I13" s="317" t="s">
        <v>384</v>
      </c>
      <c r="J13" s="317" t="s">
        <v>385</v>
      </c>
      <c r="K13" s="137"/>
      <c r="L13" s="137"/>
      <c r="M13" s="137"/>
    </row>
    <row r="14" spans="1:13" s="4" customFormat="1" ht="47.25" thickTop="1" thickBot="1" x14ac:dyDescent="0.25">
      <c r="A14" s="101" t="s">
        <v>2</v>
      </c>
      <c r="B14" s="101" t="s">
        <v>3</v>
      </c>
      <c r="C14" s="101" t="s">
        <v>14</v>
      </c>
      <c r="D14" s="101" t="s">
        <v>5</v>
      </c>
      <c r="E14" s="101" t="s">
        <v>392</v>
      </c>
      <c r="F14" s="101" t="s">
        <v>393</v>
      </c>
      <c r="G14" s="101" t="s">
        <v>394</v>
      </c>
      <c r="H14" s="101" t="s">
        <v>395</v>
      </c>
      <c r="I14" s="101" t="s">
        <v>396</v>
      </c>
      <c r="J14" s="101" t="s">
        <v>397</v>
      </c>
      <c r="K14" s="131"/>
      <c r="L14" s="131"/>
      <c r="M14" s="131"/>
    </row>
    <row r="15" spans="1:13" s="4" customFormat="1" ht="170.1" customHeight="1" thickTop="1" thickBot="1" x14ac:dyDescent="0.25">
      <c r="A15" s="645" t="s">
        <v>148</v>
      </c>
      <c r="B15" s="645"/>
      <c r="C15" s="645"/>
      <c r="D15" s="646" t="s">
        <v>150</v>
      </c>
      <c r="E15" s="645"/>
      <c r="F15" s="645"/>
      <c r="G15" s="648">
        <f>G16</f>
        <v>559050987.34000003</v>
      </c>
      <c r="H15" s="648">
        <f t="shared" ref="H15:J15" si="0">H16</f>
        <v>231492930.63999999</v>
      </c>
      <c r="I15" s="648">
        <f>I16</f>
        <v>327558056.70000005</v>
      </c>
      <c r="J15" s="648">
        <f t="shared" si="0"/>
        <v>321042256.70000005</v>
      </c>
      <c r="K15" s="95" t="b">
        <f>H16='d3'!E16-'d3'!E18+'d7'!H17+'d7'!H20+'d7'!H22+H21</f>
        <v>1</v>
      </c>
      <c r="L15" s="95" t="b">
        <f>I16='d3'!J16-'d3'!J18+I17+I20+I22+I21</f>
        <v>1</v>
      </c>
      <c r="M15" s="95" t="b">
        <f>J16='d3'!K16-'d3'!K18+J17+J20+J22+J21</f>
        <v>1</v>
      </c>
    </row>
    <row r="16" spans="1:13" s="4" customFormat="1" ht="170.1" customHeight="1" thickTop="1" thickBot="1" x14ac:dyDescent="0.25">
      <c r="A16" s="642" t="s">
        <v>149</v>
      </c>
      <c r="B16" s="642"/>
      <c r="C16" s="642"/>
      <c r="D16" s="643" t="s">
        <v>151</v>
      </c>
      <c r="E16" s="644"/>
      <c r="F16" s="644"/>
      <c r="G16" s="644">
        <f>SUM(G17:G57)</f>
        <v>559050987.34000003</v>
      </c>
      <c r="H16" s="644">
        <f>SUM(H17:H57)</f>
        <v>231492930.63999999</v>
      </c>
      <c r="I16" s="644">
        <f>SUM(I17:I57)</f>
        <v>327558056.70000005</v>
      </c>
      <c r="J16" s="644">
        <f>SUM(J17:J57)</f>
        <v>321042256.70000005</v>
      </c>
      <c r="K16" s="131"/>
      <c r="L16" s="131"/>
      <c r="M16" s="131"/>
    </row>
    <row r="17" spans="1:13" ht="230.25" thickTop="1" thickBot="1" x14ac:dyDescent="0.25">
      <c r="A17" s="101" t="s">
        <v>232</v>
      </c>
      <c r="B17" s="101" t="s">
        <v>233</v>
      </c>
      <c r="C17" s="101" t="s">
        <v>234</v>
      </c>
      <c r="D17" s="101" t="s">
        <v>231</v>
      </c>
      <c r="E17" s="318" t="s">
        <v>1038</v>
      </c>
      <c r="F17" s="315" t="s">
        <v>857</v>
      </c>
      <c r="G17" s="315">
        <f t="shared" ref="G17:G34" si="1">H17+I17</f>
        <v>440000</v>
      </c>
      <c r="H17" s="319">
        <v>0</v>
      </c>
      <c r="I17" s="315">
        <f>(((0)+435000)+30000)-25000</f>
        <v>440000</v>
      </c>
      <c r="J17" s="315">
        <f>(((0)+435000)+30000)-25000</f>
        <v>440000</v>
      </c>
      <c r="K17" s="252"/>
      <c r="L17" s="252"/>
      <c r="M17" s="252"/>
    </row>
    <row r="18" spans="1:13" ht="321.75" hidden="1" thickTop="1" thickBot="1" x14ac:dyDescent="0.25">
      <c r="A18" s="126" t="s">
        <v>232</v>
      </c>
      <c r="B18" s="126" t="s">
        <v>233</v>
      </c>
      <c r="C18" s="126" t="s">
        <v>234</v>
      </c>
      <c r="D18" s="126" t="s">
        <v>231</v>
      </c>
      <c r="E18" s="194" t="s">
        <v>1211</v>
      </c>
      <c r="F18" s="194" t="s">
        <v>859</v>
      </c>
      <c r="G18" s="194">
        <f t="shared" si="1"/>
        <v>0</v>
      </c>
      <c r="H18" s="254">
        <v>0</v>
      </c>
      <c r="I18" s="194">
        <v>0</v>
      </c>
      <c r="J18" s="194">
        <v>0</v>
      </c>
      <c r="K18" s="255"/>
      <c r="L18" s="255"/>
      <c r="M18" s="255"/>
    </row>
    <row r="19" spans="1:13" ht="230.25" hidden="1" thickTop="1" thickBot="1" x14ac:dyDescent="0.25">
      <c r="A19" s="41" t="s">
        <v>232</v>
      </c>
      <c r="B19" s="41" t="s">
        <v>233</v>
      </c>
      <c r="C19" s="41" t="s">
        <v>234</v>
      </c>
      <c r="D19" s="41" t="s">
        <v>231</v>
      </c>
      <c r="E19" s="256" t="s">
        <v>872</v>
      </c>
      <c r="F19" s="73" t="s">
        <v>873</v>
      </c>
      <c r="G19" s="73">
        <f t="shared" si="1"/>
        <v>0</v>
      </c>
      <c r="H19" s="257"/>
      <c r="I19" s="73"/>
      <c r="J19" s="73"/>
      <c r="K19" s="258"/>
      <c r="L19" s="148"/>
      <c r="M19" s="137"/>
    </row>
    <row r="20" spans="1:13" ht="230.25" hidden="1" thickTop="1" thickBot="1" x14ac:dyDescent="0.25">
      <c r="A20" s="126" t="s">
        <v>232</v>
      </c>
      <c r="B20" s="126" t="s">
        <v>233</v>
      </c>
      <c r="C20" s="126" t="s">
        <v>234</v>
      </c>
      <c r="D20" s="126" t="s">
        <v>231</v>
      </c>
      <c r="E20" s="253" t="s">
        <v>1152</v>
      </c>
      <c r="F20" s="194" t="s">
        <v>1151</v>
      </c>
      <c r="G20" s="194">
        <f t="shared" si="1"/>
        <v>0</v>
      </c>
      <c r="H20" s="254">
        <v>0</v>
      </c>
      <c r="I20" s="194">
        <v>0</v>
      </c>
      <c r="J20" s="194">
        <v>0</v>
      </c>
      <c r="K20" s="258"/>
      <c r="L20" s="148"/>
      <c r="M20" s="137"/>
    </row>
    <row r="21" spans="1:13" ht="230.25" hidden="1" thickTop="1" thickBot="1" x14ac:dyDescent="0.25">
      <c r="A21" s="126" t="s">
        <v>232</v>
      </c>
      <c r="B21" s="126" t="s">
        <v>233</v>
      </c>
      <c r="C21" s="126" t="s">
        <v>234</v>
      </c>
      <c r="D21" s="126" t="s">
        <v>231</v>
      </c>
      <c r="E21" s="253" t="s">
        <v>1441</v>
      </c>
      <c r="F21" s="194" t="s">
        <v>1442</v>
      </c>
      <c r="G21" s="194">
        <f t="shared" si="1"/>
        <v>0</v>
      </c>
      <c r="H21" s="254">
        <v>0</v>
      </c>
      <c r="I21" s="194">
        <v>0</v>
      </c>
      <c r="J21" s="194">
        <v>0</v>
      </c>
      <c r="K21" s="258"/>
      <c r="L21" s="148"/>
      <c r="M21" s="137"/>
    </row>
    <row r="22" spans="1:13" ht="230.25" hidden="1" thickTop="1" thickBot="1" x14ac:dyDescent="0.25">
      <c r="A22" s="126" t="s">
        <v>232</v>
      </c>
      <c r="B22" s="126" t="s">
        <v>233</v>
      </c>
      <c r="C22" s="126" t="s">
        <v>234</v>
      </c>
      <c r="D22" s="126" t="s">
        <v>231</v>
      </c>
      <c r="E22" s="253" t="s">
        <v>1281</v>
      </c>
      <c r="F22" s="194" t="s">
        <v>1282</v>
      </c>
      <c r="G22" s="194">
        <f t="shared" si="1"/>
        <v>0</v>
      </c>
      <c r="H22" s="254">
        <v>0</v>
      </c>
      <c r="I22" s="194">
        <v>0</v>
      </c>
      <c r="J22" s="194">
        <v>0</v>
      </c>
      <c r="K22" s="258"/>
      <c r="L22" s="148"/>
      <c r="M22" s="137"/>
    </row>
    <row r="23" spans="1:13" ht="321.75" hidden="1" thickTop="1" thickBot="1" x14ac:dyDescent="0.25">
      <c r="A23" s="126" t="s">
        <v>624</v>
      </c>
      <c r="B23" s="126" t="s">
        <v>362</v>
      </c>
      <c r="C23" s="126" t="s">
        <v>625</v>
      </c>
      <c r="D23" s="126" t="s">
        <v>626</v>
      </c>
      <c r="E23" s="253" t="s">
        <v>1296</v>
      </c>
      <c r="F23" s="194" t="s">
        <v>1297</v>
      </c>
      <c r="G23" s="194">
        <f t="shared" si="1"/>
        <v>0</v>
      </c>
      <c r="H23" s="254">
        <f>'d3'!E20</f>
        <v>0</v>
      </c>
      <c r="I23" s="194">
        <v>0</v>
      </c>
      <c r="J23" s="194">
        <v>0</v>
      </c>
      <c r="K23" s="258"/>
      <c r="L23" s="148"/>
      <c r="M23" s="137"/>
    </row>
    <row r="24" spans="1:13" ht="276" thickTop="1" thickBot="1" x14ac:dyDescent="0.25">
      <c r="A24" s="101" t="s">
        <v>247</v>
      </c>
      <c r="B24" s="101" t="s">
        <v>43</v>
      </c>
      <c r="C24" s="101" t="s">
        <v>42</v>
      </c>
      <c r="D24" s="101" t="s">
        <v>248</v>
      </c>
      <c r="E24" s="318" t="s">
        <v>1384</v>
      </c>
      <c r="F24" s="315" t="s">
        <v>1347</v>
      </c>
      <c r="G24" s="315">
        <f t="shared" si="1"/>
        <v>31260320</v>
      </c>
      <c r="H24" s="319">
        <f>((21000000+1410000+10000000)-6450000)+4550320+750000</f>
        <v>31260320</v>
      </c>
      <c r="I24" s="315">
        <v>0</v>
      </c>
      <c r="J24" s="315">
        <v>0</v>
      </c>
      <c r="K24" s="881" t="b">
        <f>H24+H26+H25+H28+H27='d3'!E21</f>
        <v>1</v>
      </c>
      <c r="L24" s="877"/>
      <c r="M24" s="877"/>
    </row>
    <row r="25" spans="1:13" ht="138.75" hidden="1" thickTop="1" thickBot="1" x14ac:dyDescent="0.25">
      <c r="A25" s="101" t="s">
        <v>247</v>
      </c>
      <c r="B25" s="101" t="s">
        <v>43</v>
      </c>
      <c r="C25" s="101" t="s">
        <v>42</v>
      </c>
      <c r="D25" s="101" t="s">
        <v>248</v>
      </c>
      <c r="E25" s="318" t="s">
        <v>1520</v>
      </c>
      <c r="F25" s="315" t="s">
        <v>1536</v>
      </c>
      <c r="G25" s="315">
        <f t="shared" ref="G25" si="2">H25+I25</f>
        <v>0</v>
      </c>
      <c r="H25" s="319">
        <f>950000-100000-850000</f>
        <v>0</v>
      </c>
      <c r="I25" s="315">
        <v>0</v>
      </c>
      <c r="J25" s="315">
        <v>0</v>
      </c>
      <c r="K25" s="881"/>
      <c r="L25" s="877"/>
      <c r="M25" s="877"/>
    </row>
    <row r="26" spans="1:13" ht="184.7" customHeight="1" thickTop="1" thickBot="1" x14ac:dyDescent="0.25">
      <c r="A26" s="101" t="s">
        <v>247</v>
      </c>
      <c r="B26" s="101" t="s">
        <v>43</v>
      </c>
      <c r="C26" s="101" t="s">
        <v>42</v>
      </c>
      <c r="D26" s="101" t="s">
        <v>248</v>
      </c>
      <c r="E26" s="318" t="s">
        <v>1511</v>
      </c>
      <c r="F26" s="315" t="s">
        <v>1537</v>
      </c>
      <c r="G26" s="315">
        <f t="shared" si="1"/>
        <v>2731400</v>
      </c>
      <c r="H26" s="319">
        <f>112000+1669400+100000+850000</f>
        <v>2731400</v>
      </c>
      <c r="I26" s="315">
        <v>0</v>
      </c>
      <c r="J26" s="315">
        <v>0</v>
      </c>
      <c r="K26" s="882"/>
      <c r="L26" s="878"/>
      <c r="M26" s="878"/>
    </row>
    <row r="27" spans="1:13" ht="184.7" hidden="1" customHeight="1" thickTop="1" thickBot="1" x14ac:dyDescent="0.25">
      <c r="A27" s="126" t="s">
        <v>247</v>
      </c>
      <c r="B27" s="126" t="s">
        <v>43</v>
      </c>
      <c r="C27" s="126" t="s">
        <v>42</v>
      </c>
      <c r="D27" s="126" t="s">
        <v>248</v>
      </c>
      <c r="E27" s="253" t="s">
        <v>1266</v>
      </c>
      <c r="F27" s="194" t="s">
        <v>935</v>
      </c>
      <c r="G27" s="194">
        <f t="shared" si="1"/>
        <v>0</v>
      </c>
      <c r="H27" s="254">
        <v>0</v>
      </c>
      <c r="I27" s="194">
        <v>0</v>
      </c>
      <c r="J27" s="194">
        <v>0</v>
      </c>
      <c r="K27" s="137"/>
      <c r="L27" s="137"/>
      <c r="M27" s="137"/>
    </row>
    <row r="28" spans="1:13" ht="230.25" hidden="1" thickTop="1" thickBot="1" x14ac:dyDescent="0.25">
      <c r="A28" s="101" t="s">
        <v>247</v>
      </c>
      <c r="B28" s="101" t="s">
        <v>43</v>
      </c>
      <c r="C28" s="101" t="s">
        <v>42</v>
      </c>
      <c r="D28" s="101" t="s">
        <v>248</v>
      </c>
      <c r="E28" s="315" t="s">
        <v>1521</v>
      </c>
      <c r="F28" s="327" t="s">
        <v>1191</v>
      </c>
      <c r="G28" s="315">
        <f>H28+I28</f>
        <v>0</v>
      </c>
      <c r="H28" s="315">
        <f>((((90000000-10000000+32000000-67690000+1000000-2000000+30000000)-23310000)-30000000)-7182000)-12818000</f>
        <v>0</v>
      </c>
      <c r="I28" s="315">
        <v>0</v>
      </c>
      <c r="J28" s="315">
        <v>0</v>
      </c>
      <c r="K28" s="137"/>
      <c r="L28" s="137"/>
      <c r="M28" s="137"/>
    </row>
    <row r="29" spans="1:13" ht="184.5" thickTop="1" thickBot="1" x14ac:dyDescent="0.25">
      <c r="A29" s="101" t="s">
        <v>1625</v>
      </c>
      <c r="B29" s="101" t="s">
        <v>329</v>
      </c>
      <c r="C29" s="101" t="s">
        <v>191</v>
      </c>
      <c r="D29" s="466" t="s">
        <v>331</v>
      </c>
      <c r="E29" s="318" t="s">
        <v>1227</v>
      </c>
      <c r="F29" s="315" t="s">
        <v>869</v>
      </c>
      <c r="G29" s="315">
        <f>H29+I29</f>
        <v>1900000</v>
      </c>
      <c r="H29" s="315">
        <f>'d3'!E24</f>
        <v>1900000</v>
      </c>
      <c r="I29" s="315">
        <f>'d3'!J24</f>
        <v>0</v>
      </c>
      <c r="J29" s="315">
        <f>'d3'!K24</f>
        <v>0</v>
      </c>
      <c r="K29" s="137"/>
      <c r="L29" s="137"/>
      <c r="M29" s="137"/>
    </row>
    <row r="30" spans="1:13" ht="138.75" thickTop="1" thickBot="1" x14ac:dyDescent="0.25">
      <c r="A30" s="101" t="s">
        <v>238</v>
      </c>
      <c r="B30" s="101" t="s">
        <v>239</v>
      </c>
      <c r="C30" s="101" t="s">
        <v>240</v>
      </c>
      <c r="D30" s="101" t="s">
        <v>237</v>
      </c>
      <c r="E30" s="318" t="s">
        <v>1038</v>
      </c>
      <c r="F30" s="315" t="s">
        <v>857</v>
      </c>
      <c r="G30" s="315">
        <f t="shared" si="1"/>
        <v>5383000</v>
      </c>
      <c r="H30" s="315">
        <f>'d3'!E27</f>
        <v>5383000</v>
      </c>
      <c r="I30" s="315">
        <f>'d3'!J27</f>
        <v>0</v>
      </c>
      <c r="J30" s="315">
        <f>'d3'!K27</f>
        <v>0</v>
      </c>
      <c r="K30" s="95" t="b">
        <f>H30='d3'!E27</f>
        <v>1</v>
      </c>
      <c r="L30" s="461" t="b">
        <f>I30='d3'!J27</f>
        <v>1</v>
      </c>
      <c r="M30" s="549" t="b">
        <f>J30='d3'!K27</f>
        <v>1</v>
      </c>
    </row>
    <row r="31" spans="1:13" ht="138.75" hidden="1" thickTop="1" thickBot="1" x14ac:dyDescent="0.25">
      <c r="A31" s="41" t="s">
        <v>977</v>
      </c>
      <c r="B31" s="41" t="s">
        <v>978</v>
      </c>
      <c r="C31" s="41" t="s">
        <v>240</v>
      </c>
      <c r="D31" s="41" t="s">
        <v>979</v>
      </c>
      <c r="E31" s="256" t="s">
        <v>1038</v>
      </c>
      <c r="F31" s="73" t="s">
        <v>857</v>
      </c>
      <c r="G31" s="194">
        <f t="shared" si="1"/>
        <v>0</v>
      </c>
      <c r="H31" s="194">
        <f>'d3'!E28</f>
        <v>0</v>
      </c>
      <c r="I31" s="194">
        <f>'d3'!J28</f>
        <v>0</v>
      </c>
      <c r="J31" s="194">
        <f>'d3'!K28</f>
        <v>0</v>
      </c>
      <c r="K31" s="252" t="b">
        <f>H31='d3'!E28</f>
        <v>1</v>
      </c>
      <c r="L31" s="259" t="b">
        <f>I31='d3'!J28</f>
        <v>1</v>
      </c>
      <c r="M31" s="260" t="b">
        <f>J31='d3'!K28</f>
        <v>1</v>
      </c>
    </row>
    <row r="32" spans="1:13" ht="184.5" hidden="1" thickTop="1" thickBot="1" x14ac:dyDescent="0.25">
      <c r="A32" s="126" t="s">
        <v>1403</v>
      </c>
      <c r="B32" s="126" t="s">
        <v>212</v>
      </c>
      <c r="C32" s="126" t="s">
        <v>213</v>
      </c>
      <c r="D32" s="126" t="s">
        <v>41</v>
      </c>
      <c r="E32" s="253" t="s">
        <v>1441</v>
      </c>
      <c r="F32" s="194" t="s">
        <v>1442</v>
      </c>
      <c r="G32" s="194">
        <f t="shared" si="1"/>
        <v>0</v>
      </c>
      <c r="H32" s="194">
        <v>0</v>
      </c>
      <c r="I32" s="194">
        <v>0</v>
      </c>
      <c r="J32" s="194">
        <v>0</v>
      </c>
      <c r="K32" s="252" t="b">
        <f>'d3'!E30='d7'!H32</f>
        <v>1</v>
      </c>
      <c r="L32" s="259" t="b">
        <f>I32='d3'!J30</f>
        <v>1</v>
      </c>
      <c r="M32" s="260" t="b">
        <f>J32='d3'!K30</f>
        <v>1</v>
      </c>
    </row>
    <row r="33" spans="1:13" ht="138.75" thickTop="1" thickBot="1" x14ac:dyDescent="0.25">
      <c r="A33" s="101" t="s">
        <v>299</v>
      </c>
      <c r="B33" s="101" t="s">
        <v>300</v>
      </c>
      <c r="C33" s="101" t="s">
        <v>170</v>
      </c>
      <c r="D33" s="101" t="s">
        <v>442</v>
      </c>
      <c r="E33" s="318" t="s">
        <v>1511</v>
      </c>
      <c r="F33" s="315" t="s">
        <v>1537</v>
      </c>
      <c r="G33" s="315">
        <f t="shared" si="1"/>
        <v>329335</v>
      </c>
      <c r="H33" s="315">
        <f>'d3'!E31</f>
        <v>329335</v>
      </c>
      <c r="I33" s="315">
        <f>'d3'!J31</f>
        <v>0</v>
      </c>
      <c r="J33" s="315">
        <f>'d3'!K31</f>
        <v>0</v>
      </c>
      <c r="K33" s="95" t="b">
        <f>H33='d3'!E31</f>
        <v>1</v>
      </c>
      <c r="L33" s="461" t="b">
        <f>I33='d3'!J31</f>
        <v>1</v>
      </c>
      <c r="M33" s="549" t="b">
        <f>J33='d3'!K31</f>
        <v>1</v>
      </c>
    </row>
    <row r="34" spans="1:13" ht="292.5" customHeight="1" thickTop="1" thickBot="1" x14ac:dyDescent="0.7">
      <c r="A34" s="748" t="s">
        <v>339</v>
      </c>
      <c r="B34" s="748" t="s">
        <v>338</v>
      </c>
      <c r="C34" s="748" t="s">
        <v>170</v>
      </c>
      <c r="D34" s="556" t="s">
        <v>440</v>
      </c>
      <c r="E34" s="875" t="s">
        <v>1511</v>
      </c>
      <c r="F34" s="740" t="s">
        <v>1537</v>
      </c>
      <c r="G34" s="740">
        <f t="shared" si="1"/>
        <v>6515800</v>
      </c>
      <c r="H34" s="740">
        <f>'d3'!E33</f>
        <v>0</v>
      </c>
      <c r="I34" s="740">
        <f>'d3'!J33</f>
        <v>6515800</v>
      </c>
      <c r="J34" s="740">
        <f>'d3'!K33</f>
        <v>0</v>
      </c>
      <c r="K34" s="95" t="b">
        <f>H34='d3'!E33</f>
        <v>1</v>
      </c>
      <c r="L34" s="461" t="b">
        <f>I34='d3'!J33</f>
        <v>1</v>
      </c>
      <c r="M34" s="549" t="b">
        <f>J34='d3'!K33</f>
        <v>1</v>
      </c>
    </row>
    <row r="35" spans="1:13" ht="138.75" customHeight="1" thickTop="1" thickBot="1" x14ac:dyDescent="0.25">
      <c r="A35" s="777"/>
      <c r="B35" s="777"/>
      <c r="C35" s="777"/>
      <c r="D35" s="557" t="s">
        <v>441</v>
      </c>
      <c r="E35" s="876"/>
      <c r="F35" s="741"/>
      <c r="G35" s="885"/>
      <c r="H35" s="885"/>
      <c r="I35" s="885"/>
      <c r="J35" s="885"/>
      <c r="K35" s="137"/>
      <c r="L35" s="137"/>
      <c r="M35" s="137"/>
    </row>
    <row r="36" spans="1:13" ht="184.5" thickTop="1" thickBot="1" x14ac:dyDescent="0.25">
      <c r="A36" s="101" t="s">
        <v>914</v>
      </c>
      <c r="B36" s="101" t="s">
        <v>257</v>
      </c>
      <c r="C36" s="101" t="s">
        <v>170</v>
      </c>
      <c r="D36" s="101" t="s">
        <v>255</v>
      </c>
      <c r="E36" s="315" t="s">
        <v>1522</v>
      </c>
      <c r="F36" s="327" t="s">
        <v>1171</v>
      </c>
      <c r="G36" s="315">
        <f t="shared" ref="G36:G44" si="3">H36+I36</f>
        <v>2362000</v>
      </c>
      <c r="H36" s="315">
        <f>'d3'!E35</f>
        <v>2362000</v>
      </c>
      <c r="I36" s="315">
        <f>'d3'!J35</f>
        <v>0</v>
      </c>
      <c r="J36" s="315">
        <f>'d3'!K35</f>
        <v>0</v>
      </c>
      <c r="K36" s="137"/>
      <c r="L36" s="137"/>
      <c r="M36" s="137"/>
    </row>
    <row r="37" spans="1:13" ht="230.25" thickTop="1" thickBot="1" x14ac:dyDescent="0.25">
      <c r="A37" s="101" t="s">
        <v>1212</v>
      </c>
      <c r="B37" s="101" t="s">
        <v>1213</v>
      </c>
      <c r="C37" s="101" t="s">
        <v>1188</v>
      </c>
      <c r="D37" s="101" t="s">
        <v>1214</v>
      </c>
      <c r="E37" s="315" t="s">
        <v>1521</v>
      </c>
      <c r="F37" s="327" t="s">
        <v>1191</v>
      </c>
      <c r="G37" s="315">
        <f t="shared" si="3"/>
        <v>182500000</v>
      </c>
      <c r="H37" s="315">
        <f>((5000000+3000000+8000000+10000000)+6000000)+1074105.5+9000000</f>
        <v>42074105.5</v>
      </c>
      <c r="I37" s="315">
        <f>(((25000000+15000000)+60500000)+25000000)-1074105.5+16000000</f>
        <v>140425894.5</v>
      </c>
      <c r="J37" s="315">
        <f>(((25000000+15000000)+60500000)+25000000)-1074105.5+16000000</f>
        <v>140425894.5</v>
      </c>
      <c r="K37" s="95" t="b">
        <f>H37+H39+H38='d3'!E38</f>
        <v>1</v>
      </c>
      <c r="L37" s="461" t="b">
        <f>I37+I39+I38='d3'!J38</f>
        <v>1</v>
      </c>
      <c r="M37" s="461" t="b">
        <f>J37+J39+J38='d3'!K38</f>
        <v>1</v>
      </c>
    </row>
    <row r="38" spans="1:13" ht="138.75" hidden="1" thickTop="1" thickBot="1" x14ac:dyDescent="0.25">
      <c r="A38" s="101" t="s">
        <v>1212</v>
      </c>
      <c r="B38" s="101" t="s">
        <v>1213</v>
      </c>
      <c r="C38" s="101" t="s">
        <v>1188</v>
      </c>
      <c r="D38" s="101" t="s">
        <v>1214</v>
      </c>
      <c r="E38" s="101" t="s">
        <v>1512</v>
      </c>
      <c r="F38" s="315" t="s">
        <v>1538</v>
      </c>
      <c r="G38" s="315">
        <f t="shared" ref="G38" si="4">H38+I38</f>
        <v>0</v>
      </c>
      <c r="H38" s="315">
        <v>0</v>
      </c>
      <c r="I38" s="315">
        <v>0</v>
      </c>
      <c r="J38" s="315">
        <v>0</v>
      </c>
      <c r="K38" s="701"/>
      <c r="L38" s="701"/>
      <c r="M38" s="701"/>
    </row>
    <row r="39" spans="1:13" ht="321.75" hidden="1" thickTop="1" thickBot="1" x14ac:dyDescent="0.25">
      <c r="A39" s="126" t="s">
        <v>1212</v>
      </c>
      <c r="B39" s="126" t="s">
        <v>1213</v>
      </c>
      <c r="C39" s="126" t="s">
        <v>1188</v>
      </c>
      <c r="D39" s="126" t="s">
        <v>1214</v>
      </c>
      <c r="E39" s="194" t="s">
        <v>1389</v>
      </c>
      <c r="F39" s="194" t="s">
        <v>859</v>
      </c>
      <c r="G39" s="194">
        <f t="shared" si="3"/>
        <v>0</v>
      </c>
      <c r="H39" s="194">
        <v>0</v>
      </c>
      <c r="I39" s="194">
        <v>0</v>
      </c>
      <c r="J39" s="194">
        <v>0</v>
      </c>
      <c r="K39" s="137"/>
      <c r="L39" s="137"/>
      <c r="M39" s="137"/>
    </row>
    <row r="40" spans="1:13" ht="138.75" thickTop="1" thickBot="1" x14ac:dyDescent="0.25">
      <c r="A40" s="101" t="s">
        <v>1189</v>
      </c>
      <c r="B40" s="101" t="s">
        <v>1190</v>
      </c>
      <c r="C40" s="101" t="s">
        <v>1188</v>
      </c>
      <c r="D40" s="101" t="s">
        <v>1187</v>
      </c>
      <c r="E40" s="101" t="s">
        <v>1629</v>
      </c>
      <c r="F40" s="315" t="s">
        <v>1538</v>
      </c>
      <c r="G40" s="315">
        <f t="shared" si="3"/>
        <v>5000000</v>
      </c>
      <c r="H40" s="315">
        <f>(5000000)</f>
        <v>5000000</v>
      </c>
      <c r="I40" s="315">
        <v>0</v>
      </c>
      <c r="J40" s="315">
        <v>0</v>
      </c>
      <c r="K40" s="95" t="b">
        <f>H40+H41='d3'!E39</f>
        <v>1</v>
      </c>
      <c r="L40" s="461" t="b">
        <f>I40+I41='d3'!J39</f>
        <v>1</v>
      </c>
      <c r="M40" s="461" t="b">
        <f>J40+J41='d3'!K39</f>
        <v>1</v>
      </c>
    </row>
    <row r="41" spans="1:13" ht="138.75" thickTop="1" thickBot="1" x14ac:dyDescent="0.25">
      <c r="A41" s="101" t="s">
        <v>1189</v>
      </c>
      <c r="B41" s="101" t="s">
        <v>1190</v>
      </c>
      <c r="C41" s="101" t="s">
        <v>1188</v>
      </c>
      <c r="D41" s="101" t="s">
        <v>1187</v>
      </c>
      <c r="E41" s="315" t="s">
        <v>1539</v>
      </c>
      <c r="F41" s="315" t="s">
        <v>1540</v>
      </c>
      <c r="G41" s="315">
        <f>H41+I41</f>
        <v>9607405.3399999999</v>
      </c>
      <c r="H41" s="315">
        <f>((3862000)+760769+200000+370480+40000+435000+49750)+230000</f>
        <v>5947999</v>
      </c>
      <c r="I41" s="315">
        <f>((0)+739231+1266175.34+1250000+124000+25000+485000)-230000</f>
        <v>3659406.34</v>
      </c>
      <c r="J41" s="315">
        <f>((0)+739231+1266175.34+1250000+124000+25000+485000)-230000</f>
        <v>3659406.34</v>
      </c>
      <c r="K41" s="13"/>
      <c r="L41" s="13"/>
      <c r="M41" s="13"/>
    </row>
    <row r="42" spans="1:13" ht="138.75" thickTop="1" thickBot="1" x14ac:dyDescent="0.25">
      <c r="A42" s="101" t="s">
        <v>241</v>
      </c>
      <c r="B42" s="101" t="s">
        <v>242</v>
      </c>
      <c r="C42" s="101" t="s">
        <v>243</v>
      </c>
      <c r="D42" s="101" t="s">
        <v>244</v>
      </c>
      <c r="E42" s="315" t="s">
        <v>1541</v>
      </c>
      <c r="F42" s="315" t="s">
        <v>1542</v>
      </c>
      <c r="G42" s="315">
        <f t="shared" si="3"/>
        <v>10200000</v>
      </c>
      <c r="H42" s="315">
        <f>'d3'!E41</f>
        <v>10200000</v>
      </c>
      <c r="I42" s="315">
        <f>'d3'!J41</f>
        <v>0</v>
      </c>
      <c r="J42" s="315">
        <f>'d3'!K41</f>
        <v>0</v>
      </c>
      <c r="K42" s="95" t="b">
        <f>H42='d3'!E41</f>
        <v>1</v>
      </c>
      <c r="L42" s="461" t="b">
        <f>I42='d3'!J41</f>
        <v>1</v>
      </c>
      <c r="M42" s="549" t="b">
        <f>J42='d3'!K41</f>
        <v>1</v>
      </c>
    </row>
    <row r="43" spans="1:13" ht="184.5" thickTop="1" thickBot="1" x14ac:dyDescent="0.25">
      <c r="A43" s="101" t="s">
        <v>245</v>
      </c>
      <c r="B43" s="101" t="s">
        <v>246</v>
      </c>
      <c r="C43" s="101" t="s">
        <v>43</v>
      </c>
      <c r="D43" s="101" t="s">
        <v>443</v>
      </c>
      <c r="E43" s="318" t="s">
        <v>1511</v>
      </c>
      <c r="F43" s="315" t="s">
        <v>1537</v>
      </c>
      <c r="G43" s="315">
        <f t="shared" si="3"/>
        <v>1178000</v>
      </c>
      <c r="H43" s="319">
        <f>'d3'!E44</f>
        <v>1178000</v>
      </c>
      <c r="I43" s="315">
        <f>'d3'!J44</f>
        <v>0</v>
      </c>
      <c r="J43" s="315">
        <f>'d3'!K44</f>
        <v>0</v>
      </c>
      <c r="K43" s="95" t="b">
        <f>H43='d3'!E44</f>
        <v>1</v>
      </c>
      <c r="L43" s="461" t="b">
        <f>I43='d3'!J44</f>
        <v>1</v>
      </c>
      <c r="M43" s="461" t="b">
        <f>J43='d3'!K44</f>
        <v>1</v>
      </c>
    </row>
    <row r="44" spans="1:13" ht="138.75" thickTop="1" thickBot="1" x14ac:dyDescent="0.25">
      <c r="A44" s="101" t="s">
        <v>575</v>
      </c>
      <c r="B44" s="101" t="s">
        <v>363</v>
      </c>
      <c r="C44" s="101" t="s">
        <v>43</v>
      </c>
      <c r="D44" s="101" t="s">
        <v>364</v>
      </c>
      <c r="E44" s="318" t="s">
        <v>1511</v>
      </c>
      <c r="F44" s="315" t="s">
        <v>1537</v>
      </c>
      <c r="G44" s="315">
        <f t="shared" si="3"/>
        <v>155600</v>
      </c>
      <c r="H44" s="319">
        <f>'d3'!E45</f>
        <v>155600</v>
      </c>
      <c r="I44" s="315">
        <f>'d3'!J45</f>
        <v>0</v>
      </c>
      <c r="J44" s="315">
        <f>'d3'!K45</f>
        <v>0</v>
      </c>
      <c r="K44" s="95" t="b">
        <f>H44='d3'!E45</f>
        <v>1</v>
      </c>
      <c r="L44" s="461" t="b">
        <f>I44='d3'!J45</f>
        <v>1</v>
      </c>
      <c r="M44" s="461" t="b">
        <f>J44='d3'!K45</f>
        <v>1</v>
      </c>
    </row>
    <row r="45" spans="1:13" ht="230.25" thickTop="1" thickBot="1" x14ac:dyDescent="0.25">
      <c r="A45" s="101" t="s">
        <v>513</v>
      </c>
      <c r="B45" s="101" t="s">
        <v>514</v>
      </c>
      <c r="C45" s="101" t="s">
        <v>43</v>
      </c>
      <c r="D45" s="101" t="s">
        <v>515</v>
      </c>
      <c r="E45" s="315" t="s">
        <v>1521</v>
      </c>
      <c r="F45" s="327" t="s">
        <v>1191</v>
      </c>
      <c r="G45" s="315">
        <f t="shared" ref="G45:G57" si="5">H45+I45</f>
        <v>263649127</v>
      </c>
      <c r="H45" s="315">
        <f>((((35873318.14-300000+2000000)+43144600)+500000-600000-400000-200000-6000000+6000000+72800+106000+60000-2000000+2000000-3000000+3000000+12000+1000+600000+264000+76418+225000-600000)-579000+280000)+11147686.62+3559500-6000000+500000-3147686.62+5000000-1559500+2000000+1300000+1000000</f>
        <v>94336136.140000001</v>
      </c>
      <c r="I45" s="315">
        <f>((((26816681.86-700000)+94834900)+3000000+7300000+3000000+900000+6954220+45780+1000000+2000000+400000+1200000+506250+280000-10025000+9800000+600000+300000)+7761000-280000)-3000000+2228283.13+771716.87-495000+494550-100000+90765-600000+537000-46400+119085+4000000+1200000+800000+200000+420000+1000000+6000000+8000000+2119159-5000000-3120000-2000000</f>
        <v>169312990.86000001</v>
      </c>
      <c r="J45" s="315">
        <f>((((26816681.86-700000)+94834900)+3000000+7300000+3000000+900000+6954220+45780+1000000+2000000+400000+1200000+506250+280000-10025000+9800000+600000+300000)+7761000-280000)-3000000+2228283.13+771716.87-495000+494550-100000+90765-600000+537000-46400+119085+4000000+1200000+800000+200000+420000+1000000+6000000+8000000+2119159-5000000-3120000-2000000</f>
        <v>169312990.86000001</v>
      </c>
      <c r="K45" s="95" t="b">
        <f>H45+H46+H47+H48+H49+H50+H56+H51+H53+H55+H52+H57+H54='d3'!E46</f>
        <v>1</v>
      </c>
      <c r="L45" s="461" t="b">
        <f>I45+I46+I47+I48+I49+I50+I56+I53+I55+I51+I52+I57+I54='d3'!J46</f>
        <v>1</v>
      </c>
      <c r="M45" s="461" t="b">
        <f>J45+J46+J47+J48+J49+J50+J56+J53+J55+J51+J52+J57+J54='d3'!K46</f>
        <v>1</v>
      </c>
    </row>
    <row r="46" spans="1:13" ht="321.75" thickTop="1" thickBot="1" x14ac:dyDescent="0.25">
      <c r="A46" s="101" t="s">
        <v>513</v>
      </c>
      <c r="B46" s="101" t="s">
        <v>514</v>
      </c>
      <c r="C46" s="101" t="s">
        <v>43</v>
      </c>
      <c r="D46" s="101" t="s">
        <v>515</v>
      </c>
      <c r="E46" s="315" t="s">
        <v>1389</v>
      </c>
      <c r="F46" s="315" t="s">
        <v>859</v>
      </c>
      <c r="G46" s="315">
        <f t="shared" si="5"/>
        <v>4500000</v>
      </c>
      <c r="H46" s="315">
        <f>((2900000)+880000+120000)+500000</f>
        <v>4400000</v>
      </c>
      <c r="I46" s="315">
        <v>100000</v>
      </c>
      <c r="J46" s="315">
        <v>100000</v>
      </c>
      <c r="K46" s="252"/>
      <c r="L46" s="259"/>
      <c r="M46" s="260"/>
    </row>
    <row r="47" spans="1:13" ht="230.25" thickTop="1" thickBot="1" x14ac:dyDescent="0.25">
      <c r="A47" s="101" t="s">
        <v>513</v>
      </c>
      <c r="B47" s="101" t="s">
        <v>514</v>
      </c>
      <c r="C47" s="101" t="s">
        <v>43</v>
      </c>
      <c r="D47" s="101" t="s">
        <v>515</v>
      </c>
      <c r="E47" s="315" t="s">
        <v>1042</v>
      </c>
      <c r="F47" s="315" t="s">
        <v>934</v>
      </c>
      <c r="G47" s="315">
        <f t="shared" si="5"/>
        <v>9464000</v>
      </c>
      <c r="H47" s="315">
        <f>(4214000)+2464000+732035</f>
        <v>7410035</v>
      </c>
      <c r="I47" s="315">
        <f>((786000)+1000000)+267965</f>
        <v>2053965</v>
      </c>
      <c r="J47" s="315">
        <f>((786000)+1000000)+267965</f>
        <v>2053965</v>
      </c>
      <c r="K47" s="252"/>
      <c r="L47" s="259"/>
      <c r="M47" s="260"/>
    </row>
    <row r="48" spans="1:13" ht="138.75" thickTop="1" thickBot="1" x14ac:dyDescent="0.25">
      <c r="A48" s="101" t="s">
        <v>513</v>
      </c>
      <c r="B48" s="101" t="s">
        <v>514</v>
      </c>
      <c r="C48" s="101" t="s">
        <v>43</v>
      </c>
      <c r="D48" s="101" t="s">
        <v>515</v>
      </c>
      <c r="E48" s="315" t="s">
        <v>1381</v>
      </c>
      <c r="F48" s="315" t="s">
        <v>1311</v>
      </c>
      <c r="G48" s="315">
        <f t="shared" si="5"/>
        <v>15220000</v>
      </c>
      <c r="H48" s="315">
        <f>((5000000)+7020000)+2700000</f>
        <v>14720000</v>
      </c>
      <c r="I48" s="315">
        <f>(0)+500000</f>
        <v>500000</v>
      </c>
      <c r="J48" s="315">
        <f>(0)+500000</f>
        <v>500000</v>
      </c>
      <c r="K48" s="252"/>
      <c r="L48" s="259"/>
      <c r="M48" s="260"/>
    </row>
    <row r="49" spans="1:13" ht="321.75" thickTop="1" thickBot="1" x14ac:dyDescent="0.25">
      <c r="A49" s="101" t="s">
        <v>513</v>
      </c>
      <c r="B49" s="101" t="s">
        <v>514</v>
      </c>
      <c r="C49" s="101" t="s">
        <v>43</v>
      </c>
      <c r="D49" s="101" t="s">
        <v>515</v>
      </c>
      <c r="E49" s="315" t="s">
        <v>1343</v>
      </c>
      <c r="F49" s="315" t="s">
        <v>1310</v>
      </c>
      <c r="G49" s="315">
        <f t="shared" si="5"/>
        <v>4000000</v>
      </c>
      <c r="H49" s="315">
        <v>0</v>
      </c>
      <c r="I49" s="315">
        <v>4000000</v>
      </c>
      <c r="J49" s="315">
        <v>4000000</v>
      </c>
      <c r="K49" s="252"/>
      <c r="L49" s="259"/>
      <c r="M49" s="260"/>
    </row>
    <row r="50" spans="1:13" ht="230.25" thickTop="1" thickBot="1" x14ac:dyDescent="0.25">
      <c r="A50" s="101" t="s">
        <v>513</v>
      </c>
      <c r="B50" s="101" t="s">
        <v>514</v>
      </c>
      <c r="C50" s="101" t="s">
        <v>43</v>
      </c>
      <c r="D50" s="101" t="s">
        <v>515</v>
      </c>
      <c r="E50" s="315" t="s">
        <v>1382</v>
      </c>
      <c r="F50" s="315" t="s">
        <v>1348</v>
      </c>
      <c r="G50" s="315">
        <f>H50+I50</f>
        <v>1500000</v>
      </c>
      <c r="H50" s="315">
        <v>1435000</v>
      </c>
      <c r="I50" s="315">
        <v>65000</v>
      </c>
      <c r="J50" s="315">
        <v>65000</v>
      </c>
      <c r="K50" s="252"/>
      <c r="L50" s="259"/>
      <c r="M50" s="260"/>
    </row>
    <row r="51" spans="1:13" ht="276" thickTop="1" thickBot="1" x14ac:dyDescent="0.25">
      <c r="A51" s="101" t="s">
        <v>513</v>
      </c>
      <c r="B51" s="101" t="s">
        <v>514</v>
      </c>
      <c r="C51" s="101" t="s">
        <v>43</v>
      </c>
      <c r="D51" s="101" t="s">
        <v>515</v>
      </c>
      <c r="E51" s="315" t="s">
        <v>1594</v>
      </c>
      <c r="F51" s="315" t="s">
        <v>1630</v>
      </c>
      <c r="G51" s="315">
        <f t="shared" si="5"/>
        <v>1085000</v>
      </c>
      <c r="H51" s="315">
        <f>1000000-400000</f>
        <v>600000</v>
      </c>
      <c r="I51" s="315">
        <v>485000</v>
      </c>
      <c r="J51" s="315">
        <v>485000</v>
      </c>
      <c r="K51" s="252"/>
      <c r="L51" s="259"/>
      <c r="M51" s="260"/>
    </row>
    <row r="52" spans="1:13" ht="230.25" hidden="1" thickTop="1" thickBot="1" x14ac:dyDescent="0.25">
      <c r="A52" s="126" t="s">
        <v>513</v>
      </c>
      <c r="B52" s="126" t="s">
        <v>514</v>
      </c>
      <c r="C52" s="126" t="s">
        <v>43</v>
      </c>
      <c r="D52" s="126" t="s">
        <v>515</v>
      </c>
      <c r="E52" s="194" t="s">
        <v>1404</v>
      </c>
      <c r="F52" s="194" t="s">
        <v>1405</v>
      </c>
      <c r="G52" s="194">
        <f t="shared" si="5"/>
        <v>0</v>
      </c>
      <c r="H52" s="194"/>
      <c r="I52" s="194"/>
      <c r="J52" s="194"/>
      <c r="K52" s="252"/>
      <c r="L52" s="259"/>
      <c r="M52" s="260"/>
    </row>
    <row r="53" spans="1:13" ht="230.25" hidden="1" thickTop="1" thickBot="1" x14ac:dyDescent="0.25">
      <c r="A53" s="101" t="s">
        <v>513</v>
      </c>
      <c r="B53" s="101" t="s">
        <v>514</v>
      </c>
      <c r="C53" s="101" t="s">
        <v>43</v>
      </c>
      <c r="D53" s="101" t="s">
        <v>515</v>
      </c>
      <c r="E53" s="315" t="s">
        <v>1593</v>
      </c>
      <c r="F53" s="315"/>
      <c r="G53" s="315">
        <f t="shared" si="5"/>
        <v>0</v>
      </c>
      <c r="H53" s="315">
        <v>0</v>
      </c>
      <c r="I53" s="315">
        <f>800000-800000</f>
        <v>0</v>
      </c>
      <c r="J53" s="315">
        <f>800000-800000</f>
        <v>0</v>
      </c>
      <c r="K53" s="252"/>
      <c r="L53" s="259"/>
      <c r="M53" s="260"/>
    </row>
    <row r="54" spans="1:13" ht="230.25" thickTop="1" thickBot="1" x14ac:dyDescent="0.25">
      <c r="A54" s="101" t="s">
        <v>513</v>
      </c>
      <c r="B54" s="101" t="s">
        <v>514</v>
      </c>
      <c r="C54" s="101" t="s">
        <v>43</v>
      </c>
      <c r="D54" s="101" t="s">
        <v>515</v>
      </c>
      <c r="E54" s="315" t="s">
        <v>1631</v>
      </c>
      <c r="F54" s="315" t="s">
        <v>1632</v>
      </c>
      <c r="G54" s="315">
        <f t="shared" si="5"/>
        <v>70000</v>
      </c>
      <c r="H54" s="315">
        <f>(24000+20000+15000+11000)</f>
        <v>70000</v>
      </c>
      <c r="I54" s="315">
        <v>0</v>
      </c>
      <c r="J54" s="315">
        <v>0</v>
      </c>
      <c r="K54" s="252"/>
      <c r="L54" s="259"/>
      <c r="M54" s="260"/>
    </row>
    <row r="55" spans="1:13" ht="313.5" hidden="1" thickTop="1" thickBot="1" x14ac:dyDescent="0.25">
      <c r="A55" s="126" t="s">
        <v>513</v>
      </c>
      <c r="B55" s="126" t="s">
        <v>514</v>
      </c>
      <c r="C55" s="126" t="s">
        <v>43</v>
      </c>
      <c r="D55" s="126" t="s">
        <v>515</v>
      </c>
      <c r="E55" s="448" t="s">
        <v>1331</v>
      </c>
      <c r="F55" s="194" t="s">
        <v>1332</v>
      </c>
      <c r="G55" s="194">
        <f t="shared" si="5"/>
        <v>0</v>
      </c>
      <c r="H55" s="194"/>
      <c r="I55" s="194"/>
      <c r="J55" s="194"/>
      <c r="K55" s="252"/>
      <c r="L55" s="259"/>
      <c r="M55" s="260"/>
    </row>
    <row r="56" spans="1:13" ht="184.5" hidden="1" thickTop="1" thickBot="1" x14ac:dyDescent="0.25">
      <c r="A56" s="126" t="s">
        <v>513</v>
      </c>
      <c r="B56" s="126" t="s">
        <v>514</v>
      </c>
      <c r="C56" s="126" t="s">
        <v>43</v>
      </c>
      <c r="D56" s="126" t="s">
        <v>515</v>
      </c>
      <c r="E56" s="194" t="s">
        <v>1299</v>
      </c>
      <c r="F56" s="194" t="s">
        <v>951</v>
      </c>
      <c r="G56" s="194">
        <f t="shared" si="5"/>
        <v>0</v>
      </c>
      <c r="H56" s="194"/>
      <c r="I56" s="194"/>
      <c r="J56" s="194"/>
      <c r="K56" s="252"/>
      <c r="L56" s="259"/>
      <c r="M56" s="260"/>
    </row>
    <row r="57" spans="1:13" ht="230.25" hidden="1" thickTop="1" thickBot="1" x14ac:dyDescent="0.25">
      <c r="A57" s="126" t="s">
        <v>513</v>
      </c>
      <c r="B57" s="126" t="s">
        <v>514</v>
      </c>
      <c r="C57" s="126" t="s">
        <v>43</v>
      </c>
      <c r="D57" s="126" t="s">
        <v>515</v>
      </c>
      <c r="E57" s="194" t="s">
        <v>1445</v>
      </c>
      <c r="F57" s="194" t="s">
        <v>1446</v>
      </c>
      <c r="G57" s="194">
        <f t="shared" si="5"/>
        <v>0</v>
      </c>
      <c r="H57" s="194"/>
      <c r="I57" s="194"/>
      <c r="J57" s="194"/>
      <c r="K57" s="252"/>
      <c r="L57" s="259"/>
      <c r="M57" s="260"/>
    </row>
    <row r="58" spans="1:13" ht="170.1" customHeight="1" thickTop="1" thickBot="1" x14ac:dyDescent="0.25">
      <c r="A58" s="645" t="s">
        <v>152</v>
      </c>
      <c r="B58" s="645"/>
      <c r="C58" s="645"/>
      <c r="D58" s="646" t="s">
        <v>0</v>
      </c>
      <c r="E58" s="645"/>
      <c r="F58" s="645"/>
      <c r="G58" s="648">
        <f>G59</f>
        <v>2529567529.3200006</v>
      </c>
      <c r="H58" s="648">
        <f t="shared" ref="H58:J58" si="6">H59</f>
        <v>2175600382.1799998</v>
      </c>
      <c r="I58" s="648">
        <f t="shared" si="6"/>
        <v>353967147.13999999</v>
      </c>
      <c r="J58" s="648">
        <f t="shared" si="6"/>
        <v>135791746.99000001</v>
      </c>
      <c r="K58" s="95" t="b">
        <f>H58='d3'!E48</f>
        <v>1</v>
      </c>
      <c r="L58" s="461" t="b">
        <f>I58='d3'!J48</f>
        <v>1</v>
      </c>
      <c r="M58" s="549" t="b">
        <f>J58='d3'!K47</f>
        <v>1</v>
      </c>
    </row>
    <row r="59" spans="1:13" ht="170.1" customHeight="1" thickTop="1" thickBot="1" x14ac:dyDescent="0.25">
      <c r="A59" s="642" t="s">
        <v>153</v>
      </c>
      <c r="B59" s="642"/>
      <c r="C59" s="642"/>
      <c r="D59" s="643" t="s">
        <v>1</v>
      </c>
      <c r="E59" s="644"/>
      <c r="F59" s="644"/>
      <c r="G59" s="644">
        <f>SUM(G60:G107)</f>
        <v>2529567529.3200006</v>
      </c>
      <c r="H59" s="644">
        <f>SUM(H60:H107)</f>
        <v>2175600382.1799998</v>
      </c>
      <c r="I59" s="644">
        <f>SUM(I60:I107)</f>
        <v>353967147.13999999</v>
      </c>
      <c r="J59" s="644">
        <f>SUM(J60:J107)</f>
        <v>135791746.99000001</v>
      </c>
      <c r="K59" s="137"/>
      <c r="L59" s="137"/>
      <c r="M59" s="137"/>
    </row>
    <row r="60" spans="1:13" ht="138.75" thickTop="1" thickBot="1" x14ac:dyDescent="0.25">
      <c r="A60" s="101" t="s">
        <v>198</v>
      </c>
      <c r="B60" s="101" t="s">
        <v>199</v>
      </c>
      <c r="C60" s="101" t="s">
        <v>201</v>
      </c>
      <c r="D60" s="101" t="s">
        <v>202</v>
      </c>
      <c r="E60" s="318" t="s">
        <v>1397</v>
      </c>
      <c r="F60" s="315" t="s">
        <v>1168</v>
      </c>
      <c r="G60" s="315">
        <f t="shared" ref="G60:G79" si="7">H60+I60</f>
        <v>694300397</v>
      </c>
      <c r="H60" s="315">
        <f>'d3'!E50-H61-H62</f>
        <v>598038959</v>
      </c>
      <c r="I60" s="315">
        <f>'d3'!J50-I61-I62</f>
        <v>96261438</v>
      </c>
      <c r="J60" s="315">
        <f>'d3'!K50-J61-J62</f>
        <v>574768</v>
      </c>
      <c r="K60" s="95" t="b">
        <f>H60+H61+H62='d3'!E50</f>
        <v>1</v>
      </c>
      <c r="L60" s="461" t="b">
        <f>I60+I61+I62='d3'!J50</f>
        <v>1</v>
      </c>
      <c r="M60" s="461" t="b">
        <f>J60+J61+J62='d3'!K50</f>
        <v>1</v>
      </c>
    </row>
    <row r="61" spans="1:13" ht="184.5" thickTop="1" thickBot="1" x14ac:dyDescent="0.25">
      <c r="A61" s="101" t="s">
        <v>198</v>
      </c>
      <c r="B61" s="101" t="s">
        <v>199</v>
      </c>
      <c r="C61" s="101" t="s">
        <v>201</v>
      </c>
      <c r="D61" s="101" t="s">
        <v>202</v>
      </c>
      <c r="E61" s="318" t="s">
        <v>1618</v>
      </c>
      <c r="F61" s="315" t="s">
        <v>1619</v>
      </c>
      <c r="G61" s="315">
        <f>H61+I61</f>
        <v>669968</v>
      </c>
      <c r="H61" s="315">
        <f>235238+334730</f>
        <v>569968</v>
      </c>
      <c r="I61" s="315">
        <f>100000</f>
        <v>100000</v>
      </c>
      <c r="J61" s="315">
        <f>100000</f>
        <v>100000</v>
      </c>
      <c r="K61" s="137"/>
      <c r="L61" s="137"/>
      <c r="M61" s="137"/>
    </row>
    <row r="62" spans="1:13" ht="321.75" thickTop="1" thickBot="1" x14ac:dyDescent="0.25">
      <c r="A62" s="101" t="s">
        <v>198</v>
      </c>
      <c r="B62" s="101" t="s">
        <v>199</v>
      </c>
      <c r="C62" s="101" t="s">
        <v>201</v>
      </c>
      <c r="D62" s="101" t="s">
        <v>202</v>
      </c>
      <c r="E62" s="315" t="s">
        <v>1389</v>
      </c>
      <c r="F62" s="315" t="s">
        <v>859</v>
      </c>
      <c r="G62" s="315">
        <f t="shared" si="7"/>
        <v>100000</v>
      </c>
      <c r="H62" s="315">
        <v>100000</v>
      </c>
      <c r="I62" s="315"/>
      <c r="J62" s="315"/>
      <c r="K62" s="137"/>
      <c r="L62" s="137"/>
      <c r="M62" s="137"/>
    </row>
    <row r="63" spans="1:13" ht="138.75" thickTop="1" thickBot="1" x14ac:dyDescent="0.25">
      <c r="A63" s="101" t="s">
        <v>641</v>
      </c>
      <c r="B63" s="101" t="s">
        <v>642</v>
      </c>
      <c r="C63" s="101" t="s">
        <v>204</v>
      </c>
      <c r="D63" s="101" t="s">
        <v>1275</v>
      </c>
      <c r="E63" s="318" t="s">
        <v>1397</v>
      </c>
      <c r="F63" s="315" t="s">
        <v>1168</v>
      </c>
      <c r="G63" s="315">
        <f t="shared" si="7"/>
        <v>614940190.23000002</v>
      </c>
      <c r="H63" s="315">
        <f>'d3'!E52-H64-H65-H66</f>
        <v>513350571.10000002</v>
      </c>
      <c r="I63" s="315">
        <f>'d3'!J52-I64-I65-I66</f>
        <v>101589619.13</v>
      </c>
      <c r="J63" s="315">
        <f>'d3'!K52-J64-J65-J66</f>
        <v>23967399.129999999</v>
      </c>
      <c r="K63" s="95" t="b">
        <f>H63+H64+H65+H66='d3'!E52</f>
        <v>1</v>
      </c>
      <c r="L63" s="461" t="b">
        <f>I63+I64+I65+I66='d3'!J52</f>
        <v>1</v>
      </c>
      <c r="M63" s="461" t="b">
        <f>J63+J64+J65='d3'!K52</f>
        <v>1</v>
      </c>
    </row>
    <row r="64" spans="1:13" ht="184.5" thickTop="1" thickBot="1" x14ac:dyDescent="0.25">
      <c r="A64" s="101" t="s">
        <v>641</v>
      </c>
      <c r="B64" s="101" t="s">
        <v>642</v>
      </c>
      <c r="C64" s="101" t="s">
        <v>204</v>
      </c>
      <c r="D64" s="101" t="s">
        <v>1275</v>
      </c>
      <c r="E64" s="318" t="s">
        <v>1618</v>
      </c>
      <c r="F64" s="315" t="s">
        <v>1619</v>
      </c>
      <c r="G64" s="315">
        <f t="shared" si="7"/>
        <v>854242</v>
      </c>
      <c r="H64" s="315">
        <f>6400+252942</f>
        <v>259342</v>
      </c>
      <c r="I64" s="315">
        <f>594900</f>
        <v>594900</v>
      </c>
      <c r="J64" s="315">
        <f>594900</f>
        <v>594900</v>
      </c>
      <c r="K64" s="256"/>
      <c r="L64" s="137"/>
      <c r="M64" s="137"/>
    </row>
    <row r="65" spans="1:13" ht="138.75" hidden="1" thickTop="1" thickBot="1" x14ac:dyDescent="0.25">
      <c r="A65" s="41" t="s">
        <v>641</v>
      </c>
      <c r="B65" s="41" t="s">
        <v>642</v>
      </c>
      <c r="C65" s="41" t="s">
        <v>204</v>
      </c>
      <c r="D65" s="126" t="s">
        <v>1275</v>
      </c>
      <c r="E65" s="253" t="s">
        <v>1167</v>
      </c>
      <c r="F65" s="194" t="s">
        <v>1168</v>
      </c>
      <c r="G65" s="73">
        <f>H65+I65</f>
        <v>0</v>
      </c>
      <c r="H65" s="73">
        <v>0</v>
      </c>
      <c r="I65" s="73">
        <v>0</v>
      </c>
      <c r="J65" s="73">
        <v>0</v>
      </c>
      <c r="K65" s="137"/>
      <c r="L65" s="137"/>
      <c r="M65" s="137"/>
    </row>
    <row r="66" spans="1:13" ht="321.75" thickTop="1" thickBot="1" x14ac:dyDescent="0.25">
      <c r="A66" s="101" t="s">
        <v>641</v>
      </c>
      <c r="B66" s="101" t="s">
        <v>642</v>
      </c>
      <c r="C66" s="101" t="s">
        <v>204</v>
      </c>
      <c r="D66" s="101" t="s">
        <v>1275</v>
      </c>
      <c r="E66" s="315" t="s">
        <v>1389</v>
      </c>
      <c r="F66" s="315" t="s">
        <v>859</v>
      </c>
      <c r="G66" s="315">
        <f t="shared" si="7"/>
        <v>200000</v>
      </c>
      <c r="H66" s="315">
        <v>200000</v>
      </c>
      <c r="I66" s="315"/>
      <c r="J66" s="315"/>
      <c r="K66" s="137"/>
      <c r="L66" s="137"/>
      <c r="M66" s="137"/>
    </row>
    <row r="67" spans="1:13" ht="230.25" thickTop="1" thickBot="1" x14ac:dyDescent="0.25">
      <c r="A67" s="101" t="s">
        <v>650</v>
      </c>
      <c r="B67" s="101" t="s">
        <v>651</v>
      </c>
      <c r="C67" s="101" t="s">
        <v>207</v>
      </c>
      <c r="D67" s="101" t="s">
        <v>1276</v>
      </c>
      <c r="E67" s="318" t="s">
        <v>1397</v>
      </c>
      <c r="F67" s="315" t="s">
        <v>1168</v>
      </c>
      <c r="G67" s="315">
        <f t="shared" si="7"/>
        <v>32513701</v>
      </c>
      <c r="H67" s="315">
        <f>'d3'!E53-H68</f>
        <v>32241551</v>
      </c>
      <c r="I67" s="315">
        <f>'d3'!J53-I68</f>
        <v>272150</v>
      </c>
      <c r="J67" s="315">
        <f>'d3'!K53-J68</f>
        <v>100000</v>
      </c>
      <c r="K67" s="95" t="b">
        <f>H67+H68='d3'!E53</f>
        <v>1</v>
      </c>
      <c r="L67" s="95" t="b">
        <f>I67+I68='d3'!J53</f>
        <v>1</v>
      </c>
      <c r="M67" s="95" t="b">
        <f>J67+J68='d3'!K53</f>
        <v>1</v>
      </c>
    </row>
    <row r="68" spans="1:13" ht="184.5" hidden="1" thickTop="1" thickBot="1" x14ac:dyDescent="0.25">
      <c r="A68" s="41" t="s">
        <v>650</v>
      </c>
      <c r="B68" s="41" t="s">
        <v>651</v>
      </c>
      <c r="C68" s="41" t="s">
        <v>207</v>
      </c>
      <c r="D68" s="41" t="s">
        <v>497</v>
      </c>
      <c r="E68" s="256" t="s">
        <v>583</v>
      </c>
      <c r="F68" s="73" t="s">
        <v>407</v>
      </c>
      <c r="G68" s="73">
        <f t="shared" si="7"/>
        <v>0</v>
      </c>
      <c r="H68" s="73">
        <v>0</v>
      </c>
      <c r="I68" s="73"/>
      <c r="J68" s="73"/>
      <c r="K68" s="256" t="s">
        <v>563</v>
      </c>
      <c r="L68" s="137"/>
      <c r="M68" s="137"/>
    </row>
    <row r="69" spans="1:13" ht="184.5" thickTop="1" thickBot="1" x14ac:dyDescent="0.25">
      <c r="A69" s="101" t="s">
        <v>997</v>
      </c>
      <c r="B69" s="101" t="s">
        <v>998</v>
      </c>
      <c r="C69" s="101" t="s">
        <v>207</v>
      </c>
      <c r="D69" s="101" t="s">
        <v>1277</v>
      </c>
      <c r="E69" s="318" t="s">
        <v>1397</v>
      </c>
      <c r="F69" s="315" t="s">
        <v>1168</v>
      </c>
      <c r="G69" s="315">
        <f t="shared" si="7"/>
        <v>21398491</v>
      </c>
      <c r="H69" s="315">
        <f>'d3'!E54</f>
        <v>20648491</v>
      </c>
      <c r="I69" s="315">
        <f>'d3'!J54</f>
        <v>750000</v>
      </c>
      <c r="J69" s="315">
        <f>'d3'!K54</f>
        <v>750000</v>
      </c>
      <c r="K69" s="262"/>
      <c r="L69" s="137"/>
      <c r="M69" s="137"/>
    </row>
    <row r="70" spans="1:13" ht="138.75" thickTop="1" thickBot="1" x14ac:dyDescent="0.25">
      <c r="A70" s="101" t="s">
        <v>659</v>
      </c>
      <c r="B70" s="101" t="s">
        <v>660</v>
      </c>
      <c r="C70" s="101" t="s">
        <v>204</v>
      </c>
      <c r="D70" s="101" t="s">
        <v>1278</v>
      </c>
      <c r="E70" s="318" t="s">
        <v>1397</v>
      </c>
      <c r="F70" s="315" t="s">
        <v>1168</v>
      </c>
      <c r="G70" s="315">
        <f t="shared" si="7"/>
        <v>723235253</v>
      </c>
      <c r="H70" s="315">
        <f>'d3'!E56</f>
        <v>723235253</v>
      </c>
      <c r="I70" s="315">
        <f>'d3'!J56</f>
        <v>0</v>
      </c>
      <c r="J70" s="315">
        <f>'d3'!K56</f>
        <v>0</v>
      </c>
      <c r="K70" s="262"/>
      <c r="L70" s="137"/>
      <c r="M70" s="137"/>
    </row>
    <row r="71" spans="1:13" ht="138.75" thickTop="1" thickBot="1" x14ac:dyDescent="0.25">
      <c r="A71" s="101" t="s">
        <v>1130</v>
      </c>
      <c r="B71" s="101" t="s">
        <v>1131</v>
      </c>
      <c r="C71" s="101" t="s">
        <v>207</v>
      </c>
      <c r="D71" s="101" t="s">
        <v>1279</v>
      </c>
      <c r="E71" s="318" t="s">
        <v>1397</v>
      </c>
      <c r="F71" s="315" t="s">
        <v>1168</v>
      </c>
      <c r="G71" s="315">
        <f t="shared" ref="G71" si="8">H71+I71</f>
        <v>10990650</v>
      </c>
      <c r="H71" s="315">
        <f>'d3'!E57</f>
        <v>10990650</v>
      </c>
      <c r="I71" s="315">
        <f>'d3'!J57</f>
        <v>0</v>
      </c>
      <c r="J71" s="315">
        <f>'d3'!K57</f>
        <v>0</v>
      </c>
      <c r="K71" s="262"/>
      <c r="L71" s="137"/>
      <c r="M71" s="137"/>
    </row>
    <row r="72" spans="1:13" ht="359.25" thickTop="1" thickBot="1" x14ac:dyDescent="0.25">
      <c r="A72" s="101" t="s">
        <v>931</v>
      </c>
      <c r="B72" s="101" t="s">
        <v>932</v>
      </c>
      <c r="C72" s="101" t="s">
        <v>204</v>
      </c>
      <c r="D72" s="631" t="s">
        <v>1559</v>
      </c>
      <c r="E72" s="318" t="s">
        <v>1397</v>
      </c>
      <c r="F72" s="315" t="s">
        <v>1168</v>
      </c>
      <c r="G72" s="315">
        <f t="shared" si="7"/>
        <v>128512.77</v>
      </c>
      <c r="H72" s="315">
        <f>'d3'!E59</f>
        <v>128512.77</v>
      </c>
      <c r="I72" s="315">
        <f>'d3'!J59</f>
        <v>0</v>
      </c>
      <c r="J72" s="315">
        <f>'d3'!K59</f>
        <v>0</v>
      </c>
      <c r="K72" s="265"/>
      <c r="L72" s="137"/>
      <c r="M72" s="137"/>
    </row>
    <row r="73" spans="1:13" ht="138.75" thickTop="1" thickBot="1" x14ac:dyDescent="0.25">
      <c r="A73" s="101" t="s">
        <v>661</v>
      </c>
      <c r="B73" s="101" t="s">
        <v>206</v>
      </c>
      <c r="C73" s="101" t="s">
        <v>181</v>
      </c>
      <c r="D73" s="101" t="s">
        <v>499</v>
      </c>
      <c r="E73" s="318" t="s">
        <v>1397</v>
      </c>
      <c r="F73" s="315" t="s">
        <v>1168</v>
      </c>
      <c r="G73" s="315">
        <f t="shared" si="7"/>
        <v>40434506</v>
      </c>
      <c r="H73" s="315">
        <f>'d3'!E60-H75-H74</f>
        <v>38330846</v>
      </c>
      <c r="I73" s="315">
        <f>'d3'!J60-I75-I74</f>
        <v>2103660</v>
      </c>
      <c r="J73" s="315">
        <f>'d3'!K60-J75-J74</f>
        <v>1000000</v>
      </c>
      <c r="K73" s="95" t="b">
        <f>H73+H75+H74='d3'!E60</f>
        <v>1</v>
      </c>
      <c r="L73" s="95" t="b">
        <f>I73+I75+I74='d3'!J60</f>
        <v>1</v>
      </c>
      <c r="M73" s="95" t="b">
        <f>J73+J75+J74='d3'!K60</f>
        <v>1</v>
      </c>
    </row>
    <row r="74" spans="1:13" ht="184.5" thickTop="1" thickBot="1" x14ac:dyDescent="0.25">
      <c r="A74" s="101" t="s">
        <v>661</v>
      </c>
      <c r="B74" s="101" t="s">
        <v>206</v>
      </c>
      <c r="C74" s="101" t="s">
        <v>181</v>
      </c>
      <c r="D74" s="101" t="s">
        <v>499</v>
      </c>
      <c r="E74" s="318" t="s">
        <v>1618</v>
      </c>
      <c r="F74" s="315" t="s">
        <v>1619</v>
      </c>
      <c r="G74" s="315">
        <f t="shared" si="7"/>
        <v>563672</v>
      </c>
      <c r="H74" s="315">
        <f>487838</f>
        <v>487838</v>
      </c>
      <c r="I74" s="315">
        <v>75834</v>
      </c>
      <c r="J74" s="315">
        <v>75834</v>
      </c>
      <c r="K74" s="701"/>
      <c r="L74" s="701"/>
      <c r="M74" s="701"/>
    </row>
    <row r="75" spans="1:13" ht="321.75" thickTop="1" thickBot="1" x14ac:dyDescent="0.25">
      <c r="A75" s="101" t="s">
        <v>661</v>
      </c>
      <c r="B75" s="101" t="s">
        <v>206</v>
      </c>
      <c r="C75" s="101" t="s">
        <v>181</v>
      </c>
      <c r="D75" s="101" t="s">
        <v>499</v>
      </c>
      <c r="E75" s="315" t="s">
        <v>1389</v>
      </c>
      <c r="F75" s="315" t="s">
        <v>859</v>
      </c>
      <c r="G75" s="315">
        <f t="shared" si="7"/>
        <v>50000</v>
      </c>
      <c r="H75" s="315">
        <v>50000</v>
      </c>
      <c r="I75" s="315"/>
      <c r="J75" s="315"/>
      <c r="K75" s="137"/>
      <c r="L75" s="137"/>
      <c r="M75" s="137"/>
    </row>
    <row r="76" spans="1:13" ht="184.5" thickTop="1" thickBot="1" x14ac:dyDescent="0.25">
      <c r="A76" s="101" t="s">
        <v>662</v>
      </c>
      <c r="B76" s="101" t="s">
        <v>663</v>
      </c>
      <c r="C76" s="101" t="s">
        <v>209</v>
      </c>
      <c r="D76" s="101" t="s">
        <v>664</v>
      </c>
      <c r="E76" s="318" t="s">
        <v>1397</v>
      </c>
      <c r="F76" s="315" t="s">
        <v>1168</v>
      </c>
      <c r="G76" s="315">
        <f t="shared" si="7"/>
        <v>202194464.45999998</v>
      </c>
      <c r="H76" s="315">
        <f>'d3'!E62-H78-H77</f>
        <v>165894394.45999998</v>
      </c>
      <c r="I76" s="315">
        <f>'d3'!J62-I78-I77</f>
        <v>36300070</v>
      </c>
      <c r="J76" s="315">
        <f>'d3'!K62-J78-J77</f>
        <v>1262010</v>
      </c>
      <c r="K76" s="95" t="b">
        <f>H76+H78+H77='d3'!E62</f>
        <v>1</v>
      </c>
      <c r="L76" s="95" t="b">
        <f>I76+I78+I77='d3'!J62</f>
        <v>1</v>
      </c>
      <c r="M76" s="95" t="b">
        <f>J76+J78+J77='d3'!K62</f>
        <v>1</v>
      </c>
    </row>
    <row r="77" spans="1:13" ht="184.5" thickTop="1" thickBot="1" x14ac:dyDescent="0.25">
      <c r="A77" s="101" t="s">
        <v>662</v>
      </c>
      <c r="B77" s="101" t="s">
        <v>663</v>
      </c>
      <c r="C77" s="101" t="s">
        <v>209</v>
      </c>
      <c r="D77" s="101" t="s">
        <v>664</v>
      </c>
      <c r="E77" s="318" t="s">
        <v>1618</v>
      </c>
      <c r="F77" s="315" t="s">
        <v>1619</v>
      </c>
      <c r="G77" s="315">
        <f t="shared" si="7"/>
        <v>347124</v>
      </c>
      <c r="H77" s="315">
        <v>26316</v>
      </c>
      <c r="I77" s="315">
        <v>320808</v>
      </c>
      <c r="J77" s="315">
        <v>320808</v>
      </c>
      <c r="K77" s="701"/>
      <c r="L77" s="701"/>
      <c r="M77" s="701"/>
    </row>
    <row r="78" spans="1:13" ht="321.75" thickTop="1" thickBot="1" x14ac:dyDescent="0.25">
      <c r="A78" s="101" t="s">
        <v>662</v>
      </c>
      <c r="B78" s="101" t="s">
        <v>663</v>
      </c>
      <c r="C78" s="101" t="s">
        <v>209</v>
      </c>
      <c r="D78" s="101" t="s">
        <v>664</v>
      </c>
      <c r="E78" s="315" t="s">
        <v>1389</v>
      </c>
      <c r="F78" s="315" t="s">
        <v>859</v>
      </c>
      <c r="G78" s="315">
        <f t="shared" si="7"/>
        <v>50000</v>
      </c>
      <c r="H78" s="315">
        <v>50000</v>
      </c>
      <c r="I78" s="315"/>
      <c r="J78" s="315"/>
      <c r="K78" s="137"/>
      <c r="L78" s="137"/>
      <c r="M78" s="137"/>
    </row>
    <row r="79" spans="1:13" ht="138.75" thickTop="1" thickBot="1" x14ac:dyDescent="0.25">
      <c r="A79" s="101" t="s">
        <v>666</v>
      </c>
      <c r="B79" s="101" t="s">
        <v>665</v>
      </c>
      <c r="C79" s="101" t="s">
        <v>209</v>
      </c>
      <c r="D79" s="101" t="s">
        <v>667</v>
      </c>
      <c r="E79" s="318" t="s">
        <v>1397</v>
      </c>
      <c r="F79" s="315" t="s">
        <v>1168</v>
      </c>
      <c r="G79" s="315">
        <f t="shared" si="7"/>
        <v>25730400</v>
      </c>
      <c r="H79" s="315">
        <f>'d3'!E63</f>
        <v>25730400</v>
      </c>
      <c r="I79" s="315">
        <f>'d3'!J63</f>
        <v>0</v>
      </c>
      <c r="J79" s="315">
        <f>'d3'!K63</f>
        <v>0</v>
      </c>
      <c r="K79" s="137"/>
      <c r="L79" s="137"/>
      <c r="M79" s="137"/>
    </row>
    <row r="80" spans="1:13" ht="138.75" thickTop="1" thickBot="1" x14ac:dyDescent="0.25">
      <c r="A80" s="101" t="s">
        <v>671</v>
      </c>
      <c r="B80" s="101" t="s">
        <v>672</v>
      </c>
      <c r="C80" s="101" t="s">
        <v>210</v>
      </c>
      <c r="D80" s="101" t="s">
        <v>501</v>
      </c>
      <c r="E80" s="318" t="s">
        <v>1397</v>
      </c>
      <c r="F80" s="315" t="s">
        <v>1168</v>
      </c>
      <c r="G80" s="315">
        <f t="shared" ref="G80" si="9">H80+I80</f>
        <v>28436720.129999999</v>
      </c>
      <c r="H80" s="315">
        <f>'d3'!E65</f>
        <v>27658124</v>
      </c>
      <c r="I80" s="315">
        <f>'d3'!J65</f>
        <v>778596.13000000012</v>
      </c>
      <c r="J80" s="315">
        <f>'d3'!K65</f>
        <v>566756.13000000012</v>
      </c>
      <c r="K80" s="137"/>
      <c r="L80" s="137"/>
      <c r="M80" s="137"/>
    </row>
    <row r="81" spans="1:13" ht="138.75" thickTop="1" thickBot="1" x14ac:dyDescent="0.25">
      <c r="A81" s="101" t="s">
        <v>673</v>
      </c>
      <c r="B81" s="101" t="s">
        <v>674</v>
      </c>
      <c r="C81" s="101" t="s">
        <v>210</v>
      </c>
      <c r="D81" s="101" t="s">
        <v>337</v>
      </c>
      <c r="E81" s="318" t="s">
        <v>1397</v>
      </c>
      <c r="F81" s="315" t="s">
        <v>1168</v>
      </c>
      <c r="G81" s="315">
        <f>H81+I81</f>
        <v>652300</v>
      </c>
      <c r="H81" s="315">
        <f>'d3'!E66-H82</f>
        <v>652300</v>
      </c>
      <c r="I81" s="315">
        <f>'d3'!J66-I82</f>
        <v>0</v>
      </c>
      <c r="J81" s="315">
        <f>'d3'!K66-J82</f>
        <v>0</v>
      </c>
      <c r="K81" s="547" t="b">
        <f>H81+H82='d3'!E66</f>
        <v>1</v>
      </c>
      <c r="L81" s="548" t="b">
        <f>I81+I82='d3'!J66</f>
        <v>1</v>
      </c>
      <c r="M81" s="548" t="b">
        <f>J81+J82='d3'!K66</f>
        <v>1</v>
      </c>
    </row>
    <row r="82" spans="1:13" ht="230.25" hidden="1" customHeight="1" thickTop="1" thickBot="1" x14ac:dyDescent="0.25">
      <c r="A82" s="545" t="s">
        <v>673</v>
      </c>
      <c r="B82" s="545" t="s">
        <v>674</v>
      </c>
      <c r="C82" s="545" t="s">
        <v>210</v>
      </c>
      <c r="D82" s="545" t="s">
        <v>337</v>
      </c>
      <c r="E82" s="318" t="s">
        <v>1167</v>
      </c>
      <c r="F82" s="315" t="s">
        <v>1168</v>
      </c>
      <c r="G82" s="546">
        <f>H82+I82</f>
        <v>0</v>
      </c>
      <c r="H82" s="546"/>
      <c r="I82" s="546"/>
      <c r="J82" s="546"/>
      <c r="K82" s="256" t="s">
        <v>564</v>
      </c>
      <c r="L82" s="137"/>
      <c r="M82" s="137"/>
    </row>
    <row r="83" spans="1:13" ht="138.75" thickTop="1" thickBot="1" x14ac:dyDescent="0.25">
      <c r="A83" s="101" t="s">
        <v>677</v>
      </c>
      <c r="B83" s="101" t="s">
        <v>678</v>
      </c>
      <c r="C83" s="101" t="s">
        <v>210</v>
      </c>
      <c r="D83" s="101" t="s">
        <v>679</v>
      </c>
      <c r="E83" s="318" t="s">
        <v>1397</v>
      </c>
      <c r="F83" s="315" t="s">
        <v>1168</v>
      </c>
      <c r="G83" s="315">
        <f t="shared" ref="G83:G84" si="10">H83+I83</f>
        <v>1330123</v>
      </c>
      <c r="H83" s="315">
        <f>'d3'!E68</f>
        <v>1330123</v>
      </c>
      <c r="I83" s="315">
        <f>'d3'!J68</f>
        <v>0</v>
      </c>
      <c r="J83" s="315">
        <f>'d3'!K68</f>
        <v>0</v>
      </c>
      <c r="K83" s="137"/>
      <c r="L83" s="137"/>
      <c r="M83" s="137"/>
    </row>
    <row r="84" spans="1:13" ht="138.75" thickTop="1" thickBot="1" x14ac:dyDescent="0.25">
      <c r="A84" s="101" t="s">
        <v>680</v>
      </c>
      <c r="B84" s="101" t="s">
        <v>681</v>
      </c>
      <c r="C84" s="101" t="s">
        <v>210</v>
      </c>
      <c r="D84" s="101" t="s">
        <v>682</v>
      </c>
      <c r="E84" s="318" t="s">
        <v>1397</v>
      </c>
      <c r="F84" s="315" t="s">
        <v>1168</v>
      </c>
      <c r="G84" s="315">
        <f t="shared" si="10"/>
        <v>4927300</v>
      </c>
      <c r="H84" s="315">
        <f>'d3'!E69</f>
        <v>4927300</v>
      </c>
      <c r="I84" s="315">
        <f>'d3'!J69</f>
        <v>0</v>
      </c>
      <c r="J84" s="315">
        <f>'d3'!K69</f>
        <v>0</v>
      </c>
      <c r="K84" s="137"/>
      <c r="L84" s="137"/>
      <c r="M84" s="137"/>
    </row>
    <row r="85" spans="1:13" ht="138.75" thickTop="1" thickBot="1" x14ac:dyDescent="0.25">
      <c r="A85" s="101" t="s">
        <v>647</v>
      </c>
      <c r="B85" s="101" t="s">
        <v>648</v>
      </c>
      <c r="C85" s="101" t="s">
        <v>210</v>
      </c>
      <c r="D85" s="101" t="s">
        <v>649</v>
      </c>
      <c r="E85" s="318" t="s">
        <v>1397</v>
      </c>
      <c r="F85" s="315" t="s">
        <v>1168</v>
      </c>
      <c r="G85" s="315">
        <f t="shared" ref="G85:G86" si="11">H85+I85</f>
        <v>4021213</v>
      </c>
      <c r="H85" s="315">
        <f>'d3'!E70</f>
        <v>4021213</v>
      </c>
      <c r="I85" s="315">
        <f>'d3'!J70</f>
        <v>0</v>
      </c>
      <c r="J85" s="315">
        <f>'d3'!K70</f>
        <v>0</v>
      </c>
      <c r="K85" s="137"/>
      <c r="L85" s="137"/>
      <c r="M85" s="137"/>
    </row>
    <row r="86" spans="1:13" ht="367.5" hidden="1" customHeight="1" thickTop="1" thickBot="1" x14ac:dyDescent="0.25">
      <c r="A86" s="41" t="s">
        <v>655</v>
      </c>
      <c r="B86" s="41" t="s">
        <v>656</v>
      </c>
      <c r="C86" s="41" t="s">
        <v>210</v>
      </c>
      <c r="D86" s="41" t="s">
        <v>657</v>
      </c>
      <c r="E86" s="253" t="s">
        <v>1167</v>
      </c>
      <c r="F86" s="194" t="s">
        <v>1168</v>
      </c>
      <c r="G86" s="73">
        <f t="shared" si="11"/>
        <v>0</v>
      </c>
      <c r="H86" s="73">
        <f>'d3'!E72</f>
        <v>0</v>
      </c>
      <c r="I86" s="73">
        <f>'d3'!J72</f>
        <v>0</v>
      </c>
      <c r="J86" s="73">
        <f>'d3'!K72</f>
        <v>0</v>
      </c>
      <c r="K86" s="137"/>
      <c r="L86" s="137"/>
      <c r="M86" s="137"/>
    </row>
    <row r="87" spans="1:13" ht="321.75" hidden="1" customHeight="1" thickTop="1" thickBot="1" x14ac:dyDescent="0.25">
      <c r="A87" s="41" t="s">
        <v>980</v>
      </c>
      <c r="B87" s="41" t="s">
        <v>981</v>
      </c>
      <c r="C87" s="41" t="s">
        <v>210</v>
      </c>
      <c r="D87" s="41" t="s">
        <v>982</v>
      </c>
      <c r="E87" s="253" t="s">
        <v>1167</v>
      </c>
      <c r="F87" s="194" t="s">
        <v>1168</v>
      </c>
      <c r="G87" s="73">
        <f t="shared" ref="G87" si="12">H87+I87</f>
        <v>0</v>
      </c>
      <c r="H87" s="73">
        <f>'d3'!E73</f>
        <v>0</v>
      </c>
      <c r="I87" s="73">
        <f>'d3'!J73</f>
        <v>0</v>
      </c>
      <c r="J87" s="73">
        <f>'d3'!K73</f>
        <v>0</v>
      </c>
      <c r="K87" s="137"/>
      <c r="L87" s="137"/>
      <c r="M87" s="137"/>
    </row>
    <row r="88" spans="1:13" ht="409.6" hidden="1" customHeight="1" thickTop="1" thickBot="1" x14ac:dyDescent="0.25">
      <c r="A88" s="41" t="s">
        <v>1000</v>
      </c>
      <c r="B88" s="41" t="s">
        <v>1002</v>
      </c>
      <c r="C88" s="41" t="s">
        <v>210</v>
      </c>
      <c r="D88" s="41" t="s">
        <v>1004</v>
      </c>
      <c r="E88" s="253" t="s">
        <v>1167</v>
      </c>
      <c r="F88" s="194" t="s">
        <v>1168</v>
      </c>
      <c r="G88" s="73">
        <f>H88+I88</f>
        <v>0</v>
      </c>
      <c r="H88" s="73">
        <f>'d3'!E75</f>
        <v>0</v>
      </c>
      <c r="I88" s="73">
        <f>'d3'!J75</f>
        <v>0</v>
      </c>
      <c r="J88" s="73">
        <f>'d3'!K75</f>
        <v>0</v>
      </c>
      <c r="K88" s="137"/>
      <c r="L88" s="137"/>
      <c r="M88" s="137"/>
    </row>
    <row r="89" spans="1:13" ht="409.6" hidden="1" customHeight="1" thickTop="1" x14ac:dyDescent="0.2">
      <c r="A89" s="770" t="s">
        <v>1018</v>
      </c>
      <c r="B89" s="770" t="s">
        <v>1019</v>
      </c>
      <c r="C89" s="770" t="s">
        <v>210</v>
      </c>
      <c r="D89" s="770" t="s">
        <v>1020</v>
      </c>
      <c r="E89" s="253" t="s">
        <v>1167</v>
      </c>
      <c r="F89" s="194" t="s">
        <v>1168</v>
      </c>
      <c r="G89" s="865">
        <f>H89+I89</f>
        <v>0</v>
      </c>
      <c r="H89" s="865">
        <f>'d3'!E76</f>
        <v>0</v>
      </c>
      <c r="I89" s="865">
        <f>'d3'!J76</f>
        <v>0</v>
      </c>
      <c r="J89" s="865">
        <f>'d3'!K76</f>
        <v>0</v>
      </c>
      <c r="K89" s="137"/>
      <c r="L89" s="137"/>
      <c r="M89" s="137"/>
    </row>
    <row r="90" spans="1:13" ht="138.75" hidden="1" thickTop="1" thickBot="1" x14ac:dyDescent="0.25">
      <c r="A90" s="771"/>
      <c r="B90" s="771"/>
      <c r="C90" s="771"/>
      <c r="D90" s="771"/>
      <c r="E90" s="253" t="s">
        <v>1167</v>
      </c>
      <c r="F90" s="194" t="s">
        <v>1168</v>
      </c>
      <c r="G90" s="771"/>
      <c r="H90" s="771"/>
      <c r="I90" s="771">
        <f>'d3'!J77</f>
        <v>0</v>
      </c>
      <c r="J90" s="771">
        <f>'d3'!K77</f>
        <v>0</v>
      </c>
      <c r="K90" s="137"/>
      <c r="L90" s="137"/>
      <c r="M90" s="137"/>
    </row>
    <row r="91" spans="1:13" ht="184.5" thickTop="1" thickBot="1" x14ac:dyDescent="0.25">
      <c r="A91" s="101" t="s">
        <v>644</v>
      </c>
      <c r="B91" s="101" t="s">
        <v>645</v>
      </c>
      <c r="C91" s="101" t="s">
        <v>210</v>
      </c>
      <c r="D91" s="101" t="s">
        <v>646</v>
      </c>
      <c r="E91" s="318" t="s">
        <v>1397</v>
      </c>
      <c r="F91" s="315" t="s">
        <v>1168</v>
      </c>
      <c r="G91" s="315">
        <f t="shared" ref="G91:G107" si="13">H91+I91</f>
        <v>3668858</v>
      </c>
      <c r="H91" s="315">
        <f>'d3'!E78</f>
        <v>3668858</v>
      </c>
      <c r="I91" s="315">
        <f>'d3'!J78</f>
        <v>0</v>
      </c>
      <c r="J91" s="315">
        <f>'d3'!K78</f>
        <v>0</v>
      </c>
      <c r="K91" s="137"/>
      <c r="L91" s="137"/>
      <c r="M91" s="137"/>
    </row>
    <row r="92" spans="1:13" ht="230.25" thickTop="1" thickBot="1" x14ac:dyDescent="0.25">
      <c r="A92" s="101" t="s">
        <v>941</v>
      </c>
      <c r="B92" s="101" t="s">
        <v>942</v>
      </c>
      <c r="C92" s="101" t="s">
        <v>210</v>
      </c>
      <c r="D92" s="101" t="s">
        <v>1447</v>
      </c>
      <c r="E92" s="318" t="s">
        <v>1397</v>
      </c>
      <c r="F92" s="315" t="s">
        <v>1168</v>
      </c>
      <c r="G92" s="315">
        <f t="shared" si="13"/>
        <v>532739</v>
      </c>
      <c r="H92" s="315">
        <f>'d3'!E79</f>
        <v>532739</v>
      </c>
      <c r="I92" s="315">
        <f>'d3'!J79</f>
        <v>0</v>
      </c>
      <c r="J92" s="315">
        <f>'d3'!K79</f>
        <v>0</v>
      </c>
      <c r="K92" s="137"/>
      <c r="L92" s="137"/>
      <c r="M92" s="137"/>
    </row>
    <row r="93" spans="1:13" ht="230.25" thickTop="1" thickBot="1" x14ac:dyDescent="0.25">
      <c r="A93" s="101" t="s">
        <v>1006</v>
      </c>
      <c r="B93" s="101" t="s">
        <v>1008</v>
      </c>
      <c r="C93" s="101" t="s">
        <v>210</v>
      </c>
      <c r="D93" s="101" t="s">
        <v>1251</v>
      </c>
      <c r="E93" s="318" t="s">
        <v>1397</v>
      </c>
      <c r="F93" s="315" t="s">
        <v>1168</v>
      </c>
      <c r="G93" s="315">
        <f t="shared" si="13"/>
        <v>5766600</v>
      </c>
      <c r="H93" s="315">
        <f>'d3'!E81</f>
        <v>0</v>
      </c>
      <c r="I93" s="315">
        <f>'d3'!J81</f>
        <v>5766600</v>
      </c>
      <c r="J93" s="315">
        <f>'d3'!K81</f>
        <v>5766600</v>
      </c>
      <c r="K93" s="137"/>
      <c r="L93" s="137"/>
      <c r="M93" s="137"/>
    </row>
    <row r="94" spans="1:13" ht="263.25" customHeight="1" thickTop="1" thickBot="1" x14ac:dyDescent="0.25">
      <c r="A94" s="101" t="s">
        <v>1049</v>
      </c>
      <c r="B94" s="101" t="s">
        <v>1050</v>
      </c>
      <c r="C94" s="101" t="s">
        <v>210</v>
      </c>
      <c r="D94" s="101" t="s">
        <v>1595</v>
      </c>
      <c r="E94" s="318" t="s">
        <v>1397</v>
      </c>
      <c r="F94" s="315" t="s">
        <v>1168</v>
      </c>
      <c r="G94" s="315">
        <f t="shared" si="13"/>
        <v>8649900</v>
      </c>
      <c r="H94" s="315">
        <f>'d3'!E82</f>
        <v>0</v>
      </c>
      <c r="I94" s="315">
        <f>'d3'!J82</f>
        <v>8649900</v>
      </c>
      <c r="J94" s="315">
        <f>'d3'!K82</f>
        <v>8649900</v>
      </c>
      <c r="K94" s="137"/>
      <c r="L94" s="137"/>
      <c r="M94" s="137"/>
    </row>
    <row r="95" spans="1:13" ht="321.75" thickTop="1" thickBot="1" x14ac:dyDescent="0.25">
      <c r="A95" s="101" t="s">
        <v>1392</v>
      </c>
      <c r="B95" s="101" t="s">
        <v>1393</v>
      </c>
      <c r="C95" s="101" t="s">
        <v>210</v>
      </c>
      <c r="D95" s="101" t="s">
        <v>1548</v>
      </c>
      <c r="E95" s="315" t="s">
        <v>1389</v>
      </c>
      <c r="F95" s="315" t="s">
        <v>859</v>
      </c>
      <c r="G95" s="315">
        <f t="shared" si="13"/>
        <v>17000000</v>
      </c>
      <c r="H95" s="315">
        <f>'d3'!E84</f>
        <v>0</v>
      </c>
      <c r="I95" s="315">
        <f>'d3'!J84</f>
        <v>17000000</v>
      </c>
      <c r="J95" s="315">
        <f>'d3'!K84</f>
        <v>17000000</v>
      </c>
      <c r="K95" s="137"/>
      <c r="L95" s="137"/>
      <c r="M95" s="137"/>
    </row>
    <row r="96" spans="1:13" ht="321.75" hidden="1" thickTop="1" thickBot="1" x14ac:dyDescent="0.25">
      <c r="A96" s="126" t="s">
        <v>1394</v>
      </c>
      <c r="B96" s="126" t="s">
        <v>1395</v>
      </c>
      <c r="C96" s="126" t="s">
        <v>210</v>
      </c>
      <c r="D96" s="126" t="s">
        <v>1396</v>
      </c>
      <c r="E96" s="194" t="s">
        <v>1389</v>
      </c>
      <c r="F96" s="194" t="s">
        <v>859</v>
      </c>
      <c r="G96" s="194">
        <f t="shared" si="13"/>
        <v>0</v>
      </c>
      <c r="H96" s="194">
        <f>'d3'!E85</f>
        <v>0</v>
      </c>
      <c r="I96" s="194">
        <f>'d3'!J85</f>
        <v>0</v>
      </c>
      <c r="J96" s="194">
        <f>'d3'!K85</f>
        <v>0</v>
      </c>
      <c r="K96" s="137"/>
      <c r="L96" s="137"/>
      <c r="M96" s="137"/>
    </row>
    <row r="97" spans="1:13" ht="184.5" hidden="1" thickTop="1" thickBot="1" x14ac:dyDescent="0.25">
      <c r="A97" s="126" t="s">
        <v>1462</v>
      </c>
      <c r="B97" s="126" t="s">
        <v>1463</v>
      </c>
      <c r="C97" s="126" t="s">
        <v>210</v>
      </c>
      <c r="D97" s="126" t="s">
        <v>1467</v>
      </c>
      <c r="E97" s="253" t="s">
        <v>1397</v>
      </c>
      <c r="F97" s="194" t="s">
        <v>1168</v>
      </c>
      <c r="G97" s="194">
        <f t="shared" si="13"/>
        <v>0</v>
      </c>
      <c r="H97" s="194">
        <f>'d3'!E87</f>
        <v>0</v>
      </c>
      <c r="I97" s="194">
        <f>'d3'!J87</f>
        <v>0</v>
      </c>
      <c r="J97" s="194">
        <f>'d3'!K87</f>
        <v>0</v>
      </c>
      <c r="K97" s="137"/>
      <c r="L97" s="137"/>
      <c r="M97" s="137"/>
    </row>
    <row r="98" spans="1:13" ht="184.5" hidden="1" thickTop="1" thickBot="1" x14ac:dyDescent="0.25">
      <c r="A98" s="126" t="s">
        <v>1464</v>
      </c>
      <c r="B98" s="126" t="s">
        <v>1465</v>
      </c>
      <c r="C98" s="126" t="s">
        <v>210</v>
      </c>
      <c r="D98" s="126" t="s">
        <v>1466</v>
      </c>
      <c r="E98" s="253" t="s">
        <v>1397</v>
      </c>
      <c r="F98" s="194" t="s">
        <v>1168</v>
      </c>
      <c r="G98" s="194">
        <f t="shared" si="13"/>
        <v>0</v>
      </c>
      <c r="H98" s="194">
        <f>'d3'!E88</f>
        <v>0</v>
      </c>
      <c r="I98" s="194">
        <f>'d3'!J88</f>
        <v>0</v>
      </c>
      <c r="J98" s="194">
        <f>'d3'!K88</f>
        <v>0</v>
      </c>
      <c r="K98" s="137"/>
      <c r="L98" s="137"/>
      <c r="M98" s="137"/>
    </row>
    <row r="99" spans="1:13" ht="321.75" thickTop="1" thickBot="1" x14ac:dyDescent="0.25">
      <c r="A99" s="101" t="s">
        <v>1564</v>
      </c>
      <c r="B99" s="101" t="s">
        <v>1562</v>
      </c>
      <c r="C99" s="101" t="s">
        <v>210</v>
      </c>
      <c r="D99" s="101" t="s">
        <v>1565</v>
      </c>
      <c r="E99" s="318" t="s">
        <v>1397</v>
      </c>
      <c r="F99" s="315" t="s">
        <v>1168</v>
      </c>
      <c r="G99" s="315">
        <f t="shared" si="13"/>
        <v>3440786.85</v>
      </c>
      <c r="H99" s="315">
        <f>'d3'!E90</f>
        <v>2032.85</v>
      </c>
      <c r="I99" s="315">
        <f>'d3'!J90</f>
        <v>3438754</v>
      </c>
      <c r="J99" s="315">
        <f>'d3'!K90</f>
        <v>3438754</v>
      </c>
      <c r="K99" s="137"/>
      <c r="L99" s="137"/>
      <c r="M99" s="137"/>
    </row>
    <row r="100" spans="1:13" ht="321.75" thickTop="1" thickBot="1" x14ac:dyDescent="0.25">
      <c r="A100" s="101" t="s">
        <v>1566</v>
      </c>
      <c r="B100" s="101" t="s">
        <v>1567</v>
      </c>
      <c r="C100" s="101" t="s">
        <v>210</v>
      </c>
      <c r="D100" s="101" t="s">
        <v>1568</v>
      </c>
      <c r="E100" s="318" t="s">
        <v>1397</v>
      </c>
      <c r="F100" s="315" t="s">
        <v>1168</v>
      </c>
      <c r="G100" s="315">
        <f t="shared" si="13"/>
        <v>8340800.1500000004</v>
      </c>
      <c r="H100" s="315">
        <f>'d3'!E91</f>
        <v>0</v>
      </c>
      <c r="I100" s="315">
        <f>'d3'!J91</f>
        <v>8340800.1500000004</v>
      </c>
      <c r="J100" s="315">
        <f>'d3'!K91</f>
        <v>0</v>
      </c>
      <c r="K100" s="137"/>
      <c r="L100" s="137"/>
      <c r="M100" s="137"/>
    </row>
    <row r="101" spans="1:13" ht="230.25" thickTop="1" thickBot="1" x14ac:dyDescent="0.25">
      <c r="A101" s="101" t="s">
        <v>431</v>
      </c>
      <c r="B101" s="101" t="s">
        <v>432</v>
      </c>
      <c r="C101" s="101" t="s">
        <v>185</v>
      </c>
      <c r="D101" s="101" t="s">
        <v>430</v>
      </c>
      <c r="E101" s="318" t="s">
        <v>1397</v>
      </c>
      <c r="F101" s="315" t="s">
        <v>1168</v>
      </c>
      <c r="G101" s="315">
        <f t="shared" si="13"/>
        <v>715000</v>
      </c>
      <c r="H101" s="315">
        <f>'d3'!E93</f>
        <v>715000</v>
      </c>
      <c r="I101" s="315">
        <f>'d3'!J93</f>
        <v>0</v>
      </c>
      <c r="J101" s="315">
        <f>'d3'!K93</f>
        <v>0</v>
      </c>
      <c r="K101" s="137"/>
      <c r="L101" s="137"/>
      <c r="M101" s="137"/>
    </row>
    <row r="102" spans="1:13" ht="138.75" thickTop="1" thickBot="1" x14ac:dyDescent="0.25">
      <c r="A102" s="101" t="s">
        <v>1233</v>
      </c>
      <c r="B102" s="101" t="s">
        <v>1200</v>
      </c>
      <c r="C102" s="101" t="s">
        <v>206</v>
      </c>
      <c r="D102" s="466" t="s">
        <v>1201</v>
      </c>
      <c r="E102" s="318" t="s">
        <v>1192</v>
      </c>
      <c r="F102" s="315" t="s">
        <v>1166</v>
      </c>
      <c r="G102" s="315">
        <f t="shared" si="13"/>
        <v>1759600</v>
      </c>
      <c r="H102" s="315">
        <f>'d3'!E94</f>
        <v>1759600</v>
      </c>
      <c r="I102" s="315">
        <f>'d3'!J94</f>
        <v>0</v>
      </c>
      <c r="J102" s="315">
        <f>'d3'!K94</f>
        <v>0</v>
      </c>
      <c r="K102" s="137"/>
      <c r="L102" s="137"/>
      <c r="M102" s="137"/>
    </row>
    <row r="103" spans="1:13" ht="138.75" thickTop="1" thickBot="1" x14ac:dyDescent="0.25">
      <c r="A103" s="101" t="s">
        <v>1102</v>
      </c>
      <c r="B103" s="101" t="s">
        <v>311</v>
      </c>
      <c r="C103" s="101" t="s">
        <v>304</v>
      </c>
      <c r="D103" s="101" t="s">
        <v>1499</v>
      </c>
      <c r="E103" s="318" t="s">
        <v>1397</v>
      </c>
      <c r="F103" s="315" t="s">
        <v>1168</v>
      </c>
      <c r="G103" s="315">
        <f t="shared" si="13"/>
        <v>108534.57</v>
      </c>
      <c r="H103" s="315">
        <v>0</v>
      </c>
      <c r="I103" s="315">
        <f>(0)+108534.57</f>
        <v>108534.57</v>
      </c>
      <c r="J103" s="315">
        <f>(0)+108534.57</f>
        <v>108534.57</v>
      </c>
    </row>
    <row r="104" spans="1:13" ht="321.75" thickTop="1" thickBot="1" x14ac:dyDescent="0.25">
      <c r="A104" s="101" t="s">
        <v>1102</v>
      </c>
      <c r="B104" s="101" t="s">
        <v>311</v>
      </c>
      <c r="C104" s="101" t="s">
        <v>304</v>
      </c>
      <c r="D104" s="101" t="s">
        <v>1499</v>
      </c>
      <c r="E104" s="315" t="s">
        <v>1389</v>
      </c>
      <c r="F104" s="315" t="s">
        <v>859</v>
      </c>
      <c r="G104" s="315">
        <f t="shared" si="13"/>
        <v>37360227.260000005</v>
      </c>
      <c r="H104" s="315">
        <v>0</v>
      </c>
      <c r="I104" s="315">
        <f>(((11000000)+20260227.26)-400000)+6500000</f>
        <v>37360227.260000005</v>
      </c>
      <c r="J104" s="315">
        <f>(((11000000)+20260227.26)-400000)+6500000</f>
        <v>37360227.260000005</v>
      </c>
      <c r="K104" s="95" t="b">
        <f>H103+H104='d3'!E98</f>
        <v>1</v>
      </c>
      <c r="L104" s="461" t="b">
        <f>I103+I104='d3'!J98</f>
        <v>1</v>
      </c>
      <c r="M104" s="461" t="b">
        <f>J103+J104='d3'!K98</f>
        <v>1</v>
      </c>
    </row>
    <row r="105" spans="1:13" ht="138.75" thickTop="1" thickBot="1" x14ac:dyDescent="0.25">
      <c r="A105" s="101" t="s">
        <v>1092</v>
      </c>
      <c r="B105" s="101" t="s">
        <v>212</v>
      </c>
      <c r="C105" s="101" t="s">
        <v>213</v>
      </c>
      <c r="D105" s="101" t="s">
        <v>41</v>
      </c>
      <c r="E105" s="318" t="s">
        <v>1397</v>
      </c>
      <c r="F105" s="315" t="s">
        <v>1168</v>
      </c>
      <c r="G105" s="315">
        <f t="shared" si="13"/>
        <v>34155255.900000006</v>
      </c>
      <c r="H105" s="315">
        <f>'d3'!E100</f>
        <v>0</v>
      </c>
      <c r="I105" s="315">
        <f>'d3'!J100</f>
        <v>34155255.900000006</v>
      </c>
      <c r="J105" s="315">
        <f>'d3'!K100</f>
        <v>34155255.900000006</v>
      </c>
      <c r="K105" s="137"/>
      <c r="L105" s="137"/>
      <c r="M105" s="137"/>
    </row>
    <row r="106" spans="1:13" ht="138.75" hidden="1" thickTop="1" thickBot="1" x14ac:dyDescent="0.25">
      <c r="A106" s="126" t="s">
        <v>1226</v>
      </c>
      <c r="B106" s="126" t="s">
        <v>1190</v>
      </c>
      <c r="C106" s="126" t="s">
        <v>1188</v>
      </c>
      <c r="D106" s="126" t="s">
        <v>1187</v>
      </c>
      <c r="E106" s="126" t="s">
        <v>1383</v>
      </c>
      <c r="F106" s="194" t="s">
        <v>1283</v>
      </c>
      <c r="G106" s="194">
        <f t="shared" si="13"/>
        <v>0</v>
      </c>
      <c r="H106" s="194">
        <f>'d3'!E103</f>
        <v>0</v>
      </c>
      <c r="I106" s="194">
        <f>'d3'!J103</f>
        <v>0</v>
      </c>
      <c r="J106" s="194">
        <f>'d3'!K103</f>
        <v>0</v>
      </c>
      <c r="K106" s="137"/>
      <c r="L106" s="137"/>
      <c r="M106" s="137"/>
    </row>
    <row r="107" spans="1:13" ht="138.75" hidden="1" thickTop="1" thickBot="1" x14ac:dyDescent="0.25">
      <c r="A107" s="41" t="s">
        <v>1031</v>
      </c>
      <c r="B107" s="41" t="s">
        <v>363</v>
      </c>
      <c r="C107" s="41" t="s">
        <v>43</v>
      </c>
      <c r="D107" s="41" t="s">
        <v>364</v>
      </c>
      <c r="E107" s="256" t="s">
        <v>582</v>
      </c>
      <c r="F107" s="73" t="s">
        <v>411</v>
      </c>
      <c r="G107" s="73">
        <f t="shared" si="13"/>
        <v>0</v>
      </c>
      <c r="H107" s="73">
        <f>'d3'!E106</f>
        <v>0</v>
      </c>
      <c r="I107" s="73">
        <f>'d3'!J106</f>
        <v>0</v>
      </c>
      <c r="J107" s="73">
        <f>'d3'!K106</f>
        <v>0</v>
      </c>
      <c r="K107" s="137"/>
      <c r="L107" s="137"/>
      <c r="M107" s="137"/>
    </row>
    <row r="108" spans="1:13" ht="170.1" customHeight="1" thickTop="1" thickBot="1" x14ac:dyDescent="0.25">
      <c r="A108" s="645" t="s">
        <v>154</v>
      </c>
      <c r="B108" s="645"/>
      <c r="C108" s="645"/>
      <c r="D108" s="646" t="s">
        <v>18</v>
      </c>
      <c r="E108" s="645"/>
      <c r="F108" s="645"/>
      <c r="G108" s="648">
        <f>G109</f>
        <v>137978474.99000001</v>
      </c>
      <c r="H108" s="648">
        <f t="shared" ref="H108:J108" si="14">H109</f>
        <v>101883281</v>
      </c>
      <c r="I108" s="648">
        <f t="shared" si="14"/>
        <v>36095193.990000002</v>
      </c>
      <c r="J108" s="648">
        <f t="shared" si="14"/>
        <v>36095193.990000002</v>
      </c>
      <c r="K108" s="95" t="b">
        <f>H108='d3'!E108-'d3'!E110+H110+H111</f>
        <v>1</v>
      </c>
      <c r="L108" s="95" t="b">
        <f>I108='d3'!J108-'d3'!J110+'d7'!I110+I111</f>
        <v>1</v>
      </c>
      <c r="M108" s="95" t="b">
        <f>J108='d3'!K108-'d3'!K110+'d7'!J110+J111</f>
        <v>1</v>
      </c>
    </row>
    <row r="109" spans="1:13" ht="170.1" customHeight="1" thickTop="1" thickBot="1" x14ac:dyDescent="0.25">
      <c r="A109" s="642" t="s">
        <v>155</v>
      </c>
      <c r="B109" s="642"/>
      <c r="C109" s="642"/>
      <c r="D109" s="643" t="s">
        <v>36</v>
      </c>
      <c r="E109" s="644"/>
      <c r="F109" s="644"/>
      <c r="G109" s="644">
        <f>SUM(G110:G133)</f>
        <v>137978474.99000001</v>
      </c>
      <c r="H109" s="644">
        <f>SUM(H110:H133)</f>
        <v>101883281</v>
      </c>
      <c r="I109" s="644">
        <f>SUM(I110:I133)</f>
        <v>36095193.990000002</v>
      </c>
      <c r="J109" s="644">
        <f>SUM(J110:J133)</f>
        <v>36095193.990000002</v>
      </c>
      <c r="K109" s="137"/>
      <c r="L109" s="137"/>
      <c r="M109" s="137"/>
    </row>
    <row r="110" spans="1:13" ht="172.5" hidden="1" customHeight="1" thickTop="1" thickBot="1" x14ac:dyDescent="0.25">
      <c r="A110" s="126" t="s">
        <v>416</v>
      </c>
      <c r="B110" s="126" t="s">
        <v>236</v>
      </c>
      <c r="C110" s="126" t="s">
        <v>234</v>
      </c>
      <c r="D110" s="126" t="s">
        <v>235</v>
      </c>
      <c r="E110" s="253" t="s">
        <v>1281</v>
      </c>
      <c r="F110" s="194" t="s">
        <v>1282</v>
      </c>
      <c r="G110" s="267">
        <f>H110+I110</f>
        <v>0</v>
      </c>
      <c r="H110" s="267"/>
      <c r="I110" s="267">
        <v>0</v>
      </c>
      <c r="J110" s="267">
        <v>0</v>
      </c>
      <c r="K110" s="137"/>
      <c r="L110" s="137"/>
      <c r="M110" s="137"/>
    </row>
    <row r="111" spans="1:13" ht="172.5" hidden="1" customHeight="1" thickTop="1" thickBot="1" x14ac:dyDescent="0.25">
      <c r="A111" s="126" t="s">
        <v>416</v>
      </c>
      <c r="B111" s="126" t="s">
        <v>236</v>
      </c>
      <c r="C111" s="126" t="s">
        <v>234</v>
      </c>
      <c r="D111" s="126" t="s">
        <v>235</v>
      </c>
      <c r="E111" s="253" t="s">
        <v>1038</v>
      </c>
      <c r="F111" s="194" t="s">
        <v>857</v>
      </c>
      <c r="G111" s="267">
        <f>H111+I111</f>
        <v>0</v>
      </c>
      <c r="H111" s="267"/>
      <c r="I111" s="267">
        <v>0</v>
      </c>
      <c r="J111" s="267">
        <v>0</v>
      </c>
      <c r="K111" s="137"/>
      <c r="L111" s="137"/>
      <c r="M111" s="137"/>
    </row>
    <row r="112" spans="1:13" ht="321.75" hidden="1" thickTop="1" thickBot="1" x14ac:dyDescent="0.25">
      <c r="A112" s="126" t="s">
        <v>1257</v>
      </c>
      <c r="B112" s="126" t="s">
        <v>362</v>
      </c>
      <c r="C112" s="126" t="s">
        <v>625</v>
      </c>
      <c r="D112" s="126" t="s">
        <v>626</v>
      </c>
      <c r="E112" s="253" t="s">
        <v>1296</v>
      </c>
      <c r="F112" s="194" t="s">
        <v>1297</v>
      </c>
      <c r="G112" s="267">
        <f>H112+I112</f>
        <v>0</v>
      </c>
      <c r="H112" s="267">
        <f>'d3'!E111</f>
        <v>0</v>
      </c>
      <c r="I112" s="267">
        <f>'d3'!J111</f>
        <v>0</v>
      </c>
      <c r="J112" s="267">
        <f>'d3'!K111</f>
        <v>0</v>
      </c>
      <c r="K112" s="137"/>
      <c r="L112" s="137"/>
      <c r="M112" s="137"/>
    </row>
    <row r="113" spans="1:13" ht="276" thickTop="1" thickBot="1" x14ac:dyDescent="0.25">
      <c r="A113" s="101" t="s">
        <v>214</v>
      </c>
      <c r="B113" s="101" t="s">
        <v>211</v>
      </c>
      <c r="C113" s="101" t="s">
        <v>215</v>
      </c>
      <c r="D113" s="101" t="s">
        <v>19</v>
      </c>
      <c r="E113" s="315" t="s">
        <v>1543</v>
      </c>
      <c r="F113" s="315" t="s">
        <v>1544</v>
      </c>
      <c r="G113" s="324">
        <f>H113+I113</f>
        <v>39970100</v>
      </c>
      <c r="H113" s="324">
        <f>'d3'!E113-H114</f>
        <v>23964100</v>
      </c>
      <c r="I113" s="324">
        <f>'d3'!J113-I114</f>
        <v>16006000</v>
      </c>
      <c r="J113" s="324">
        <f>'d3'!K113-J114</f>
        <v>16006000</v>
      </c>
      <c r="K113" s="137"/>
      <c r="L113" s="137"/>
      <c r="M113" s="137"/>
    </row>
    <row r="114" spans="1:13" ht="184.5" thickTop="1" thickBot="1" x14ac:dyDescent="0.25">
      <c r="A114" s="101" t="s">
        <v>214</v>
      </c>
      <c r="B114" s="101" t="s">
        <v>211</v>
      </c>
      <c r="C114" s="101" t="s">
        <v>215</v>
      </c>
      <c r="D114" s="101" t="s">
        <v>19</v>
      </c>
      <c r="E114" s="318" t="s">
        <v>1618</v>
      </c>
      <c r="F114" s="315" t="s">
        <v>1619</v>
      </c>
      <c r="G114" s="315">
        <f t="shared" ref="G114" si="15">H114+I114</f>
        <v>326180</v>
      </c>
      <c r="H114" s="315">
        <v>71480</v>
      </c>
      <c r="I114" s="315">
        <f>254700</f>
        <v>254700</v>
      </c>
      <c r="J114" s="315">
        <f>254700</f>
        <v>254700</v>
      </c>
      <c r="K114" s="137"/>
      <c r="L114" s="137"/>
      <c r="M114" s="137"/>
    </row>
    <row r="115" spans="1:13" ht="276" thickTop="1" thickBot="1" x14ac:dyDescent="0.25">
      <c r="A115" s="101" t="s">
        <v>505</v>
      </c>
      <c r="B115" s="101" t="s">
        <v>508</v>
      </c>
      <c r="C115" s="101" t="s">
        <v>507</v>
      </c>
      <c r="D115" s="101" t="s">
        <v>506</v>
      </c>
      <c r="E115" s="315" t="s">
        <v>1543</v>
      </c>
      <c r="F115" s="315" t="s">
        <v>1544</v>
      </c>
      <c r="G115" s="324">
        <f>H115+I115</f>
        <v>12536600</v>
      </c>
      <c r="H115" s="324">
        <f>'d3'!E114</f>
        <v>12536600</v>
      </c>
      <c r="I115" s="324">
        <f>'d3'!J114</f>
        <v>0</v>
      </c>
      <c r="J115" s="324">
        <f>'d3'!K114</f>
        <v>0</v>
      </c>
      <c r="K115" s="137"/>
      <c r="L115" s="137"/>
      <c r="M115" s="137"/>
    </row>
    <row r="116" spans="1:13" ht="276" thickTop="1" thickBot="1" x14ac:dyDescent="0.25">
      <c r="A116" s="101" t="s">
        <v>216</v>
      </c>
      <c r="B116" s="101" t="s">
        <v>217</v>
      </c>
      <c r="C116" s="101" t="s">
        <v>218</v>
      </c>
      <c r="D116" s="101" t="s">
        <v>219</v>
      </c>
      <c r="E116" s="315" t="s">
        <v>1543</v>
      </c>
      <c r="F116" s="315" t="s">
        <v>1544</v>
      </c>
      <c r="G116" s="324">
        <f t="shared" ref="G116:G123" si="16">H116+I116</f>
        <v>23615681</v>
      </c>
      <c r="H116" s="324">
        <f>'d3'!E115</f>
        <v>10381900</v>
      </c>
      <c r="I116" s="324">
        <f>'d3'!J115</f>
        <v>13233781</v>
      </c>
      <c r="J116" s="324">
        <f>'d3'!K115</f>
        <v>13233781</v>
      </c>
      <c r="K116" s="137"/>
      <c r="L116" s="137"/>
      <c r="M116" s="137"/>
    </row>
    <row r="117" spans="1:13" ht="276" thickTop="1" thickBot="1" x14ac:dyDescent="0.25">
      <c r="A117" s="101" t="s">
        <v>220</v>
      </c>
      <c r="B117" s="101" t="s">
        <v>221</v>
      </c>
      <c r="C117" s="101" t="s">
        <v>222</v>
      </c>
      <c r="D117" s="101" t="s">
        <v>345</v>
      </c>
      <c r="E117" s="315" t="s">
        <v>1543</v>
      </c>
      <c r="F117" s="315" t="s">
        <v>1544</v>
      </c>
      <c r="G117" s="324">
        <f t="shared" si="16"/>
        <v>25512900</v>
      </c>
      <c r="H117" s="324">
        <f>'d3'!E116-H118</f>
        <v>25512900</v>
      </c>
      <c r="I117" s="324">
        <f>'d3'!J116-I118</f>
        <v>0</v>
      </c>
      <c r="J117" s="324">
        <f>'d3'!K116-J118</f>
        <v>0</v>
      </c>
      <c r="K117" s="137"/>
      <c r="L117" s="137"/>
      <c r="M117" s="137"/>
    </row>
    <row r="118" spans="1:13" ht="184.5" thickTop="1" thickBot="1" x14ac:dyDescent="0.25">
      <c r="A118" s="101" t="s">
        <v>220</v>
      </c>
      <c r="B118" s="101" t="s">
        <v>221</v>
      </c>
      <c r="C118" s="101" t="s">
        <v>222</v>
      </c>
      <c r="D118" s="101" t="s">
        <v>345</v>
      </c>
      <c r="E118" s="318" t="s">
        <v>1618</v>
      </c>
      <c r="F118" s="315" t="s">
        <v>1619</v>
      </c>
      <c r="G118" s="315">
        <f t="shared" si="16"/>
        <v>581034</v>
      </c>
      <c r="H118" s="315">
        <v>39246</v>
      </c>
      <c r="I118" s="315">
        <f>308038+233750</f>
        <v>541788</v>
      </c>
      <c r="J118" s="315">
        <f>308038+233750</f>
        <v>541788</v>
      </c>
      <c r="K118" s="137"/>
      <c r="L118" s="137"/>
      <c r="M118" s="137"/>
    </row>
    <row r="119" spans="1:13" ht="300.75" hidden="1" thickTop="1" thickBot="1" x14ac:dyDescent="0.25">
      <c r="A119" s="126" t="s">
        <v>223</v>
      </c>
      <c r="B119" s="126" t="s">
        <v>224</v>
      </c>
      <c r="C119" s="126" t="s">
        <v>225</v>
      </c>
      <c r="D119" s="126" t="s">
        <v>226</v>
      </c>
      <c r="E119" s="266" t="s">
        <v>1202</v>
      </c>
      <c r="F119" s="194" t="s">
        <v>871</v>
      </c>
      <c r="G119" s="267"/>
      <c r="H119" s="267"/>
      <c r="I119" s="267"/>
      <c r="J119" s="267"/>
      <c r="K119" s="137"/>
      <c r="L119" s="137"/>
      <c r="M119" s="137"/>
    </row>
    <row r="120" spans="1:13" ht="184.5" hidden="1" thickTop="1" thickBot="1" x14ac:dyDescent="0.25">
      <c r="A120" s="126" t="s">
        <v>223</v>
      </c>
      <c r="B120" s="126" t="s">
        <v>224</v>
      </c>
      <c r="C120" s="126" t="s">
        <v>225</v>
      </c>
      <c r="D120" s="126" t="s">
        <v>226</v>
      </c>
      <c r="E120" s="253" t="s">
        <v>1227</v>
      </c>
      <c r="F120" s="194" t="s">
        <v>869</v>
      </c>
      <c r="G120" s="194"/>
      <c r="H120" s="194"/>
      <c r="I120" s="194"/>
      <c r="J120" s="194"/>
      <c r="K120" s="137"/>
      <c r="L120" s="137"/>
      <c r="M120" s="137"/>
    </row>
    <row r="121" spans="1:13" ht="276" thickTop="1" thickBot="1" x14ac:dyDescent="0.25">
      <c r="A121" s="101" t="s">
        <v>227</v>
      </c>
      <c r="B121" s="101" t="s">
        <v>228</v>
      </c>
      <c r="C121" s="101" t="s">
        <v>346</v>
      </c>
      <c r="D121" s="101" t="s">
        <v>229</v>
      </c>
      <c r="E121" s="315" t="s">
        <v>1543</v>
      </c>
      <c r="F121" s="315" t="s">
        <v>1544</v>
      </c>
      <c r="G121" s="324">
        <f t="shared" si="16"/>
        <v>20427800</v>
      </c>
      <c r="H121" s="324">
        <f>'d3'!E119</f>
        <v>19427800</v>
      </c>
      <c r="I121" s="324">
        <f>'d3'!J119</f>
        <v>1000000</v>
      </c>
      <c r="J121" s="324">
        <f>'d3'!K119</f>
        <v>1000000</v>
      </c>
      <c r="K121" s="137"/>
      <c r="L121" s="137"/>
      <c r="M121" s="137"/>
    </row>
    <row r="122" spans="1:13" ht="258" hidden="1" thickTop="1" thickBot="1" x14ac:dyDescent="0.25">
      <c r="A122" s="41" t="s">
        <v>475</v>
      </c>
      <c r="B122" s="41" t="s">
        <v>476</v>
      </c>
      <c r="C122" s="41" t="s">
        <v>230</v>
      </c>
      <c r="D122" s="41" t="s">
        <v>477</v>
      </c>
      <c r="E122" s="268" t="s">
        <v>870</v>
      </c>
      <c r="F122" s="73" t="s">
        <v>871</v>
      </c>
      <c r="G122" s="269">
        <f t="shared" si="16"/>
        <v>0</v>
      </c>
      <c r="H122" s="269">
        <f>'d3'!E121</f>
        <v>0</v>
      </c>
      <c r="I122" s="269">
        <f>'d3'!J121</f>
        <v>0</v>
      </c>
      <c r="J122" s="269">
        <f>'d3'!K121</f>
        <v>0</v>
      </c>
      <c r="K122" s="137"/>
      <c r="L122" s="137"/>
      <c r="M122" s="137"/>
    </row>
    <row r="123" spans="1:13" s="5" customFormat="1" ht="409.6" customHeight="1" thickTop="1" thickBot="1" x14ac:dyDescent="0.25">
      <c r="A123" s="101" t="s">
        <v>321</v>
      </c>
      <c r="B123" s="101" t="s">
        <v>323</v>
      </c>
      <c r="C123" s="101" t="s">
        <v>230</v>
      </c>
      <c r="D123" s="466" t="s">
        <v>319</v>
      </c>
      <c r="E123" s="315" t="s">
        <v>1543</v>
      </c>
      <c r="F123" s="315" t="s">
        <v>1544</v>
      </c>
      <c r="G123" s="324">
        <f t="shared" si="16"/>
        <v>4423055</v>
      </c>
      <c r="H123" s="324">
        <f>'d3'!E123</f>
        <v>4423055</v>
      </c>
      <c r="I123" s="324">
        <f>'d3'!J123</f>
        <v>0</v>
      </c>
      <c r="J123" s="324">
        <f>'d3'!K123</f>
        <v>0</v>
      </c>
      <c r="K123" s="136"/>
      <c r="L123" s="136"/>
      <c r="M123" s="136"/>
    </row>
    <row r="124" spans="1:13" s="5" customFormat="1" ht="276" thickTop="1" thickBot="1" x14ac:dyDescent="0.25">
      <c r="A124" s="101" t="s">
        <v>322</v>
      </c>
      <c r="B124" s="101" t="s">
        <v>324</v>
      </c>
      <c r="C124" s="101" t="s">
        <v>230</v>
      </c>
      <c r="D124" s="466" t="s">
        <v>320</v>
      </c>
      <c r="E124" s="315" t="s">
        <v>1543</v>
      </c>
      <c r="F124" s="315" t="s">
        <v>1544</v>
      </c>
      <c r="G124" s="324">
        <f>H124+I124</f>
        <v>5426200</v>
      </c>
      <c r="H124" s="324">
        <f>'d3'!E124</f>
        <v>5426200</v>
      </c>
      <c r="I124" s="324">
        <f>'d3'!J124</f>
        <v>0</v>
      </c>
      <c r="J124" s="324">
        <f>'d3'!K124</f>
        <v>0</v>
      </c>
      <c r="K124" s="136"/>
      <c r="L124" s="136"/>
      <c r="M124" s="136"/>
    </row>
    <row r="125" spans="1:13" s="5" customFormat="1" ht="276" hidden="1" thickTop="1" thickBot="1" x14ac:dyDescent="0.25">
      <c r="A125" s="101" t="s">
        <v>1600</v>
      </c>
      <c r="B125" s="101" t="s">
        <v>1601</v>
      </c>
      <c r="C125" s="101" t="s">
        <v>230</v>
      </c>
      <c r="D125" s="466" t="s">
        <v>1599</v>
      </c>
      <c r="E125" s="315" t="s">
        <v>1543</v>
      </c>
      <c r="F125" s="315" t="s">
        <v>1544</v>
      </c>
      <c r="G125" s="324">
        <f>H125+I125</f>
        <v>0</v>
      </c>
      <c r="H125" s="324">
        <f>'d3'!E126</f>
        <v>0</v>
      </c>
      <c r="I125" s="324">
        <f>'d3'!J126</f>
        <v>0</v>
      </c>
      <c r="J125" s="324">
        <f>'d3'!K126</f>
        <v>0</v>
      </c>
      <c r="K125" s="136"/>
      <c r="L125" s="136"/>
      <c r="M125" s="136"/>
    </row>
    <row r="126" spans="1:13" s="5" customFormat="1" ht="276" thickTop="1" thickBot="1" x14ac:dyDescent="0.25">
      <c r="A126" s="101" t="s">
        <v>1199</v>
      </c>
      <c r="B126" s="101" t="s">
        <v>1200</v>
      </c>
      <c r="C126" s="101" t="s">
        <v>206</v>
      </c>
      <c r="D126" s="466" t="s">
        <v>1201</v>
      </c>
      <c r="E126" s="315" t="s">
        <v>1543</v>
      </c>
      <c r="F126" s="315" t="s">
        <v>1544</v>
      </c>
      <c r="G126" s="324">
        <f t="shared" ref="G126:G130" si="17">H126+I126</f>
        <v>100000</v>
      </c>
      <c r="H126" s="324">
        <f>'d3'!E128</f>
        <v>100000</v>
      </c>
      <c r="I126" s="324">
        <f>'d3'!J128</f>
        <v>0</v>
      </c>
      <c r="J126" s="324">
        <f>'d3'!K128</f>
        <v>0</v>
      </c>
      <c r="K126" s="136"/>
      <c r="L126" s="136"/>
      <c r="M126" s="136"/>
    </row>
    <row r="127" spans="1:13" s="5" customFormat="1" ht="276" thickTop="1" thickBot="1" x14ac:dyDescent="0.25">
      <c r="A127" s="101" t="s">
        <v>1179</v>
      </c>
      <c r="B127" s="101" t="s">
        <v>1181</v>
      </c>
      <c r="C127" s="101" t="s">
        <v>304</v>
      </c>
      <c r="D127" s="101" t="s">
        <v>1525</v>
      </c>
      <c r="E127" s="315" t="s">
        <v>1543</v>
      </c>
      <c r="F127" s="315" t="s">
        <v>1544</v>
      </c>
      <c r="G127" s="315">
        <f t="shared" si="17"/>
        <v>3058924.99</v>
      </c>
      <c r="H127" s="315">
        <f>'d3'!E132</f>
        <v>0</v>
      </c>
      <c r="I127" s="315">
        <f>'d3'!J132</f>
        <v>3058924.99</v>
      </c>
      <c r="J127" s="315">
        <f>'d3'!K132</f>
        <v>3058924.99</v>
      </c>
      <c r="K127" s="136"/>
      <c r="L127" s="136"/>
      <c r="M127" s="136"/>
    </row>
    <row r="128" spans="1:13" s="5" customFormat="1" ht="258" hidden="1" thickTop="1" thickBot="1" x14ac:dyDescent="0.25">
      <c r="A128" s="41" t="s">
        <v>1055</v>
      </c>
      <c r="B128" s="41" t="s">
        <v>1056</v>
      </c>
      <c r="C128" s="41" t="s">
        <v>170</v>
      </c>
      <c r="D128" s="41" t="s">
        <v>1057</v>
      </c>
      <c r="E128" s="584" t="s">
        <v>1526</v>
      </c>
      <c r="F128" s="315"/>
      <c r="G128" s="73">
        <f t="shared" si="17"/>
        <v>0</v>
      </c>
      <c r="H128" s="73">
        <f>'d3'!E134</f>
        <v>0</v>
      </c>
      <c r="I128" s="73">
        <f>'d3'!J134</f>
        <v>0</v>
      </c>
      <c r="J128" s="73">
        <f>'d3'!K134</f>
        <v>0</v>
      </c>
      <c r="K128" s="136"/>
      <c r="L128" s="136"/>
      <c r="M128" s="136"/>
    </row>
    <row r="129" spans="1:13" s="5" customFormat="1" ht="276" thickTop="1" thickBot="1" x14ac:dyDescent="0.25">
      <c r="A129" s="101" t="s">
        <v>1255</v>
      </c>
      <c r="B129" s="101" t="s">
        <v>212</v>
      </c>
      <c r="C129" s="101" t="s">
        <v>213</v>
      </c>
      <c r="D129" s="101" t="s">
        <v>41</v>
      </c>
      <c r="E129" s="315" t="s">
        <v>1543</v>
      </c>
      <c r="F129" s="315" t="s">
        <v>1544</v>
      </c>
      <c r="G129" s="315">
        <f t="shared" si="17"/>
        <v>2000000</v>
      </c>
      <c r="H129" s="315">
        <f>'d3'!E136</f>
        <v>0</v>
      </c>
      <c r="I129" s="315">
        <f>'d3'!J136</f>
        <v>2000000</v>
      </c>
      <c r="J129" s="315">
        <f>'d3'!K136</f>
        <v>2000000</v>
      </c>
      <c r="K129" s="136"/>
      <c r="L129" s="136"/>
      <c r="M129" s="136"/>
    </row>
    <row r="130" spans="1:13" s="5" customFormat="1" ht="138.75" hidden="1" thickTop="1" thickBot="1" x14ac:dyDescent="0.25">
      <c r="A130" s="41" t="s">
        <v>435</v>
      </c>
      <c r="B130" s="41" t="s">
        <v>197</v>
      </c>
      <c r="C130" s="41" t="s">
        <v>170</v>
      </c>
      <c r="D130" s="41" t="s">
        <v>34</v>
      </c>
      <c r="E130" s="73" t="s">
        <v>436</v>
      </c>
      <c r="F130" s="73" t="s">
        <v>410</v>
      </c>
      <c r="G130" s="865">
        <f t="shared" si="17"/>
        <v>0</v>
      </c>
      <c r="H130" s="865">
        <v>0</v>
      </c>
      <c r="I130" s="865">
        <f>'d3'!J137-I132</f>
        <v>0</v>
      </c>
      <c r="J130" s="865">
        <f>'d3'!K137-J132</f>
        <v>0</v>
      </c>
      <c r="K130" s="136"/>
      <c r="L130" s="136"/>
      <c r="M130" s="136"/>
    </row>
    <row r="131" spans="1:13" s="5" customFormat="1" ht="258" hidden="1" thickTop="1" thickBot="1" x14ac:dyDescent="0.25">
      <c r="A131" s="41" t="s">
        <v>435</v>
      </c>
      <c r="B131" s="41" t="s">
        <v>197</v>
      </c>
      <c r="C131" s="41" t="s">
        <v>170</v>
      </c>
      <c r="D131" s="41" t="s">
        <v>34</v>
      </c>
      <c r="E131" s="268" t="s">
        <v>870</v>
      </c>
      <c r="F131" s="73" t="s">
        <v>871</v>
      </c>
      <c r="G131" s="866"/>
      <c r="H131" s="866"/>
      <c r="I131" s="866"/>
      <c r="J131" s="866"/>
      <c r="K131" s="136"/>
      <c r="L131" s="136"/>
      <c r="M131" s="136"/>
    </row>
    <row r="132" spans="1:13" s="5" customFormat="1" ht="184.5" hidden="1" thickTop="1" thickBot="1" x14ac:dyDescent="0.25">
      <c r="A132" s="41" t="s">
        <v>435</v>
      </c>
      <c r="B132" s="41" t="s">
        <v>197</v>
      </c>
      <c r="C132" s="41" t="s">
        <v>170</v>
      </c>
      <c r="D132" s="41" t="s">
        <v>34</v>
      </c>
      <c r="E132" s="256" t="s">
        <v>449</v>
      </c>
      <c r="F132" s="261" t="s">
        <v>450</v>
      </c>
      <c r="G132" s="73">
        <f>H132+I132</f>
        <v>0</v>
      </c>
      <c r="H132" s="73">
        <v>0</v>
      </c>
      <c r="I132" s="73"/>
      <c r="J132" s="73"/>
      <c r="K132" s="136"/>
      <c r="L132" s="136"/>
      <c r="M132" s="136"/>
    </row>
    <row r="133" spans="1:13" s="5" customFormat="1" ht="138.75" hidden="1" thickTop="1" thickBot="1" x14ac:dyDescent="0.25">
      <c r="A133" s="41" t="s">
        <v>509</v>
      </c>
      <c r="B133" s="41" t="s">
        <v>363</v>
      </c>
      <c r="C133" s="41" t="s">
        <v>43</v>
      </c>
      <c r="D133" s="41" t="s">
        <v>364</v>
      </c>
      <c r="E133" s="73" t="s">
        <v>436</v>
      </c>
      <c r="F133" s="73" t="s">
        <v>410</v>
      </c>
      <c r="G133" s="73">
        <f>H133+I133</f>
        <v>0</v>
      </c>
      <c r="H133" s="73">
        <f>'d3'!F138</f>
        <v>0</v>
      </c>
      <c r="I133" s="73">
        <f>'d3'!J138</f>
        <v>0</v>
      </c>
      <c r="J133" s="73">
        <f>'d3'!K138</f>
        <v>0</v>
      </c>
      <c r="K133" s="136"/>
      <c r="L133" s="136"/>
      <c r="M133" s="136"/>
    </row>
    <row r="134" spans="1:13" ht="170.1" customHeight="1" thickTop="1" thickBot="1" x14ac:dyDescent="0.25">
      <c r="A134" s="645" t="s">
        <v>156</v>
      </c>
      <c r="B134" s="645"/>
      <c r="C134" s="645"/>
      <c r="D134" s="646" t="s">
        <v>37</v>
      </c>
      <c r="E134" s="645"/>
      <c r="F134" s="645"/>
      <c r="G134" s="648">
        <f>G135</f>
        <v>413968193.44</v>
      </c>
      <c r="H134" s="648">
        <f t="shared" ref="H134:J134" si="18">H135</f>
        <v>296997165.50999999</v>
      </c>
      <c r="I134" s="648">
        <f t="shared" si="18"/>
        <v>116971027.92999999</v>
      </c>
      <c r="J134" s="648">
        <f t="shared" si="18"/>
        <v>110707767.92999999</v>
      </c>
      <c r="K134" s="95" t="b">
        <f>H134='d3'!E140-'d3'!E142+H136+H137+H138</f>
        <v>1</v>
      </c>
      <c r="L134" s="461" t="b">
        <f>I134='d3'!J140-'d3'!J142-'d3'!J168+'d7'!I136+I137+I138</f>
        <v>1</v>
      </c>
      <c r="M134" s="461" t="b">
        <f>J134='d3'!K140-'d3'!K142-'d3'!K168+'d7'!J136+J137+J138</f>
        <v>1</v>
      </c>
    </row>
    <row r="135" spans="1:13" ht="170.1" customHeight="1" thickTop="1" thickBot="1" x14ac:dyDescent="0.25">
      <c r="A135" s="642" t="s">
        <v>157</v>
      </c>
      <c r="B135" s="642"/>
      <c r="C135" s="642"/>
      <c r="D135" s="643" t="s">
        <v>38</v>
      </c>
      <c r="E135" s="644"/>
      <c r="F135" s="644"/>
      <c r="G135" s="644">
        <f>SUM(G136:G177)</f>
        <v>413968193.44</v>
      </c>
      <c r="H135" s="644">
        <f>SUM(H136:H177)</f>
        <v>296997165.50999999</v>
      </c>
      <c r="I135" s="644">
        <f>SUM(I136:I177)</f>
        <v>116971027.92999999</v>
      </c>
      <c r="J135" s="644">
        <f>SUM(J136:J177)</f>
        <v>110707767.92999999</v>
      </c>
      <c r="K135" s="137"/>
      <c r="L135" s="47"/>
      <c r="M135" s="137"/>
    </row>
    <row r="136" spans="1:13" ht="138.75" hidden="1" thickTop="1" thickBot="1" x14ac:dyDescent="0.25">
      <c r="A136" s="126" t="s">
        <v>415</v>
      </c>
      <c r="B136" s="126" t="s">
        <v>236</v>
      </c>
      <c r="C136" s="126" t="s">
        <v>234</v>
      </c>
      <c r="D136" s="126" t="s">
        <v>235</v>
      </c>
      <c r="E136" s="253" t="s">
        <v>1038</v>
      </c>
      <c r="F136" s="194" t="s">
        <v>857</v>
      </c>
      <c r="G136" s="194">
        <f t="shared" ref="G136:G175" si="19">H136+I136</f>
        <v>0</v>
      </c>
      <c r="H136" s="194">
        <v>0</v>
      </c>
      <c r="I136" s="194">
        <v>0</v>
      </c>
      <c r="J136" s="194">
        <v>0</v>
      </c>
      <c r="K136" s="137"/>
      <c r="L136" s="47"/>
      <c r="M136" s="137"/>
    </row>
    <row r="137" spans="1:13" ht="138.75" hidden="1" thickTop="1" thickBot="1" x14ac:dyDescent="0.25">
      <c r="A137" s="126" t="s">
        <v>415</v>
      </c>
      <c r="B137" s="126" t="s">
        <v>236</v>
      </c>
      <c r="C137" s="126" t="s">
        <v>234</v>
      </c>
      <c r="D137" s="126" t="s">
        <v>235</v>
      </c>
      <c r="E137" s="253" t="s">
        <v>1281</v>
      </c>
      <c r="F137" s="194" t="s">
        <v>1282</v>
      </c>
      <c r="G137" s="194">
        <f t="shared" si="19"/>
        <v>0</v>
      </c>
      <c r="H137" s="194">
        <v>0</v>
      </c>
      <c r="I137" s="194">
        <v>0</v>
      </c>
      <c r="J137" s="194">
        <v>0</v>
      </c>
      <c r="K137" s="137"/>
      <c r="L137" s="47"/>
      <c r="M137" s="137"/>
    </row>
    <row r="138" spans="1:13" ht="138.75" thickTop="1" thickBot="1" x14ac:dyDescent="0.25">
      <c r="A138" s="101" t="s">
        <v>415</v>
      </c>
      <c r="B138" s="101" t="s">
        <v>236</v>
      </c>
      <c r="C138" s="101" t="s">
        <v>234</v>
      </c>
      <c r="D138" s="101" t="s">
        <v>235</v>
      </c>
      <c r="E138" s="318" t="s">
        <v>1192</v>
      </c>
      <c r="F138" s="315" t="s">
        <v>1166</v>
      </c>
      <c r="G138" s="315">
        <f t="shared" ref="G138" si="20">H138+I138</f>
        <v>579000</v>
      </c>
      <c r="H138" s="315">
        <v>0</v>
      </c>
      <c r="I138" s="315">
        <f>(700000)-121000</f>
        <v>579000</v>
      </c>
      <c r="J138" s="315">
        <f>(700000)-121000</f>
        <v>579000</v>
      </c>
      <c r="K138" s="137"/>
      <c r="L138" s="47"/>
      <c r="M138" s="137"/>
    </row>
    <row r="139" spans="1:13" ht="321.75" hidden="1" thickTop="1" thickBot="1" x14ac:dyDescent="0.25">
      <c r="A139" s="126" t="s">
        <v>628</v>
      </c>
      <c r="B139" s="126" t="s">
        <v>362</v>
      </c>
      <c r="C139" s="126" t="s">
        <v>625</v>
      </c>
      <c r="D139" s="126" t="s">
        <v>626</v>
      </c>
      <c r="E139" s="253" t="s">
        <v>1296</v>
      </c>
      <c r="F139" s="194" t="s">
        <v>1297</v>
      </c>
      <c r="G139" s="194">
        <f t="shared" si="19"/>
        <v>0</v>
      </c>
      <c r="H139" s="194">
        <f>'d3'!E143</f>
        <v>0</v>
      </c>
      <c r="I139" s="194">
        <f>'d3'!J143</f>
        <v>0</v>
      </c>
      <c r="J139" s="194">
        <f>'d3'!K143</f>
        <v>0</v>
      </c>
      <c r="K139" s="137"/>
      <c r="L139" s="47"/>
      <c r="M139" s="137"/>
    </row>
    <row r="140" spans="1:13" ht="138.75" thickTop="1" thickBot="1" x14ac:dyDescent="0.25">
      <c r="A140" s="101" t="s">
        <v>919</v>
      </c>
      <c r="B140" s="101" t="s">
        <v>43</v>
      </c>
      <c r="C140" s="101" t="s">
        <v>42</v>
      </c>
      <c r="D140" s="101" t="s">
        <v>248</v>
      </c>
      <c r="E140" s="318" t="s">
        <v>956</v>
      </c>
      <c r="F140" s="315" t="s">
        <v>952</v>
      </c>
      <c r="G140" s="315">
        <f t="shared" si="19"/>
        <v>30000</v>
      </c>
      <c r="H140" s="315">
        <f>'d3'!E144</f>
        <v>30000</v>
      </c>
      <c r="I140" s="315">
        <f>'d3'!J144</f>
        <v>0</v>
      </c>
      <c r="J140" s="315">
        <f>'d3'!K144</f>
        <v>0</v>
      </c>
      <c r="K140" s="137"/>
      <c r="L140" s="47"/>
      <c r="M140" s="137"/>
    </row>
    <row r="141" spans="1:13" s="5" customFormat="1" ht="138.75" thickTop="1" thickBot="1" x14ac:dyDescent="0.25">
      <c r="A141" s="101" t="s">
        <v>269</v>
      </c>
      <c r="B141" s="101" t="s">
        <v>270</v>
      </c>
      <c r="C141" s="101" t="s">
        <v>205</v>
      </c>
      <c r="D141" s="327" t="s">
        <v>271</v>
      </c>
      <c r="E141" s="318" t="s">
        <v>1192</v>
      </c>
      <c r="F141" s="315" t="s">
        <v>1166</v>
      </c>
      <c r="G141" s="315">
        <f t="shared" si="19"/>
        <v>908000</v>
      </c>
      <c r="H141" s="315">
        <f>'d3'!E147</f>
        <v>858000</v>
      </c>
      <c r="I141" s="315">
        <f>'d3'!J147</f>
        <v>50000</v>
      </c>
      <c r="J141" s="315">
        <f>'d3'!K147</f>
        <v>50000</v>
      </c>
      <c r="K141" s="136"/>
      <c r="L141" s="136"/>
      <c r="M141" s="136"/>
    </row>
    <row r="142" spans="1:13" s="5" customFormat="1" ht="138.75" thickTop="1" thickBot="1" x14ac:dyDescent="0.25">
      <c r="A142" s="101" t="s">
        <v>272</v>
      </c>
      <c r="B142" s="101" t="s">
        <v>273</v>
      </c>
      <c r="C142" s="101" t="s">
        <v>206</v>
      </c>
      <c r="D142" s="101" t="s">
        <v>6</v>
      </c>
      <c r="E142" s="318" t="s">
        <v>1192</v>
      </c>
      <c r="F142" s="315" t="s">
        <v>1166</v>
      </c>
      <c r="G142" s="315">
        <f t="shared" si="19"/>
        <v>650000</v>
      </c>
      <c r="H142" s="315">
        <f>'d3'!E148</f>
        <v>650000</v>
      </c>
      <c r="I142" s="315">
        <f>'d3'!J148</f>
        <v>0</v>
      </c>
      <c r="J142" s="315">
        <f>'d3'!K148</f>
        <v>0</v>
      </c>
      <c r="K142" s="136"/>
      <c r="L142" s="136"/>
      <c r="M142" s="136"/>
    </row>
    <row r="143" spans="1:13" s="5" customFormat="1" ht="138.75" thickTop="1" thickBot="1" x14ac:dyDescent="0.25">
      <c r="A143" s="101" t="s">
        <v>275</v>
      </c>
      <c r="B143" s="101" t="s">
        <v>276</v>
      </c>
      <c r="C143" s="101" t="s">
        <v>206</v>
      </c>
      <c r="D143" s="101" t="s">
        <v>7</v>
      </c>
      <c r="E143" s="318" t="s">
        <v>1192</v>
      </c>
      <c r="F143" s="315" t="s">
        <v>1166</v>
      </c>
      <c r="G143" s="315">
        <f t="shared" si="19"/>
        <v>22200000</v>
      </c>
      <c r="H143" s="315">
        <f>'d3'!E149</f>
        <v>22200000</v>
      </c>
      <c r="I143" s="315">
        <f>'d3'!J149</f>
        <v>0</v>
      </c>
      <c r="J143" s="315">
        <f>'d3'!K149</f>
        <v>0</v>
      </c>
      <c r="K143" s="136"/>
      <c r="L143" s="136"/>
      <c r="M143" s="136"/>
    </row>
    <row r="144" spans="1:13" s="5" customFormat="1" ht="138.75" thickTop="1" thickBot="1" x14ac:dyDescent="0.25">
      <c r="A144" s="101" t="s">
        <v>277</v>
      </c>
      <c r="B144" s="101" t="s">
        <v>274</v>
      </c>
      <c r="C144" s="101" t="s">
        <v>206</v>
      </c>
      <c r="D144" s="101" t="s">
        <v>8</v>
      </c>
      <c r="E144" s="318" t="s">
        <v>1192</v>
      </c>
      <c r="F144" s="315" t="s">
        <v>1166</v>
      </c>
      <c r="G144" s="315">
        <f t="shared" si="19"/>
        <v>700000</v>
      </c>
      <c r="H144" s="315">
        <f>'d3'!E150</f>
        <v>700000</v>
      </c>
      <c r="I144" s="315">
        <f>'d3'!J150</f>
        <v>0</v>
      </c>
      <c r="J144" s="315">
        <f>'d3'!K150</f>
        <v>0</v>
      </c>
      <c r="K144" s="136"/>
      <c r="L144" s="136"/>
      <c r="M144" s="136"/>
    </row>
    <row r="145" spans="1:13" s="5" customFormat="1" ht="138.75" thickTop="1" thickBot="1" x14ac:dyDescent="0.25">
      <c r="A145" s="101" t="s">
        <v>278</v>
      </c>
      <c r="B145" s="101" t="s">
        <v>279</v>
      </c>
      <c r="C145" s="101" t="s">
        <v>206</v>
      </c>
      <c r="D145" s="101" t="s">
        <v>9</v>
      </c>
      <c r="E145" s="318" t="s">
        <v>1192</v>
      </c>
      <c r="F145" s="315" t="s">
        <v>1166</v>
      </c>
      <c r="G145" s="315">
        <f t="shared" si="19"/>
        <v>55000000</v>
      </c>
      <c r="H145" s="315">
        <f>'d3'!E151</f>
        <v>55000000</v>
      </c>
      <c r="I145" s="315">
        <f>'d3'!J151</f>
        <v>0</v>
      </c>
      <c r="J145" s="315">
        <f>'d3'!K151</f>
        <v>0</v>
      </c>
      <c r="K145" s="136"/>
      <c r="L145" s="136"/>
      <c r="M145" s="136"/>
    </row>
    <row r="146" spans="1:13" s="5" customFormat="1" ht="138.75" thickTop="1" thickBot="1" x14ac:dyDescent="0.25">
      <c r="A146" s="101" t="s">
        <v>478</v>
      </c>
      <c r="B146" s="101" t="s">
        <v>479</v>
      </c>
      <c r="C146" s="101" t="s">
        <v>206</v>
      </c>
      <c r="D146" s="101" t="s">
        <v>480</v>
      </c>
      <c r="E146" s="318" t="s">
        <v>1192</v>
      </c>
      <c r="F146" s="315" t="s">
        <v>1166</v>
      </c>
      <c r="G146" s="315">
        <f t="shared" si="19"/>
        <v>362971</v>
      </c>
      <c r="H146" s="315">
        <f>'d3'!E152</f>
        <v>362971</v>
      </c>
      <c r="I146" s="315">
        <f>'d3'!J152</f>
        <v>0</v>
      </c>
      <c r="J146" s="315">
        <f>'d3'!K152</f>
        <v>0</v>
      </c>
      <c r="K146" s="136"/>
      <c r="L146" s="136"/>
      <c r="M146" s="136"/>
    </row>
    <row r="147" spans="1:13" s="5" customFormat="1" ht="138.75" thickTop="1" thickBot="1" x14ac:dyDescent="0.25">
      <c r="A147" s="101" t="s">
        <v>920</v>
      </c>
      <c r="B147" s="101" t="s">
        <v>921</v>
      </c>
      <c r="C147" s="101" t="s">
        <v>206</v>
      </c>
      <c r="D147" s="101" t="s">
        <v>922</v>
      </c>
      <c r="E147" s="318" t="s">
        <v>1192</v>
      </c>
      <c r="F147" s="315" t="s">
        <v>1166</v>
      </c>
      <c r="G147" s="315">
        <f t="shared" ref="G147" si="21">H147+I147</f>
        <v>1893100</v>
      </c>
      <c r="H147" s="315">
        <f>'d3'!E153</f>
        <v>1893100</v>
      </c>
      <c r="I147" s="315">
        <f>'d3'!J153</f>
        <v>0</v>
      </c>
      <c r="J147" s="315">
        <f>'d3'!K153</f>
        <v>0</v>
      </c>
      <c r="K147" s="136"/>
      <c r="L147" s="136"/>
      <c r="M147" s="136"/>
    </row>
    <row r="148" spans="1:13" s="5" customFormat="1" ht="138.75" thickTop="1" thickBot="1" x14ac:dyDescent="0.25">
      <c r="A148" s="101" t="s">
        <v>481</v>
      </c>
      <c r="B148" s="101" t="s">
        <v>482</v>
      </c>
      <c r="C148" s="101" t="s">
        <v>205</v>
      </c>
      <c r="D148" s="101" t="s">
        <v>483</v>
      </c>
      <c r="E148" s="318" t="s">
        <v>1192</v>
      </c>
      <c r="F148" s="315" t="s">
        <v>1166</v>
      </c>
      <c r="G148" s="315">
        <f t="shared" si="19"/>
        <v>470456</v>
      </c>
      <c r="H148" s="315">
        <f>'d3'!E154</f>
        <v>470456</v>
      </c>
      <c r="I148" s="315">
        <f>'d3'!J154</f>
        <v>0</v>
      </c>
      <c r="J148" s="315">
        <f>'d3'!K154</f>
        <v>0</v>
      </c>
      <c r="K148" s="136"/>
      <c r="L148" s="136"/>
      <c r="M148" s="136"/>
    </row>
    <row r="149" spans="1:13" ht="184.5" thickTop="1" thickBot="1" x14ac:dyDescent="0.25">
      <c r="A149" s="101" t="s">
        <v>267</v>
      </c>
      <c r="B149" s="101" t="s">
        <v>265</v>
      </c>
      <c r="C149" s="101" t="s">
        <v>200</v>
      </c>
      <c r="D149" s="101" t="s">
        <v>17</v>
      </c>
      <c r="E149" s="318" t="s">
        <v>1192</v>
      </c>
      <c r="F149" s="315" t="s">
        <v>1166</v>
      </c>
      <c r="G149" s="315">
        <f t="shared" si="19"/>
        <v>54931249.299999997</v>
      </c>
      <c r="H149" s="315">
        <f>'d3'!E156-H150</f>
        <v>53660249.299999997</v>
      </c>
      <c r="I149" s="315">
        <f>'d3'!J156-I150</f>
        <v>1271000</v>
      </c>
      <c r="J149" s="315">
        <f>'d3'!K156-J150</f>
        <v>0</v>
      </c>
      <c r="K149" s="95" t="b">
        <f>H149+H150='d3'!E156</f>
        <v>1</v>
      </c>
      <c r="L149" s="95" t="b">
        <f>I149+I150='d3'!J156</f>
        <v>1</v>
      </c>
      <c r="M149" s="95" t="b">
        <f>J149+J150='d3'!K156</f>
        <v>1</v>
      </c>
    </row>
    <row r="150" spans="1:13" ht="184.5" thickTop="1" thickBot="1" x14ac:dyDescent="0.25">
      <c r="A150" s="101" t="s">
        <v>267</v>
      </c>
      <c r="B150" s="101" t="s">
        <v>265</v>
      </c>
      <c r="C150" s="101" t="s">
        <v>200</v>
      </c>
      <c r="D150" s="101" t="s">
        <v>17</v>
      </c>
      <c r="E150" s="318" t="s">
        <v>1618</v>
      </c>
      <c r="F150" s="315" t="s">
        <v>1619</v>
      </c>
      <c r="G150" s="315">
        <f t="shared" si="19"/>
        <v>290740</v>
      </c>
      <c r="H150" s="315">
        <f>134471+91942</f>
        <v>226413</v>
      </c>
      <c r="I150" s="315">
        <v>64327</v>
      </c>
      <c r="J150" s="315">
        <v>64327</v>
      </c>
      <c r="K150" s="137"/>
      <c r="L150" s="137"/>
      <c r="M150" s="137"/>
    </row>
    <row r="151" spans="1:13" ht="138.75" thickTop="1" thickBot="1" x14ac:dyDescent="0.25">
      <c r="A151" s="101" t="s">
        <v>268</v>
      </c>
      <c r="B151" s="101" t="s">
        <v>266</v>
      </c>
      <c r="C151" s="101" t="s">
        <v>199</v>
      </c>
      <c r="D151" s="101" t="s">
        <v>455</v>
      </c>
      <c r="E151" s="318" t="s">
        <v>1192</v>
      </c>
      <c r="F151" s="315" t="s">
        <v>1166</v>
      </c>
      <c r="G151" s="315">
        <f t="shared" si="19"/>
        <v>11964994.439999999</v>
      </c>
      <c r="H151" s="315">
        <f>'d3'!E157-H152</f>
        <v>11564602</v>
      </c>
      <c r="I151" s="315">
        <f>'d3'!J157-I152</f>
        <v>400392.44</v>
      </c>
      <c r="J151" s="315">
        <f>'d3'!K157-J152</f>
        <v>400392.44</v>
      </c>
      <c r="K151" s="137"/>
      <c r="L151" s="137"/>
      <c r="M151" s="137"/>
    </row>
    <row r="152" spans="1:13" ht="184.5" hidden="1" thickTop="1" thickBot="1" x14ac:dyDescent="0.25">
      <c r="A152" s="126" t="s">
        <v>268</v>
      </c>
      <c r="B152" s="126" t="s">
        <v>266</v>
      </c>
      <c r="C152" s="126" t="s">
        <v>199</v>
      </c>
      <c r="D152" s="126" t="s">
        <v>455</v>
      </c>
      <c r="E152" s="253" t="s">
        <v>1385</v>
      </c>
      <c r="F152" s="194" t="s">
        <v>450</v>
      </c>
      <c r="G152" s="194">
        <f t="shared" si="19"/>
        <v>0</v>
      </c>
      <c r="H152" s="194">
        <v>0</v>
      </c>
      <c r="I152" s="315">
        <v>0</v>
      </c>
      <c r="J152" s="315">
        <v>0</v>
      </c>
      <c r="K152" s="137"/>
      <c r="L152" s="137"/>
      <c r="M152" s="137"/>
    </row>
    <row r="153" spans="1:13" ht="138.75" thickTop="1" thickBot="1" x14ac:dyDescent="0.25">
      <c r="A153" s="101" t="s">
        <v>1215</v>
      </c>
      <c r="B153" s="101" t="s">
        <v>184</v>
      </c>
      <c r="C153" s="101" t="s">
        <v>185</v>
      </c>
      <c r="D153" s="101" t="s">
        <v>638</v>
      </c>
      <c r="E153" s="318" t="s">
        <v>1192</v>
      </c>
      <c r="F153" s="315" t="s">
        <v>1166</v>
      </c>
      <c r="G153" s="315">
        <f>H153+I153</f>
        <v>11677215.51</v>
      </c>
      <c r="H153" s="315">
        <f>'d3'!E159-H154</f>
        <v>11664020.51</v>
      </c>
      <c r="I153" s="315">
        <f>'d3'!J159-I154</f>
        <v>13195</v>
      </c>
      <c r="J153" s="315">
        <f>'d3'!K159-J154</f>
        <v>13195</v>
      </c>
      <c r="K153" s="137"/>
      <c r="L153" s="137"/>
      <c r="M153" s="137"/>
    </row>
    <row r="154" spans="1:13" ht="184.5" hidden="1" thickTop="1" thickBot="1" x14ac:dyDescent="0.25">
      <c r="A154" s="126" t="s">
        <v>1215</v>
      </c>
      <c r="B154" s="126" t="s">
        <v>184</v>
      </c>
      <c r="C154" s="126" t="s">
        <v>185</v>
      </c>
      <c r="D154" s="126" t="s">
        <v>638</v>
      </c>
      <c r="E154" s="253" t="s">
        <v>1385</v>
      </c>
      <c r="F154" s="194" t="s">
        <v>450</v>
      </c>
      <c r="G154" s="194">
        <f>H154+I154</f>
        <v>0</v>
      </c>
      <c r="H154" s="194">
        <v>0</v>
      </c>
      <c r="I154" s="194">
        <v>0</v>
      </c>
      <c r="J154" s="194">
        <v>0</v>
      </c>
      <c r="K154" s="137"/>
      <c r="L154" s="137"/>
      <c r="M154" s="137"/>
    </row>
    <row r="155" spans="1:13" ht="184.5" thickTop="1" thickBot="1" x14ac:dyDescent="0.25">
      <c r="A155" s="101" t="s">
        <v>1022</v>
      </c>
      <c r="B155" s="101" t="s">
        <v>1023</v>
      </c>
      <c r="C155" s="101" t="s">
        <v>185</v>
      </c>
      <c r="D155" s="101" t="s">
        <v>1024</v>
      </c>
      <c r="E155" s="318" t="s">
        <v>1192</v>
      </c>
      <c r="F155" s="315" t="s">
        <v>1166</v>
      </c>
      <c r="G155" s="315">
        <f t="shared" si="19"/>
        <v>222000</v>
      </c>
      <c r="H155" s="315">
        <f>'d3'!E160</f>
        <v>222000</v>
      </c>
      <c r="I155" s="315">
        <f>'d3'!J160</f>
        <v>0</v>
      </c>
      <c r="J155" s="315">
        <f>'d3'!K160</f>
        <v>0</v>
      </c>
      <c r="K155" s="137"/>
      <c r="L155" s="137"/>
      <c r="M155" s="137"/>
    </row>
    <row r="156" spans="1:13" ht="276" thickTop="1" thickBot="1" x14ac:dyDescent="0.25">
      <c r="A156" s="101" t="s">
        <v>263</v>
      </c>
      <c r="B156" s="101" t="s">
        <v>264</v>
      </c>
      <c r="C156" s="101" t="s">
        <v>199</v>
      </c>
      <c r="D156" s="101" t="s">
        <v>453</v>
      </c>
      <c r="E156" s="318" t="s">
        <v>1192</v>
      </c>
      <c r="F156" s="315" t="s">
        <v>1166</v>
      </c>
      <c r="G156" s="315">
        <f t="shared" si="19"/>
        <v>5126500</v>
      </c>
      <c r="H156" s="315">
        <f>'d3'!E161</f>
        <v>5126500</v>
      </c>
      <c r="I156" s="315">
        <f>'d3'!J161</f>
        <v>0</v>
      </c>
      <c r="J156" s="315">
        <f>'d3'!K161</f>
        <v>0</v>
      </c>
      <c r="K156" s="137"/>
      <c r="L156" s="137"/>
      <c r="M156" s="137"/>
    </row>
    <row r="157" spans="1:13" ht="184.5" thickTop="1" thickBot="1" x14ac:dyDescent="0.25">
      <c r="A157" s="101" t="s">
        <v>484</v>
      </c>
      <c r="B157" s="101" t="s">
        <v>485</v>
      </c>
      <c r="C157" s="101" t="s">
        <v>199</v>
      </c>
      <c r="D157" s="101" t="s">
        <v>486</v>
      </c>
      <c r="E157" s="318" t="s">
        <v>1192</v>
      </c>
      <c r="F157" s="315" t="s">
        <v>1166</v>
      </c>
      <c r="G157" s="315">
        <f t="shared" si="19"/>
        <v>184607</v>
      </c>
      <c r="H157" s="315">
        <f>'d3'!E163</f>
        <v>184607</v>
      </c>
      <c r="I157" s="315">
        <f>'d3'!J163</f>
        <v>0</v>
      </c>
      <c r="J157" s="315">
        <f>'d3'!K163</f>
        <v>0</v>
      </c>
      <c r="K157" s="137"/>
      <c r="L157" s="137"/>
      <c r="M157" s="137"/>
    </row>
    <row r="158" spans="1:13" ht="230.25" thickTop="1" thickBot="1" x14ac:dyDescent="0.25">
      <c r="A158" s="101" t="s">
        <v>348</v>
      </c>
      <c r="B158" s="101" t="s">
        <v>347</v>
      </c>
      <c r="C158" s="101" t="s">
        <v>50</v>
      </c>
      <c r="D158" s="101" t="s">
        <v>454</v>
      </c>
      <c r="E158" s="318" t="s">
        <v>1192</v>
      </c>
      <c r="F158" s="315" t="s">
        <v>1166</v>
      </c>
      <c r="G158" s="315">
        <f t="shared" si="19"/>
        <v>1245437.28</v>
      </c>
      <c r="H158" s="315">
        <v>1245437.28</v>
      </c>
      <c r="I158" s="315">
        <f>'d3'!J164-I159-I160</f>
        <v>0</v>
      </c>
      <c r="J158" s="315">
        <f>'d3'!K164-J159-J160</f>
        <v>0</v>
      </c>
      <c r="K158" s="95" t="b">
        <f>H158+H159+H160='d3'!E164</f>
        <v>1</v>
      </c>
      <c r="L158" s="95" t="b">
        <f>I158+I159+I160='d3'!J164</f>
        <v>1</v>
      </c>
      <c r="M158" s="95" t="b">
        <f>J158+J159+J160='d3'!K164</f>
        <v>1</v>
      </c>
    </row>
    <row r="159" spans="1:13" ht="230.25" thickTop="1" thickBot="1" x14ac:dyDescent="0.25">
      <c r="A159" s="101" t="s">
        <v>348</v>
      </c>
      <c r="B159" s="101" t="s">
        <v>347</v>
      </c>
      <c r="C159" s="101" t="s">
        <v>50</v>
      </c>
      <c r="D159" s="101" t="s">
        <v>454</v>
      </c>
      <c r="E159" s="318" t="s">
        <v>1227</v>
      </c>
      <c r="F159" s="315" t="s">
        <v>869</v>
      </c>
      <c r="G159" s="315">
        <f t="shared" si="19"/>
        <v>799824</v>
      </c>
      <c r="H159" s="315">
        <v>799824</v>
      </c>
      <c r="I159" s="315">
        <v>0</v>
      </c>
      <c r="J159" s="315">
        <v>0</v>
      </c>
      <c r="K159" s="137"/>
      <c r="L159" s="137"/>
      <c r="M159" s="137"/>
    </row>
    <row r="160" spans="1:13" ht="276" thickTop="1" thickBot="1" x14ac:dyDescent="0.25">
      <c r="A160" s="101" t="s">
        <v>348</v>
      </c>
      <c r="B160" s="101" t="s">
        <v>347</v>
      </c>
      <c r="C160" s="101" t="s">
        <v>50</v>
      </c>
      <c r="D160" s="101" t="s">
        <v>454</v>
      </c>
      <c r="E160" s="318" t="s">
        <v>1384</v>
      </c>
      <c r="F160" s="315" t="s">
        <v>1347</v>
      </c>
      <c r="G160" s="315">
        <f t="shared" si="19"/>
        <v>642672</v>
      </c>
      <c r="H160" s="315">
        <v>642672</v>
      </c>
      <c r="I160" s="315">
        <v>0</v>
      </c>
      <c r="J160" s="315">
        <v>0</v>
      </c>
      <c r="K160" s="137"/>
      <c r="L160" s="137"/>
      <c r="M160" s="137"/>
    </row>
    <row r="161" spans="1:14" ht="138.75" thickTop="1" thickBot="1" x14ac:dyDescent="0.25">
      <c r="A161" s="101" t="s">
        <v>325</v>
      </c>
      <c r="B161" s="101" t="s">
        <v>326</v>
      </c>
      <c r="C161" s="101" t="s">
        <v>205</v>
      </c>
      <c r="D161" s="101" t="s">
        <v>635</v>
      </c>
      <c r="E161" s="318" t="s">
        <v>1192</v>
      </c>
      <c r="F161" s="315" t="s">
        <v>1166</v>
      </c>
      <c r="G161" s="315">
        <f t="shared" si="19"/>
        <v>1000000</v>
      </c>
      <c r="H161" s="315">
        <f>'d3'!E166</f>
        <v>1000000</v>
      </c>
      <c r="I161" s="315">
        <f>'d3'!J166</f>
        <v>0</v>
      </c>
      <c r="J161" s="315">
        <f>'d3'!K166</f>
        <v>0</v>
      </c>
      <c r="K161" s="137"/>
      <c r="L161" s="137"/>
      <c r="M161" s="137"/>
    </row>
    <row r="162" spans="1:14" ht="138.75" thickTop="1" thickBot="1" x14ac:dyDescent="0.25">
      <c r="A162" s="101" t="s">
        <v>428</v>
      </c>
      <c r="B162" s="101" t="s">
        <v>372</v>
      </c>
      <c r="C162" s="101" t="s">
        <v>373</v>
      </c>
      <c r="D162" s="101" t="s">
        <v>371</v>
      </c>
      <c r="E162" s="318" t="s">
        <v>1517</v>
      </c>
      <c r="F162" s="315" t="s">
        <v>1592</v>
      </c>
      <c r="G162" s="315">
        <f t="shared" si="19"/>
        <v>117000</v>
      </c>
      <c r="H162" s="315">
        <f>'d3'!E167</f>
        <v>117000</v>
      </c>
      <c r="I162" s="315">
        <f>'d3'!J167</f>
        <v>0</v>
      </c>
      <c r="J162" s="315">
        <f>'d3'!K167</f>
        <v>0</v>
      </c>
      <c r="K162" s="137"/>
      <c r="L162" s="137"/>
      <c r="M162" s="137"/>
    </row>
    <row r="163" spans="1:14" ht="138.75" thickTop="1" thickBot="1" x14ac:dyDescent="0.25">
      <c r="A163" s="101" t="s">
        <v>1203</v>
      </c>
      <c r="B163" s="101" t="s">
        <v>1200</v>
      </c>
      <c r="C163" s="101" t="s">
        <v>206</v>
      </c>
      <c r="D163" s="466" t="s">
        <v>1201</v>
      </c>
      <c r="E163" s="318" t="s">
        <v>1192</v>
      </c>
      <c r="F163" s="315" t="s">
        <v>1166</v>
      </c>
      <c r="G163" s="315">
        <f>H163+I163</f>
        <v>56094694.359999999</v>
      </c>
      <c r="H163" s="319">
        <f>'d3'!E183</f>
        <v>6550760.2199999997</v>
      </c>
      <c r="I163" s="315">
        <f>'d3'!J183</f>
        <v>49543934.140000001</v>
      </c>
      <c r="J163" s="315">
        <f>'d3'!K183</f>
        <v>49543934.140000001</v>
      </c>
      <c r="K163" s="137"/>
      <c r="L163" s="137"/>
      <c r="M163" s="137"/>
    </row>
    <row r="164" spans="1:14" ht="138.75" thickTop="1" thickBot="1" x14ac:dyDescent="0.25">
      <c r="A164" s="101" t="s">
        <v>327</v>
      </c>
      <c r="B164" s="101" t="s">
        <v>329</v>
      </c>
      <c r="C164" s="101" t="s">
        <v>191</v>
      </c>
      <c r="D164" s="466" t="s">
        <v>331</v>
      </c>
      <c r="E164" s="318" t="s">
        <v>1192</v>
      </c>
      <c r="F164" s="315" t="s">
        <v>1166</v>
      </c>
      <c r="G164" s="315">
        <f t="shared" si="19"/>
        <v>40431327.200000003</v>
      </c>
      <c r="H164" s="319">
        <f>'d3'!E185-H165</f>
        <v>32589212.199999999</v>
      </c>
      <c r="I164" s="315">
        <f>'d3'!J185-I165</f>
        <v>7842115</v>
      </c>
      <c r="J164" s="315">
        <f>'d3'!K185-J165</f>
        <v>2849855</v>
      </c>
      <c r="L164" s="137"/>
      <c r="M164" s="137"/>
    </row>
    <row r="165" spans="1:14" ht="184.5" thickTop="1" thickBot="1" x14ac:dyDescent="0.25">
      <c r="A165" s="101" t="s">
        <v>327</v>
      </c>
      <c r="B165" s="101" t="s">
        <v>329</v>
      </c>
      <c r="C165" s="101" t="s">
        <v>191</v>
      </c>
      <c r="D165" s="466" t="s">
        <v>331</v>
      </c>
      <c r="E165" s="318" t="s">
        <v>1618</v>
      </c>
      <c r="F165" s="315" t="s">
        <v>1619</v>
      </c>
      <c r="G165" s="315">
        <f>H165+I165</f>
        <v>244500</v>
      </c>
      <c r="H165" s="319">
        <v>29500</v>
      </c>
      <c r="I165" s="315">
        <v>215000</v>
      </c>
      <c r="J165" s="315">
        <v>215000</v>
      </c>
      <c r="K165" s="137"/>
      <c r="L165" s="137"/>
      <c r="M165" s="137"/>
    </row>
    <row r="166" spans="1:14" ht="138.75" thickTop="1" thickBot="1" x14ac:dyDescent="0.25">
      <c r="A166" s="101" t="s">
        <v>328</v>
      </c>
      <c r="B166" s="101" t="s">
        <v>330</v>
      </c>
      <c r="C166" s="101" t="s">
        <v>191</v>
      </c>
      <c r="D166" s="466" t="s">
        <v>332</v>
      </c>
      <c r="E166" s="318" t="s">
        <v>1192</v>
      </c>
      <c r="F166" s="315" t="s">
        <v>1166</v>
      </c>
      <c r="G166" s="315">
        <f>H166+I166</f>
        <v>36550620</v>
      </c>
      <c r="H166" s="315">
        <f>(((22958830)+409190+1800000+5000000)+5000000)+780000+500000</f>
        <v>36448020</v>
      </c>
      <c r="I166" s="315">
        <f>(102600)</f>
        <v>102600</v>
      </c>
      <c r="J166" s="315">
        <f>(102600)</f>
        <v>102600</v>
      </c>
      <c r="K166" s="883" t="b">
        <f>H166+H168+H169+H170+H171+H167='d3'!E186</f>
        <v>1</v>
      </c>
      <c r="L166" s="883" t="b">
        <f>I166+I168+I169+I170+I171+I167='d3'!J186</f>
        <v>1</v>
      </c>
      <c r="M166" s="883" t="b">
        <f>J166+J168+J169+J170+J171+J167='d3'!K186</f>
        <v>1</v>
      </c>
    </row>
    <row r="167" spans="1:14" ht="321.75" thickTop="1" thickBot="1" x14ac:dyDescent="0.25">
      <c r="A167" s="101" t="s">
        <v>328</v>
      </c>
      <c r="B167" s="101" t="s">
        <v>330</v>
      </c>
      <c r="C167" s="101" t="s">
        <v>191</v>
      </c>
      <c r="D167" s="466" t="s">
        <v>332</v>
      </c>
      <c r="E167" s="315" t="s">
        <v>1389</v>
      </c>
      <c r="F167" s="315" t="s">
        <v>859</v>
      </c>
      <c r="G167" s="315">
        <f t="shared" si="19"/>
        <v>2000000</v>
      </c>
      <c r="H167" s="315">
        <v>2000000</v>
      </c>
      <c r="I167" s="315">
        <v>0</v>
      </c>
      <c r="J167" s="315">
        <v>0</v>
      </c>
      <c r="K167" s="883"/>
      <c r="L167" s="883"/>
      <c r="M167" s="883"/>
    </row>
    <row r="168" spans="1:14" ht="138.75" thickTop="1" thickBot="1" x14ac:dyDescent="0.25">
      <c r="A168" s="101" t="s">
        <v>328</v>
      </c>
      <c r="B168" s="101" t="s">
        <v>330</v>
      </c>
      <c r="C168" s="101" t="s">
        <v>191</v>
      </c>
      <c r="D168" s="466" t="s">
        <v>332</v>
      </c>
      <c r="E168" s="315" t="s">
        <v>1516</v>
      </c>
      <c r="F168" s="315" t="s">
        <v>868</v>
      </c>
      <c r="G168" s="315">
        <f t="shared" si="19"/>
        <v>595850</v>
      </c>
      <c r="H168" s="315">
        <f>(((981500)-575600)+189950)-23999</f>
        <v>571851</v>
      </c>
      <c r="I168" s="315">
        <v>23999</v>
      </c>
      <c r="J168" s="315">
        <v>23999</v>
      </c>
      <c r="K168" s="884"/>
      <c r="L168" s="884"/>
      <c r="M168" s="884"/>
      <c r="N168" s="252"/>
    </row>
    <row r="169" spans="1:14" ht="251.25" customHeight="1" thickTop="1" thickBot="1" x14ac:dyDescent="0.25">
      <c r="A169" s="101" t="s">
        <v>328</v>
      </c>
      <c r="B169" s="101" t="s">
        <v>330</v>
      </c>
      <c r="C169" s="101" t="s">
        <v>191</v>
      </c>
      <c r="D169" s="466" t="s">
        <v>332</v>
      </c>
      <c r="E169" s="318" t="s">
        <v>1227</v>
      </c>
      <c r="F169" s="315" t="s">
        <v>869</v>
      </c>
      <c r="G169" s="315">
        <f t="shared" si="19"/>
        <v>41716260</v>
      </c>
      <c r="H169" s="315">
        <f>((14432260)+10000000)+15000000+684000+1400000+200000</f>
        <v>41716260</v>
      </c>
      <c r="I169" s="315">
        <v>0</v>
      </c>
      <c r="J169" s="315">
        <v>0</v>
      </c>
      <c r="K169" s="884"/>
      <c r="L169" s="884"/>
      <c r="M169" s="884"/>
    </row>
    <row r="170" spans="1:14" ht="138.75" thickTop="1" thickBot="1" x14ac:dyDescent="0.25">
      <c r="A170" s="101" t="s">
        <v>328</v>
      </c>
      <c r="B170" s="101" t="s">
        <v>330</v>
      </c>
      <c r="C170" s="101" t="s">
        <v>191</v>
      </c>
      <c r="D170" s="466" t="s">
        <v>332</v>
      </c>
      <c r="E170" s="318" t="s">
        <v>1468</v>
      </c>
      <c r="F170" s="315" t="s">
        <v>1469</v>
      </c>
      <c r="G170" s="315">
        <f t="shared" si="19"/>
        <v>2610000</v>
      </c>
      <c r="H170" s="315">
        <v>2610000</v>
      </c>
      <c r="I170" s="315">
        <v>0</v>
      </c>
      <c r="J170" s="315">
        <v>0</v>
      </c>
      <c r="K170" s="13"/>
      <c r="L170" s="13"/>
      <c r="M170" s="13"/>
    </row>
    <row r="171" spans="1:14" ht="276" thickTop="1" thickBot="1" x14ac:dyDescent="0.25">
      <c r="A171" s="101" t="s">
        <v>328</v>
      </c>
      <c r="B171" s="101" t="s">
        <v>330</v>
      </c>
      <c r="C171" s="101" t="s">
        <v>191</v>
      </c>
      <c r="D171" s="466" t="s">
        <v>332</v>
      </c>
      <c r="E171" s="318" t="s">
        <v>1384</v>
      </c>
      <c r="F171" s="315" t="s">
        <v>1347</v>
      </c>
      <c r="G171" s="315">
        <f t="shared" si="19"/>
        <v>29863710</v>
      </c>
      <c r="H171" s="315">
        <f>((670500)+166410)+5026800</f>
        <v>5863710</v>
      </c>
      <c r="I171" s="315">
        <v>24000000</v>
      </c>
      <c r="J171" s="315">
        <v>24000000</v>
      </c>
      <c r="K171" s="13"/>
      <c r="L171" s="13"/>
      <c r="M171" s="13"/>
    </row>
    <row r="172" spans="1:14" ht="184.5" thickTop="1" thickBot="1" x14ac:dyDescent="0.25">
      <c r="A172" s="101" t="s">
        <v>367</v>
      </c>
      <c r="B172" s="101" t="s">
        <v>365</v>
      </c>
      <c r="C172" s="101" t="s">
        <v>340</v>
      </c>
      <c r="D172" s="466" t="s">
        <v>366</v>
      </c>
      <c r="E172" s="318" t="s">
        <v>1227</v>
      </c>
      <c r="F172" s="315" t="s">
        <v>869</v>
      </c>
      <c r="G172" s="315">
        <f t="shared" si="19"/>
        <v>26000000</v>
      </c>
      <c r="H172" s="315">
        <f>'d3'!E189</f>
        <v>0</v>
      </c>
      <c r="I172" s="315">
        <f>'d3'!J189</f>
        <v>26000000</v>
      </c>
      <c r="J172" s="315">
        <f>'d3'!K189</f>
        <v>26000000</v>
      </c>
      <c r="K172" s="137"/>
      <c r="L172" s="137"/>
      <c r="M172" s="137"/>
    </row>
    <row r="173" spans="1:14" ht="276" hidden="1" thickTop="1" thickBot="1" x14ac:dyDescent="0.25">
      <c r="A173" s="41" t="s">
        <v>1074</v>
      </c>
      <c r="B173" s="41" t="s">
        <v>1075</v>
      </c>
      <c r="C173" s="41" t="s">
        <v>340</v>
      </c>
      <c r="D173" s="152" t="s">
        <v>1076</v>
      </c>
      <c r="E173" s="73" t="s">
        <v>867</v>
      </c>
      <c r="F173" s="73" t="s">
        <v>868</v>
      </c>
      <c r="G173" s="73">
        <f t="shared" si="19"/>
        <v>0</v>
      </c>
      <c r="H173" s="269">
        <f>'d3'!E190</f>
        <v>0</v>
      </c>
      <c r="I173" s="269">
        <f>'d3'!J190</f>
        <v>0</v>
      </c>
      <c r="J173" s="269">
        <f>'d3'!K190</f>
        <v>0</v>
      </c>
      <c r="K173" s="137"/>
      <c r="L173" s="137"/>
      <c r="M173" s="137"/>
    </row>
    <row r="174" spans="1:14" ht="138.75" thickTop="1" thickBot="1" x14ac:dyDescent="0.25">
      <c r="A174" s="101" t="s">
        <v>924</v>
      </c>
      <c r="B174" s="101" t="s">
        <v>925</v>
      </c>
      <c r="C174" s="101" t="s">
        <v>304</v>
      </c>
      <c r="D174" s="101" t="s">
        <v>1614</v>
      </c>
      <c r="E174" s="318" t="s">
        <v>1192</v>
      </c>
      <c r="F174" s="315" t="s">
        <v>1166</v>
      </c>
      <c r="G174" s="315">
        <f t="shared" si="19"/>
        <v>548000</v>
      </c>
      <c r="H174" s="324">
        <f>'d3'!E194</f>
        <v>0</v>
      </c>
      <c r="I174" s="324">
        <f>'d3'!J194</f>
        <v>548000</v>
      </c>
      <c r="J174" s="324">
        <f>'d3'!K194</f>
        <v>548000</v>
      </c>
      <c r="K174" s="137"/>
      <c r="L174" s="137"/>
      <c r="M174" s="137"/>
    </row>
    <row r="175" spans="1:14" ht="138.75" thickTop="1" thickBot="1" x14ac:dyDescent="0.25">
      <c r="A175" s="101" t="s">
        <v>1309</v>
      </c>
      <c r="B175" s="101" t="s">
        <v>212</v>
      </c>
      <c r="C175" s="101" t="s">
        <v>213</v>
      </c>
      <c r="D175" s="101" t="s">
        <v>41</v>
      </c>
      <c r="E175" s="318" t="s">
        <v>1192</v>
      </c>
      <c r="F175" s="315" t="s">
        <v>1166</v>
      </c>
      <c r="G175" s="315">
        <f t="shared" si="19"/>
        <v>6317465.3499999996</v>
      </c>
      <c r="H175" s="324">
        <f>'d3'!E196</f>
        <v>0</v>
      </c>
      <c r="I175" s="324">
        <f>'d3'!J196</f>
        <v>6317465.3499999996</v>
      </c>
      <c r="J175" s="324">
        <f>'d3'!K196</f>
        <v>6317465.3499999996</v>
      </c>
      <c r="K175" s="137"/>
      <c r="L175" s="137"/>
      <c r="M175" s="137"/>
    </row>
    <row r="176" spans="1:14" ht="276" hidden="1" thickTop="1" thickBot="1" x14ac:dyDescent="0.7">
      <c r="A176" s="768" t="s">
        <v>423</v>
      </c>
      <c r="B176" s="768" t="s">
        <v>338</v>
      </c>
      <c r="C176" s="768" t="s">
        <v>170</v>
      </c>
      <c r="D176" s="153" t="s">
        <v>440</v>
      </c>
      <c r="E176" s="768" t="s">
        <v>1161</v>
      </c>
      <c r="F176" s="768" t="s">
        <v>1162</v>
      </c>
      <c r="G176" s="867">
        <f>H176+I176</f>
        <v>0</v>
      </c>
      <c r="H176" s="867">
        <f>'d3'!E198</f>
        <v>0</v>
      </c>
      <c r="I176" s="867">
        <f>'d3'!J198</f>
        <v>0</v>
      </c>
      <c r="J176" s="867">
        <f>'d3'!K198</f>
        <v>0</v>
      </c>
      <c r="K176" s="137"/>
      <c r="L176" s="137"/>
      <c r="M176" s="137"/>
    </row>
    <row r="177" spans="1:13" ht="138.75" hidden="1" thickTop="1" thickBot="1" x14ac:dyDescent="0.25">
      <c r="A177" s="778"/>
      <c r="B177" s="778"/>
      <c r="C177" s="778"/>
      <c r="D177" s="154" t="s">
        <v>441</v>
      </c>
      <c r="E177" s="778"/>
      <c r="F177" s="778"/>
      <c r="G177" s="868"/>
      <c r="H177" s="874"/>
      <c r="I177" s="868"/>
      <c r="J177" s="868"/>
      <c r="K177" s="252"/>
      <c r="L177" s="259"/>
      <c r="M177" s="259"/>
    </row>
    <row r="178" spans="1:13" ht="170.1" customHeight="1" thickTop="1" thickBot="1" x14ac:dyDescent="0.25">
      <c r="A178" s="645">
        <v>1000000</v>
      </c>
      <c r="B178" s="645"/>
      <c r="C178" s="645"/>
      <c r="D178" s="646" t="s">
        <v>24</v>
      </c>
      <c r="E178" s="645"/>
      <c r="F178" s="645"/>
      <c r="G178" s="648">
        <f>G179</f>
        <v>186564485</v>
      </c>
      <c r="H178" s="648">
        <f t="shared" ref="H178:J178" si="22">H179</f>
        <v>174828135</v>
      </c>
      <c r="I178" s="648">
        <f t="shared" si="22"/>
        <v>11736350</v>
      </c>
      <c r="J178" s="648">
        <f t="shared" si="22"/>
        <v>602500</v>
      </c>
      <c r="K178" s="95" t="b">
        <f>H178='d3'!E201</f>
        <v>1</v>
      </c>
      <c r="L178" s="461" t="b">
        <f>I178='d3'!J201</f>
        <v>1</v>
      </c>
      <c r="M178" s="461" t="b">
        <f>J178='d3'!K201</f>
        <v>1</v>
      </c>
    </row>
    <row r="179" spans="1:13" ht="170.1" customHeight="1" thickTop="1" thickBot="1" x14ac:dyDescent="0.25">
      <c r="A179" s="642">
        <v>1010000</v>
      </c>
      <c r="B179" s="642"/>
      <c r="C179" s="642"/>
      <c r="D179" s="643" t="s">
        <v>39</v>
      </c>
      <c r="E179" s="644"/>
      <c r="F179" s="644"/>
      <c r="G179" s="644">
        <f>SUM(G180:G198)</f>
        <v>186564485</v>
      </c>
      <c r="H179" s="644">
        <f>SUM(H180:H198)</f>
        <v>174828135</v>
      </c>
      <c r="I179" s="644">
        <f>SUM(I180:I198)</f>
        <v>11736350</v>
      </c>
      <c r="J179" s="644">
        <f>SUM(J180:J198)</f>
        <v>602500</v>
      </c>
      <c r="K179" s="137"/>
      <c r="L179" s="137"/>
      <c r="M179" s="137"/>
    </row>
    <row r="180" spans="1:13" ht="138.75" thickTop="1" thickBot="1" x14ac:dyDescent="0.25">
      <c r="A180" s="101" t="s">
        <v>636</v>
      </c>
      <c r="B180" s="101" t="s">
        <v>637</v>
      </c>
      <c r="C180" s="101" t="s">
        <v>181</v>
      </c>
      <c r="D180" s="101" t="s">
        <v>1120</v>
      </c>
      <c r="E180" s="315" t="s">
        <v>865</v>
      </c>
      <c r="F180" s="315" t="s">
        <v>866</v>
      </c>
      <c r="G180" s="315">
        <f>H180+I180</f>
        <v>106076888</v>
      </c>
      <c r="H180" s="315">
        <f>'d3'!E203-H181</f>
        <v>96162228</v>
      </c>
      <c r="I180" s="315">
        <f>'d3'!J203-I181</f>
        <v>9914660</v>
      </c>
      <c r="J180" s="315">
        <f>'d3'!K203-J181</f>
        <v>0</v>
      </c>
      <c r="K180" s="137"/>
      <c r="L180" s="137"/>
      <c r="M180" s="137"/>
    </row>
    <row r="181" spans="1:13" ht="184.5" hidden="1" thickTop="1" thickBot="1" x14ac:dyDescent="0.25">
      <c r="A181" s="126" t="s">
        <v>636</v>
      </c>
      <c r="B181" s="126" t="s">
        <v>637</v>
      </c>
      <c r="C181" s="126" t="s">
        <v>181</v>
      </c>
      <c r="D181" s="126" t="s">
        <v>1120</v>
      </c>
      <c r="E181" s="253" t="s">
        <v>1385</v>
      </c>
      <c r="F181" s="194" t="s">
        <v>450</v>
      </c>
      <c r="G181" s="194">
        <f t="shared" ref="G181" si="23">H181+I181</f>
        <v>0</v>
      </c>
      <c r="H181" s="194">
        <v>0</v>
      </c>
      <c r="I181" s="194">
        <v>0</v>
      </c>
      <c r="J181" s="194">
        <v>0</v>
      </c>
      <c r="K181" s="137"/>
      <c r="L181" s="137"/>
      <c r="M181" s="137"/>
    </row>
    <row r="182" spans="1:13" ht="138.75" thickTop="1" thickBot="1" x14ac:dyDescent="0.25">
      <c r="A182" s="101" t="s">
        <v>172</v>
      </c>
      <c r="B182" s="101" t="s">
        <v>173</v>
      </c>
      <c r="C182" s="101" t="s">
        <v>174</v>
      </c>
      <c r="D182" s="101" t="s">
        <v>175</v>
      </c>
      <c r="E182" s="315" t="s">
        <v>865</v>
      </c>
      <c r="F182" s="315" t="s">
        <v>866</v>
      </c>
      <c r="G182" s="315">
        <f t="shared" ref="G182:G198" si="24">H182+I182</f>
        <v>19030225</v>
      </c>
      <c r="H182" s="315">
        <f>'d3'!E205-H183-H184</f>
        <v>18561225</v>
      </c>
      <c r="I182" s="315">
        <f>'d3'!J205-I183-I184</f>
        <v>469000</v>
      </c>
      <c r="J182" s="315">
        <f>'d3'!K205-J183-J184</f>
        <v>300000</v>
      </c>
      <c r="K182" s="137"/>
      <c r="L182" s="137"/>
      <c r="M182" s="137"/>
    </row>
    <row r="183" spans="1:13" ht="184.5" thickTop="1" thickBot="1" x14ac:dyDescent="0.25">
      <c r="A183" s="101" t="s">
        <v>172</v>
      </c>
      <c r="B183" s="101" t="s">
        <v>173</v>
      </c>
      <c r="C183" s="101" t="s">
        <v>174</v>
      </c>
      <c r="D183" s="101" t="s">
        <v>175</v>
      </c>
      <c r="E183" s="318" t="s">
        <v>1618</v>
      </c>
      <c r="F183" s="315" t="s">
        <v>1619</v>
      </c>
      <c r="G183" s="315">
        <f>H183+I183</f>
        <v>700000</v>
      </c>
      <c r="H183" s="319">
        <f>130000+85000+182500</f>
        <v>397500</v>
      </c>
      <c r="I183" s="315">
        <f>135000+167500</f>
        <v>302500</v>
      </c>
      <c r="J183" s="315">
        <f>135000+167500</f>
        <v>302500</v>
      </c>
      <c r="K183" s="137"/>
      <c r="L183" s="137"/>
      <c r="M183" s="137"/>
    </row>
    <row r="184" spans="1:13" ht="184.5" hidden="1" thickTop="1" thickBot="1" x14ac:dyDescent="0.25">
      <c r="A184" s="101" t="s">
        <v>172</v>
      </c>
      <c r="B184" s="101" t="s">
        <v>173</v>
      </c>
      <c r="C184" s="101" t="s">
        <v>174</v>
      </c>
      <c r="D184" s="101" t="s">
        <v>175</v>
      </c>
      <c r="E184" s="315" t="s">
        <v>863</v>
      </c>
      <c r="F184" s="315" t="s">
        <v>864</v>
      </c>
      <c r="G184" s="315">
        <f>H184+I184</f>
        <v>0</v>
      </c>
      <c r="H184" s="319">
        <v>0</v>
      </c>
      <c r="I184" s="315">
        <v>0</v>
      </c>
      <c r="J184" s="315">
        <v>0</v>
      </c>
      <c r="K184" s="137"/>
      <c r="L184" s="137"/>
      <c r="M184" s="137"/>
    </row>
    <row r="185" spans="1:13" ht="138.75" thickTop="1" thickBot="1" x14ac:dyDescent="0.25">
      <c r="A185" s="101" t="s">
        <v>176</v>
      </c>
      <c r="B185" s="101" t="s">
        <v>177</v>
      </c>
      <c r="C185" s="101" t="s">
        <v>174</v>
      </c>
      <c r="D185" s="101" t="s">
        <v>463</v>
      </c>
      <c r="E185" s="315" t="s">
        <v>865</v>
      </c>
      <c r="F185" s="315" t="s">
        <v>866</v>
      </c>
      <c r="G185" s="315">
        <f t="shared" si="24"/>
        <v>3140612</v>
      </c>
      <c r="H185" s="315">
        <f>'d3'!E206-H186</f>
        <v>3026822</v>
      </c>
      <c r="I185" s="315">
        <f>'d3'!J206-I186</f>
        <v>113790</v>
      </c>
      <c r="J185" s="315">
        <f>'d3'!K206-J186</f>
        <v>0</v>
      </c>
      <c r="K185" s="137"/>
      <c r="L185" s="137"/>
      <c r="M185" s="137"/>
    </row>
    <row r="186" spans="1:13" ht="184.5" hidden="1" thickTop="1" thickBot="1" x14ac:dyDescent="0.25">
      <c r="A186" s="126" t="s">
        <v>176</v>
      </c>
      <c r="B186" s="126" t="s">
        <v>177</v>
      </c>
      <c r="C186" s="126" t="s">
        <v>174</v>
      </c>
      <c r="D186" s="126" t="s">
        <v>463</v>
      </c>
      <c r="E186" s="253" t="s">
        <v>1385</v>
      </c>
      <c r="F186" s="194" t="s">
        <v>450</v>
      </c>
      <c r="G186" s="194">
        <f t="shared" si="24"/>
        <v>0</v>
      </c>
      <c r="H186" s="194">
        <v>0</v>
      </c>
      <c r="I186" s="194">
        <v>0</v>
      </c>
      <c r="J186" s="194">
        <v>0</v>
      </c>
      <c r="K186" s="137"/>
      <c r="L186" s="137"/>
      <c r="M186" s="137"/>
    </row>
    <row r="187" spans="1:13" ht="138.75" thickTop="1" thickBot="1" x14ac:dyDescent="0.25">
      <c r="A187" s="101" t="s">
        <v>178</v>
      </c>
      <c r="B187" s="101" t="s">
        <v>171</v>
      </c>
      <c r="C187" s="101" t="s">
        <v>179</v>
      </c>
      <c r="D187" s="101" t="s">
        <v>180</v>
      </c>
      <c r="E187" s="315" t="s">
        <v>865</v>
      </c>
      <c r="F187" s="315" t="s">
        <v>866</v>
      </c>
      <c r="G187" s="315">
        <f t="shared" si="24"/>
        <v>22990907</v>
      </c>
      <c r="H187" s="315">
        <f>'d3'!E207-H188</f>
        <v>22228907</v>
      </c>
      <c r="I187" s="315">
        <f>'d3'!J207-I188</f>
        <v>762000</v>
      </c>
      <c r="J187" s="315">
        <f>'d3'!K207-J188</f>
        <v>0</v>
      </c>
      <c r="K187" s="137"/>
      <c r="L187" s="137"/>
      <c r="M187" s="137"/>
    </row>
    <row r="188" spans="1:13" ht="184.5" hidden="1" thickTop="1" thickBot="1" x14ac:dyDescent="0.25">
      <c r="A188" s="41" t="s">
        <v>178</v>
      </c>
      <c r="B188" s="41" t="s">
        <v>171</v>
      </c>
      <c r="C188" s="41" t="s">
        <v>179</v>
      </c>
      <c r="D188" s="41" t="s">
        <v>180</v>
      </c>
      <c r="E188" s="256" t="s">
        <v>449</v>
      </c>
      <c r="F188" s="261" t="s">
        <v>450</v>
      </c>
      <c r="G188" s="73">
        <f>H188+I188</f>
        <v>0</v>
      </c>
      <c r="H188" s="257">
        <v>0</v>
      </c>
      <c r="I188" s="73">
        <v>0</v>
      </c>
      <c r="J188" s="73">
        <v>0</v>
      </c>
      <c r="K188" s="137"/>
      <c r="L188" s="137"/>
      <c r="M188" s="137"/>
    </row>
    <row r="189" spans="1:13" ht="138.75" hidden="1" thickTop="1" thickBot="1" x14ac:dyDescent="0.25">
      <c r="A189" s="101" t="s">
        <v>1194</v>
      </c>
      <c r="B189" s="101" t="s">
        <v>1195</v>
      </c>
      <c r="C189" s="101" t="s">
        <v>1197</v>
      </c>
      <c r="D189" s="101" t="s">
        <v>1196</v>
      </c>
      <c r="E189" s="315" t="s">
        <v>865</v>
      </c>
      <c r="F189" s="315" t="s">
        <v>866</v>
      </c>
      <c r="G189" s="315">
        <f>H189+I189</f>
        <v>0</v>
      </c>
      <c r="H189" s="319">
        <f>'d3'!E208</f>
        <v>0</v>
      </c>
      <c r="I189" s="315">
        <f>'d3'!J208</f>
        <v>0</v>
      </c>
      <c r="J189" s="315">
        <f>'d3'!K208</f>
        <v>0</v>
      </c>
      <c r="K189" s="137"/>
      <c r="L189" s="137"/>
      <c r="M189" s="137"/>
    </row>
    <row r="190" spans="1:13" ht="138.75" thickTop="1" thickBot="1" x14ac:dyDescent="0.25">
      <c r="A190" s="101" t="s">
        <v>333</v>
      </c>
      <c r="B190" s="101" t="s">
        <v>334</v>
      </c>
      <c r="C190" s="101" t="s">
        <v>182</v>
      </c>
      <c r="D190" s="101" t="s">
        <v>464</v>
      </c>
      <c r="E190" s="315" t="s">
        <v>865</v>
      </c>
      <c r="F190" s="315" t="s">
        <v>866</v>
      </c>
      <c r="G190" s="315">
        <f>H190+I190</f>
        <v>27846403</v>
      </c>
      <c r="H190" s="315">
        <f>'d3'!E210-H191</f>
        <v>27672003</v>
      </c>
      <c r="I190" s="315">
        <f>'d3'!J210-I191</f>
        <v>174400</v>
      </c>
      <c r="J190" s="315">
        <f>'d3'!K210-J191</f>
        <v>0</v>
      </c>
      <c r="K190" s="137"/>
      <c r="L190" s="137"/>
      <c r="M190" s="137"/>
    </row>
    <row r="191" spans="1:13" ht="138.75" thickTop="1" thickBot="1" x14ac:dyDescent="0.25">
      <c r="A191" s="101" t="s">
        <v>333</v>
      </c>
      <c r="B191" s="101" t="s">
        <v>334</v>
      </c>
      <c r="C191" s="101" t="s">
        <v>182</v>
      </c>
      <c r="D191" s="101" t="s">
        <v>464</v>
      </c>
      <c r="E191" s="315" t="s">
        <v>1259</v>
      </c>
      <c r="F191" s="315" t="s">
        <v>406</v>
      </c>
      <c r="G191" s="315">
        <f t="shared" si="24"/>
        <v>1399500</v>
      </c>
      <c r="H191" s="315">
        <v>1399500</v>
      </c>
      <c r="I191" s="315">
        <v>0</v>
      </c>
      <c r="J191" s="315">
        <v>0</v>
      </c>
      <c r="K191" s="137"/>
      <c r="L191" s="137"/>
      <c r="M191" s="137"/>
    </row>
    <row r="192" spans="1:13" ht="138.75" thickTop="1" thickBot="1" x14ac:dyDescent="0.25">
      <c r="A192" s="101" t="s">
        <v>335</v>
      </c>
      <c r="B192" s="101" t="s">
        <v>336</v>
      </c>
      <c r="C192" s="101" t="s">
        <v>182</v>
      </c>
      <c r="D192" s="101" t="s">
        <v>465</v>
      </c>
      <c r="E192" s="315" t="s">
        <v>865</v>
      </c>
      <c r="F192" s="315" t="s">
        <v>866</v>
      </c>
      <c r="G192" s="315">
        <f t="shared" si="24"/>
        <v>3450000</v>
      </c>
      <c r="H192" s="315">
        <f>'d3'!E211-H193-H194</f>
        <v>3450000</v>
      </c>
      <c r="I192" s="315">
        <f>'d3'!J211-I193-I194</f>
        <v>0</v>
      </c>
      <c r="J192" s="315">
        <f>'d3'!K211-J193-J194</f>
        <v>0</v>
      </c>
      <c r="K192" s="137"/>
      <c r="L192" s="137"/>
      <c r="M192" s="137"/>
    </row>
    <row r="193" spans="1:13" ht="138.75" thickTop="1" thickBot="1" x14ac:dyDescent="0.25">
      <c r="A193" s="101" t="s">
        <v>335</v>
      </c>
      <c r="B193" s="101" t="s">
        <v>336</v>
      </c>
      <c r="C193" s="101" t="s">
        <v>182</v>
      </c>
      <c r="D193" s="101" t="s">
        <v>465</v>
      </c>
      <c r="E193" s="315" t="s">
        <v>1259</v>
      </c>
      <c r="F193" s="315" t="s">
        <v>406</v>
      </c>
      <c r="G193" s="315">
        <f t="shared" si="24"/>
        <v>653100</v>
      </c>
      <c r="H193" s="315">
        <v>653100</v>
      </c>
      <c r="I193" s="315">
        <v>0</v>
      </c>
      <c r="J193" s="315">
        <v>0</v>
      </c>
      <c r="K193" s="137"/>
      <c r="L193" s="137"/>
      <c r="M193" s="137"/>
    </row>
    <row r="194" spans="1:13" ht="184.5" thickTop="1" thickBot="1" x14ac:dyDescent="0.25">
      <c r="A194" s="101" t="s">
        <v>335</v>
      </c>
      <c r="B194" s="101" t="s">
        <v>336</v>
      </c>
      <c r="C194" s="101" t="s">
        <v>182</v>
      </c>
      <c r="D194" s="101" t="s">
        <v>465</v>
      </c>
      <c r="E194" s="315" t="s">
        <v>863</v>
      </c>
      <c r="F194" s="315" t="s">
        <v>864</v>
      </c>
      <c r="G194" s="315">
        <f t="shared" si="24"/>
        <v>250000</v>
      </c>
      <c r="H194" s="315">
        <v>250000</v>
      </c>
      <c r="I194" s="315">
        <v>0</v>
      </c>
      <c r="J194" s="315">
        <v>0</v>
      </c>
      <c r="K194" s="137"/>
      <c r="L194" s="137"/>
      <c r="M194" s="137"/>
    </row>
    <row r="195" spans="1:13" ht="138.75" thickTop="1" thickBot="1" x14ac:dyDescent="0.25">
      <c r="A195" s="101" t="s">
        <v>1036</v>
      </c>
      <c r="B195" s="101" t="s">
        <v>1037</v>
      </c>
      <c r="C195" s="101" t="s">
        <v>213</v>
      </c>
      <c r="D195" s="101" t="s">
        <v>1035</v>
      </c>
      <c r="E195" s="315" t="s">
        <v>1545</v>
      </c>
      <c r="F195" s="315" t="s">
        <v>1546</v>
      </c>
      <c r="G195" s="315">
        <f t="shared" si="24"/>
        <v>1026850</v>
      </c>
      <c r="H195" s="315">
        <f>'d3'!E215</f>
        <v>1026850</v>
      </c>
      <c r="I195" s="315">
        <f>'d3'!J215</f>
        <v>0</v>
      </c>
      <c r="J195" s="315">
        <f>'d3'!K215</f>
        <v>0</v>
      </c>
      <c r="K195" s="270"/>
      <c r="L195" s="270"/>
      <c r="M195" s="137"/>
    </row>
    <row r="196" spans="1:13" ht="138.75" hidden="1" thickTop="1" thickBot="1" x14ac:dyDescent="0.25">
      <c r="A196" s="126" t="s">
        <v>1265</v>
      </c>
      <c r="B196" s="126" t="s">
        <v>212</v>
      </c>
      <c r="C196" s="126" t="s">
        <v>213</v>
      </c>
      <c r="D196" s="126" t="s">
        <v>41</v>
      </c>
      <c r="E196" s="194" t="s">
        <v>865</v>
      </c>
      <c r="F196" s="194" t="s">
        <v>866</v>
      </c>
      <c r="G196" s="194">
        <f t="shared" si="24"/>
        <v>0</v>
      </c>
      <c r="H196" s="194">
        <f>'d3'!E216</f>
        <v>0</v>
      </c>
      <c r="I196" s="194">
        <f>'d3'!J216</f>
        <v>0</v>
      </c>
      <c r="J196" s="194">
        <f>'d3'!K216</f>
        <v>0</v>
      </c>
      <c r="K196" s="270"/>
      <c r="L196" s="270"/>
      <c r="M196" s="137"/>
    </row>
    <row r="197" spans="1:13" ht="138.75" hidden="1" thickTop="1" thickBot="1" x14ac:dyDescent="0.25">
      <c r="A197" s="126" t="s">
        <v>917</v>
      </c>
      <c r="B197" s="126" t="s">
        <v>197</v>
      </c>
      <c r="C197" s="126" t="s">
        <v>170</v>
      </c>
      <c r="D197" s="126" t="s">
        <v>34</v>
      </c>
      <c r="E197" s="194" t="s">
        <v>865</v>
      </c>
      <c r="F197" s="194" t="s">
        <v>866</v>
      </c>
      <c r="G197" s="194">
        <f t="shared" si="24"/>
        <v>0</v>
      </c>
      <c r="H197" s="194">
        <f>'d3'!E217</f>
        <v>0</v>
      </c>
      <c r="I197" s="194">
        <f>'d3'!J217</f>
        <v>0</v>
      </c>
      <c r="J197" s="194">
        <f>'d3'!K217</f>
        <v>0</v>
      </c>
      <c r="K197" s="270"/>
      <c r="L197" s="270"/>
      <c r="M197" s="137"/>
    </row>
    <row r="198" spans="1:13" ht="138.75" hidden="1" thickTop="1" thickBot="1" x14ac:dyDescent="0.25">
      <c r="A198" s="41" t="s">
        <v>586</v>
      </c>
      <c r="B198" s="41" t="s">
        <v>363</v>
      </c>
      <c r="C198" s="41" t="s">
        <v>43</v>
      </c>
      <c r="D198" s="41" t="s">
        <v>364</v>
      </c>
      <c r="E198" s="256" t="s">
        <v>860</v>
      </c>
      <c r="F198" s="73" t="s">
        <v>861</v>
      </c>
      <c r="G198" s="73">
        <f t="shared" si="24"/>
        <v>0</v>
      </c>
      <c r="H198" s="73">
        <f>'d3'!E220</f>
        <v>0</v>
      </c>
      <c r="I198" s="73">
        <f>'d3'!J220</f>
        <v>0</v>
      </c>
      <c r="J198" s="73">
        <f>'d3'!K220</f>
        <v>0</v>
      </c>
      <c r="K198" s="270"/>
      <c r="L198" s="270"/>
      <c r="M198" s="137"/>
    </row>
    <row r="199" spans="1:13" ht="170.1" customHeight="1" thickTop="1" thickBot="1" x14ac:dyDescent="0.25">
      <c r="A199" s="645" t="s">
        <v>22</v>
      </c>
      <c r="B199" s="645"/>
      <c r="C199" s="645"/>
      <c r="D199" s="646" t="s">
        <v>23</v>
      </c>
      <c r="E199" s="645"/>
      <c r="F199" s="645"/>
      <c r="G199" s="648">
        <f>G200</f>
        <v>137244541</v>
      </c>
      <c r="H199" s="648">
        <f t="shared" ref="H199:J199" si="25">H200</f>
        <v>131835169</v>
      </c>
      <c r="I199" s="648">
        <f t="shared" si="25"/>
        <v>5409372</v>
      </c>
      <c r="J199" s="648">
        <f t="shared" si="25"/>
        <v>3495930</v>
      </c>
      <c r="K199" s="95" t="b">
        <f>H199='d3'!E222+'d4'!F12</f>
        <v>1</v>
      </c>
      <c r="L199" s="461" t="b">
        <f>I199='d3'!J221+'d4'!G12</f>
        <v>1</v>
      </c>
      <c r="M199" s="461" t="b">
        <f>J199='d3'!K221+'d4'!H12</f>
        <v>1</v>
      </c>
    </row>
    <row r="200" spans="1:13" ht="170.1" customHeight="1" thickTop="1" thickBot="1" x14ac:dyDescent="0.25">
      <c r="A200" s="642" t="s">
        <v>21</v>
      </c>
      <c r="B200" s="642"/>
      <c r="C200" s="642"/>
      <c r="D200" s="643" t="s">
        <v>35</v>
      </c>
      <c r="E200" s="644"/>
      <c r="F200" s="644"/>
      <c r="G200" s="644">
        <f>SUM(G201:G220)</f>
        <v>137244541</v>
      </c>
      <c r="H200" s="644">
        <f>SUM(H201:H220)</f>
        <v>131835169</v>
      </c>
      <c r="I200" s="644">
        <f>SUM(I201:I220)</f>
        <v>5409372</v>
      </c>
      <c r="J200" s="644">
        <f>SUM(J201:J220)</f>
        <v>3495930</v>
      </c>
      <c r="K200" s="137"/>
      <c r="L200" s="137"/>
      <c r="M200" s="137"/>
    </row>
    <row r="201" spans="1:13" ht="184.5" hidden="1" thickTop="1" thickBot="1" x14ac:dyDescent="0.25">
      <c r="A201" s="126" t="s">
        <v>183</v>
      </c>
      <c r="B201" s="126" t="s">
        <v>184</v>
      </c>
      <c r="C201" s="126" t="s">
        <v>185</v>
      </c>
      <c r="D201" s="126" t="s">
        <v>638</v>
      </c>
      <c r="E201" s="253" t="s">
        <v>1164</v>
      </c>
      <c r="F201" s="194" t="s">
        <v>1165</v>
      </c>
      <c r="G201" s="194">
        <f t="shared" ref="G201:G203" si="26">H201+I201</f>
        <v>0</v>
      </c>
      <c r="H201" s="254">
        <f>'d3'!E225</f>
        <v>0</v>
      </c>
      <c r="I201" s="271">
        <f>'d3'!J225</f>
        <v>0</v>
      </c>
      <c r="J201" s="194">
        <f>'d3'!K225</f>
        <v>0</v>
      </c>
      <c r="K201" s="137"/>
      <c r="L201" s="137"/>
      <c r="M201" s="137"/>
    </row>
    <row r="202" spans="1:13" ht="184.5" thickTop="1" thickBot="1" x14ac:dyDescent="0.25">
      <c r="A202" s="101" t="s">
        <v>189</v>
      </c>
      <c r="B202" s="101" t="s">
        <v>190</v>
      </c>
      <c r="C202" s="101" t="s">
        <v>185</v>
      </c>
      <c r="D202" s="101" t="s">
        <v>10</v>
      </c>
      <c r="E202" s="318" t="s">
        <v>1252</v>
      </c>
      <c r="F202" s="315" t="s">
        <v>1165</v>
      </c>
      <c r="G202" s="315">
        <f t="shared" si="26"/>
        <v>6931761</v>
      </c>
      <c r="H202" s="319">
        <f>'d3'!E227-H203</f>
        <v>5976842</v>
      </c>
      <c r="I202" s="456">
        <f>'d3'!J227-I203</f>
        <v>954919</v>
      </c>
      <c r="J202" s="315">
        <f>'d3'!K227-J203</f>
        <v>533719</v>
      </c>
      <c r="K202" s="137"/>
      <c r="L202" s="137"/>
      <c r="M202" s="137"/>
    </row>
    <row r="203" spans="1:13" ht="184.5" hidden="1" thickTop="1" thickBot="1" x14ac:dyDescent="0.25">
      <c r="A203" s="126" t="s">
        <v>189</v>
      </c>
      <c r="B203" s="126" t="s">
        <v>190</v>
      </c>
      <c r="C203" s="126" t="s">
        <v>185</v>
      </c>
      <c r="D203" s="126" t="s">
        <v>10</v>
      </c>
      <c r="E203" s="253" t="s">
        <v>1385</v>
      </c>
      <c r="F203" s="194" t="s">
        <v>450</v>
      </c>
      <c r="G203" s="194">
        <f t="shared" si="26"/>
        <v>0</v>
      </c>
      <c r="H203" s="254"/>
      <c r="I203" s="271"/>
      <c r="J203" s="194"/>
      <c r="K203" s="137"/>
      <c r="L203" s="137"/>
      <c r="M203" s="137"/>
    </row>
    <row r="204" spans="1:13" ht="184.5" thickTop="1" thickBot="1" x14ac:dyDescent="0.25">
      <c r="A204" s="101" t="s">
        <v>351</v>
      </c>
      <c r="B204" s="101" t="s">
        <v>352</v>
      </c>
      <c r="C204" s="101" t="s">
        <v>185</v>
      </c>
      <c r="D204" s="101" t="s">
        <v>353</v>
      </c>
      <c r="E204" s="318" t="s">
        <v>1252</v>
      </c>
      <c r="F204" s="315" t="s">
        <v>1165</v>
      </c>
      <c r="G204" s="315">
        <f t="shared" ref="G204:G208" si="27">H204+I204</f>
        <v>7357877</v>
      </c>
      <c r="H204" s="319">
        <f>'d3'!E228</f>
        <v>7357877</v>
      </c>
      <c r="I204" s="456">
        <f>'d3'!J228</f>
        <v>0</v>
      </c>
      <c r="J204" s="315">
        <f>'d3'!K228</f>
        <v>0</v>
      </c>
      <c r="K204" s="137"/>
      <c r="L204" s="137"/>
      <c r="M204" s="137"/>
    </row>
    <row r="205" spans="1:13" ht="184.5" thickTop="1" thickBot="1" x14ac:dyDescent="0.25">
      <c r="A205" s="101" t="s">
        <v>44</v>
      </c>
      <c r="B205" s="101" t="s">
        <v>186</v>
      </c>
      <c r="C205" s="101" t="s">
        <v>195</v>
      </c>
      <c r="D205" s="101" t="s">
        <v>45</v>
      </c>
      <c r="E205" s="318" t="s">
        <v>1252</v>
      </c>
      <c r="F205" s="315" t="s">
        <v>1165</v>
      </c>
      <c r="G205" s="315">
        <f t="shared" si="27"/>
        <v>34400000</v>
      </c>
      <c r="H205" s="315">
        <f>'d3'!E231</f>
        <v>34400000</v>
      </c>
      <c r="I205" s="456">
        <f>'d3'!J231</f>
        <v>0</v>
      </c>
      <c r="J205" s="315">
        <f>'d3'!K231</f>
        <v>0</v>
      </c>
      <c r="K205" s="137"/>
      <c r="L205" s="137"/>
      <c r="M205" s="137"/>
    </row>
    <row r="206" spans="1:13" ht="184.5" thickTop="1" thickBot="1" x14ac:dyDescent="0.25">
      <c r="A206" s="101" t="s">
        <v>46</v>
      </c>
      <c r="B206" s="101" t="s">
        <v>187</v>
      </c>
      <c r="C206" s="101" t="s">
        <v>195</v>
      </c>
      <c r="D206" s="101" t="s">
        <v>4</v>
      </c>
      <c r="E206" s="318" t="s">
        <v>1252</v>
      </c>
      <c r="F206" s="315" t="s">
        <v>1165</v>
      </c>
      <c r="G206" s="315">
        <f t="shared" si="27"/>
        <v>3849823</v>
      </c>
      <c r="H206" s="315">
        <f>'d3'!E232</f>
        <v>3849823</v>
      </c>
      <c r="I206" s="456">
        <f>'d3'!J232</f>
        <v>0</v>
      </c>
      <c r="J206" s="315">
        <f>'d3'!K232</f>
        <v>0</v>
      </c>
      <c r="K206" s="137"/>
      <c r="L206" s="137"/>
      <c r="M206" s="137"/>
    </row>
    <row r="207" spans="1:13" ht="184.5" thickTop="1" thickBot="1" x14ac:dyDescent="0.25">
      <c r="A207" s="101" t="s">
        <v>47</v>
      </c>
      <c r="B207" s="101" t="s">
        <v>188</v>
      </c>
      <c r="C207" s="101" t="s">
        <v>195</v>
      </c>
      <c r="D207" s="101" t="s">
        <v>349</v>
      </c>
      <c r="E207" s="318" t="s">
        <v>1252</v>
      </c>
      <c r="F207" s="315" t="s">
        <v>1165</v>
      </c>
      <c r="G207" s="315">
        <f t="shared" si="27"/>
        <v>41300</v>
      </c>
      <c r="H207" s="315">
        <f>'d3'!E234</f>
        <v>41300</v>
      </c>
      <c r="I207" s="456">
        <f>'d3'!J234</f>
        <v>0</v>
      </c>
      <c r="J207" s="315">
        <f>'d3'!K234</f>
        <v>0</v>
      </c>
      <c r="K207" s="137"/>
      <c r="L207" s="137"/>
      <c r="M207" s="137"/>
    </row>
    <row r="208" spans="1:13" ht="184.5" thickTop="1" thickBot="1" x14ac:dyDescent="0.25">
      <c r="A208" s="101" t="s">
        <v>28</v>
      </c>
      <c r="B208" s="101" t="s">
        <v>192</v>
      </c>
      <c r="C208" s="101" t="s">
        <v>195</v>
      </c>
      <c r="D208" s="101" t="s">
        <v>48</v>
      </c>
      <c r="E208" s="318" t="s">
        <v>1252</v>
      </c>
      <c r="F208" s="315" t="s">
        <v>1165</v>
      </c>
      <c r="G208" s="315">
        <f t="shared" si="27"/>
        <v>69196320</v>
      </c>
      <c r="H208" s="315">
        <f>'d3'!E236-H209</f>
        <v>64846866</v>
      </c>
      <c r="I208" s="456">
        <f>'d3'!J236-I209</f>
        <v>4349454</v>
      </c>
      <c r="J208" s="315">
        <f>'d3'!K236-J209</f>
        <v>2907212</v>
      </c>
      <c r="K208" s="137"/>
      <c r="L208" s="137"/>
      <c r="M208" s="137"/>
    </row>
    <row r="209" spans="1:13" ht="184.5" thickTop="1" thickBot="1" x14ac:dyDescent="0.25">
      <c r="A209" s="101" t="s">
        <v>28</v>
      </c>
      <c r="B209" s="101" t="s">
        <v>192</v>
      </c>
      <c r="C209" s="101" t="s">
        <v>195</v>
      </c>
      <c r="D209" s="101" t="s">
        <v>48</v>
      </c>
      <c r="E209" s="318" t="s">
        <v>1618</v>
      </c>
      <c r="F209" s="315" t="s">
        <v>1619</v>
      </c>
      <c r="G209" s="315">
        <f>H209+I209</f>
        <v>291599</v>
      </c>
      <c r="H209" s="319">
        <f>236600</f>
        <v>236600</v>
      </c>
      <c r="I209" s="315">
        <v>54999</v>
      </c>
      <c r="J209" s="315">
        <v>54999</v>
      </c>
      <c r="K209" s="137"/>
      <c r="L209" s="137"/>
      <c r="M209" s="137"/>
    </row>
    <row r="210" spans="1:13" ht="184.5" thickTop="1" thickBot="1" x14ac:dyDescent="0.25">
      <c r="A210" s="101" t="s">
        <v>29</v>
      </c>
      <c r="B210" s="101" t="s">
        <v>193</v>
      </c>
      <c r="C210" s="101" t="s">
        <v>195</v>
      </c>
      <c r="D210" s="101" t="s">
        <v>49</v>
      </c>
      <c r="E210" s="318" t="s">
        <v>1252</v>
      </c>
      <c r="F210" s="315" t="s">
        <v>1165</v>
      </c>
      <c r="G210" s="315">
        <f t="shared" ref="G210:G220" si="28">H210+I210</f>
        <v>6961691</v>
      </c>
      <c r="H210" s="315">
        <f>'d3'!E237</f>
        <v>6961691</v>
      </c>
      <c r="I210" s="456">
        <f>'d3'!J237</f>
        <v>0</v>
      </c>
      <c r="J210" s="315">
        <f>'d3'!K237</f>
        <v>0</v>
      </c>
      <c r="K210" s="137"/>
      <c r="L210" s="137"/>
      <c r="M210" s="137"/>
    </row>
    <row r="211" spans="1:13" ht="184.5" thickTop="1" thickBot="1" x14ac:dyDescent="0.25">
      <c r="A211" s="101" t="s">
        <v>1378</v>
      </c>
      <c r="B211" s="101" t="s">
        <v>1379</v>
      </c>
      <c r="C211" s="101" t="s">
        <v>195</v>
      </c>
      <c r="D211" s="101" t="s">
        <v>1380</v>
      </c>
      <c r="E211" s="318" t="s">
        <v>1252</v>
      </c>
      <c r="F211" s="315" t="s">
        <v>1165</v>
      </c>
      <c r="G211" s="315">
        <f t="shared" si="28"/>
        <v>93550</v>
      </c>
      <c r="H211" s="315">
        <f>'d3'!E239</f>
        <v>93550</v>
      </c>
      <c r="I211" s="456">
        <f>'d3'!J239</f>
        <v>0</v>
      </c>
      <c r="J211" s="456">
        <f>'d3'!K239</f>
        <v>0</v>
      </c>
      <c r="K211" s="137"/>
      <c r="L211" s="137"/>
      <c r="M211" s="137"/>
    </row>
    <row r="212" spans="1:13" ht="184.5" thickTop="1" thickBot="1" x14ac:dyDescent="0.25">
      <c r="A212" s="579" t="s">
        <v>30</v>
      </c>
      <c r="B212" s="579" t="s">
        <v>194</v>
      </c>
      <c r="C212" s="579" t="s">
        <v>195</v>
      </c>
      <c r="D212" s="101" t="s">
        <v>31</v>
      </c>
      <c r="E212" s="318" t="s">
        <v>1252</v>
      </c>
      <c r="F212" s="315" t="s">
        <v>1165</v>
      </c>
      <c r="G212" s="315">
        <f t="shared" si="28"/>
        <v>775354</v>
      </c>
      <c r="H212" s="315">
        <f>'d3'!E241</f>
        <v>775354</v>
      </c>
      <c r="I212" s="456">
        <f>'d3'!J241</f>
        <v>0</v>
      </c>
      <c r="J212" s="315">
        <f>'d3'!K241</f>
        <v>0</v>
      </c>
      <c r="K212" s="137"/>
      <c r="L212" s="137"/>
      <c r="M212" s="137"/>
    </row>
    <row r="213" spans="1:13" ht="184.5" thickTop="1" thickBot="1" x14ac:dyDescent="0.25">
      <c r="A213" s="579" t="s">
        <v>512</v>
      </c>
      <c r="B213" s="579" t="s">
        <v>510</v>
      </c>
      <c r="C213" s="579" t="s">
        <v>195</v>
      </c>
      <c r="D213" s="101" t="s">
        <v>511</v>
      </c>
      <c r="E213" s="318" t="s">
        <v>1252</v>
      </c>
      <c r="F213" s="315" t="s">
        <v>1165</v>
      </c>
      <c r="G213" s="315">
        <f t="shared" si="28"/>
        <v>5151085</v>
      </c>
      <c r="H213" s="315">
        <f>'d3'!E242</f>
        <v>5151085</v>
      </c>
      <c r="I213" s="456">
        <f>'d3'!J242</f>
        <v>0</v>
      </c>
      <c r="J213" s="456">
        <f>'d3'!K242</f>
        <v>0</v>
      </c>
      <c r="K213" s="137"/>
      <c r="L213" s="137"/>
      <c r="M213" s="137"/>
    </row>
    <row r="214" spans="1:13" ht="184.5" thickTop="1" thickBot="1" x14ac:dyDescent="0.25">
      <c r="A214" s="579" t="s">
        <v>32</v>
      </c>
      <c r="B214" s="579" t="s">
        <v>196</v>
      </c>
      <c r="C214" s="579" t="s">
        <v>195</v>
      </c>
      <c r="D214" s="101" t="s">
        <v>33</v>
      </c>
      <c r="E214" s="318" t="s">
        <v>1252</v>
      </c>
      <c r="F214" s="315" t="s">
        <v>1165</v>
      </c>
      <c r="G214" s="315">
        <f t="shared" si="28"/>
        <v>2194181</v>
      </c>
      <c r="H214" s="315">
        <f>'d3'!E243</f>
        <v>2144181</v>
      </c>
      <c r="I214" s="456">
        <f>'d3'!J243</f>
        <v>50000</v>
      </c>
      <c r="J214" s="315">
        <f>'d3'!K243</f>
        <v>0</v>
      </c>
      <c r="K214" s="137"/>
      <c r="L214" s="137"/>
      <c r="M214" s="137"/>
    </row>
    <row r="215" spans="1:13" ht="184.5" hidden="1" thickTop="1" thickBot="1" x14ac:dyDescent="0.25">
      <c r="A215" s="406" t="s">
        <v>342</v>
      </c>
      <c r="B215" s="406" t="s">
        <v>341</v>
      </c>
      <c r="C215" s="406" t="s">
        <v>340</v>
      </c>
      <c r="D215" s="126" t="s">
        <v>639</v>
      </c>
      <c r="E215" s="253" t="s">
        <v>1252</v>
      </c>
      <c r="F215" s="194" t="s">
        <v>1165</v>
      </c>
      <c r="G215" s="194">
        <f t="shared" si="28"/>
        <v>0</v>
      </c>
      <c r="H215" s="194">
        <f>'d3'!E246</f>
        <v>0</v>
      </c>
      <c r="I215" s="271">
        <f>'d3'!J246</f>
        <v>0</v>
      </c>
      <c r="J215" s="271">
        <f>'d3'!K246</f>
        <v>0</v>
      </c>
      <c r="K215" s="137"/>
      <c r="L215" s="137"/>
      <c r="M215" s="137"/>
    </row>
    <row r="216" spans="1:13" ht="184.5" hidden="1" thickTop="1" thickBot="1" x14ac:dyDescent="0.25">
      <c r="A216" s="126" t="s">
        <v>1101</v>
      </c>
      <c r="B216" s="126" t="s">
        <v>313</v>
      </c>
      <c r="C216" s="126" t="s">
        <v>304</v>
      </c>
      <c r="D216" s="126" t="s">
        <v>1237</v>
      </c>
      <c r="E216" s="253" t="s">
        <v>1252</v>
      </c>
      <c r="F216" s="194" t="s">
        <v>1165</v>
      </c>
      <c r="G216" s="194">
        <f t="shared" si="28"/>
        <v>0</v>
      </c>
      <c r="H216" s="194">
        <f>'d3'!E250</f>
        <v>0</v>
      </c>
      <c r="I216" s="271">
        <f>'d3'!J250</f>
        <v>0</v>
      </c>
      <c r="J216" s="271">
        <f>'d3'!K250</f>
        <v>0</v>
      </c>
      <c r="K216" s="137"/>
      <c r="L216" s="137"/>
      <c r="M216" s="137"/>
    </row>
    <row r="217" spans="1:13" ht="184.5" hidden="1" thickTop="1" thickBot="1" x14ac:dyDescent="0.25">
      <c r="A217" s="126" t="s">
        <v>1335</v>
      </c>
      <c r="B217" s="126" t="s">
        <v>212</v>
      </c>
      <c r="C217" s="126" t="s">
        <v>213</v>
      </c>
      <c r="D217" s="126" t="s">
        <v>41</v>
      </c>
      <c r="E217" s="253" t="s">
        <v>1252</v>
      </c>
      <c r="F217" s="194" t="s">
        <v>1165</v>
      </c>
      <c r="G217" s="194">
        <f t="shared" si="28"/>
        <v>0</v>
      </c>
      <c r="H217" s="194">
        <f>'d3'!E252</f>
        <v>0</v>
      </c>
      <c r="I217" s="271">
        <f>'d3'!J252</f>
        <v>0</v>
      </c>
      <c r="J217" s="271">
        <f>'d3'!K252</f>
        <v>0</v>
      </c>
      <c r="K217" s="137"/>
      <c r="L217" s="137"/>
      <c r="M217" s="137"/>
    </row>
    <row r="218" spans="1:13" ht="184.5" hidden="1" thickTop="1" thickBot="1" x14ac:dyDescent="0.25">
      <c r="A218" s="126" t="s">
        <v>607</v>
      </c>
      <c r="B218" s="126" t="s">
        <v>197</v>
      </c>
      <c r="C218" s="126" t="s">
        <v>170</v>
      </c>
      <c r="D218" s="126" t="s">
        <v>34</v>
      </c>
      <c r="E218" s="253" t="s">
        <v>1252</v>
      </c>
      <c r="F218" s="194" t="s">
        <v>1165</v>
      </c>
      <c r="G218" s="194">
        <f t="shared" ref="G218" si="29">H218+I218</f>
        <v>0</v>
      </c>
      <c r="H218" s="194">
        <f>'d3'!E253</f>
        <v>0</v>
      </c>
      <c r="I218" s="271">
        <f>'d3'!J253</f>
        <v>0</v>
      </c>
      <c r="J218" s="271">
        <f>'d3'!K253</f>
        <v>0</v>
      </c>
      <c r="K218" s="137"/>
      <c r="L218" s="137"/>
      <c r="M218" s="137"/>
    </row>
    <row r="219" spans="1:13" ht="184.5" hidden="1" thickTop="1" thickBot="1" x14ac:dyDescent="0.25">
      <c r="A219" s="406" t="s">
        <v>457</v>
      </c>
      <c r="B219" s="406" t="s">
        <v>459</v>
      </c>
      <c r="C219" s="406" t="s">
        <v>50</v>
      </c>
      <c r="D219" s="126" t="s">
        <v>456</v>
      </c>
      <c r="E219" s="253" t="s">
        <v>1252</v>
      </c>
      <c r="F219" s="194" t="s">
        <v>1165</v>
      </c>
      <c r="G219" s="194">
        <f t="shared" si="28"/>
        <v>0</v>
      </c>
      <c r="H219" s="194">
        <f>'d4'!F17</f>
        <v>0</v>
      </c>
      <c r="I219" s="271">
        <f>'d4'!G17</f>
        <v>0</v>
      </c>
      <c r="J219" s="271">
        <f>'d4'!H17</f>
        <v>0</v>
      </c>
      <c r="K219" s="137"/>
      <c r="L219" s="137"/>
      <c r="M219" s="137"/>
    </row>
    <row r="220" spans="1:13" ht="184.5" hidden="1" thickTop="1" thickBot="1" x14ac:dyDescent="0.25">
      <c r="A220" s="41" t="s">
        <v>1109</v>
      </c>
      <c r="B220" s="41" t="s">
        <v>363</v>
      </c>
      <c r="C220" s="41" t="s">
        <v>43</v>
      </c>
      <c r="D220" s="41" t="s">
        <v>364</v>
      </c>
      <c r="E220" s="256" t="s">
        <v>587</v>
      </c>
      <c r="F220" s="73" t="s">
        <v>408</v>
      </c>
      <c r="G220" s="73">
        <f t="shared" si="28"/>
        <v>0</v>
      </c>
      <c r="H220" s="73">
        <f>'d3'!E256</f>
        <v>0</v>
      </c>
      <c r="I220" s="272">
        <f>'d3'!J256</f>
        <v>0</v>
      </c>
      <c r="J220" s="272">
        <f>'d3'!K256</f>
        <v>0</v>
      </c>
      <c r="K220" s="137"/>
      <c r="L220" s="137"/>
      <c r="M220" s="137"/>
    </row>
    <row r="221" spans="1:13" ht="170.1" customHeight="1" thickTop="1" thickBot="1" x14ac:dyDescent="0.25">
      <c r="A221" s="645" t="s">
        <v>158</v>
      </c>
      <c r="B221" s="645"/>
      <c r="C221" s="645"/>
      <c r="D221" s="646" t="s">
        <v>561</v>
      </c>
      <c r="E221" s="645"/>
      <c r="F221" s="645"/>
      <c r="G221" s="648">
        <f>G222</f>
        <v>44678153</v>
      </c>
      <c r="H221" s="648">
        <f t="shared" ref="H221:J221" si="30">H222</f>
        <v>32494340</v>
      </c>
      <c r="I221" s="648">
        <f t="shared" si="30"/>
        <v>12183813</v>
      </c>
      <c r="J221" s="648">
        <f t="shared" si="30"/>
        <v>12183813</v>
      </c>
      <c r="K221" s="95" t="b">
        <f>H221='d3'!E257-'d3'!E260+'d7'!H223</f>
        <v>1</v>
      </c>
      <c r="L221" s="95" t="b">
        <f>I221='d3'!J257-'d3'!J260+I223</f>
        <v>1</v>
      </c>
      <c r="M221" s="95" t="b">
        <f>J221='d3'!K257-'d3'!K260+J223</f>
        <v>1</v>
      </c>
    </row>
    <row r="222" spans="1:13" ht="170.1" customHeight="1" thickTop="1" thickBot="1" x14ac:dyDescent="0.25">
      <c r="A222" s="642" t="s">
        <v>159</v>
      </c>
      <c r="B222" s="642"/>
      <c r="C222" s="642"/>
      <c r="D222" s="643" t="s">
        <v>562</v>
      </c>
      <c r="E222" s="644"/>
      <c r="F222" s="644"/>
      <c r="G222" s="644">
        <f>SUM(G223:G247)</f>
        <v>44678153</v>
      </c>
      <c r="H222" s="644">
        <f>SUM(H223:H247)</f>
        <v>32494340</v>
      </c>
      <c r="I222" s="644">
        <f>SUM(I223:I247)</f>
        <v>12183813</v>
      </c>
      <c r="J222" s="644">
        <f>SUM(J223:J247)</f>
        <v>12183813</v>
      </c>
      <c r="K222" s="137"/>
      <c r="L222" s="137"/>
      <c r="M222" s="137"/>
    </row>
    <row r="223" spans="1:13" ht="138.75" hidden="1" thickTop="1" thickBot="1" x14ac:dyDescent="0.25">
      <c r="A223" s="126" t="s">
        <v>421</v>
      </c>
      <c r="B223" s="126" t="s">
        <v>236</v>
      </c>
      <c r="C223" s="126" t="s">
        <v>234</v>
      </c>
      <c r="D223" s="126" t="s">
        <v>235</v>
      </c>
      <c r="E223" s="253" t="s">
        <v>1038</v>
      </c>
      <c r="F223" s="194" t="s">
        <v>857</v>
      </c>
      <c r="G223" s="194">
        <f t="shared" ref="G223:G288" si="31">H223+I223</f>
        <v>0</v>
      </c>
      <c r="H223" s="254">
        <v>0</v>
      </c>
      <c r="I223" s="271">
        <v>0</v>
      </c>
      <c r="J223" s="271">
        <v>0</v>
      </c>
      <c r="K223" s="137"/>
      <c r="L223" s="137"/>
      <c r="M223" s="137"/>
    </row>
    <row r="224" spans="1:13" ht="321.75" hidden="1" thickTop="1" thickBot="1" x14ac:dyDescent="0.25">
      <c r="A224" s="126" t="s">
        <v>627</v>
      </c>
      <c r="B224" s="126" t="s">
        <v>362</v>
      </c>
      <c r="C224" s="126" t="s">
        <v>625</v>
      </c>
      <c r="D224" s="126" t="s">
        <v>626</v>
      </c>
      <c r="E224" s="253" t="s">
        <v>1296</v>
      </c>
      <c r="F224" s="194" t="s">
        <v>1297</v>
      </c>
      <c r="G224" s="194">
        <f t="shared" si="31"/>
        <v>0</v>
      </c>
      <c r="H224" s="254">
        <f>'d3'!E261</f>
        <v>0</v>
      </c>
      <c r="I224" s="271">
        <v>0</v>
      </c>
      <c r="J224" s="271">
        <v>0</v>
      </c>
      <c r="K224" s="137"/>
      <c r="L224" s="137"/>
      <c r="M224" s="137"/>
    </row>
    <row r="225" spans="1:13" ht="184.5" thickTop="1" thickBot="1" x14ac:dyDescent="0.25">
      <c r="A225" s="340" t="s">
        <v>280</v>
      </c>
      <c r="B225" s="340" t="s">
        <v>281</v>
      </c>
      <c r="C225" s="340" t="s">
        <v>340</v>
      </c>
      <c r="D225" s="340" t="s">
        <v>282</v>
      </c>
      <c r="E225" s="318" t="s">
        <v>1234</v>
      </c>
      <c r="F225" s="315" t="s">
        <v>1170</v>
      </c>
      <c r="G225" s="324">
        <f t="shared" si="31"/>
        <v>110000</v>
      </c>
      <c r="H225" s="324">
        <v>110000</v>
      </c>
      <c r="I225" s="324">
        <f>(200000)-200000</f>
        <v>0</v>
      </c>
      <c r="J225" s="324">
        <f>(200000)-200000</f>
        <v>0</v>
      </c>
      <c r="K225" s="95" t="b">
        <f>H225+H226+H227='d3'!E265</f>
        <v>1</v>
      </c>
      <c r="L225" s="457" t="b">
        <f>I225+I226+I227='d3'!J265</f>
        <v>1</v>
      </c>
      <c r="M225" s="457" t="b">
        <f>J225+J226+J227='d3'!K265</f>
        <v>1</v>
      </c>
    </row>
    <row r="226" spans="1:13" ht="184.5" thickTop="1" thickBot="1" x14ac:dyDescent="0.25">
      <c r="A226" s="340" t="s">
        <v>280</v>
      </c>
      <c r="B226" s="340" t="s">
        <v>281</v>
      </c>
      <c r="C226" s="340" t="s">
        <v>340</v>
      </c>
      <c r="D226" s="340" t="s">
        <v>282</v>
      </c>
      <c r="E226" s="327" t="s">
        <v>1262</v>
      </c>
      <c r="F226" s="327" t="s">
        <v>585</v>
      </c>
      <c r="G226" s="324">
        <f t="shared" si="31"/>
        <v>10707413</v>
      </c>
      <c r="H226" s="319">
        <f>((1662200)+3431400)+1800000</f>
        <v>6893600</v>
      </c>
      <c r="I226" s="456">
        <f>(1134400)+200000+896065+1583348</f>
        <v>3813813</v>
      </c>
      <c r="J226" s="456">
        <f>(1134400)+200000+896065+1583348</f>
        <v>3813813</v>
      </c>
      <c r="K226" s="137"/>
      <c r="L226" s="137"/>
      <c r="M226" s="137"/>
    </row>
    <row r="227" spans="1:13" ht="321.75" thickTop="1" thickBot="1" x14ac:dyDescent="0.25">
      <c r="A227" s="340" t="s">
        <v>280</v>
      </c>
      <c r="B227" s="340" t="s">
        <v>281</v>
      </c>
      <c r="C227" s="340" t="s">
        <v>340</v>
      </c>
      <c r="D227" s="340" t="s">
        <v>282</v>
      </c>
      <c r="E227" s="315" t="s">
        <v>1389</v>
      </c>
      <c r="F227" s="315" t="s">
        <v>859</v>
      </c>
      <c r="G227" s="315">
        <f t="shared" si="31"/>
        <v>1500000</v>
      </c>
      <c r="H227" s="319">
        <v>1500000</v>
      </c>
      <c r="I227" s="456">
        <v>0</v>
      </c>
      <c r="J227" s="456">
        <v>0</v>
      </c>
      <c r="K227" s="137"/>
      <c r="L227" s="137"/>
      <c r="M227" s="137"/>
    </row>
    <row r="228" spans="1:13" ht="184.5" thickTop="1" thickBot="1" x14ac:dyDescent="0.25">
      <c r="A228" s="101" t="s">
        <v>301</v>
      </c>
      <c r="B228" s="101" t="s">
        <v>302</v>
      </c>
      <c r="C228" s="101" t="s">
        <v>283</v>
      </c>
      <c r="D228" s="101" t="s">
        <v>303</v>
      </c>
      <c r="E228" s="318" t="s">
        <v>1234</v>
      </c>
      <c r="F228" s="315" t="s">
        <v>1170</v>
      </c>
      <c r="G228" s="315">
        <f t="shared" si="31"/>
        <v>5500000</v>
      </c>
      <c r="H228" s="319">
        <f>'d3'!E266</f>
        <v>0</v>
      </c>
      <c r="I228" s="456">
        <f>'d3'!J266</f>
        <v>5500000</v>
      </c>
      <c r="J228" s="456">
        <f>'d3'!K266</f>
        <v>5500000</v>
      </c>
      <c r="K228" s="137"/>
      <c r="L228" s="137"/>
      <c r="M228" s="137"/>
    </row>
    <row r="229" spans="1:13" ht="184.5" hidden="1" thickTop="1" thickBot="1" x14ac:dyDescent="0.25">
      <c r="A229" s="366" t="s">
        <v>284</v>
      </c>
      <c r="B229" s="366" t="s">
        <v>285</v>
      </c>
      <c r="C229" s="366" t="s">
        <v>283</v>
      </c>
      <c r="D229" s="366" t="s">
        <v>466</v>
      </c>
      <c r="E229" s="253" t="s">
        <v>1234</v>
      </c>
      <c r="F229" s="194" t="s">
        <v>1170</v>
      </c>
      <c r="G229" s="194">
        <f t="shared" si="31"/>
        <v>0</v>
      </c>
      <c r="H229" s="449">
        <f>2500000-2500000</f>
        <v>0</v>
      </c>
      <c r="I229" s="271">
        <f>2800000-2800000</f>
        <v>0</v>
      </c>
      <c r="J229" s="271">
        <f>2800000-2800000</f>
        <v>0</v>
      </c>
      <c r="K229" s="137"/>
      <c r="L229" s="137"/>
      <c r="M229" s="137"/>
    </row>
    <row r="230" spans="1:13" ht="184.5" hidden="1" thickTop="1" thickBot="1" x14ac:dyDescent="0.25">
      <c r="A230" s="366" t="s">
        <v>284</v>
      </c>
      <c r="B230" s="366" t="s">
        <v>285</v>
      </c>
      <c r="C230" s="366" t="s">
        <v>283</v>
      </c>
      <c r="D230" s="366" t="s">
        <v>466</v>
      </c>
      <c r="E230" s="253" t="s">
        <v>1385</v>
      </c>
      <c r="F230" s="194" t="s">
        <v>450</v>
      </c>
      <c r="G230" s="194">
        <f t="shared" si="31"/>
        <v>0</v>
      </c>
      <c r="H230" s="449">
        <f>'d3'!E267-H229</f>
        <v>0</v>
      </c>
      <c r="I230" s="271">
        <f>'d3'!J267-I229</f>
        <v>0</v>
      </c>
      <c r="J230" s="271">
        <f>'d3'!K267-J229</f>
        <v>0</v>
      </c>
      <c r="K230" s="137"/>
      <c r="L230" s="137"/>
      <c r="M230" s="137"/>
    </row>
    <row r="231" spans="1:13" ht="184.5" thickTop="1" thickBot="1" x14ac:dyDescent="0.25">
      <c r="A231" s="101" t="s">
        <v>929</v>
      </c>
      <c r="B231" s="101" t="s">
        <v>297</v>
      </c>
      <c r="C231" s="101" t="s">
        <v>283</v>
      </c>
      <c r="D231" s="101" t="s">
        <v>298</v>
      </c>
      <c r="E231" s="318" t="s">
        <v>1407</v>
      </c>
      <c r="F231" s="315" t="s">
        <v>1349</v>
      </c>
      <c r="G231" s="315">
        <f t="shared" ref="G231:G237" si="32">H231+I231</f>
        <v>500000</v>
      </c>
      <c r="H231" s="319">
        <f>'d3'!E268-H233-H232</f>
        <v>500000</v>
      </c>
      <c r="I231" s="456">
        <f>'d3'!J268-I233-I232</f>
        <v>0</v>
      </c>
      <c r="J231" s="456">
        <f>'d3'!K268-J233-J232</f>
        <v>0</v>
      </c>
      <c r="K231" s="137"/>
      <c r="L231" s="137"/>
      <c r="M231" s="137"/>
    </row>
    <row r="232" spans="1:13" ht="184.5" thickTop="1" thickBot="1" x14ac:dyDescent="0.25">
      <c r="A232" s="101" t="s">
        <v>929</v>
      </c>
      <c r="B232" s="101" t="s">
        <v>297</v>
      </c>
      <c r="C232" s="101" t="s">
        <v>283</v>
      </c>
      <c r="D232" s="101" t="s">
        <v>298</v>
      </c>
      <c r="E232" s="318" t="s">
        <v>1607</v>
      </c>
      <c r="F232" s="315" t="s">
        <v>1608</v>
      </c>
      <c r="G232" s="315">
        <f t="shared" si="32"/>
        <v>840000</v>
      </c>
      <c r="H232" s="319">
        <f>399000+21000+420000</f>
        <v>840000</v>
      </c>
      <c r="I232" s="456">
        <v>0</v>
      </c>
      <c r="J232" s="456">
        <v>0</v>
      </c>
      <c r="K232" s="137"/>
      <c r="L232" s="137"/>
      <c r="M232" s="137"/>
    </row>
    <row r="233" spans="1:13" ht="321.75" thickTop="1" thickBot="1" x14ac:dyDescent="0.25">
      <c r="A233" s="101" t="s">
        <v>929</v>
      </c>
      <c r="B233" s="101" t="s">
        <v>297</v>
      </c>
      <c r="C233" s="101" t="s">
        <v>283</v>
      </c>
      <c r="D233" s="101" t="s">
        <v>298</v>
      </c>
      <c r="E233" s="315" t="s">
        <v>1389</v>
      </c>
      <c r="F233" s="315" t="s">
        <v>859</v>
      </c>
      <c r="G233" s="315">
        <f t="shared" si="32"/>
        <v>5000000</v>
      </c>
      <c r="H233" s="319">
        <v>5000000</v>
      </c>
      <c r="I233" s="456">
        <v>0</v>
      </c>
      <c r="J233" s="456">
        <v>0</v>
      </c>
      <c r="K233" s="137"/>
      <c r="L233" s="137"/>
      <c r="M233" s="137"/>
    </row>
    <row r="234" spans="1:13" ht="184.5" thickTop="1" thickBot="1" x14ac:dyDescent="0.25">
      <c r="A234" s="101" t="s">
        <v>288</v>
      </c>
      <c r="B234" s="101" t="s">
        <v>289</v>
      </c>
      <c r="C234" s="101" t="s">
        <v>283</v>
      </c>
      <c r="D234" s="101" t="s">
        <v>290</v>
      </c>
      <c r="E234" s="318" t="s">
        <v>1234</v>
      </c>
      <c r="F234" s="315" t="s">
        <v>1170</v>
      </c>
      <c r="G234" s="315">
        <f t="shared" si="31"/>
        <v>8270000</v>
      </c>
      <c r="H234" s="319">
        <f>'d3'!E269</f>
        <v>8000000</v>
      </c>
      <c r="I234" s="456">
        <f>'d3'!J269</f>
        <v>270000</v>
      </c>
      <c r="J234" s="456">
        <f>'d3'!K269</f>
        <v>270000</v>
      </c>
      <c r="K234" s="137"/>
      <c r="L234" s="137"/>
      <c r="M234" s="137"/>
    </row>
    <row r="235" spans="1:13" ht="184.5" thickTop="1" thickBot="1" x14ac:dyDescent="0.25">
      <c r="A235" s="101" t="s">
        <v>1261</v>
      </c>
      <c r="B235" s="101" t="s">
        <v>1149</v>
      </c>
      <c r="C235" s="101" t="s">
        <v>1150</v>
      </c>
      <c r="D235" s="101" t="s">
        <v>1147</v>
      </c>
      <c r="E235" s="318" t="s">
        <v>1234</v>
      </c>
      <c r="F235" s="315" t="s">
        <v>1170</v>
      </c>
      <c r="G235" s="315">
        <f t="shared" si="32"/>
        <v>2049000</v>
      </c>
      <c r="H235" s="345">
        <f>'d3'!E270-H237-H236</f>
        <v>2049000</v>
      </c>
      <c r="I235" s="459">
        <f>'d3'!J270-I237-I236</f>
        <v>0</v>
      </c>
      <c r="J235" s="459">
        <f>'d3'!K270-J237-J236</f>
        <v>0</v>
      </c>
      <c r="K235" s="137"/>
      <c r="L235" s="137"/>
      <c r="M235" s="137"/>
    </row>
    <row r="236" spans="1:13" ht="230.25" hidden="1" thickTop="1" thickBot="1" x14ac:dyDescent="0.25">
      <c r="A236" s="126" t="s">
        <v>1261</v>
      </c>
      <c r="B236" s="126" t="s">
        <v>1149</v>
      </c>
      <c r="C236" s="126" t="s">
        <v>1150</v>
      </c>
      <c r="D236" s="126" t="s">
        <v>1147</v>
      </c>
      <c r="E236" s="253" t="s">
        <v>1284</v>
      </c>
      <c r="F236" s="194" t="s">
        <v>1285</v>
      </c>
      <c r="G236" s="194">
        <f t="shared" si="32"/>
        <v>0</v>
      </c>
      <c r="H236" s="273"/>
      <c r="I236" s="274"/>
      <c r="J236" s="274"/>
      <c r="K236" s="137"/>
      <c r="L236" s="137"/>
      <c r="M236" s="137"/>
    </row>
    <row r="237" spans="1:13" ht="230.25" hidden="1" thickTop="1" thickBot="1" x14ac:dyDescent="0.25">
      <c r="A237" s="126" t="s">
        <v>1261</v>
      </c>
      <c r="B237" s="126" t="s">
        <v>1149</v>
      </c>
      <c r="C237" s="126" t="s">
        <v>1150</v>
      </c>
      <c r="D237" s="126" t="s">
        <v>1147</v>
      </c>
      <c r="E237" s="253" t="s">
        <v>1452</v>
      </c>
      <c r="F237" s="194" t="s">
        <v>1453</v>
      </c>
      <c r="G237" s="194">
        <f t="shared" si="32"/>
        <v>0</v>
      </c>
      <c r="H237" s="273"/>
      <c r="I237" s="274">
        <v>0</v>
      </c>
      <c r="J237" s="274">
        <v>0</v>
      </c>
      <c r="K237" s="137"/>
      <c r="L237" s="137"/>
      <c r="M237" s="137"/>
    </row>
    <row r="238" spans="1:13" ht="184.5" thickTop="1" thickBot="1" x14ac:dyDescent="0.25">
      <c r="A238" s="101" t="s">
        <v>1146</v>
      </c>
      <c r="B238" s="101" t="s">
        <v>305</v>
      </c>
      <c r="C238" s="101" t="s">
        <v>304</v>
      </c>
      <c r="D238" s="101" t="s">
        <v>1497</v>
      </c>
      <c r="E238" s="318" t="s">
        <v>1350</v>
      </c>
      <c r="F238" s="315" t="s">
        <v>1351</v>
      </c>
      <c r="G238" s="315">
        <f t="shared" si="31"/>
        <v>500000</v>
      </c>
      <c r="H238" s="345">
        <f>'d3'!E273-H240-H239</f>
        <v>0</v>
      </c>
      <c r="I238" s="459">
        <f>'d3'!J273-I240-I239</f>
        <v>500000</v>
      </c>
      <c r="J238" s="459">
        <f>'d3'!K273-J240-J239</f>
        <v>500000</v>
      </c>
      <c r="K238" s="137"/>
      <c r="L238" s="137"/>
      <c r="M238" s="137"/>
    </row>
    <row r="239" spans="1:13" ht="321.75" thickTop="1" thickBot="1" x14ac:dyDescent="0.25">
      <c r="A239" s="101" t="s">
        <v>1146</v>
      </c>
      <c r="B239" s="101" t="s">
        <v>305</v>
      </c>
      <c r="C239" s="101" t="s">
        <v>304</v>
      </c>
      <c r="D239" s="101" t="s">
        <v>1497</v>
      </c>
      <c r="E239" s="315" t="s">
        <v>1389</v>
      </c>
      <c r="F239" s="315" t="s">
        <v>859</v>
      </c>
      <c r="G239" s="315">
        <f t="shared" si="31"/>
        <v>500000</v>
      </c>
      <c r="H239" s="345">
        <v>0</v>
      </c>
      <c r="I239" s="459">
        <f>(300000)+200000</f>
        <v>500000</v>
      </c>
      <c r="J239" s="459">
        <f>(300000)+200000</f>
        <v>500000</v>
      </c>
      <c r="K239" s="137"/>
      <c r="L239" s="137"/>
      <c r="M239" s="137"/>
    </row>
    <row r="240" spans="1:13" ht="184.5" hidden="1" thickTop="1" thickBot="1" x14ac:dyDescent="0.25">
      <c r="A240" s="126" t="s">
        <v>1146</v>
      </c>
      <c r="B240" s="126" t="s">
        <v>305</v>
      </c>
      <c r="C240" s="126" t="s">
        <v>304</v>
      </c>
      <c r="D240" s="126" t="s">
        <v>1490</v>
      </c>
      <c r="E240" s="253" t="s">
        <v>1234</v>
      </c>
      <c r="F240" s="194" t="s">
        <v>1170</v>
      </c>
      <c r="G240" s="194">
        <f t="shared" si="31"/>
        <v>0</v>
      </c>
      <c r="H240" s="273">
        <v>0</v>
      </c>
      <c r="I240" s="274">
        <v>0</v>
      </c>
      <c r="J240" s="274">
        <v>0</v>
      </c>
      <c r="K240" s="137"/>
      <c r="L240" s="137"/>
      <c r="M240" s="137"/>
    </row>
    <row r="241" spans="1:13" ht="138.75" thickTop="1" thickBot="1" x14ac:dyDescent="0.25">
      <c r="A241" s="101" t="s">
        <v>296</v>
      </c>
      <c r="B241" s="101" t="s">
        <v>212</v>
      </c>
      <c r="C241" s="101" t="s">
        <v>213</v>
      </c>
      <c r="D241" s="101" t="s">
        <v>41</v>
      </c>
      <c r="E241" s="318" t="s">
        <v>1641</v>
      </c>
      <c r="F241" s="315" t="s">
        <v>1486</v>
      </c>
      <c r="G241" s="324">
        <f>H241+I241</f>
        <v>4674517</v>
      </c>
      <c r="H241" s="324">
        <f>((2000000)+1674517)+1000000</f>
        <v>4674517</v>
      </c>
      <c r="I241" s="324">
        <v>0</v>
      </c>
      <c r="J241" s="324">
        <v>0</v>
      </c>
      <c r="K241" s="95" t="b">
        <f>H241='d3'!E275</f>
        <v>1</v>
      </c>
      <c r="L241" s="461" t="b">
        <f>I241='d3'!J275</f>
        <v>1</v>
      </c>
      <c r="M241" s="461" t="b">
        <f>J241='d3'!K275</f>
        <v>1</v>
      </c>
    </row>
    <row r="242" spans="1:13" ht="184.5" thickTop="1" thickBot="1" x14ac:dyDescent="0.25">
      <c r="A242" s="101" t="s">
        <v>918</v>
      </c>
      <c r="B242" s="101" t="s">
        <v>197</v>
      </c>
      <c r="C242" s="101" t="s">
        <v>170</v>
      </c>
      <c r="D242" s="101" t="s">
        <v>34</v>
      </c>
      <c r="E242" s="318" t="s">
        <v>1234</v>
      </c>
      <c r="F242" s="315" t="s">
        <v>1170</v>
      </c>
      <c r="G242" s="315">
        <f t="shared" si="31"/>
        <v>1300000</v>
      </c>
      <c r="H242" s="319">
        <f>'d3'!E276-H243</f>
        <v>0</v>
      </c>
      <c r="I242" s="456">
        <f>'d3'!J276-I243</f>
        <v>1300000</v>
      </c>
      <c r="J242" s="456">
        <f>'d3'!K276-J243</f>
        <v>1300000</v>
      </c>
      <c r="K242" s="137"/>
      <c r="L242" s="137"/>
      <c r="M242" s="137"/>
    </row>
    <row r="243" spans="1:13" ht="138.75" thickTop="1" thickBot="1" x14ac:dyDescent="0.25">
      <c r="A243" s="101" t="s">
        <v>918</v>
      </c>
      <c r="B243" s="101" t="s">
        <v>197</v>
      </c>
      <c r="C243" s="101" t="s">
        <v>170</v>
      </c>
      <c r="D243" s="101" t="s">
        <v>34</v>
      </c>
      <c r="E243" s="460" t="s">
        <v>1407</v>
      </c>
      <c r="F243" s="315" t="s">
        <v>1349</v>
      </c>
      <c r="G243" s="315">
        <f t="shared" si="31"/>
        <v>300000</v>
      </c>
      <c r="H243" s="345">
        <v>0</v>
      </c>
      <c r="I243" s="459">
        <v>300000</v>
      </c>
      <c r="J243" s="459">
        <v>300000</v>
      </c>
      <c r="K243" s="137"/>
      <c r="L243" s="137"/>
      <c r="M243" s="137"/>
    </row>
    <row r="244" spans="1:13" ht="321.75" hidden="1" customHeight="1" thickTop="1" thickBot="1" x14ac:dyDescent="0.7">
      <c r="A244" s="768" t="s">
        <v>424</v>
      </c>
      <c r="B244" s="768" t="s">
        <v>338</v>
      </c>
      <c r="C244" s="768" t="s">
        <v>170</v>
      </c>
      <c r="D244" s="396" t="s">
        <v>440</v>
      </c>
      <c r="E244" s="873" t="s">
        <v>1281</v>
      </c>
      <c r="F244" s="873" t="s">
        <v>1282</v>
      </c>
      <c r="G244" s="867">
        <f t="shared" si="31"/>
        <v>0</v>
      </c>
      <c r="H244" s="867">
        <f>'d3'!E278</f>
        <v>0</v>
      </c>
      <c r="I244" s="867">
        <f>'d3'!J278</f>
        <v>0</v>
      </c>
      <c r="J244" s="867">
        <f>'d3'!K278</f>
        <v>0</v>
      </c>
      <c r="K244" s="137"/>
      <c r="L244" s="137"/>
      <c r="M244" s="137"/>
    </row>
    <row r="245" spans="1:13" ht="138.75" hidden="1" thickTop="1" thickBot="1" x14ac:dyDescent="0.25">
      <c r="A245" s="778"/>
      <c r="B245" s="778"/>
      <c r="C245" s="778"/>
      <c r="D245" s="397" t="s">
        <v>441</v>
      </c>
      <c r="E245" s="787"/>
      <c r="F245" s="787"/>
      <c r="G245" s="874"/>
      <c r="H245" s="874"/>
      <c r="I245" s="874"/>
      <c r="J245" s="874"/>
      <c r="K245" s="137"/>
      <c r="L245" s="137"/>
      <c r="M245" s="137"/>
    </row>
    <row r="246" spans="1:13" ht="321.75" thickTop="1" thickBot="1" x14ac:dyDescent="0.25">
      <c r="A246" s="101" t="s">
        <v>1496</v>
      </c>
      <c r="B246" s="101" t="s">
        <v>518</v>
      </c>
      <c r="C246" s="101" t="s">
        <v>251</v>
      </c>
      <c r="D246" s="101" t="s">
        <v>519</v>
      </c>
      <c r="E246" s="315" t="s">
        <v>1389</v>
      </c>
      <c r="F246" s="315" t="s">
        <v>859</v>
      </c>
      <c r="G246" s="315">
        <f t="shared" si="31"/>
        <v>2927223</v>
      </c>
      <c r="H246" s="345">
        <f>'d3'!E282</f>
        <v>2927223</v>
      </c>
      <c r="I246" s="459">
        <f>'d3'!J282</f>
        <v>0</v>
      </c>
      <c r="J246" s="459">
        <f>'d3'!K282</f>
        <v>0</v>
      </c>
      <c r="K246" s="137"/>
      <c r="L246" s="137"/>
      <c r="M246" s="137"/>
    </row>
    <row r="247" spans="1:13" ht="321.75" hidden="1" thickTop="1" thickBot="1" x14ac:dyDescent="0.25">
      <c r="A247" s="126" t="s">
        <v>1232</v>
      </c>
      <c r="B247" s="126" t="s">
        <v>1213</v>
      </c>
      <c r="C247" s="126" t="s">
        <v>1188</v>
      </c>
      <c r="D247" s="126" t="s">
        <v>1214</v>
      </c>
      <c r="E247" s="194" t="s">
        <v>1211</v>
      </c>
      <c r="F247" s="194" t="s">
        <v>859</v>
      </c>
      <c r="G247" s="267">
        <f>H247+I247</f>
        <v>0</v>
      </c>
      <c r="H247" s="273">
        <f>'d3'!E284</f>
        <v>0</v>
      </c>
      <c r="I247" s="274">
        <f>'d3'!J284</f>
        <v>0</v>
      </c>
      <c r="J247" s="274">
        <f>'d3'!K284</f>
        <v>0</v>
      </c>
      <c r="K247" s="137"/>
      <c r="L247" s="137"/>
      <c r="M247" s="137"/>
    </row>
    <row r="248" spans="1:13" ht="170.1" customHeight="1" thickTop="1" thickBot="1" x14ac:dyDescent="0.25">
      <c r="A248" s="645" t="s">
        <v>540</v>
      </c>
      <c r="B248" s="645"/>
      <c r="C248" s="645"/>
      <c r="D248" s="646" t="s">
        <v>559</v>
      </c>
      <c r="E248" s="645"/>
      <c r="F248" s="645"/>
      <c r="G248" s="648">
        <f>H248+I248</f>
        <v>458694984.99000001</v>
      </c>
      <c r="H248" s="648">
        <f>H249</f>
        <v>417438939</v>
      </c>
      <c r="I248" s="648">
        <f>I249</f>
        <v>41256045.990000002</v>
      </c>
      <c r="J248" s="648">
        <f>J249</f>
        <v>41256045.990000002</v>
      </c>
      <c r="K248" s="95" t="b">
        <f>H248='d3'!E286-'d3'!E288+'d7'!H250</f>
        <v>1</v>
      </c>
      <c r="L248" s="95" t="b">
        <f>I248='d3'!J286-'d3'!J288+'d7'!I250</f>
        <v>1</v>
      </c>
      <c r="M248" s="95" t="b">
        <f>J248='d3'!K286-'d3'!K288+'d7'!J250</f>
        <v>1</v>
      </c>
    </row>
    <row r="249" spans="1:13" ht="170.1" customHeight="1" thickTop="1" thickBot="1" x14ac:dyDescent="0.25">
      <c r="A249" s="642" t="s">
        <v>541</v>
      </c>
      <c r="B249" s="642"/>
      <c r="C249" s="642"/>
      <c r="D249" s="643" t="s">
        <v>560</v>
      </c>
      <c r="E249" s="644"/>
      <c r="F249" s="644"/>
      <c r="G249" s="644">
        <f>SUM(G250:G288)</f>
        <v>458694984.99000001</v>
      </c>
      <c r="H249" s="644">
        <f>SUM(H250:H288)</f>
        <v>417438939</v>
      </c>
      <c r="I249" s="644">
        <f>SUM(I250:I288)</f>
        <v>41256045.990000002</v>
      </c>
      <c r="J249" s="644">
        <f>SUM(J250:J288)</f>
        <v>41256045.990000002</v>
      </c>
      <c r="K249" s="275"/>
      <c r="L249" s="137"/>
      <c r="M249" s="137"/>
    </row>
    <row r="250" spans="1:13" ht="138.75" thickTop="1" thickBot="1" x14ac:dyDescent="0.25">
      <c r="A250" s="101" t="s">
        <v>542</v>
      </c>
      <c r="B250" s="101" t="s">
        <v>236</v>
      </c>
      <c r="C250" s="101" t="s">
        <v>234</v>
      </c>
      <c r="D250" s="101" t="s">
        <v>235</v>
      </c>
      <c r="E250" s="318" t="s">
        <v>1038</v>
      </c>
      <c r="F250" s="315" t="s">
        <v>857</v>
      </c>
      <c r="G250" s="315">
        <f t="shared" si="31"/>
        <v>39000</v>
      </c>
      <c r="H250" s="315">
        <v>0</v>
      </c>
      <c r="I250" s="315">
        <v>39000</v>
      </c>
      <c r="J250" s="315">
        <v>39000</v>
      </c>
      <c r="K250" s="137"/>
      <c r="L250" s="137"/>
      <c r="M250" s="137"/>
    </row>
    <row r="251" spans="1:13" ht="321.75" hidden="1" thickTop="1" thickBot="1" x14ac:dyDescent="0.25">
      <c r="A251" s="126" t="s">
        <v>629</v>
      </c>
      <c r="B251" s="126" t="s">
        <v>362</v>
      </c>
      <c r="C251" s="126" t="s">
        <v>625</v>
      </c>
      <c r="D251" s="126" t="s">
        <v>626</v>
      </c>
      <c r="E251" s="253" t="s">
        <v>1176</v>
      </c>
      <c r="F251" s="194" t="s">
        <v>1177</v>
      </c>
      <c r="G251" s="194">
        <f t="shared" ref="G251" si="33">H251+I251</f>
        <v>0</v>
      </c>
      <c r="H251" s="254">
        <f>'d3'!E289</f>
        <v>0</v>
      </c>
      <c r="I251" s="271">
        <v>0</v>
      </c>
      <c r="J251" s="271">
        <v>0</v>
      </c>
      <c r="K251" s="137"/>
      <c r="L251" s="137"/>
      <c r="M251" s="137"/>
    </row>
    <row r="252" spans="1:13" ht="184.5" hidden="1" thickTop="1" thickBot="1" x14ac:dyDescent="0.25">
      <c r="A252" s="126" t="s">
        <v>543</v>
      </c>
      <c r="B252" s="126" t="s">
        <v>43</v>
      </c>
      <c r="C252" s="126" t="s">
        <v>42</v>
      </c>
      <c r="D252" s="126" t="s">
        <v>248</v>
      </c>
      <c r="E252" s="253" t="s">
        <v>1234</v>
      </c>
      <c r="F252" s="194" t="s">
        <v>1170</v>
      </c>
      <c r="G252" s="194">
        <f t="shared" si="31"/>
        <v>0</v>
      </c>
      <c r="H252" s="194">
        <f>'d3'!E290</f>
        <v>0</v>
      </c>
      <c r="I252" s="194">
        <f>'d3'!J290</f>
        <v>0</v>
      </c>
      <c r="J252" s="194">
        <f>'d3'!K290</f>
        <v>0</v>
      </c>
      <c r="K252" s="137"/>
      <c r="L252" s="137"/>
      <c r="M252" s="137"/>
    </row>
    <row r="253" spans="1:13" ht="205.5" customHeight="1" thickTop="1" thickBot="1" x14ac:dyDescent="0.25">
      <c r="A253" s="101" t="s">
        <v>544</v>
      </c>
      <c r="B253" s="101" t="s">
        <v>376</v>
      </c>
      <c r="C253" s="101" t="s">
        <v>283</v>
      </c>
      <c r="D253" s="101" t="s">
        <v>377</v>
      </c>
      <c r="E253" s="318" t="s">
        <v>1412</v>
      </c>
      <c r="F253" s="315" t="s">
        <v>1352</v>
      </c>
      <c r="G253" s="315">
        <f t="shared" si="31"/>
        <v>60000000</v>
      </c>
      <c r="H253" s="319">
        <f>'d3'!E293</f>
        <v>60000000</v>
      </c>
      <c r="I253" s="315">
        <f>'d3'!J293</f>
        <v>0</v>
      </c>
      <c r="J253" s="315">
        <f>'d3'!K293</f>
        <v>0</v>
      </c>
      <c r="K253" s="137"/>
      <c r="L253" s="137"/>
      <c r="M253" s="137"/>
    </row>
    <row r="254" spans="1:13" ht="184.5" thickTop="1" thickBot="1" x14ac:dyDescent="0.25">
      <c r="A254" s="101" t="s">
        <v>545</v>
      </c>
      <c r="B254" s="101" t="s">
        <v>286</v>
      </c>
      <c r="C254" s="101" t="s">
        <v>283</v>
      </c>
      <c r="D254" s="101" t="s">
        <v>287</v>
      </c>
      <c r="E254" s="318" t="s">
        <v>1234</v>
      </c>
      <c r="F254" s="315" t="s">
        <v>1170</v>
      </c>
      <c r="G254" s="315">
        <f t="shared" si="31"/>
        <v>953993</v>
      </c>
      <c r="H254" s="319">
        <v>0</v>
      </c>
      <c r="I254" s="456">
        <f>'d3'!J294</f>
        <v>953993</v>
      </c>
      <c r="J254" s="456">
        <f>'d3'!K294</f>
        <v>953993</v>
      </c>
      <c r="K254" s="95" t="b">
        <f>'d3'!E294='d7'!H254+'d7'!H255</f>
        <v>1</v>
      </c>
      <c r="L254" s="95" t="b">
        <f>'d3'!J294='d7'!I254+'d7'!I255</f>
        <v>1</v>
      </c>
      <c r="M254" s="95" t="b">
        <f>'d3'!K294='d7'!J254+'d7'!J255</f>
        <v>1</v>
      </c>
    </row>
    <row r="255" spans="1:13" ht="184.5" thickTop="1" thickBot="1" x14ac:dyDescent="0.25">
      <c r="A255" s="101" t="s">
        <v>545</v>
      </c>
      <c r="B255" s="101" t="s">
        <v>286</v>
      </c>
      <c r="C255" s="101" t="s">
        <v>283</v>
      </c>
      <c r="D255" s="101" t="s">
        <v>287</v>
      </c>
      <c r="E255" s="318" t="s">
        <v>1408</v>
      </c>
      <c r="F255" s="315" t="s">
        <v>1353</v>
      </c>
      <c r="G255" s="315">
        <f t="shared" si="31"/>
        <v>40550000</v>
      </c>
      <c r="H255" s="319">
        <f>((10550000)+15000000)+15000000</f>
        <v>40550000</v>
      </c>
      <c r="I255" s="456">
        <v>0</v>
      </c>
      <c r="J255" s="456">
        <v>0</v>
      </c>
      <c r="K255" s="137"/>
      <c r="L255" s="137"/>
      <c r="M255" s="137"/>
    </row>
    <row r="256" spans="1:13" ht="184.5" hidden="1" thickTop="1" thickBot="1" x14ac:dyDescent="0.25">
      <c r="A256" s="126" t="s">
        <v>1409</v>
      </c>
      <c r="B256" s="126" t="s">
        <v>1410</v>
      </c>
      <c r="C256" s="126" t="s">
        <v>283</v>
      </c>
      <c r="D256" s="126" t="s">
        <v>1411</v>
      </c>
      <c r="E256" s="253" t="s">
        <v>1408</v>
      </c>
      <c r="F256" s="194" t="s">
        <v>1353</v>
      </c>
      <c r="G256" s="194">
        <f t="shared" si="31"/>
        <v>0</v>
      </c>
      <c r="H256" s="254">
        <f>'d3'!E295</f>
        <v>0</v>
      </c>
      <c r="I256" s="271">
        <v>0</v>
      </c>
      <c r="J256" s="271">
        <v>0</v>
      </c>
      <c r="K256" s="137"/>
      <c r="L256" s="137"/>
      <c r="M256" s="137"/>
    </row>
    <row r="257" spans="1:13" ht="184.5" thickTop="1" thickBot="1" x14ac:dyDescent="0.25">
      <c r="A257" s="101" t="s">
        <v>546</v>
      </c>
      <c r="B257" s="101" t="s">
        <v>297</v>
      </c>
      <c r="C257" s="101" t="s">
        <v>283</v>
      </c>
      <c r="D257" s="101" t="s">
        <v>298</v>
      </c>
      <c r="E257" s="318" t="s">
        <v>1451</v>
      </c>
      <c r="F257" s="315" t="s">
        <v>1356</v>
      </c>
      <c r="G257" s="315">
        <f t="shared" si="31"/>
        <v>1350000</v>
      </c>
      <c r="H257" s="319">
        <f>(700000)+650000</f>
        <v>1350000</v>
      </c>
      <c r="I257" s="456">
        <f>'d3'!J296</f>
        <v>0</v>
      </c>
      <c r="J257" s="456">
        <f>'d3'!K296</f>
        <v>0</v>
      </c>
      <c r="K257" s="95" t="b">
        <f>'d3'!E296='d7'!H257+'d7'!H258</f>
        <v>1</v>
      </c>
      <c r="L257" s="95" t="b">
        <f>'d3'!J296='d7'!I257+'d7'!I258</f>
        <v>1</v>
      </c>
      <c r="M257" s="95" t="b">
        <f>'d3'!K296='d7'!J257+'d7'!J258</f>
        <v>1</v>
      </c>
    </row>
    <row r="258" spans="1:13" ht="184.5" thickTop="1" thickBot="1" x14ac:dyDescent="0.25">
      <c r="A258" s="101" t="s">
        <v>546</v>
      </c>
      <c r="B258" s="101" t="s">
        <v>297</v>
      </c>
      <c r="C258" s="101" t="s">
        <v>283</v>
      </c>
      <c r="D258" s="101" t="s">
        <v>298</v>
      </c>
      <c r="E258" s="318" t="s">
        <v>1416</v>
      </c>
      <c r="F258" s="315" t="s">
        <v>1359</v>
      </c>
      <c r="G258" s="315">
        <f t="shared" si="31"/>
        <v>1987600</v>
      </c>
      <c r="H258" s="319">
        <v>1987600</v>
      </c>
      <c r="I258" s="456">
        <v>0</v>
      </c>
      <c r="J258" s="456">
        <v>0</v>
      </c>
      <c r="K258" s="137"/>
      <c r="L258" s="137"/>
      <c r="M258" s="137"/>
    </row>
    <row r="259" spans="1:13" ht="138.75" hidden="1" thickTop="1" thickBot="1" x14ac:dyDescent="0.25">
      <c r="A259" s="126"/>
      <c r="B259" s="126"/>
      <c r="C259" s="126"/>
      <c r="D259" s="126"/>
      <c r="E259" s="254" t="s">
        <v>876</v>
      </c>
      <c r="F259" s="194" t="s">
        <v>874</v>
      </c>
      <c r="G259" s="73"/>
      <c r="H259" s="257"/>
      <c r="I259" s="272"/>
      <c r="J259" s="272"/>
      <c r="K259" s="137"/>
      <c r="L259" s="137"/>
      <c r="M259" s="137"/>
    </row>
    <row r="260" spans="1:13" ht="184.5" thickTop="1" thickBot="1" x14ac:dyDescent="0.25">
      <c r="A260" s="101" t="s">
        <v>547</v>
      </c>
      <c r="B260" s="101">
        <v>6030</v>
      </c>
      <c r="C260" s="101" t="s">
        <v>283</v>
      </c>
      <c r="D260" s="101" t="s">
        <v>290</v>
      </c>
      <c r="E260" s="318" t="s">
        <v>1234</v>
      </c>
      <c r="F260" s="315" t="s">
        <v>1170</v>
      </c>
      <c r="G260" s="315">
        <f t="shared" si="31"/>
        <v>302174593</v>
      </c>
      <c r="H260" s="319">
        <f>(((273808011-H261-650000-8450000)+25359960)+4000000-2000000+895178+1000000+100000+500000+12000000)+2050000</f>
        <v>302174593</v>
      </c>
      <c r="I260" s="456">
        <v>0</v>
      </c>
      <c r="J260" s="456">
        <v>0</v>
      </c>
      <c r="K260" s="95" t="b">
        <f>H261+H260='d3'!E297</f>
        <v>1</v>
      </c>
      <c r="L260" s="95" t="b">
        <f>I261+I260='d3'!J297</f>
        <v>1</v>
      </c>
      <c r="M260" s="95" t="b">
        <f>J261+J260='d3'!K297</f>
        <v>1</v>
      </c>
    </row>
    <row r="261" spans="1:13" ht="184.5" thickTop="1" thickBot="1" x14ac:dyDescent="0.25">
      <c r="A261" s="101" t="s">
        <v>547</v>
      </c>
      <c r="B261" s="101">
        <v>6030</v>
      </c>
      <c r="C261" s="101" t="s">
        <v>283</v>
      </c>
      <c r="D261" s="101" t="s">
        <v>290</v>
      </c>
      <c r="E261" s="319" t="s">
        <v>1286</v>
      </c>
      <c r="F261" s="315" t="s">
        <v>1287</v>
      </c>
      <c r="G261" s="315">
        <f>H261+I261</f>
        <v>6438556</v>
      </c>
      <c r="H261" s="456">
        <v>6438556</v>
      </c>
      <c r="I261" s="456">
        <v>0</v>
      </c>
      <c r="J261" s="456">
        <v>0</v>
      </c>
      <c r="K261" s="137"/>
      <c r="L261" s="137"/>
      <c r="M261" s="137"/>
    </row>
    <row r="262" spans="1:13" ht="184.5" thickTop="1" thickBot="1" x14ac:dyDescent="0.25">
      <c r="A262" s="101" t="s">
        <v>1148</v>
      </c>
      <c r="B262" s="101" t="s">
        <v>1149</v>
      </c>
      <c r="C262" s="101" t="s">
        <v>1150</v>
      </c>
      <c r="D262" s="101" t="s">
        <v>1147</v>
      </c>
      <c r="E262" s="318" t="s">
        <v>1234</v>
      </c>
      <c r="F262" s="315" t="s">
        <v>1170</v>
      </c>
      <c r="G262" s="315">
        <f>H262+I262</f>
        <v>258800</v>
      </c>
      <c r="H262" s="456">
        <f>'d3'!E298</f>
        <v>258800</v>
      </c>
      <c r="I262" s="456">
        <f>'d3'!J298</f>
        <v>0</v>
      </c>
      <c r="J262" s="456">
        <f>'d3'!K298</f>
        <v>0</v>
      </c>
      <c r="K262" s="137"/>
      <c r="L262" s="137"/>
      <c r="M262" s="137"/>
    </row>
    <row r="263" spans="1:13" ht="184.5" thickTop="1" thickBot="1" x14ac:dyDescent="0.25">
      <c r="A263" s="101" t="s">
        <v>548</v>
      </c>
      <c r="B263" s="101" t="s">
        <v>305</v>
      </c>
      <c r="C263" s="101" t="s">
        <v>304</v>
      </c>
      <c r="D263" s="101" t="s">
        <v>469</v>
      </c>
      <c r="E263" s="318" t="s">
        <v>1234</v>
      </c>
      <c r="F263" s="315" t="s">
        <v>1170</v>
      </c>
      <c r="G263" s="315">
        <f t="shared" si="31"/>
        <v>1200000</v>
      </c>
      <c r="H263" s="319">
        <f>'d3'!E301</f>
        <v>0</v>
      </c>
      <c r="I263" s="456">
        <f>'d3'!J301</f>
        <v>1200000</v>
      </c>
      <c r="J263" s="456">
        <f>'d3'!K301</f>
        <v>1200000</v>
      </c>
      <c r="K263" s="137"/>
      <c r="L263" s="137"/>
      <c r="M263" s="137"/>
    </row>
    <row r="264" spans="1:13" ht="184.5" thickTop="1" thickBot="1" x14ac:dyDescent="0.25">
      <c r="A264" s="101" t="s">
        <v>549</v>
      </c>
      <c r="B264" s="101" t="s">
        <v>293</v>
      </c>
      <c r="C264" s="101" t="s">
        <v>295</v>
      </c>
      <c r="D264" s="711" t="s">
        <v>294</v>
      </c>
      <c r="E264" s="318" t="s">
        <v>1234</v>
      </c>
      <c r="F264" s="315" t="s">
        <v>1170</v>
      </c>
      <c r="G264" s="315">
        <f>H264+I264</f>
        <v>12935752</v>
      </c>
      <c r="H264" s="319">
        <f>'d3'!E304-H265</f>
        <v>0</v>
      </c>
      <c r="I264" s="456">
        <f>'d3'!J304-I265</f>
        <v>12935752</v>
      </c>
      <c r="J264" s="456">
        <f>'d3'!K304-J265</f>
        <v>12935752</v>
      </c>
      <c r="K264" s="95" t="b">
        <f>H264+H265='d3'!E304</f>
        <v>1</v>
      </c>
      <c r="L264" s="95" t="b">
        <f>I264+I265='d3'!J304</f>
        <v>1</v>
      </c>
      <c r="M264" s="95" t="b">
        <f>J264+J265='d3'!K304</f>
        <v>1</v>
      </c>
    </row>
    <row r="265" spans="1:13" ht="138.75" hidden="1" thickTop="1" thickBot="1" x14ac:dyDescent="0.25">
      <c r="A265" s="705" t="s">
        <v>549</v>
      </c>
      <c r="B265" s="705" t="s">
        <v>293</v>
      </c>
      <c r="C265" s="705" t="s">
        <v>295</v>
      </c>
      <c r="D265" s="712" t="s">
        <v>294</v>
      </c>
      <c r="E265" s="318" t="s">
        <v>1398</v>
      </c>
      <c r="F265" s="327" t="s">
        <v>425</v>
      </c>
      <c r="G265" s="315">
        <f>H265+I265</f>
        <v>0</v>
      </c>
      <c r="H265" s="710">
        <v>0</v>
      </c>
      <c r="I265" s="713">
        <v>0</v>
      </c>
      <c r="J265" s="713">
        <v>0</v>
      </c>
      <c r="K265" s="137"/>
      <c r="L265" s="137"/>
      <c r="M265" s="137"/>
    </row>
    <row r="266" spans="1:13" ht="138.75" hidden="1" thickTop="1" thickBot="1" x14ac:dyDescent="0.25">
      <c r="A266" s="101" t="s">
        <v>549</v>
      </c>
      <c r="B266" s="101" t="s">
        <v>293</v>
      </c>
      <c r="C266" s="101" t="s">
        <v>295</v>
      </c>
      <c r="D266" s="711" t="s">
        <v>294</v>
      </c>
      <c r="E266" s="319" t="s">
        <v>875</v>
      </c>
      <c r="F266" s="319" t="s">
        <v>890</v>
      </c>
      <c r="G266" s="315">
        <f t="shared" si="31"/>
        <v>0</v>
      </c>
      <c r="H266" s="319"/>
      <c r="I266" s="271"/>
      <c r="J266" s="271"/>
      <c r="K266" s="137"/>
      <c r="L266" s="137"/>
      <c r="M266" s="137"/>
    </row>
    <row r="267" spans="1:13" ht="184.5" thickTop="1" thickBot="1" x14ac:dyDescent="0.25">
      <c r="A267" s="101" t="s">
        <v>550</v>
      </c>
      <c r="B267" s="101" t="s">
        <v>212</v>
      </c>
      <c r="C267" s="101" t="s">
        <v>213</v>
      </c>
      <c r="D267" s="101" t="s">
        <v>41</v>
      </c>
      <c r="E267" s="318" t="s">
        <v>1234</v>
      </c>
      <c r="F267" s="315" t="s">
        <v>1170</v>
      </c>
      <c r="G267" s="319">
        <f t="shared" si="31"/>
        <v>15908770.99</v>
      </c>
      <c r="H267" s="319">
        <f>'d3'!E306</f>
        <v>0</v>
      </c>
      <c r="I267" s="319">
        <f>'d3'!J306</f>
        <v>15908770.99</v>
      </c>
      <c r="J267" s="319">
        <f>'d3'!K306</f>
        <v>15908770.99</v>
      </c>
      <c r="K267" s="137"/>
      <c r="L267" s="137"/>
      <c r="M267" s="137"/>
    </row>
    <row r="268" spans="1:13" ht="184.5" hidden="1" thickTop="1" thickBot="1" x14ac:dyDescent="0.25">
      <c r="A268" s="126" t="s">
        <v>551</v>
      </c>
      <c r="B268" s="126" t="s">
        <v>197</v>
      </c>
      <c r="C268" s="126" t="s">
        <v>170</v>
      </c>
      <c r="D268" s="126" t="s">
        <v>34</v>
      </c>
      <c r="E268" s="253" t="s">
        <v>1169</v>
      </c>
      <c r="F268" s="194" t="s">
        <v>1170</v>
      </c>
      <c r="G268" s="254">
        <f t="shared" ref="G268:G270" si="34">H268+I268</f>
        <v>0</v>
      </c>
      <c r="H268" s="254">
        <v>0</v>
      </c>
      <c r="I268" s="254">
        <v>0</v>
      </c>
      <c r="J268" s="254">
        <v>0</v>
      </c>
      <c r="K268" s="252" t="s">
        <v>1361</v>
      </c>
      <c r="L268" s="252" t="s">
        <v>1360</v>
      </c>
      <c r="M268" s="137"/>
    </row>
    <row r="269" spans="1:13" ht="138.75" hidden="1" thickTop="1" thickBot="1" x14ac:dyDescent="0.25">
      <c r="A269" s="126" t="s">
        <v>551</v>
      </c>
      <c r="B269" s="126" t="s">
        <v>197</v>
      </c>
      <c r="C269" s="126" t="s">
        <v>170</v>
      </c>
      <c r="D269" s="126" t="s">
        <v>34</v>
      </c>
      <c r="E269" s="253" t="s">
        <v>1449</v>
      </c>
      <c r="F269" s="194" t="s">
        <v>1448</v>
      </c>
      <c r="G269" s="254">
        <f t="shared" si="34"/>
        <v>0</v>
      </c>
      <c r="H269" s="254">
        <v>0</v>
      </c>
      <c r="I269" s="254">
        <v>0</v>
      </c>
      <c r="J269" s="254">
        <v>0</v>
      </c>
      <c r="K269" s="252"/>
      <c r="L269" s="252"/>
      <c r="M269" s="137"/>
    </row>
    <row r="270" spans="1:13" ht="232.5" customHeight="1" thickTop="1" thickBot="1" x14ac:dyDescent="0.25">
      <c r="A270" s="101" t="s">
        <v>551</v>
      </c>
      <c r="B270" s="101" t="s">
        <v>197</v>
      </c>
      <c r="C270" s="101" t="s">
        <v>170</v>
      </c>
      <c r="D270" s="101" t="s">
        <v>34</v>
      </c>
      <c r="E270" s="318" t="s">
        <v>1574</v>
      </c>
      <c r="F270" s="315" t="s">
        <v>1450</v>
      </c>
      <c r="G270" s="319">
        <f t="shared" si="34"/>
        <v>3190264</v>
      </c>
      <c r="H270" s="319">
        <v>0</v>
      </c>
      <c r="I270" s="319">
        <f>(2790264)+1207578-807578</f>
        <v>3190264</v>
      </c>
      <c r="J270" s="319">
        <f>(2790264)+1207578-807578</f>
        <v>3190264</v>
      </c>
      <c r="K270" s="252"/>
      <c r="L270" s="252"/>
      <c r="M270" s="137"/>
    </row>
    <row r="271" spans="1:13" ht="184.5" hidden="1" thickTop="1" thickBot="1" x14ac:dyDescent="0.25">
      <c r="A271" s="126" t="s">
        <v>551</v>
      </c>
      <c r="B271" s="126" t="s">
        <v>197</v>
      </c>
      <c r="C271" s="126" t="s">
        <v>170</v>
      </c>
      <c r="D271" s="126" t="s">
        <v>34</v>
      </c>
      <c r="E271" s="253" t="s">
        <v>1412</v>
      </c>
      <c r="F271" s="194" t="s">
        <v>1352</v>
      </c>
      <c r="G271" s="254">
        <f t="shared" si="31"/>
        <v>0</v>
      </c>
      <c r="H271" s="254">
        <v>0</v>
      </c>
      <c r="I271" s="254">
        <v>0</v>
      </c>
      <c r="J271" s="254">
        <v>0</v>
      </c>
    </row>
    <row r="272" spans="1:13" ht="184.5" thickTop="1" thickBot="1" x14ac:dyDescent="0.25">
      <c r="A272" s="101" t="s">
        <v>551</v>
      </c>
      <c r="B272" s="101" t="s">
        <v>197</v>
      </c>
      <c r="C272" s="101" t="s">
        <v>170</v>
      </c>
      <c r="D272" s="101" t="s">
        <v>34</v>
      </c>
      <c r="E272" s="318" t="s">
        <v>1408</v>
      </c>
      <c r="F272" s="315" t="s">
        <v>1353</v>
      </c>
      <c r="G272" s="319">
        <f t="shared" si="31"/>
        <v>6732146</v>
      </c>
      <c r="H272" s="319">
        <v>0</v>
      </c>
      <c r="I272" s="319">
        <f>((0)+3501402)+663000+1744176+477161+346407</f>
        <v>6732146</v>
      </c>
      <c r="J272" s="319">
        <f>((0)+3501402)+663000+1744176+477161+346407</f>
        <v>6732146</v>
      </c>
      <c r="K272" s="137"/>
      <c r="L272" s="137"/>
      <c r="M272" s="137"/>
    </row>
    <row r="273" spans="1:13" ht="184.5" hidden="1" thickTop="1" thickBot="1" x14ac:dyDescent="0.25">
      <c r="A273" s="126" t="s">
        <v>551</v>
      </c>
      <c r="B273" s="126" t="s">
        <v>197</v>
      </c>
      <c r="C273" s="126" t="s">
        <v>170</v>
      </c>
      <c r="D273" s="126" t="s">
        <v>34</v>
      </c>
      <c r="E273" s="253" t="s">
        <v>1414</v>
      </c>
      <c r="F273" s="194" t="s">
        <v>1355</v>
      </c>
      <c r="G273" s="254">
        <f t="shared" si="31"/>
        <v>0</v>
      </c>
      <c r="H273" s="254">
        <v>0</v>
      </c>
      <c r="I273" s="254">
        <v>0</v>
      </c>
      <c r="J273" s="254">
        <v>0</v>
      </c>
      <c r="K273" s="137"/>
      <c r="L273" s="137"/>
      <c r="M273" s="137"/>
    </row>
    <row r="274" spans="1:13" ht="230.25" thickTop="1" thickBot="1" x14ac:dyDescent="0.25">
      <c r="A274" s="101" t="s">
        <v>551</v>
      </c>
      <c r="B274" s="101" t="s">
        <v>197</v>
      </c>
      <c r="C274" s="101" t="s">
        <v>170</v>
      </c>
      <c r="D274" s="101" t="s">
        <v>34</v>
      </c>
      <c r="E274" s="318" t="s">
        <v>1413</v>
      </c>
      <c r="F274" s="315" t="s">
        <v>1354</v>
      </c>
      <c r="G274" s="319">
        <f t="shared" si="31"/>
        <v>200000</v>
      </c>
      <c r="H274" s="319">
        <v>0</v>
      </c>
      <c r="I274" s="319">
        <v>200000</v>
      </c>
      <c r="J274" s="319">
        <v>200000</v>
      </c>
      <c r="K274" s="137"/>
      <c r="L274" s="137"/>
      <c r="M274" s="137"/>
    </row>
    <row r="275" spans="1:13" ht="184.5" hidden="1" thickTop="1" thickBot="1" x14ac:dyDescent="0.25">
      <c r="A275" s="126" t="s">
        <v>551</v>
      </c>
      <c r="B275" s="126" t="s">
        <v>197</v>
      </c>
      <c r="C275" s="126" t="s">
        <v>170</v>
      </c>
      <c r="D275" s="126" t="s">
        <v>34</v>
      </c>
      <c r="E275" s="451" t="s">
        <v>1329</v>
      </c>
      <c r="F275" s="452"/>
      <c r="G275" s="254">
        <f t="shared" si="31"/>
        <v>0</v>
      </c>
      <c r="H275" s="254">
        <v>0</v>
      </c>
      <c r="I275" s="254">
        <f>1888075-1888075</f>
        <v>0</v>
      </c>
      <c r="J275" s="254">
        <f>1258075+630000-1888075</f>
        <v>0</v>
      </c>
      <c r="K275" s="137"/>
      <c r="L275" s="137"/>
      <c r="M275" s="137"/>
    </row>
    <row r="276" spans="1:13" ht="138.75" hidden="1" thickTop="1" thickBot="1" x14ac:dyDescent="0.25">
      <c r="A276" s="126" t="s">
        <v>551</v>
      </c>
      <c r="B276" s="126" t="s">
        <v>197</v>
      </c>
      <c r="C276" s="126" t="s">
        <v>170</v>
      </c>
      <c r="D276" s="126" t="s">
        <v>34</v>
      </c>
      <c r="E276" s="253" t="s">
        <v>1415</v>
      </c>
      <c r="F276" s="194" t="s">
        <v>1356</v>
      </c>
      <c r="G276" s="254">
        <f t="shared" si="31"/>
        <v>0</v>
      </c>
      <c r="H276" s="254">
        <v>0</v>
      </c>
      <c r="I276" s="254">
        <v>0</v>
      </c>
      <c r="J276" s="254">
        <v>0</v>
      </c>
      <c r="K276" s="137"/>
      <c r="L276" s="137"/>
      <c r="M276" s="137"/>
    </row>
    <row r="277" spans="1:13" ht="138.75" hidden="1" thickTop="1" thickBot="1" x14ac:dyDescent="0.25">
      <c r="A277" s="126" t="s">
        <v>551</v>
      </c>
      <c r="B277" s="126" t="s">
        <v>197</v>
      </c>
      <c r="C277" s="126" t="s">
        <v>170</v>
      </c>
      <c r="D277" s="126" t="s">
        <v>34</v>
      </c>
      <c r="E277" s="253" t="s">
        <v>1357</v>
      </c>
      <c r="F277" s="194" t="s">
        <v>1358</v>
      </c>
      <c r="G277" s="254">
        <f t="shared" si="31"/>
        <v>0</v>
      </c>
      <c r="H277" s="254">
        <v>0</v>
      </c>
      <c r="I277" s="254">
        <v>0</v>
      </c>
      <c r="J277" s="254">
        <v>0</v>
      </c>
      <c r="K277" s="137"/>
      <c r="L277" s="137"/>
      <c r="M277" s="137"/>
    </row>
    <row r="278" spans="1:13" ht="138.75" hidden="1" thickTop="1" thickBot="1" x14ac:dyDescent="0.25">
      <c r="A278" s="126" t="s">
        <v>551</v>
      </c>
      <c r="B278" s="126" t="s">
        <v>197</v>
      </c>
      <c r="C278" s="126" t="s">
        <v>170</v>
      </c>
      <c r="D278" s="126" t="s">
        <v>34</v>
      </c>
      <c r="E278" s="450" t="s">
        <v>1407</v>
      </c>
      <c r="F278" s="194" t="s">
        <v>1349</v>
      </c>
      <c r="G278" s="254">
        <f t="shared" si="31"/>
        <v>0</v>
      </c>
      <c r="H278" s="254">
        <v>0</v>
      </c>
      <c r="I278" s="254">
        <v>0</v>
      </c>
      <c r="J278" s="254">
        <v>0</v>
      </c>
      <c r="K278" s="137"/>
      <c r="L278" s="137"/>
      <c r="M278" s="137"/>
    </row>
    <row r="279" spans="1:13" ht="184.5" thickTop="1" thickBot="1" x14ac:dyDescent="0.25">
      <c r="A279" s="101" t="s">
        <v>551</v>
      </c>
      <c r="B279" s="101" t="s">
        <v>197</v>
      </c>
      <c r="C279" s="101" t="s">
        <v>170</v>
      </c>
      <c r="D279" s="101" t="s">
        <v>34</v>
      </c>
      <c r="E279" s="318" t="s">
        <v>1416</v>
      </c>
      <c r="F279" s="315" t="s">
        <v>1359</v>
      </c>
      <c r="G279" s="319">
        <f t="shared" si="31"/>
        <v>96120</v>
      </c>
      <c r="H279" s="319">
        <v>0</v>
      </c>
      <c r="I279" s="319">
        <v>96120</v>
      </c>
      <c r="J279" s="319">
        <v>96120</v>
      </c>
      <c r="K279" s="95" t="b">
        <f>'d3'!E307='d7'!H271+'d7'!H272+'d7'!H273+'d7'!H274+'d7'!H275+'d7'!H276+'d7'!H277+'d7'!H279+'d7'!H280+H268+H278+H269+H270</f>
        <v>1</v>
      </c>
      <c r="L279" s="95" t="b">
        <f>'d3'!J307='d7'!I271+'d7'!I272+'d7'!I273+'d7'!I274+'d7'!I275+'d7'!I276+'d7'!I277+'d7'!I279+'d7'!I280+I268+I278+I269+I270</f>
        <v>1</v>
      </c>
      <c r="M279" s="95" t="b">
        <f>'d3'!K307='d7'!J271+'d7'!J272+'d7'!J273+'d7'!J274+'d7'!J275+'d7'!J276+'d7'!J277+'d7'!J279+'d7'!J280+J268+J278+J269+J270</f>
        <v>1</v>
      </c>
    </row>
    <row r="280" spans="1:13" ht="138.75" hidden="1" thickTop="1" thickBot="1" x14ac:dyDescent="0.25">
      <c r="A280" s="126" t="s">
        <v>551</v>
      </c>
      <c r="B280" s="126" t="s">
        <v>197</v>
      </c>
      <c r="C280" s="126" t="s">
        <v>170</v>
      </c>
      <c r="D280" s="126" t="s">
        <v>34</v>
      </c>
      <c r="E280" s="451" t="s">
        <v>1330</v>
      </c>
      <c r="F280" s="452"/>
      <c r="G280" s="254">
        <f t="shared" si="31"/>
        <v>0</v>
      </c>
      <c r="H280" s="254">
        <v>0</v>
      </c>
      <c r="I280" s="254">
        <f>6007800-6007800</f>
        <v>0</v>
      </c>
      <c r="J280" s="254">
        <f>6007800-6007800</f>
        <v>0</v>
      </c>
      <c r="K280" s="137"/>
      <c r="L280" s="137"/>
      <c r="M280" s="137"/>
    </row>
    <row r="281" spans="1:13" ht="138.75" hidden="1" thickTop="1" thickBot="1" x14ac:dyDescent="0.25">
      <c r="A281" s="126" t="s">
        <v>551</v>
      </c>
      <c r="B281" s="126" t="s">
        <v>197</v>
      </c>
      <c r="C281" s="126" t="s">
        <v>170</v>
      </c>
      <c r="D281" s="126" t="s">
        <v>34</v>
      </c>
      <c r="E281" s="254" t="s">
        <v>876</v>
      </c>
      <c r="F281" s="194" t="s">
        <v>874</v>
      </c>
      <c r="G281" s="271">
        <f t="shared" si="31"/>
        <v>0</v>
      </c>
      <c r="H281" s="254">
        <v>0</v>
      </c>
      <c r="I281" s="271"/>
      <c r="J281" s="271"/>
      <c r="K281" s="137"/>
      <c r="L281" s="137"/>
      <c r="M281" s="137"/>
    </row>
    <row r="282" spans="1:13" ht="276" hidden="1" thickTop="1" thickBot="1" x14ac:dyDescent="0.7">
      <c r="A282" s="768" t="s">
        <v>552</v>
      </c>
      <c r="B282" s="768" t="s">
        <v>338</v>
      </c>
      <c r="C282" s="768" t="s">
        <v>170</v>
      </c>
      <c r="D282" s="396" t="s">
        <v>440</v>
      </c>
      <c r="E282" s="768" t="s">
        <v>1161</v>
      </c>
      <c r="F282" s="768" t="s">
        <v>1162</v>
      </c>
      <c r="G282" s="747">
        <f t="shared" si="31"/>
        <v>0</v>
      </c>
      <c r="H282" s="747">
        <f>'d3'!E309</f>
        <v>0</v>
      </c>
      <c r="I282" s="747">
        <f>'d3'!J309</f>
        <v>0</v>
      </c>
      <c r="J282" s="747">
        <f>'d3'!K309</f>
        <v>0</v>
      </c>
      <c r="K282" s="137"/>
      <c r="L282" s="137"/>
      <c r="M282" s="137"/>
    </row>
    <row r="283" spans="1:13" ht="138.75" hidden="1" thickTop="1" thickBot="1" x14ac:dyDescent="0.25">
      <c r="A283" s="778"/>
      <c r="B283" s="778"/>
      <c r="C283" s="778"/>
      <c r="D283" s="397" t="s">
        <v>441</v>
      </c>
      <c r="E283" s="778" t="s">
        <v>1161</v>
      </c>
      <c r="F283" s="778" t="s">
        <v>1162</v>
      </c>
      <c r="G283" s="778">
        <f t="shared" si="31"/>
        <v>0</v>
      </c>
      <c r="H283" s="778"/>
      <c r="I283" s="778"/>
      <c r="J283" s="778"/>
      <c r="K283" s="137"/>
      <c r="L283" s="137"/>
      <c r="M283" s="137"/>
    </row>
    <row r="284" spans="1:13" ht="184.5" hidden="1" thickTop="1" thickBot="1" x14ac:dyDescent="0.25">
      <c r="A284" s="126" t="s">
        <v>1183</v>
      </c>
      <c r="B284" s="126" t="s">
        <v>257</v>
      </c>
      <c r="C284" s="126" t="s">
        <v>170</v>
      </c>
      <c r="D284" s="126" t="s">
        <v>255</v>
      </c>
      <c r="E284" s="253" t="s">
        <v>1234</v>
      </c>
      <c r="F284" s="194" t="s">
        <v>1170</v>
      </c>
      <c r="G284" s="271">
        <f t="shared" ref="G284" si="35">H284+I284</f>
        <v>0</v>
      </c>
      <c r="H284" s="254"/>
      <c r="I284" s="271"/>
      <c r="J284" s="271"/>
      <c r="K284" s="137"/>
      <c r="L284" s="137"/>
      <c r="M284" s="137"/>
    </row>
    <row r="285" spans="1:13" ht="321.75" thickTop="1" thickBot="1" x14ac:dyDescent="0.25">
      <c r="A285" s="101" t="s">
        <v>553</v>
      </c>
      <c r="B285" s="101" t="s">
        <v>518</v>
      </c>
      <c r="C285" s="101" t="s">
        <v>251</v>
      </c>
      <c r="D285" s="466" t="s">
        <v>519</v>
      </c>
      <c r="E285" s="319" t="s">
        <v>1216</v>
      </c>
      <c r="F285" s="315" t="s">
        <v>859</v>
      </c>
      <c r="G285" s="315">
        <f t="shared" si="31"/>
        <v>2000000</v>
      </c>
      <c r="H285" s="319">
        <f>'d3'!E314</f>
        <v>2000000</v>
      </c>
      <c r="I285" s="456">
        <f>'d3'!J314</f>
        <v>0</v>
      </c>
      <c r="J285" s="456">
        <f>'d3'!K314</f>
        <v>0</v>
      </c>
      <c r="K285" s="137"/>
      <c r="L285" s="137"/>
      <c r="M285" s="137"/>
    </row>
    <row r="286" spans="1:13" ht="321.75" thickTop="1" thickBot="1" x14ac:dyDescent="0.25">
      <c r="A286" s="101" t="s">
        <v>554</v>
      </c>
      <c r="B286" s="101" t="s">
        <v>250</v>
      </c>
      <c r="C286" s="101" t="s">
        <v>251</v>
      </c>
      <c r="D286" s="101" t="s">
        <v>249</v>
      </c>
      <c r="E286" s="319" t="s">
        <v>1216</v>
      </c>
      <c r="F286" s="315" t="s">
        <v>859</v>
      </c>
      <c r="G286" s="315">
        <f t="shared" si="31"/>
        <v>2529390</v>
      </c>
      <c r="H286" s="319">
        <f>'d3'!E315</f>
        <v>2529390</v>
      </c>
      <c r="I286" s="456">
        <f>'d3'!J315</f>
        <v>0</v>
      </c>
      <c r="J286" s="456">
        <f>'d3'!K315</f>
        <v>0</v>
      </c>
      <c r="K286" s="137"/>
      <c r="L286" s="137"/>
      <c r="M286" s="137"/>
    </row>
    <row r="287" spans="1:13" ht="321.75" hidden="1" thickTop="1" thickBot="1" x14ac:dyDescent="0.25">
      <c r="A287" s="41" t="s">
        <v>555</v>
      </c>
      <c r="B287" s="41" t="s">
        <v>556</v>
      </c>
      <c r="C287" s="41" t="s">
        <v>251</v>
      </c>
      <c r="D287" s="41" t="s">
        <v>557</v>
      </c>
      <c r="E287" s="257" t="s">
        <v>858</v>
      </c>
      <c r="F287" s="73" t="s">
        <v>859</v>
      </c>
      <c r="G287" s="73">
        <f t="shared" si="31"/>
        <v>0</v>
      </c>
      <c r="H287" s="257">
        <f>'d3'!E316</f>
        <v>0</v>
      </c>
      <c r="I287" s="272">
        <f>'d3'!J316</f>
        <v>0</v>
      </c>
      <c r="J287" s="272">
        <f>'d3'!K316</f>
        <v>0</v>
      </c>
      <c r="K287" s="137"/>
      <c r="L287" s="137"/>
      <c r="M287" s="137"/>
    </row>
    <row r="288" spans="1:13" ht="138.75" thickTop="1" thickBot="1" x14ac:dyDescent="0.25">
      <c r="A288" s="101" t="s">
        <v>1483</v>
      </c>
      <c r="B288" s="101" t="s">
        <v>363</v>
      </c>
      <c r="C288" s="101" t="s">
        <v>43</v>
      </c>
      <c r="D288" s="101" t="s">
        <v>364</v>
      </c>
      <c r="E288" s="318" t="s">
        <v>1511</v>
      </c>
      <c r="F288" s="315" t="s">
        <v>1537</v>
      </c>
      <c r="G288" s="315">
        <f t="shared" si="31"/>
        <v>150000</v>
      </c>
      <c r="H288" s="319">
        <f>'d3'!E319</f>
        <v>150000</v>
      </c>
      <c r="I288" s="456">
        <v>0</v>
      </c>
      <c r="J288" s="456">
        <v>0</v>
      </c>
      <c r="K288" s="137"/>
      <c r="L288" s="137"/>
      <c r="M288" s="137"/>
    </row>
    <row r="289" spans="1:13" ht="170.1" customHeight="1" thickTop="1" thickBot="1" x14ac:dyDescent="0.25">
      <c r="A289" s="645" t="s">
        <v>25</v>
      </c>
      <c r="B289" s="645"/>
      <c r="C289" s="645"/>
      <c r="D289" s="646" t="s">
        <v>891</v>
      </c>
      <c r="E289" s="645"/>
      <c r="F289" s="645"/>
      <c r="G289" s="648">
        <f>G290</f>
        <v>87904357.939999998</v>
      </c>
      <c r="H289" s="648">
        <f>H290</f>
        <v>0</v>
      </c>
      <c r="I289" s="648">
        <f>I290</f>
        <v>87904357.939999998</v>
      </c>
      <c r="J289" s="648">
        <f>J290</f>
        <v>87904357.939999998</v>
      </c>
      <c r="K289" s="137"/>
      <c r="L289" s="137"/>
      <c r="M289" s="137"/>
    </row>
    <row r="290" spans="1:13" ht="170.1" customHeight="1" thickTop="1" thickBot="1" x14ac:dyDescent="0.25">
      <c r="A290" s="642" t="s">
        <v>26</v>
      </c>
      <c r="B290" s="642"/>
      <c r="C290" s="642"/>
      <c r="D290" s="643" t="s">
        <v>892</v>
      </c>
      <c r="E290" s="644"/>
      <c r="F290" s="644"/>
      <c r="G290" s="644">
        <f>SUM(G291:G309)</f>
        <v>87904357.939999998</v>
      </c>
      <c r="H290" s="644">
        <f>SUM(H291:H309)</f>
        <v>0</v>
      </c>
      <c r="I290" s="644">
        <f>SUM(I291:I309)</f>
        <v>87904357.939999998</v>
      </c>
      <c r="J290" s="644">
        <f>SUM(J291:J309)</f>
        <v>87904357.939999998</v>
      </c>
      <c r="K290" s="95" t="b">
        <f>H290='d3'!E321-'d3'!E323+H291</f>
        <v>1</v>
      </c>
      <c r="L290" s="461" t="b">
        <f>I290='d3'!J321+I291</f>
        <v>1</v>
      </c>
      <c r="M290" s="461" t="b">
        <f>J290='d3'!K321+J291</f>
        <v>1</v>
      </c>
    </row>
    <row r="291" spans="1:13" ht="138.75" hidden="1" thickTop="1" thickBot="1" x14ac:dyDescent="0.25">
      <c r="A291" s="126" t="s">
        <v>417</v>
      </c>
      <c r="B291" s="126" t="s">
        <v>236</v>
      </c>
      <c r="C291" s="126" t="s">
        <v>234</v>
      </c>
      <c r="D291" s="126" t="s">
        <v>235</v>
      </c>
      <c r="E291" s="253" t="s">
        <v>1038</v>
      </c>
      <c r="F291" s="194" t="s">
        <v>857</v>
      </c>
      <c r="G291" s="194">
        <f t="shared" ref="G291" si="36">H291+I291</f>
        <v>0</v>
      </c>
      <c r="H291" s="194">
        <v>0</v>
      </c>
      <c r="I291" s="194">
        <v>0</v>
      </c>
      <c r="J291" s="194">
        <v>0</v>
      </c>
      <c r="K291" s="255"/>
      <c r="L291" s="255"/>
      <c r="M291" s="255"/>
    </row>
    <row r="292" spans="1:13" ht="321.75" hidden="1" thickTop="1" thickBot="1" x14ac:dyDescent="0.25">
      <c r="A292" s="126" t="s">
        <v>630</v>
      </c>
      <c r="B292" s="126" t="s">
        <v>362</v>
      </c>
      <c r="C292" s="126" t="s">
        <v>625</v>
      </c>
      <c r="D292" s="126" t="s">
        <v>626</v>
      </c>
      <c r="E292" s="253" t="s">
        <v>1296</v>
      </c>
      <c r="F292" s="194" t="s">
        <v>1297</v>
      </c>
      <c r="G292" s="194">
        <f t="shared" ref="G292:G294" si="37">H292+I292</f>
        <v>0</v>
      </c>
      <c r="H292" s="254">
        <f>'d3'!E324</f>
        <v>0</v>
      </c>
      <c r="I292" s="271">
        <v>0</v>
      </c>
      <c r="J292" s="271">
        <v>0</v>
      </c>
      <c r="K292" s="255"/>
      <c r="L292" s="255"/>
      <c r="M292" s="255"/>
    </row>
    <row r="293" spans="1:13" ht="138.75" hidden="1" thickTop="1" thickBot="1" x14ac:dyDescent="0.25">
      <c r="A293" s="126" t="s">
        <v>928</v>
      </c>
      <c r="B293" s="126" t="s">
        <v>43</v>
      </c>
      <c r="C293" s="126" t="s">
        <v>42</v>
      </c>
      <c r="D293" s="126" t="s">
        <v>248</v>
      </c>
      <c r="E293" s="253" t="s">
        <v>1144</v>
      </c>
      <c r="F293" s="194"/>
      <c r="G293" s="194">
        <f t="shared" si="37"/>
        <v>0</v>
      </c>
      <c r="H293" s="254">
        <f>'d3'!E325</f>
        <v>0</v>
      </c>
      <c r="I293" s="271">
        <f>'d3'!J325</f>
        <v>0</v>
      </c>
      <c r="J293" s="271">
        <f>'d3'!K325</f>
        <v>0</v>
      </c>
      <c r="K293" s="255"/>
      <c r="L293" s="255"/>
      <c r="M293" s="255"/>
    </row>
    <row r="294" spans="1:13" ht="138.75" thickTop="1" thickBot="1" x14ac:dyDescent="0.25">
      <c r="A294" s="101" t="s">
        <v>1236</v>
      </c>
      <c r="B294" s="101" t="s">
        <v>1200</v>
      </c>
      <c r="C294" s="101" t="s">
        <v>206</v>
      </c>
      <c r="D294" s="466" t="s">
        <v>1201</v>
      </c>
      <c r="E294" s="318" t="s">
        <v>1511</v>
      </c>
      <c r="F294" s="315" t="s">
        <v>1537</v>
      </c>
      <c r="G294" s="315">
        <f t="shared" si="37"/>
        <v>4152064</v>
      </c>
      <c r="H294" s="319">
        <f>'d3'!E327</f>
        <v>0</v>
      </c>
      <c r="I294" s="456">
        <f>'d3'!J327</f>
        <v>4152064</v>
      </c>
      <c r="J294" s="456">
        <f>'d3'!K327</f>
        <v>4152064</v>
      </c>
      <c r="K294" s="255"/>
      <c r="L294" s="255"/>
      <c r="M294" s="255"/>
    </row>
    <row r="295" spans="1:13" ht="230.25" hidden="1" thickTop="1" thickBot="1" x14ac:dyDescent="0.25">
      <c r="A295" s="126" t="s">
        <v>433</v>
      </c>
      <c r="B295" s="126" t="s">
        <v>434</v>
      </c>
      <c r="C295" s="126" t="s">
        <v>195</v>
      </c>
      <c r="D295" s="126" t="s">
        <v>1178</v>
      </c>
      <c r="E295" s="253" t="s">
        <v>1281</v>
      </c>
      <c r="F295" s="194" t="s">
        <v>1282</v>
      </c>
      <c r="G295" s="194">
        <f>H295+I295</f>
        <v>0</v>
      </c>
      <c r="H295" s="194">
        <f>'d3'!E330</f>
        <v>0</v>
      </c>
      <c r="I295" s="194">
        <f>'d3'!J330</f>
        <v>0</v>
      </c>
      <c r="J295" s="194">
        <f>'d3'!K330</f>
        <v>0</v>
      </c>
      <c r="K295" s="137"/>
      <c r="L295" s="137"/>
      <c r="M295" s="137"/>
    </row>
    <row r="296" spans="1:13" ht="138.75" hidden="1" thickTop="1" thickBot="1" x14ac:dyDescent="0.25">
      <c r="A296" s="126" t="s">
        <v>927</v>
      </c>
      <c r="B296" s="126" t="s">
        <v>305</v>
      </c>
      <c r="C296" s="126" t="s">
        <v>304</v>
      </c>
      <c r="D296" s="126" t="s">
        <v>1490</v>
      </c>
      <c r="E296" s="253" t="s">
        <v>1281</v>
      </c>
      <c r="F296" s="194" t="s">
        <v>1282</v>
      </c>
      <c r="G296" s="194">
        <f t="shared" ref="G296:G309" si="38">H296+I296</f>
        <v>0</v>
      </c>
      <c r="H296" s="194">
        <f>'d3'!E333</f>
        <v>0</v>
      </c>
      <c r="I296" s="194">
        <f>'d3'!J333</f>
        <v>0</v>
      </c>
      <c r="J296" s="194">
        <f>'d3'!K333</f>
        <v>0</v>
      </c>
      <c r="K296" s="137"/>
      <c r="L296" s="137"/>
      <c r="M296" s="137"/>
    </row>
    <row r="297" spans="1:13" ht="138.75" hidden="1" thickTop="1" thickBot="1" x14ac:dyDescent="0.25">
      <c r="A297" s="126" t="s">
        <v>310</v>
      </c>
      <c r="B297" s="126" t="s">
        <v>311</v>
      </c>
      <c r="C297" s="126" t="s">
        <v>304</v>
      </c>
      <c r="D297" s="126" t="s">
        <v>1489</v>
      </c>
      <c r="E297" s="253" t="s">
        <v>1281</v>
      </c>
      <c r="F297" s="194" t="s">
        <v>1282</v>
      </c>
      <c r="G297" s="194">
        <f t="shared" si="38"/>
        <v>0</v>
      </c>
      <c r="H297" s="194"/>
      <c r="I297" s="194"/>
      <c r="J297" s="194"/>
      <c r="K297" s="137"/>
      <c r="L297" s="137"/>
      <c r="M297" s="137"/>
    </row>
    <row r="298" spans="1:13" ht="321.75" thickTop="1" thickBot="1" x14ac:dyDescent="0.25">
      <c r="A298" s="101" t="s">
        <v>310</v>
      </c>
      <c r="B298" s="101" t="s">
        <v>311</v>
      </c>
      <c r="C298" s="101" t="s">
        <v>304</v>
      </c>
      <c r="D298" s="101" t="s">
        <v>1499</v>
      </c>
      <c r="E298" s="319" t="s">
        <v>1216</v>
      </c>
      <c r="F298" s="315" t="s">
        <v>859</v>
      </c>
      <c r="G298" s="315">
        <f t="shared" si="38"/>
        <v>40925815.939999998</v>
      </c>
      <c r="H298" s="315">
        <v>0</v>
      </c>
      <c r="I298" s="315">
        <f>((((13000000)+27425815.94)+10000000-1000000)-11000000)+2500000</f>
        <v>40925815.939999998</v>
      </c>
      <c r="J298" s="315">
        <f>((((13000000)+27425815.94)+10000000-1000000)-11000000)+2500000</f>
        <v>40925815.939999998</v>
      </c>
      <c r="K298" s="137"/>
      <c r="L298" s="137"/>
      <c r="M298" s="137"/>
    </row>
    <row r="299" spans="1:13" ht="138.75" hidden="1" thickTop="1" thickBot="1" x14ac:dyDescent="0.25">
      <c r="A299" s="126" t="s">
        <v>310</v>
      </c>
      <c r="B299" s="126" t="s">
        <v>311</v>
      </c>
      <c r="C299" s="126" t="s">
        <v>304</v>
      </c>
      <c r="D299" s="126" t="s">
        <v>1489</v>
      </c>
      <c r="E299" s="253" t="s">
        <v>1397</v>
      </c>
      <c r="F299" s="194" t="s">
        <v>1168</v>
      </c>
      <c r="G299" s="194">
        <f t="shared" si="38"/>
        <v>0</v>
      </c>
      <c r="H299" s="194">
        <v>0</v>
      </c>
      <c r="I299" s="194">
        <v>0</v>
      </c>
      <c r="J299" s="194">
        <v>0</v>
      </c>
      <c r="K299" s="137"/>
      <c r="L299" s="137"/>
      <c r="M299" s="137"/>
    </row>
    <row r="300" spans="1:13" ht="138.75" thickTop="1" thickBot="1" x14ac:dyDescent="0.25">
      <c r="A300" s="101" t="s">
        <v>516</v>
      </c>
      <c r="B300" s="101" t="s">
        <v>517</v>
      </c>
      <c r="C300" s="101" t="s">
        <v>304</v>
      </c>
      <c r="D300" s="101" t="s">
        <v>1504</v>
      </c>
      <c r="E300" s="318" t="s">
        <v>1511</v>
      </c>
      <c r="F300" s="315" t="s">
        <v>1537</v>
      </c>
      <c r="G300" s="315">
        <f t="shared" si="38"/>
        <v>1099900</v>
      </c>
      <c r="H300" s="315">
        <f>'d3'!E336</f>
        <v>0</v>
      </c>
      <c r="I300" s="315">
        <f>'d3'!J336</f>
        <v>1099900</v>
      </c>
      <c r="J300" s="315">
        <f>I300</f>
        <v>1099900</v>
      </c>
      <c r="K300" s="137"/>
      <c r="L300" s="137"/>
      <c r="M300" s="137"/>
    </row>
    <row r="301" spans="1:13" ht="138.75" hidden="1" thickTop="1" thickBot="1" x14ac:dyDescent="0.25">
      <c r="A301" s="126" t="s">
        <v>312</v>
      </c>
      <c r="B301" s="126" t="s">
        <v>313</v>
      </c>
      <c r="C301" s="126" t="s">
        <v>304</v>
      </c>
      <c r="D301" s="126" t="s">
        <v>1237</v>
      </c>
      <c r="E301" s="253" t="s">
        <v>1161</v>
      </c>
      <c r="F301" s="194" t="s">
        <v>1162</v>
      </c>
      <c r="G301" s="194">
        <f t="shared" si="38"/>
        <v>0</v>
      </c>
      <c r="H301" s="194">
        <f>'d3'!E337</f>
        <v>0</v>
      </c>
      <c r="I301" s="194">
        <f>'d3'!J337</f>
        <v>0</v>
      </c>
      <c r="J301" s="194">
        <f>I301</f>
        <v>0</v>
      </c>
      <c r="K301" s="137"/>
      <c r="L301" s="137"/>
      <c r="M301" s="137"/>
    </row>
    <row r="302" spans="1:13" ht="138.75" hidden="1" thickTop="1" thickBot="1" x14ac:dyDescent="0.25">
      <c r="A302" s="126" t="s">
        <v>314</v>
      </c>
      <c r="B302" s="126" t="s">
        <v>315</v>
      </c>
      <c r="C302" s="126" t="s">
        <v>304</v>
      </c>
      <c r="D302" s="126" t="s">
        <v>1491</v>
      </c>
      <c r="E302" s="253" t="s">
        <v>1281</v>
      </c>
      <c r="F302" s="194" t="s">
        <v>1282</v>
      </c>
      <c r="G302" s="194">
        <f t="shared" si="38"/>
        <v>0</v>
      </c>
      <c r="H302" s="194">
        <v>0</v>
      </c>
      <c r="I302" s="194">
        <v>0</v>
      </c>
      <c r="J302" s="194">
        <v>0</v>
      </c>
      <c r="K302" s="137"/>
      <c r="L302" s="137"/>
      <c r="M302" s="137"/>
    </row>
    <row r="303" spans="1:13" ht="184.5" hidden="1" thickTop="1" thickBot="1" x14ac:dyDescent="0.25">
      <c r="A303" s="126" t="s">
        <v>314</v>
      </c>
      <c r="B303" s="126" t="s">
        <v>315</v>
      </c>
      <c r="C303" s="126" t="s">
        <v>304</v>
      </c>
      <c r="D303" s="126" t="s">
        <v>1491</v>
      </c>
      <c r="E303" s="253" t="s">
        <v>1441</v>
      </c>
      <c r="F303" s="194" t="s">
        <v>1442</v>
      </c>
      <c r="G303" s="194">
        <f t="shared" si="38"/>
        <v>0</v>
      </c>
      <c r="H303" s="194">
        <v>0</v>
      </c>
      <c r="I303" s="194">
        <v>0</v>
      </c>
      <c r="J303" s="194">
        <v>0</v>
      </c>
      <c r="K303" s="137"/>
      <c r="L303" s="137"/>
      <c r="M303" s="137"/>
    </row>
    <row r="304" spans="1:13" ht="321.75" hidden="1" thickTop="1" thickBot="1" x14ac:dyDescent="0.25">
      <c r="A304" s="126" t="s">
        <v>314</v>
      </c>
      <c r="B304" s="126" t="s">
        <v>315</v>
      </c>
      <c r="C304" s="126" t="s">
        <v>304</v>
      </c>
      <c r="D304" s="126" t="s">
        <v>1491</v>
      </c>
      <c r="E304" s="254" t="s">
        <v>1216</v>
      </c>
      <c r="F304" s="194" t="s">
        <v>859</v>
      </c>
      <c r="G304" s="194">
        <f t="shared" si="38"/>
        <v>0</v>
      </c>
      <c r="H304" s="194">
        <v>0</v>
      </c>
      <c r="I304" s="194">
        <v>0</v>
      </c>
      <c r="J304" s="194">
        <v>0</v>
      </c>
      <c r="K304" s="137"/>
      <c r="L304" s="137"/>
      <c r="M304" s="137"/>
    </row>
    <row r="305" spans="1:13" ht="138.75" thickTop="1" thickBot="1" x14ac:dyDescent="0.25">
      <c r="A305" s="101" t="s">
        <v>314</v>
      </c>
      <c r="B305" s="101" t="s">
        <v>315</v>
      </c>
      <c r="C305" s="101" t="s">
        <v>304</v>
      </c>
      <c r="D305" s="101" t="s">
        <v>1500</v>
      </c>
      <c r="E305" s="318" t="s">
        <v>1398</v>
      </c>
      <c r="F305" s="327" t="s">
        <v>425</v>
      </c>
      <c r="G305" s="315">
        <f t="shared" si="38"/>
        <v>41726578</v>
      </c>
      <c r="H305" s="315">
        <v>0</v>
      </c>
      <c r="I305" s="315">
        <f>(((3000000+100000)+26578)+2600000)+36000000</f>
        <v>41726578</v>
      </c>
      <c r="J305" s="315">
        <f>(((3000000+100000)+26578)+2600000)+36000000</f>
        <v>41726578</v>
      </c>
      <c r="K305" s="137"/>
      <c r="L305" s="137"/>
      <c r="M305" s="137"/>
    </row>
    <row r="306" spans="1:13" ht="138.75" hidden="1" thickTop="1" thickBot="1" x14ac:dyDescent="0.25">
      <c r="A306" s="126" t="s">
        <v>437</v>
      </c>
      <c r="B306" s="126" t="s">
        <v>350</v>
      </c>
      <c r="C306" s="126" t="s">
        <v>170</v>
      </c>
      <c r="D306" s="126" t="s">
        <v>262</v>
      </c>
      <c r="E306" s="253" t="s">
        <v>1144</v>
      </c>
      <c r="F306" s="194"/>
      <c r="G306" s="194">
        <f t="shared" si="38"/>
        <v>0</v>
      </c>
      <c r="H306" s="194">
        <f>'d3'!E339</f>
        <v>0</v>
      </c>
      <c r="I306" s="194">
        <f>'d3'!J339</f>
        <v>0</v>
      </c>
      <c r="J306" s="194">
        <f>'d3'!K339</f>
        <v>0</v>
      </c>
      <c r="K306" s="137"/>
      <c r="L306" s="137"/>
      <c r="M306" s="137"/>
    </row>
    <row r="307" spans="1:13" ht="276" hidden="1" thickTop="1" thickBot="1" x14ac:dyDescent="0.7">
      <c r="A307" s="768" t="s">
        <v>991</v>
      </c>
      <c r="B307" s="768" t="s">
        <v>338</v>
      </c>
      <c r="C307" s="768" t="s">
        <v>170</v>
      </c>
      <c r="D307" s="153" t="s">
        <v>440</v>
      </c>
      <c r="E307" s="768" t="s">
        <v>1144</v>
      </c>
      <c r="F307" s="768"/>
      <c r="G307" s="194">
        <f t="shared" si="38"/>
        <v>0</v>
      </c>
      <c r="H307" s="747">
        <f>'d3'!E342</f>
        <v>0</v>
      </c>
      <c r="I307" s="747">
        <f>'d3'!J342</f>
        <v>0</v>
      </c>
      <c r="J307" s="747">
        <f>'d3'!K342</f>
        <v>0</v>
      </c>
      <c r="K307" s="137"/>
      <c r="L307" s="137"/>
      <c r="M307" s="137"/>
    </row>
    <row r="308" spans="1:13" ht="138.75" hidden="1" thickTop="1" thickBot="1" x14ac:dyDescent="0.25">
      <c r="A308" s="768"/>
      <c r="B308" s="768"/>
      <c r="C308" s="768"/>
      <c r="D308" s="154" t="s">
        <v>441</v>
      </c>
      <c r="E308" s="768"/>
      <c r="F308" s="768"/>
      <c r="G308" s="194">
        <f t="shared" si="38"/>
        <v>0</v>
      </c>
      <c r="H308" s="778"/>
      <c r="I308" s="778"/>
      <c r="J308" s="778"/>
      <c r="K308" s="137"/>
      <c r="L308" s="137"/>
      <c r="M308" s="137"/>
    </row>
    <row r="309" spans="1:13" ht="138.75" hidden="1" thickTop="1" thickBot="1" x14ac:dyDescent="0.25">
      <c r="A309" s="126" t="s">
        <v>1193</v>
      </c>
      <c r="B309" s="126" t="s">
        <v>257</v>
      </c>
      <c r="C309" s="126" t="s">
        <v>170</v>
      </c>
      <c r="D309" s="154" t="s">
        <v>255</v>
      </c>
      <c r="E309" s="253" t="s">
        <v>1161</v>
      </c>
      <c r="F309" s="194" t="s">
        <v>1162</v>
      </c>
      <c r="G309" s="194">
        <f t="shared" si="38"/>
        <v>0</v>
      </c>
      <c r="H309" s="194"/>
      <c r="I309" s="194">
        <v>0</v>
      </c>
      <c r="J309" s="194">
        <v>0</v>
      </c>
      <c r="K309" s="137"/>
      <c r="L309" s="137"/>
      <c r="M309" s="137"/>
    </row>
    <row r="310" spans="1:13" ht="170.1" customHeight="1" thickTop="1" thickBot="1" x14ac:dyDescent="0.25">
      <c r="A310" s="645" t="s">
        <v>160</v>
      </c>
      <c r="B310" s="645"/>
      <c r="C310" s="645"/>
      <c r="D310" s="646" t="s">
        <v>893</v>
      </c>
      <c r="E310" s="645"/>
      <c r="F310" s="645"/>
      <c r="G310" s="648">
        <f>G311</f>
        <v>99900</v>
      </c>
      <c r="H310" s="648">
        <f t="shared" ref="H310:J310" si="39">H311</f>
        <v>99900</v>
      </c>
      <c r="I310" s="648">
        <f t="shared" si="39"/>
        <v>0</v>
      </c>
      <c r="J310" s="648">
        <f t="shared" si="39"/>
        <v>0</v>
      </c>
      <c r="K310" s="461" t="b">
        <f>H310='d3'!E346-'d3'!E348+H312</f>
        <v>1</v>
      </c>
      <c r="L310" s="461" t="b">
        <f>I310='d3'!J346-'d3'!J348+'d7'!I312</f>
        <v>1</v>
      </c>
      <c r="M310" s="461" t="b">
        <f>J310='d3'!K346-'d3'!K348+'d7'!J312</f>
        <v>1</v>
      </c>
    </row>
    <row r="311" spans="1:13" ht="170.1" customHeight="1" thickTop="1" thickBot="1" x14ac:dyDescent="0.25">
      <c r="A311" s="642" t="s">
        <v>161</v>
      </c>
      <c r="B311" s="642"/>
      <c r="C311" s="642"/>
      <c r="D311" s="643" t="s">
        <v>898</v>
      </c>
      <c r="E311" s="644"/>
      <c r="F311" s="644"/>
      <c r="G311" s="644">
        <f>SUM(G312:G315)</f>
        <v>99900</v>
      </c>
      <c r="H311" s="644">
        <f>SUM(H312:H315)</f>
        <v>99900</v>
      </c>
      <c r="I311" s="644">
        <f>SUM(I312:I315)</f>
        <v>0</v>
      </c>
      <c r="J311" s="644">
        <f>SUM(J312:J315)</f>
        <v>0</v>
      </c>
      <c r="K311" s="137"/>
      <c r="L311" s="137"/>
      <c r="M311" s="137"/>
    </row>
    <row r="312" spans="1:13" ht="138.75" hidden="1" thickTop="1" thickBot="1" x14ac:dyDescent="0.25">
      <c r="A312" s="126" t="s">
        <v>419</v>
      </c>
      <c r="B312" s="126" t="s">
        <v>236</v>
      </c>
      <c r="C312" s="126" t="s">
        <v>234</v>
      </c>
      <c r="D312" s="126" t="s">
        <v>235</v>
      </c>
      <c r="E312" s="253" t="s">
        <v>1038</v>
      </c>
      <c r="F312" s="194" t="s">
        <v>857</v>
      </c>
      <c r="G312" s="194">
        <f>H312+I312</f>
        <v>0</v>
      </c>
      <c r="H312" s="194">
        <v>0</v>
      </c>
      <c r="I312" s="194">
        <v>0</v>
      </c>
      <c r="J312" s="194">
        <v>0</v>
      </c>
      <c r="K312" s="137"/>
      <c r="L312" s="137"/>
      <c r="M312" s="137"/>
    </row>
    <row r="313" spans="1:13" ht="321.75" hidden="1" thickTop="1" thickBot="1" x14ac:dyDescent="0.25">
      <c r="A313" s="126" t="s">
        <v>631</v>
      </c>
      <c r="B313" s="126" t="s">
        <v>362</v>
      </c>
      <c r="C313" s="126" t="s">
        <v>625</v>
      </c>
      <c r="D313" s="126" t="s">
        <v>626</v>
      </c>
      <c r="E313" s="253" t="s">
        <v>1296</v>
      </c>
      <c r="F313" s="194" t="s">
        <v>1297</v>
      </c>
      <c r="G313" s="194">
        <f t="shared" ref="G313:G315" si="40">H313+I313</f>
        <v>0</v>
      </c>
      <c r="H313" s="254">
        <f>'d3'!E349</f>
        <v>0</v>
      </c>
      <c r="I313" s="271">
        <v>0</v>
      </c>
      <c r="J313" s="271">
        <v>0</v>
      </c>
      <c r="K313" s="137"/>
      <c r="L313" s="137"/>
      <c r="M313" s="137"/>
    </row>
    <row r="314" spans="1:13" ht="138.75" thickTop="1" thickBot="1" x14ac:dyDescent="0.25">
      <c r="A314" s="101" t="s">
        <v>1260</v>
      </c>
      <c r="B314" s="101" t="s">
        <v>43</v>
      </c>
      <c r="C314" s="101" t="s">
        <v>42</v>
      </c>
      <c r="D314" s="101" t="s">
        <v>248</v>
      </c>
      <c r="E314" s="318" t="s">
        <v>1511</v>
      </c>
      <c r="F314" s="315" t="s">
        <v>1537</v>
      </c>
      <c r="G314" s="315">
        <f t="shared" si="40"/>
        <v>99900</v>
      </c>
      <c r="H314" s="319">
        <f>'d3'!E350</f>
        <v>99900</v>
      </c>
      <c r="I314" s="456">
        <f>'d3'!J350</f>
        <v>0</v>
      </c>
      <c r="J314" s="456">
        <f>'d3'!K350</f>
        <v>0</v>
      </c>
      <c r="K314" s="137"/>
      <c r="L314" s="137"/>
      <c r="M314" s="137"/>
    </row>
    <row r="315" spans="1:13" ht="138.75" hidden="1" thickTop="1" thickBot="1" x14ac:dyDescent="0.25">
      <c r="A315" s="126" t="s">
        <v>911</v>
      </c>
      <c r="B315" s="126" t="s">
        <v>912</v>
      </c>
      <c r="C315" s="126" t="s">
        <v>304</v>
      </c>
      <c r="D315" s="126" t="s">
        <v>913</v>
      </c>
      <c r="E315" s="253" t="s">
        <v>1281</v>
      </c>
      <c r="F315" s="194" t="s">
        <v>1282</v>
      </c>
      <c r="G315" s="194">
        <f t="shared" si="40"/>
        <v>0</v>
      </c>
      <c r="H315" s="254">
        <f>'d3'!E353</f>
        <v>0</v>
      </c>
      <c r="I315" s="271">
        <f>'d3'!J353</f>
        <v>0</v>
      </c>
      <c r="J315" s="271">
        <f>'d3'!K353</f>
        <v>0</v>
      </c>
      <c r="K315" s="137"/>
      <c r="L315" s="137"/>
      <c r="M315" s="137"/>
    </row>
    <row r="316" spans="1:13" ht="170.1" customHeight="1" thickTop="1" thickBot="1" x14ac:dyDescent="0.25">
      <c r="A316" s="645" t="s">
        <v>444</v>
      </c>
      <c r="B316" s="645"/>
      <c r="C316" s="645"/>
      <c r="D316" s="646" t="s">
        <v>446</v>
      </c>
      <c r="E316" s="645"/>
      <c r="F316" s="645"/>
      <c r="G316" s="648">
        <f>G317</f>
        <v>161006047</v>
      </c>
      <c r="H316" s="648">
        <f t="shared" ref="H316:J316" si="41">H317</f>
        <v>160849547</v>
      </c>
      <c r="I316" s="648">
        <f t="shared" si="41"/>
        <v>156500</v>
      </c>
      <c r="J316" s="648">
        <f t="shared" si="41"/>
        <v>156500</v>
      </c>
      <c r="K316" s="137"/>
      <c r="L316" s="137"/>
      <c r="M316" s="137"/>
    </row>
    <row r="317" spans="1:13" ht="170.1" customHeight="1" thickTop="1" thickBot="1" x14ac:dyDescent="0.25">
      <c r="A317" s="642" t="s">
        <v>445</v>
      </c>
      <c r="B317" s="642"/>
      <c r="C317" s="642"/>
      <c r="D317" s="643" t="s">
        <v>447</v>
      </c>
      <c r="E317" s="644"/>
      <c r="F317" s="644"/>
      <c r="G317" s="644">
        <f>SUM(G318:G327)</f>
        <v>161006047</v>
      </c>
      <c r="H317" s="644">
        <f t="shared" ref="H317" si="42">SUM(H318:H327)</f>
        <v>160849547</v>
      </c>
      <c r="I317" s="644">
        <f>SUM(I318:I327)</f>
        <v>156500</v>
      </c>
      <c r="J317" s="644">
        <f>SUM(J318:J327)</f>
        <v>156500</v>
      </c>
      <c r="K317" s="95" t="b">
        <f>H317='d3'!E355-'d3'!E357+'d7'!H318</f>
        <v>1</v>
      </c>
      <c r="L317" s="461" t="b">
        <f>I317='d3'!J355-'d3'!J357+'d7'!I318</f>
        <v>1</v>
      </c>
      <c r="M317" s="461" t="b">
        <f>J317='d3'!K355-'d3'!K357+'d7'!J318</f>
        <v>1</v>
      </c>
    </row>
    <row r="318" spans="1:13" ht="138.75" hidden="1" thickTop="1" thickBot="1" x14ac:dyDescent="0.25">
      <c r="A318" s="126" t="s">
        <v>448</v>
      </c>
      <c r="B318" s="126" t="s">
        <v>236</v>
      </c>
      <c r="C318" s="126" t="s">
        <v>234</v>
      </c>
      <c r="D318" s="126" t="s">
        <v>235</v>
      </c>
      <c r="E318" s="253" t="s">
        <v>1038</v>
      </c>
      <c r="F318" s="194" t="s">
        <v>857</v>
      </c>
      <c r="G318" s="194">
        <f>H318+I318</f>
        <v>0</v>
      </c>
      <c r="H318" s="254">
        <v>0</v>
      </c>
      <c r="I318" s="194">
        <v>0</v>
      </c>
      <c r="J318" s="194">
        <v>0</v>
      </c>
      <c r="K318" s="137"/>
      <c r="L318" s="137"/>
      <c r="M318" s="137"/>
    </row>
    <row r="319" spans="1:13" ht="321.75" hidden="1" thickTop="1" thickBot="1" x14ac:dyDescent="0.25">
      <c r="A319" s="126" t="s">
        <v>632</v>
      </c>
      <c r="B319" s="126" t="s">
        <v>362</v>
      </c>
      <c r="C319" s="126" t="s">
        <v>625</v>
      </c>
      <c r="D319" s="126" t="s">
        <v>626</v>
      </c>
      <c r="E319" s="253" t="s">
        <v>1296</v>
      </c>
      <c r="F319" s="194" t="s">
        <v>1297</v>
      </c>
      <c r="G319" s="194">
        <f t="shared" ref="G319:G321" si="43">H319+I319</f>
        <v>0</v>
      </c>
      <c r="H319" s="254">
        <f>'d3'!E358</f>
        <v>0</v>
      </c>
      <c r="I319" s="271">
        <f>'d3'!J358</f>
        <v>0</v>
      </c>
      <c r="J319" s="271">
        <f>'d3'!K358</f>
        <v>0</v>
      </c>
      <c r="K319" s="137"/>
      <c r="L319" s="137"/>
      <c r="M319" s="137"/>
    </row>
    <row r="320" spans="1:13" ht="138.75" thickTop="1" thickBot="1" x14ac:dyDescent="0.25">
      <c r="A320" s="101" t="s">
        <v>467</v>
      </c>
      <c r="B320" s="101" t="s">
        <v>412</v>
      </c>
      <c r="C320" s="101" t="s">
        <v>413</v>
      </c>
      <c r="D320" s="101" t="s">
        <v>414</v>
      </c>
      <c r="E320" s="101" t="s">
        <v>1629</v>
      </c>
      <c r="F320" s="315" t="s">
        <v>1538</v>
      </c>
      <c r="G320" s="315">
        <f t="shared" si="43"/>
        <v>550000</v>
      </c>
      <c r="H320" s="319">
        <f>'d3'!E362</f>
        <v>550000</v>
      </c>
      <c r="I320" s="456">
        <f>'d3'!J362</f>
        <v>0</v>
      </c>
      <c r="J320" s="456">
        <f>'d3'!K362</f>
        <v>0</v>
      </c>
      <c r="K320" s="137"/>
      <c r="L320" s="137"/>
      <c r="M320" s="137"/>
    </row>
    <row r="321" spans="1:13" ht="138.75" thickTop="1" thickBot="1" x14ac:dyDescent="0.25">
      <c r="A321" s="101" t="s">
        <v>468</v>
      </c>
      <c r="B321" s="101" t="s">
        <v>291</v>
      </c>
      <c r="C321" s="101" t="s">
        <v>1366</v>
      </c>
      <c r="D321" s="101" t="s">
        <v>292</v>
      </c>
      <c r="E321" s="318" t="s">
        <v>1266</v>
      </c>
      <c r="F321" s="315" t="s">
        <v>935</v>
      </c>
      <c r="G321" s="315">
        <f t="shared" si="43"/>
        <v>158360533</v>
      </c>
      <c r="H321" s="319">
        <f>'d3'!E364</f>
        <v>158360533</v>
      </c>
      <c r="I321" s="456">
        <f>'d3'!J364</f>
        <v>0</v>
      </c>
      <c r="J321" s="456">
        <f>'d3'!K364</f>
        <v>0</v>
      </c>
      <c r="K321" s="137"/>
      <c r="L321" s="137"/>
      <c r="M321" s="137"/>
    </row>
    <row r="322" spans="1:13" ht="184.5" hidden="1" thickTop="1" thickBot="1" x14ac:dyDescent="0.25">
      <c r="A322" s="871" t="s">
        <v>1097</v>
      </c>
      <c r="B322" s="871" t="s">
        <v>1098</v>
      </c>
      <c r="C322" s="871" t="s">
        <v>295</v>
      </c>
      <c r="D322" s="871" t="s">
        <v>1096</v>
      </c>
      <c r="E322" s="253" t="s">
        <v>1017</v>
      </c>
      <c r="F322" s="194" t="s">
        <v>489</v>
      </c>
      <c r="G322" s="867">
        <f>H322+I322</f>
        <v>0</v>
      </c>
      <c r="H322" s="869"/>
      <c r="I322" s="870">
        <v>0</v>
      </c>
      <c r="J322" s="870">
        <v>0</v>
      </c>
      <c r="K322" s="137"/>
      <c r="L322" s="137"/>
      <c r="M322" s="137"/>
    </row>
    <row r="323" spans="1:13" ht="138.75" hidden="1" thickTop="1" thickBot="1" x14ac:dyDescent="0.25">
      <c r="A323" s="787"/>
      <c r="B323" s="787" t="s">
        <v>1098</v>
      </c>
      <c r="C323" s="787"/>
      <c r="D323" s="787"/>
      <c r="E323" s="253" t="s">
        <v>1161</v>
      </c>
      <c r="F323" s="194" t="s">
        <v>1162</v>
      </c>
      <c r="G323" s="787"/>
      <c r="H323" s="787"/>
      <c r="I323" s="787"/>
      <c r="J323" s="787"/>
      <c r="K323" s="137"/>
      <c r="L323" s="137"/>
      <c r="M323" s="137"/>
    </row>
    <row r="324" spans="1:13" ht="184.5" hidden="1" thickTop="1" thickBot="1" x14ac:dyDescent="0.25">
      <c r="A324" s="126" t="s">
        <v>1174</v>
      </c>
      <c r="B324" s="126" t="s">
        <v>197</v>
      </c>
      <c r="C324" s="126" t="s">
        <v>170</v>
      </c>
      <c r="D324" s="126" t="s">
        <v>1175</v>
      </c>
      <c r="E324" s="253" t="s">
        <v>1420</v>
      </c>
      <c r="F324" s="194" t="s">
        <v>489</v>
      </c>
      <c r="G324" s="194">
        <f t="shared" ref="G324:G325" si="44">H324+I324</f>
        <v>0</v>
      </c>
      <c r="H324" s="254">
        <f>'d3'!E367-H325</f>
        <v>0</v>
      </c>
      <c r="I324" s="271">
        <v>0</v>
      </c>
      <c r="J324" s="271">
        <v>0</v>
      </c>
      <c r="K324" s="252" t="b">
        <f>H324+H325='d3'!E367</f>
        <v>1</v>
      </c>
      <c r="L324" s="259" t="b">
        <f>I324+I325='d3'!J367</f>
        <v>1</v>
      </c>
      <c r="M324" s="259" t="b">
        <f>J324+J325='d3'!K367</f>
        <v>1</v>
      </c>
    </row>
    <row r="325" spans="1:13" ht="138.75" thickTop="1" thickBot="1" x14ac:dyDescent="0.25">
      <c r="A325" s="101" t="s">
        <v>1174</v>
      </c>
      <c r="B325" s="101" t="s">
        <v>197</v>
      </c>
      <c r="C325" s="101" t="s">
        <v>170</v>
      </c>
      <c r="D325" s="101" t="s">
        <v>1175</v>
      </c>
      <c r="E325" s="318" t="s">
        <v>1612</v>
      </c>
      <c r="F325" s="315" t="s">
        <v>935</v>
      </c>
      <c r="G325" s="315">
        <f t="shared" si="44"/>
        <v>156500</v>
      </c>
      <c r="H325" s="319">
        <v>0</v>
      </c>
      <c r="I325" s="456">
        <f>(0)+116000+40500</f>
        <v>156500</v>
      </c>
      <c r="J325" s="456">
        <f>(0)+116000+40500</f>
        <v>156500</v>
      </c>
      <c r="K325" s="137"/>
      <c r="L325" s="137"/>
      <c r="M325" s="137"/>
    </row>
    <row r="326" spans="1:13" ht="138.75" thickTop="1" thickBot="1" x14ac:dyDescent="0.25">
      <c r="A326" s="101" t="s">
        <v>1221</v>
      </c>
      <c r="B326" s="101" t="s">
        <v>1222</v>
      </c>
      <c r="C326" s="101" t="s">
        <v>1188</v>
      </c>
      <c r="D326" s="101" t="s">
        <v>1223</v>
      </c>
      <c r="E326" s="101" t="s">
        <v>1629</v>
      </c>
      <c r="F326" s="315" t="s">
        <v>1538</v>
      </c>
      <c r="G326" s="315">
        <f>H326+I326</f>
        <v>1939014</v>
      </c>
      <c r="H326" s="319">
        <f>'d3'!E370</f>
        <v>1939014</v>
      </c>
      <c r="I326" s="456">
        <f>'d3'!J370</f>
        <v>0</v>
      </c>
      <c r="J326" s="456">
        <f>'d3'!K370</f>
        <v>0</v>
      </c>
      <c r="K326" s="137"/>
      <c r="L326" s="137"/>
      <c r="M326" s="137"/>
    </row>
    <row r="327" spans="1:13" ht="184.5" hidden="1" thickTop="1" thickBot="1" x14ac:dyDescent="0.25">
      <c r="A327" s="126" t="s">
        <v>1334</v>
      </c>
      <c r="B327" s="126" t="s">
        <v>514</v>
      </c>
      <c r="C327" s="126" t="s">
        <v>43</v>
      </c>
      <c r="D327" s="126" t="s">
        <v>515</v>
      </c>
      <c r="E327" s="126" t="s">
        <v>1362</v>
      </c>
      <c r="F327" s="194" t="s">
        <v>1363</v>
      </c>
      <c r="G327" s="194">
        <f>H327+I327</f>
        <v>0</v>
      </c>
      <c r="H327" s="254">
        <v>0</v>
      </c>
      <c r="I327" s="271">
        <v>0</v>
      </c>
      <c r="J327" s="271">
        <v>0</v>
      </c>
      <c r="K327" s="137"/>
      <c r="L327" s="137"/>
      <c r="M327" s="137"/>
    </row>
    <row r="328" spans="1:13" ht="170.1" customHeight="1" thickTop="1" thickBot="1" x14ac:dyDescent="0.25">
      <c r="A328" s="645" t="s">
        <v>166</v>
      </c>
      <c r="B328" s="645"/>
      <c r="C328" s="645"/>
      <c r="D328" s="646" t="s">
        <v>354</v>
      </c>
      <c r="E328" s="645"/>
      <c r="F328" s="645"/>
      <c r="G328" s="648">
        <f>G329</f>
        <v>14494300</v>
      </c>
      <c r="H328" s="648">
        <f t="shared" ref="H328:J328" si="45">H329</f>
        <v>14024342</v>
      </c>
      <c r="I328" s="648">
        <f t="shared" si="45"/>
        <v>469958</v>
      </c>
      <c r="J328" s="648">
        <f t="shared" si="45"/>
        <v>469958</v>
      </c>
      <c r="K328" s="95" t="b">
        <f>H328='d3'!E373</f>
        <v>1</v>
      </c>
      <c r="L328" s="461" t="b">
        <f>I328='d3'!J373</f>
        <v>1</v>
      </c>
      <c r="M328" s="461" t="b">
        <f>J328='d3'!K373</f>
        <v>1</v>
      </c>
    </row>
    <row r="329" spans="1:13" ht="170.1" customHeight="1" thickTop="1" thickBot="1" x14ac:dyDescent="0.25">
      <c r="A329" s="642" t="s">
        <v>167</v>
      </c>
      <c r="B329" s="642"/>
      <c r="C329" s="642"/>
      <c r="D329" s="643" t="s">
        <v>355</v>
      </c>
      <c r="E329" s="644"/>
      <c r="F329" s="644"/>
      <c r="G329" s="644">
        <f>SUM(G330:G343)</f>
        <v>14494300</v>
      </c>
      <c r="H329" s="644">
        <f>SUM(H330:H343)</f>
        <v>14024342</v>
      </c>
      <c r="I329" s="644">
        <f>SUM(I330:I343)</f>
        <v>469958</v>
      </c>
      <c r="J329" s="644">
        <f>SUM(J330:J343)</f>
        <v>469958</v>
      </c>
      <c r="K329" s="137"/>
      <c r="L329" s="137"/>
      <c r="M329" s="137"/>
    </row>
    <row r="330" spans="1:13" ht="138.75" thickTop="1" thickBot="1" x14ac:dyDescent="0.25">
      <c r="A330" s="101" t="s">
        <v>1308</v>
      </c>
      <c r="B330" s="101" t="s">
        <v>1200</v>
      </c>
      <c r="C330" s="101" t="s">
        <v>206</v>
      </c>
      <c r="D330" s="466" t="s">
        <v>1201</v>
      </c>
      <c r="E330" s="315" t="s">
        <v>1156</v>
      </c>
      <c r="F330" s="315" t="s">
        <v>1303</v>
      </c>
      <c r="G330" s="319">
        <f t="shared" ref="G330:G335" si="46">H330+I330</f>
        <v>499000</v>
      </c>
      <c r="H330" s="315">
        <f>'d3'!E376</f>
        <v>376502</v>
      </c>
      <c r="I330" s="315">
        <f>'d3'!J376</f>
        <v>122498</v>
      </c>
      <c r="J330" s="315">
        <f>'d3'!K376</f>
        <v>122498</v>
      </c>
      <c r="K330" s="137"/>
      <c r="L330" s="137"/>
      <c r="M330" s="137"/>
    </row>
    <row r="331" spans="1:13" ht="138.75" thickTop="1" thickBot="1" x14ac:dyDescent="0.25">
      <c r="A331" s="101" t="s">
        <v>1620</v>
      </c>
      <c r="B331" s="101" t="s">
        <v>330</v>
      </c>
      <c r="C331" s="101" t="s">
        <v>191</v>
      </c>
      <c r="D331" s="466" t="s">
        <v>332</v>
      </c>
      <c r="E331" s="315" t="s">
        <v>1156</v>
      </c>
      <c r="F331" s="315" t="s">
        <v>1303</v>
      </c>
      <c r="G331" s="319">
        <f t="shared" si="46"/>
        <v>851800</v>
      </c>
      <c r="H331" s="315">
        <f>'d3'!F377</f>
        <v>628300</v>
      </c>
      <c r="I331" s="315">
        <f>'d3'!J377</f>
        <v>223500</v>
      </c>
      <c r="J331" s="315">
        <f>'d3'!K377</f>
        <v>223500</v>
      </c>
      <c r="K331" s="137"/>
      <c r="L331" s="137"/>
      <c r="M331" s="137"/>
    </row>
    <row r="332" spans="1:13" ht="138.75" thickTop="1" thickBot="1" x14ac:dyDescent="0.25">
      <c r="A332" s="101" t="s">
        <v>1013</v>
      </c>
      <c r="B332" s="101" t="s">
        <v>350</v>
      </c>
      <c r="C332" s="101" t="s">
        <v>170</v>
      </c>
      <c r="D332" s="101" t="s">
        <v>262</v>
      </c>
      <c r="E332" s="318" t="s">
        <v>1511</v>
      </c>
      <c r="F332" s="315" t="s">
        <v>1537</v>
      </c>
      <c r="G332" s="319">
        <f t="shared" si="46"/>
        <v>50000</v>
      </c>
      <c r="H332" s="315">
        <v>50000</v>
      </c>
      <c r="I332" s="315">
        <v>0</v>
      </c>
      <c r="J332" s="315">
        <v>0</v>
      </c>
      <c r="K332" s="95" t="b">
        <f>H332+H333='d3'!E380</f>
        <v>1</v>
      </c>
      <c r="L332" s="461" t="b">
        <f>I332+I333='d3'!J380</f>
        <v>1</v>
      </c>
      <c r="M332" s="461" t="b">
        <f>J332+J333='d3'!K380</f>
        <v>1</v>
      </c>
    </row>
    <row r="333" spans="1:13" ht="184.5" hidden="1" thickTop="1" thickBot="1" x14ac:dyDescent="0.25">
      <c r="A333" s="101" t="s">
        <v>1013</v>
      </c>
      <c r="B333" s="101" t="s">
        <v>350</v>
      </c>
      <c r="C333" s="101" t="s">
        <v>170</v>
      </c>
      <c r="D333" s="101" t="s">
        <v>262</v>
      </c>
      <c r="E333" s="318" t="s">
        <v>1618</v>
      </c>
      <c r="F333" s="315" t="s">
        <v>1619</v>
      </c>
      <c r="G333" s="319">
        <f t="shared" si="46"/>
        <v>0</v>
      </c>
      <c r="H333" s="315">
        <v>0</v>
      </c>
      <c r="I333" s="315">
        <f>((0)+5000000-1000000)-4000000</f>
        <v>0</v>
      </c>
      <c r="J333" s="315">
        <f>((0)+5000000-1000000)-4000000</f>
        <v>0</v>
      </c>
      <c r="K333" s="95"/>
      <c r="L333" s="461"/>
      <c r="M333" s="461"/>
    </row>
    <row r="334" spans="1:13" ht="138.75" thickTop="1" thickBot="1" x14ac:dyDescent="0.25">
      <c r="A334" s="101" t="s">
        <v>260</v>
      </c>
      <c r="B334" s="101" t="s">
        <v>261</v>
      </c>
      <c r="C334" s="101" t="s">
        <v>259</v>
      </c>
      <c r="D334" s="101" t="s">
        <v>258</v>
      </c>
      <c r="E334" s="318" t="s">
        <v>1636</v>
      </c>
      <c r="F334" s="315" t="s">
        <v>1590</v>
      </c>
      <c r="G334" s="319">
        <f t="shared" si="46"/>
        <v>9000000</v>
      </c>
      <c r="H334" s="315">
        <f>((0)+6000000)+3000000</f>
        <v>9000000</v>
      </c>
      <c r="I334" s="315">
        <v>0</v>
      </c>
      <c r="J334" s="315">
        <v>0</v>
      </c>
      <c r="K334" s="95"/>
      <c r="L334" s="461"/>
      <c r="M334" s="461"/>
    </row>
    <row r="335" spans="1:13" ht="138.75" thickTop="1" thickBot="1" x14ac:dyDescent="0.25">
      <c r="A335" s="101" t="s">
        <v>260</v>
      </c>
      <c r="B335" s="101" t="s">
        <v>261</v>
      </c>
      <c r="C335" s="101" t="s">
        <v>259</v>
      </c>
      <c r="D335" s="101" t="s">
        <v>258</v>
      </c>
      <c r="E335" s="318" t="s">
        <v>1298</v>
      </c>
      <c r="F335" s="315" t="s">
        <v>1163</v>
      </c>
      <c r="G335" s="319">
        <f t="shared" si="46"/>
        <v>2898500</v>
      </c>
      <c r="H335" s="315">
        <f>((1995000)+200000)+703500</f>
        <v>2898500</v>
      </c>
      <c r="I335" s="315">
        <v>0</v>
      </c>
      <c r="J335" s="315">
        <v>0</v>
      </c>
      <c r="K335" s="95" t="b">
        <f>H335+H336+H334='d3'!E382</f>
        <v>1</v>
      </c>
      <c r="L335" s="461" t="b">
        <f>I335+I336+I334='d3'!J382</f>
        <v>1</v>
      </c>
      <c r="M335" s="461" t="b">
        <f>J335+J336+J334='d3'!K382</f>
        <v>1</v>
      </c>
    </row>
    <row r="336" spans="1:13" ht="138.75" thickTop="1" thickBot="1" x14ac:dyDescent="0.25">
      <c r="A336" s="101" t="s">
        <v>260</v>
      </c>
      <c r="B336" s="101" t="s">
        <v>261</v>
      </c>
      <c r="C336" s="101" t="s">
        <v>259</v>
      </c>
      <c r="D336" s="101" t="s">
        <v>258</v>
      </c>
      <c r="E336" s="318" t="s">
        <v>1398</v>
      </c>
      <c r="F336" s="327" t="s">
        <v>425</v>
      </c>
      <c r="G336" s="319">
        <f t="shared" ref="G336:G343" si="47">H336+I336</f>
        <v>50000</v>
      </c>
      <c r="H336" s="315">
        <f>(100000)-50000</f>
        <v>50000</v>
      </c>
      <c r="I336" s="315">
        <v>0</v>
      </c>
      <c r="J336" s="315">
        <v>0</v>
      </c>
      <c r="K336" s="137"/>
      <c r="L336" s="137"/>
      <c r="M336" s="259"/>
    </row>
    <row r="337" spans="1:13" ht="184.5" thickTop="1" thickBot="1" x14ac:dyDescent="0.25">
      <c r="A337" s="101" t="s">
        <v>252</v>
      </c>
      <c r="B337" s="101" t="s">
        <v>254</v>
      </c>
      <c r="C337" s="101" t="s">
        <v>213</v>
      </c>
      <c r="D337" s="101" t="s">
        <v>253</v>
      </c>
      <c r="E337" s="315" t="s">
        <v>1271</v>
      </c>
      <c r="F337" s="315" t="s">
        <v>862</v>
      </c>
      <c r="G337" s="319">
        <f t="shared" si="47"/>
        <v>605000</v>
      </c>
      <c r="H337" s="315">
        <f>(505000)+100000</f>
        <v>605000</v>
      </c>
      <c r="I337" s="315">
        <v>0</v>
      </c>
      <c r="J337" s="315">
        <v>0</v>
      </c>
      <c r="K337" s="95" t="b">
        <f>H337='d3'!E383</f>
        <v>1</v>
      </c>
      <c r="L337" s="461" t="b">
        <f>I337='d3'!J383</f>
        <v>1</v>
      </c>
      <c r="M337" s="461" t="b">
        <f>J337='d3'!K383</f>
        <v>1</v>
      </c>
    </row>
    <row r="338" spans="1:13" ht="138.75" hidden="1" thickTop="1" thickBot="1" x14ac:dyDescent="0.25">
      <c r="A338" s="101" t="s">
        <v>1302</v>
      </c>
      <c r="B338" s="101" t="s">
        <v>212</v>
      </c>
      <c r="C338" s="101" t="s">
        <v>213</v>
      </c>
      <c r="D338" s="101" t="s">
        <v>41</v>
      </c>
      <c r="E338" s="315" t="s">
        <v>1156</v>
      </c>
      <c r="F338" s="315" t="s">
        <v>1303</v>
      </c>
      <c r="G338" s="319">
        <f t="shared" si="47"/>
        <v>0</v>
      </c>
      <c r="H338" s="315">
        <f>'d3'!E384</f>
        <v>0</v>
      </c>
      <c r="I338" s="315">
        <f>'d3'!J384</f>
        <v>0</v>
      </c>
      <c r="J338" s="315">
        <f>'d3'!K384</f>
        <v>0</v>
      </c>
      <c r="K338" s="252"/>
      <c r="L338" s="259"/>
      <c r="M338" s="259"/>
    </row>
    <row r="339" spans="1:13" ht="138.75" hidden="1" thickTop="1" thickBot="1" x14ac:dyDescent="0.25">
      <c r="A339" s="126" t="s">
        <v>256</v>
      </c>
      <c r="B339" s="126" t="s">
        <v>257</v>
      </c>
      <c r="C339" s="126" t="s">
        <v>170</v>
      </c>
      <c r="D339" s="126" t="s">
        <v>255</v>
      </c>
      <c r="E339" s="194" t="s">
        <v>1156</v>
      </c>
      <c r="F339" s="194" t="s">
        <v>588</v>
      </c>
      <c r="G339" s="254">
        <f t="shared" si="47"/>
        <v>0</v>
      </c>
      <c r="H339" s="194"/>
      <c r="I339" s="194"/>
      <c r="J339" s="194"/>
    </row>
    <row r="340" spans="1:13" ht="138.75" hidden="1" thickTop="1" thickBot="1" x14ac:dyDescent="0.25">
      <c r="A340" s="41" t="s">
        <v>256</v>
      </c>
      <c r="B340" s="41" t="s">
        <v>257</v>
      </c>
      <c r="C340" s="41" t="s">
        <v>170</v>
      </c>
      <c r="D340" s="41" t="s">
        <v>255</v>
      </c>
      <c r="E340" s="256" t="s">
        <v>954</v>
      </c>
      <c r="F340" s="73" t="s">
        <v>955</v>
      </c>
      <c r="G340" s="257">
        <f t="shared" si="47"/>
        <v>0</v>
      </c>
      <c r="H340" s="73">
        <v>0</v>
      </c>
      <c r="I340" s="73">
        <v>0</v>
      </c>
      <c r="J340" s="73">
        <v>0</v>
      </c>
      <c r="K340" s="252"/>
      <c r="L340" s="259"/>
      <c r="M340" s="260"/>
    </row>
    <row r="341" spans="1:13" ht="138.75" hidden="1" thickTop="1" thickBot="1" x14ac:dyDescent="0.25">
      <c r="A341" s="126" t="s">
        <v>256</v>
      </c>
      <c r="B341" s="126" t="s">
        <v>257</v>
      </c>
      <c r="C341" s="126" t="s">
        <v>170</v>
      </c>
      <c r="D341" s="126" t="s">
        <v>255</v>
      </c>
      <c r="E341" s="253" t="s">
        <v>1364</v>
      </c>
      <c r="F341" s="149" t="s">
        <v>1365</v>
      </c>
      <c r="G341" s="254">
        <f t="shared" si="47"/>
        <v>0</v>
      </c>
      <c r="H341" s="194">
        <v>0</v>
      </c>
      <c r="I341" s="194">
        <v>0</v>
      </c>
      <c r="J341" s="194">
        <v>0</v>
      </c>
      <c r="K341" s="252" t="b">
        <f>'d3'!E386=H339+H340+H341</f>
        <v>1</v>
      </c>
      <c r="L341" s="259" t="b">
        <f>'d3'!J386=I339+I340+I341</f>
        <v>1</v>
      </c>
      <c r="M341" s="259" t="b">
        <f>'d3'!K386=J339+J340+J341</f>
        <v>1</v>
      </c>
    </row>
    <row r="342" spans="1:13" ht="138.75" thickTop="1" thickBot="1" x14ac:dyDescent="0.25">
      <c r="A342" s="101" t="s">
        <v>1306</v>
      </c>
      <c r="B342" s="101" t="s">
        <v>1190</v>
      </c>
      <c r="C342" s="101" t="s">
        <v>1188</v>
      </c>
      <c r="D342" s="101" t="s">
        <v>1187</v>
      </c>
      <c r="E342" s="315" t="s">
        <v>1156</v>
      </c>
      <c r="F342" s="315" t="s">
        <v>1303</v>
      </c>
      <c r="G342" s="319">
        <f t="shared" ref="G342" si="48">H342+I342</f>
        <v>540000</v>
      </c>
      <c r="H342" s="315">
        <f>'d3'!E389</f>
        <v>416040</v>
      </c>
      <c r="I342" s="315">
        <f>'d3'!J389</f>
        <v>123960</v>
      </c>
      <c r="J342" s="315">
        <f>'d3'!K389</f>
        <v>123960</v>
      </c>
      <c r="K342" s="252"/>
      <c r="L342" s="259"/>
      <c r="M342" s="260"/>
    </row>
    <row r="343" spans="1:13" ht="138.75" hidden="1" thickTop="1" thickBot="1" x14ac:dyDescent="0.25">
      <c r="A343" s="126" t="s">
        <v>908</v>
      </c>
      <c r="B343" s="126" t="s">
        <v>363</v>
      </c>
      <c r="C343" s="126" t="s">
        <v>43</v>
      </c>
      <c r="D343" s="126" t="s">
        <v>364</v>
      </c>
      <c r="E343" s="253" t="s">
        <v>1281</v>
      </c>
      <c r="F343" s="194" t="s">
        <v>1282</v>
      </c>
      <c r="G343" s="254">
        <f t="shared" si="47"/>
        <v>0</v>
      </c>
      <c r="H343" s="194">
        <f>'d3'!E392</f>
        <v>0</v>
      </c>
      <c r="I343" s="194">
        <f>'d3'!J392</f>
        <v>0</v>
      </c>
      <c r="J343" s="194">
        <f>'d3'!K392</f>
        <v>0</v>
      </c>
      <c r="K343" s="252"/>
      <c r="L343" s="259"/>
      <c r="M343" s="260"/>
    </row>
    <row r="344" spans="1:13" ht="200.1" customHeight="1" thickTop="1" thickBot="1" x14ac:dyDescent="0.25">
      <c r="A344" s="645" t="s">
        <v>164</v>
      </c>
      <c r="B344" s="645"/>
      <c r="C344" s="645"/>
      <c r="D344" s="646" t="s">
        <v>888</v>
      </c>
      <c r="E344" s="645"/>
      <c r="F344" s="645"/>
      <c r="G344" s="648">
        <f>G345</f>
        <v>1200000</v>
      </c>
      <c r="H344" s="648">
        <f t="shared" ref="H344:J344" si="49">H345</f>
        <v>0</v>
      </c>
      <c r="I344" s="648">
        <f t="shared" si="49"/>
        <v>1200000</v>
      </c>
      <c r="J344" s="648">
        <f t="shared" si="49"/>
        <v>0</v>
      </c>
      <c r="K344" s="95" t="b">
        <f>H344='d3'!E394-'d3'!E396+H346</f>
        <v>1</v>
      </c>
      <c r="L344" s="461" t="b">
        <f>I344='d3'!J394-'d3'!J396+'d7'!I346</f>
        <v>1</v>
      </c>
      <c r="M344" s="461" t="b">
        <f>J344='d3'!K394-'d3'!K396+'d7'!J346</f>
        <v>1</v>
      </c>
    </row>
    <row r="345" spans="1:13" ht="200.1" customHeight="1" thickTop="1" thickBot="1" x14ac:dyDescent="0.25">
      <c r="A345" s="642" t="s">
        <v>165</v>
      </c>
      <c r="B345" s="642"/>
      <c r="C345" s="642"/>
      <c r="D345" s="643" t="s">
        <v>889</v>
      </c>
      <c r="E345" s="644"/>
      <c r="F345" s="644"/>
      <c r="G345" s="644">
        <f>SUM(G346:G350)</f>
        <v>1200000</v>
      </c>
      <c r="H345" s="644">
        <f>SUM(H346:H350)</f>
        <v>0</v>
      </c>
      <c r="I345" s="644">
        <f>SUM(I346:I350)</f>
        <v>1200000</v>
      </c>
      <c r="J345" s="644">
        <f>SUM(J346:J350)</f>
        <v>0</v>
      </c>
      <c r="K345" s="137"/>
      <c r="L345" s="137"/>
      <c r="M345" s="137"/>
    </row>
    <row r="346" spans="1:13" ht="138.75" hidden="1" thickTop="1" thickBot="1" x14ac:dyDescent="0.25">
      <c r="A346" s="126" t="s">
        <v>422</v>
      </c>
      <c r="B346" s="126" t="s">
        <v>236</v>
      </c>
      <c r="C346" s="126" t="s">
        <v>234</v>
      </c>
      <c r="D346" s="126" t="s">
        <v>235</v>
      </c>
      <c r="E346" s="253" t="s">
        <v>1038</v>
      </c>
      <c r="F346" s="194" t="s">
        <v>857</v>
      </c>
      <c r="G346" s="194">
        <f>H346+I346</f>
        <v>0</v>
      </c>
      <c r="H346" s="254"/>
      <c r="I346" s="194"/>
      <c r="J346" s="194"/>
      <c r="K346" s="137"/>
      <c r="L346" s="137"/>
      <c r="M346" s="137"/>
    </row>
    <row r="347" spans="1:13" ht="391.7" hidden="1" customHeight="1" thickTop="1" thickBot="1" x14ac:dyDescent="0.25">
      <c r="A347" s="126" t="s">
        <v>633</v>
      </c>
      <c r="B347" s="126" t="s">
        <v>362</v>
      </c>
      <c r="C347" s="126" t="s">
        <v>625</v>
      </c>
      <c r="D347" s="126" t="s">
        <v>626</v>
      </c>
      <c r="E347" s="263" t="s">
        <v>884</v>
      </c>
      <c r="F347" s="264" t="s">
        <v>885</v>
      </c>
      <c r="G347" s="194">
        <f t="shared" ref="G347" si="50">H347+I347</f>
        <v>0</v>
      </c>
      <c r="H347" s="254">
        <f>'d3'!E397</f>
        <v>0</v>
      </c>
      <c r="I347" s="271"/>
      <c r="J347" s="271"/>
      <c r="K347" s="137"/>
      <c r="L347" s="137"/>
      <c r="M347" s="137"/>
    </row>
    <row r="348" spans="1:13" ht="138.75" thickTop="1" thickBot="1" x14ac:dyDescent="0.25">
      <c r="A348" s="101" t="s">
        <v>1127</v>
      </c>
      <c r="B348" s="101" t="s">
        <v>1128</v>
      </c>
      <c r="C348" s="101" t="s">
        <v>51</v>
      </c>
      <c r="D348" s="101" t="s">
        <v>1129</v>
      </c>
      <c r="E348" s="318" t="s">
        <v>1207</v>
      </c>
      <c r="F348" s="315" t="s">
        <v>953</v>
      </c>
      <c r="G348" s="319">
        <f t="shared" ref="G348:G350" si="51">H348+I348</f>
        <v>1200000</v>
      </c>
      <c r="H348" s="315">
        <f>'d3'!E400</f>
        <v>0</v>
      </c>
      <c r="I348" s="315">
        <v>1200000</v>
      </c>
      <c r="J348" s="315">
        <f>'d3'!K400</f>
        <v>0</v>
      </c>
      <c r="K348" s="95" t="b">
        <f>H348+H349='d3'!E400</f>
        <v>1</v>
      </c>
      <c r="L348" s="95" t="b">
        <f>I348+I349='d3'!J400</f>
        <v>1</v>
      </c>
      <c r="M348" s="95" t="b">
        <f>J348+J349='d3'!K400</f>
        <v>1</v>
      </c>
    </row>
    <row r="349" spans="1:13" ht="138.75" hidden="1" thickTop="1" thickBot="1" x14ac:dyDescent="0.25">
      <c r="A349" s="126" t="s">
        <v>1127</v>
      </c>
      <c r="B349" s="126" t="s">
        <v>1128</v>
      </c>
      <c r="C349" s="126" t="s">
        <v>51</v>
      </c>
      <c r="D349" s="126" t="s">
        <v>1129</v>
      </c>
      <c r="E349" s="253" t="s">
        <v>1274</v>
      </c>
      <c r="F349" s="194" t="s">
        <v>1250</v>
      </c>
      <c r="G349" s="254">
        <f t="shared" si="51"/>
        <v>0</v>
      </c>
      <c r="H349" s="194">
        <v>0</v>
      </c>
      <c r="I349" s="194">
        <v>0</v>
      </c>
      <c r="J349" s="194">
        <v>0</v>
      </c>
      <c r="K349" s="137"/>
      <c r="L349" s="137"/>
      <c r="M349" s="137"/>
    </row>
    <row r="350" spans="1:13" ht="138.75" hidden="1" thickTop="1" thickBot="1" x14ac:dyDescent="0.25">
      <c r="A350" s="126" t="s">
        <v>1248</v>
      </c>
      <c r="B350" s="126" t="s">
        <v>514</v>
      </c>
      <c r="C350" s="126" t="s">
        <v>43</v>
      </c>
      <c r="D350" s="126" t="s">
        <v>515</v>
      </c>
      <c r="E350" s="253" t="s">
        <v>1274</v>
      </c>
      <c r="F350" s="194" t="s">
        <v>1250</v>
      </c>
      <c r="G350" s="254">
        <f t="shared" si="51"/>
        <v>0</v>
      </c>
      <c r="H350" s="194">
        <f>'d3'!E402</f>
        <v>0</v>
      </c>
      <c r="I350" s="194">
        <f>'d3'!J402</f>
        <v>0</v>
      </c>
      <c r="J350" s="194">
        <f>'d3'!K402</f>
        <v>0</v>
      </c>
      <c r="K350" s="137"/>
      <c r="L350" s="137"/>
      <c r="M350" s="137"/>
    </row>
    <row r="351" spans="1:13" ht="200.1" customHeight="1" thickTop="1" thickBot="1" x14ac:dyDescent="0.25">
      <c r="A351" s="645" t="s">
        <v>162</v>
      </c>
      <c r="B351" s="645"/>
      <c r="C351" s="645"/>
      <c r="D351" s="646" t="s">
        <v>899</v>
      </c>
      <c r="E351" s="645"/>
      <c r="F351" s="645"/>
      <c r="G351" s="648">
        <f>G352</f>
        <v>355000</v>
      </c>
      <c r="H351" s="648">
        <f t="shared" ref="H351:J351" si="52">H352</f>
        <v>270000</v>
      </c>
      <c r="I351" s="648">
        <f t="shared" si="52"/>
        <v>85000</v>
      </c>
      <c r="J351" s="648">
        <f t="shared" si="52"/>
        <v>85000</v>
      </c>
      <c r="K351" s="95" t="b">
        <f>H351='d3'!E404-'d3'!E406+H353</f>
        <v>1</v>
      </c>
      <c r="L351" s="461" t="b">
        <f>I351='d3'!J404-'d3'!J406+I353</f>
        <v>1</v>
      </c>
      <c r="M351" s="461" t="b">
        <f>J351='d3'!K404-'d3'!K406+J353</f>
        <v>1</v>
      </c>
    </row>
    <row r="352" spans="1:13" ht="200.1" customHeight="1" thickTop="1" thickBot="1" x14ac:dyDescent="0.25">
      <c r="A352" s="642" t="s">
        <v>163</v>
      </c>
      <c r="B352" s="642"/>
      <c r="C352" s="642"/>
      <c r="D352" s="643" t="s">
        <v>900</v>
      </c>
      <c r="E352" s="644"/>
      <c r="F352" s="644"/>
      <c r="G352" s="644">
        <f>SUM(G353:G356)</f>
        <v>355000</v>
      </c>
      <c r="H352" s="644">
        <f>SUM(H353:H356)</f>
        <v>270000</v>
      </c>
      <c r="I352" s="644">
        <f>SUM(I353:I356)</f>
        <v>85000</v>
      </c>
      <c r="J352" s="644">
        <f>SUM(J353:J356)</f>
        <v>85000</v>
      </c>
      <c r="K352" s="137"/>
      <c r="L352" s="137"/>
      <c r="M352" s="137"/>
    </row>
    <row r="353" spans="1:17" ht="138.75" hidden="1" thickTop="1" thickBot="1" x14ac:dyDescent="0.25">
      <c r="A353" s="126" t="s">
        <v>418</v>
      </c>
      <c r="B353" s="126" t="s">
        <v>236</v>
      </c>
      <c r="C353" s="126" t="s">
        <v>234</v>
      </c>
      <c r="D353" s="126" t="s">
        <v>235</v>
      </c>
      <c r="E353" s="253" t="s">
        <v>1038</v>
      </c>
      <c r="F353" s="194" t="s">
        <v>857</v>
      </c>
      <c r="G353" s="194">
        <f>H353+I353</f>
        <v>0</v>
      </c>
      <c r="H353" s="254">
        <v>0</v>
      </c>
      <c r="I353" s="194">
        <v>0</v>
      </c>
      <c r="J353" s="194">
        <v>0</v>
      </c>
      <c r="K353" s="137"/>
      <c r="L353" s="137"/>
      <c r="M353" s="137"/>
    </row>
    <row r="354" spans="1:17" ht="138.75" thickTop="1" thickBot="1" x14ac:dyDescent="0.25">
      <c r="A354" s="101" t="s">
        <v>306</v>
      </c>
      <c r="B354" s="101" t="s">
        <v>307</v>
      </c>
      <c r="C354" s="101" t="s">
        <v>308</v>
      </c>
      <c r="D354" s="101" t="s">
        <v>461</v>
      </c>
      <c r="E354" s="318" t="s">
        <v>1511</v>
      </c>
      <c r="F354" s="315" t="s">
        <v>1537</v>
      </c>
      <c r="G354" s="319">
        <f t="shared" ref="G354:G356" si="53">H354+I354</f>
        <v>240000</v>
      </c>
      <c r="H354" s="315">
        <f>(80000+50000)+110000</f>
        <v>240000</v>
      </c>
      <c r="I354" s="315">
        <f>'d3'!J409</f>
        <v>0</v>
      </c>
      <c r="J354" s="315">
        <f>'d3'!K409</f>
        <v>0</v>
      </c>
      <c r="K354" s="137"/>
      <c r="L354" s="137"/>
      <c r="M354" s="137"/>
    </row>
    <row r="355" spans="1:17" ht="138.75" thickTop="1" thickBot="1" x14ac:dyDescent="0.25">
      <c r="A355" s="101" t="s">
        <v>306</v>
      </c>
      <c r="B355" s="101" t="s">
        <v>307</v>
      </c>
      <c r="C355" s="101" t="s">
        <v>308</v>
      </c>
      <c r="D355" s="101" t="s">
        <v>461</v>
      </c>
      <c r="E355" s="318" t="s">
        <v>1207</v>
      </c>
      <c r="F355" s="315" t="s">
        <v>953</v>
      </c>
      <c r="G355" s="319">
        <f t="shared" si="53"/>
        <v>30000</v>
      </c>
      <c r="H355" s="315">
        <v>30000</v>
      </c>
      <c r="I355" s="315">
        <v>0</v>
      </c>
      <c r="J355" s="315">
        <v>0</v>
      </c>
      <c r="K355" s="137"/>
      <c r="L355" s="137"/>
      <c r="M355" s="137"/>
    </row>
    <row r="356" spans="1:17" ht="138.75" thickTop="1" thickBot="1" x14ac:dyDescent="1.2">
      <c r="A356" s="101" t="s">
        <v>368</v>
      </c>
      <c r="B356" s="101" t="s">
        <v>369</v>
      </c>
      <c r="C356" s="101" t="s">
        <v>170</v>
      </c>
      <c r="D356" s="101" t="s">
        <v>370</v>
      </c>
      <c r="E356" s="318" t="s">
        <v>1511</v>
      </c>
      <c r="F356" s="315" t="s">
        <v>1537</v>
      </c>
      <c r="G356" s="319">
        <f t="shared" si="53"/>
        <v>85000</v>
      </c>
      <c r="H356" s="315">
        <f>'d3'!E411</f>
        <v>0</v>
      </c>
      <c r="I356" s="315">
        <f>'d3'!J411</f>
        <v>85000</v>
      </c>
      <c r="J356" s="315">
        <f>'d3'!K411</f>
        <v>85000</v>
      </c>
      <c r="K356" s="698" t="b">
        <f>G363=G362+G361+G356+G355+G354+G348+G337+G336+G335+G332+G326+G321+G320+G305+G298+G286+G285+G279+G267+G264+G263+G262+G261+G260+G257+G255+G254+G253+G250+G246+G243+G241+G239+G235+G234+G233+G231+G228+G227+G226+G225+G214+G213+G212+G210+G208+G207+G206+G205+G204++G202+G195+G194+G193+G192+G191+G190+G189+G187+G185+G182+G180+G172+G171+G170+G169+G168+G167+G166+G164+G163+G162+G161+G160+G159+G158+G157+G156+G153+G151+G149+G148+G147+G146+G145+G144+G143+G142+G141+G140+G138+G127+G126+G124+G123+G121+G117+G116+G115+G113+G105+G104+G102+G101+G95+G85+G84+G83+G81+G80+G79+G78+G76+G75+G73+G71+G70+G69+G67+G66+G63+G62+G60+G44+G43+G42+G41+G40+G37++G36+G34+G33+G30+G28+G26+G25+G24+G45+G48+G334+G342+G338+G330+G100+G99+G72+G175+G270+G238+G272+G50+G49+G47+G46+G17+G294+G211+G92+G91+G333+G331+G325+G314+G300+G258+G242+G232+G174+G129+G125+G94+G93+G54+G53+G51+G38+G29+G103+G77+G74+G64+G61+G118+G114+G183+G209+G274+G265+G165+G155+G150+G288</f>
        <v>1</v>
      </c>
      <c r="L356" s="698" t="b">
        <f>H363=H362+H361+H356+H355+H354+H348+H337+H336+H335+H332+H326+H321+H320+H305+H298+H286+H285+H279+H267+H264+H263+H262+H261+H260+H257+H255+H254+H253+H250+H246+H243+H241+H239+H235+H234+H233+H231+H228+H227+H226+H225+H214+H213+H212+H210+H208+H207+H206+H205+H204++H202+H195+H194+H193+H192+H191+H190+H189+H187+H185+H182+H180+H172+H171+H170+H169+H168+H167+H166+H164+H163+H162+H161+H160+H159+H158+H157+H156+H153+H151+H149+H148+H147+H146+H145+H144+H143+H142+H141+H140+H138+H127+H126+H124+H123+H121+H117+H116+H115+H113+H105+H104+H102+H101+H95+H85+H84+H83+H81+H80+H79+H78+H76+H75+H73+H71+H70+H69+H67+H66+H63+H62+H60+H44+H43+H42+H41+H40+H37++H36+H34+H33+H30+H28+H26+H25+H24+H45+H48+H334+H342+H338+H330+H100+H99+H72+H175+H270+H238+H272+H50+H49+H47+H46+H17+H294+H211+H92+H91+H333+H331+H325+H314+H300+H258+H242+H232+H174+H129+H125+H94+H93+H54+H53+H51+H38+H29+H103+H77+H74+H64+H61+H118+H114+H183+H209+H274+H265+H165+H155+H150+H288</f>
        <v>1</v>
      </c>
      <c r="M356" s="698" t="b">
        <f>I363=I362+I361+I356+I355+I354+I348+I337+I336+I335+I332+I326+I321+I320+I305+I298+I286+I285+I279+I267+I264+I263+I262+I261+I260+I257+I255+I254+I253+I250+I246+I243+I241+I239+I235+I234+I233+I231+I228+I227+I226+I225+I214+I213+I212+I210+I208+I207+I206+I205+I204++I202+I195+I194+I193+I192+I191+I190+I189+I187+I185+I182+I180+I172+I171+I170+I169+I168+I167+I166+I164+I163+I162+I161+I160+I159+I158+I157+I156+I153+I151+I149+I148+I147+I146+I145+I144+I143+I142+I141+I140+I138+I127+I126+I124+I123+I121+I117+I116+I115+I113+I105+I104+I102+I101+I95+I85+I84+I83+I81+I80+I79+I78+I76+I75+I73+I71+I70+I69+I67+I66+I63+I62+I60+I44+I43+I42+I41+I40+I37++I36+I34+I33+I30+I28+I26+I25+I24+I45+I48+I334+I342+I338+I330+I100+I99+I72+I175+I270+I238+I272+I50+I49+I47+I46+I17+I294+I211+I92+I91+I333+I331+I325+I314+I300+I258+I242+I232+I174+I129+I125+I94+I93+I54+I53+I51+I38+I29+I103+I77+I74+I64+I61+I118+I114+I183+I209+I274+I265+I165+I155+I150+I288</f>
        <v>1</v>
      </c>
      <c r="N356" s="698" t="b">
        <f>J363=J362+J361+J356+J355+J354+J348+J337+J336+J335+J332+J326+J321+J320+J305+J298+J286+J285+J279+J267+J264+J263+J262+J261+J260+J257+J255+J254+J253+J250+J246+J243+J241+J239+J235+J234+J233+J231+J228+J227+J226+J225+J214+J213+J212+J210+J208+J207+J206+J205+J204++J202+J195+J194+J193+J192+J191+J190+J189+J187+J185+J182+J180+J172+J171+J170+J169+J168+J167+J166+J164+J163+J162+J161+J160+J159+J158+J157+J156+J153+J151+J149+J148+J147+J146+J145+J144+J143+J142+J141+J140+J138+J127+J126+J124+J123+J121+J117+J116+J115+J113+J105+J104+J102+J101+J95+J85+J84+J83+J81+J80+J79+J78+J76+J75+J73+J71+J70+J69+J67+J66+J63+J62+J60+J44+J43+J42+J41+J40+J37++J36+J34+J33+J30+J28+J26+J25+J24+J45+J48+J334+J342+J338+J330+J100+J99+J72+J175+J270+J238+J272+J50+J49+J47+J46+J17+J294+J211+J92+J91+J333+J331+J325+J314+J300+J258+J242+J232+J174+J129+J125+J94+J93+J54+J53+J51+J38+J29+J103+J77+J74+J64+J61+J118+J114+J183+J209+J274+J265+J165+J155+J150+J288</f>
        <v>1</v>
      </c>
    </row>
    <row r="357" spans="1:17" ht="170.1" customHeight="1" thickTop="1" thickBot="1" x14ac:dyDescent="0.25">
      <c r="A357" s="645" t="s">
        <v>168</v>
      </c>
      <c r="B357" s="645"/>
      <c r="C357" s="645"/>
      <c r="D357" s="646" t="s">
        <v>27</v>
      </c>
      <c r="E357" s="645"/>
      <c r="F357" s="645"/>
      <c r="G357" s="648">
        <f>G358</f>
        <v>18693460</v>
      </c>
      <c r="H357" s="648">
        <f t="shared" ref="H357:J357" si="54">H358</f>
        <v>835650</v>
      </c>
      <c r="I357" s="648">
        <f t="shared" si="54"/>
        <v>17857810</v>
      </c>
      <c r="J357" s="648">
        <f t="shared" si="54"/>
        <v>17857810</v>
      </c>
      <c r="K357" s="137"/>
      <c r="L357" s="137"/>
      <c r="M357" s="137"/>
    </row>
    <row r="358" spans="1:17" ht="170.1" customHeight="1" thickTop="1" thickBot="1" x14ac:dyDescent="0.25">
      <c r="A358" s="642" t="s">
        <v>169</v>
      </c>
      <c r="B358" s="642"/>
      <c r="C358" s="642"/>
      <c r="D358" s="643" t="s">
        <v>40</v>
      </c>
      <c r="E358" s="644"/>
      <c r="F358" s="644"/>
      <c r="G358" s="644">
        <f>SUM(G359:G362)</f>
        <v>18693460</v>
      </c>
      <c r="H358" s="644">
        <f t="shared" ref="H358:J358" si="55">SUM(H359:H362)</f>
        <v>835650</v>
      </c>
      <c r="I358" s="644">
        <f>SUM(I359:I362)</f>
        <v>17857810</v>
      </c>
      <c r="J358" s="644">
        <f t="shared" si="55"/>
        <v>17857810</v>
      </c>
      <c r="K358" s="137"/>
      <c r="L358" s="137"/>
      <c r="M358" s="137"/>
    </row>
    <row r="359" spans="1:17" ht="138.75" hidden="1" thickTop="1" thickBot="1" x14ac:dyDescent="0.25">
      <c r="A359" s="41" t="s">
        <v>420</v>
      </c>
      <c r="B359" s="41" t="s">
        <v>236</v>
      </c>
      <c r="C359" s="41" t="s">
        <v>234</v>
      </c>
      <c r="D359" s="41" t="s">
        <v>235</v>
      </c>
      <c r="E359" s="256" t="s">
        <v>1038</v>
      </c>
      <c r="F359" s="73" t="s">
        <v>857</v>
      </c>
      <c r="G359" s="73">
        <f t="shared" ref="G359:G362" si="56">H359+I359</f>
        <v>0</v>
      </c>
      <c r="H359" s="257">
        <f>0</f>
        <v>0</v>
      </c>
      <c r="I359" s="272">
        <v>0</v>
      </c>
      <c r="J359" s="272">
        <v>0</v>
      </c>
      <c r="K359" s="137"/>
      <c r="L359" s="137"/>
      <c r="M359" s="137"/>
    </row>
    <row r="360" spans="1:17" ht="321.75" hidden="1" thickTop="1" thickBot="1" x14ac:dyDescent="1.2">
      <c r="A360" s="126" t="s">
        <v>634</v>
      </c>
      <c r="B360" s="126" t="s">
        <v>362</v>
      </c>
      <c r="C360" s="126" t="s">
        <v>625</v>
      </c>
      <c r="D360" s="126" t="s">
        <v>626</v>
      </c>
      <c r="E360" s="253" t="s">
        <v>1176</v>
      </c>
      <c r="F360" s="194" t="s">
        <v>1177</v>
      </c>
      <c r="G360" s="194">
        <f t="shared" si="56"/>
        <v>0</v>
      </c>
      <c r="H360" s="254">
        <f>'d3'!E416</f>
        <v>0</v>
      </c>
      <c r="I360" s="271">
        <v>0</v>
      </c>
      <c r="J360" s="271">
        <v>0</v>
      </c>
      <c r="O360" s="276"/>
    </row>
    <row r="361" spans="1:17" ht="138.75" thickTop="1" thickBot="1" x14ac:dyDescent="1.2">
      <c r="A361" s="101">
        <v>3718600</v>
      </c>
      <c r="B361" s="101">
        <v>8600</v>
      </c>
      <c r="C361" s="101" t="s">
        <v>362</v>
      </c>
      <c r="D361" s="101" t="s">
        <v>452</v>
      </c>
      <c r="E361" s="318" t="s">
        <v>1511</v>
      </c>
      <c r="F361" s="315" t="s">
        <v>1537</v>
      </c>
      <c r="G361" s="315">
        <f t="shared" si="56"/>
        <v>835650</v>
      </c>
      <c r="H361" s="319">
        <f>'d3'!E421</f>
        <v>835650</v>
      </c>
      <c r="I361" s="456">
        <f>'d3'!J421</f>
        <v>0</v>
      </c>
      <c r="J361" s="456">
        <f>'d3'!K421</f>
        <v>0</v>
      </c>
      <c r="O361" s="276"/>
    </row>
    <row r="362" spans="1:17" ht="138.75" thickTop="1" thickBot="1" x14ac:dyDescent="1.2">
      <c r="A362" s="101" t="s">
        <v>1369</v>
      </c>
      <c r="B362" s="101" t="s">
        <v>1370</v>
      </c>
      <c r="C362" s="101" t="s">
        <v>170</v>
      </c>
      <c r="D362" s="101" t="s">
        <v>1155</v>
      </c>
      <c r="E362" s="318" t="s">
        <v>1511</v>
      </c>
      <c r="F362" s="315" t="s">
        <v>1537</v>
      </c>
      <c r="G362" s="315">
        <f t="shared" si="56"/>
        <v>17857810</v>
      </c>
      <c r="H362" s="319">
        <f>'d4'!F25</f>
        <v>0</v>
      </c>
      <c r="I362" s="456">
        <f>'d4'!G26</f>
        <v>17857810</v>
      </c>
      <c r="J362" s="456">
        <f>'d4'!H26</f>
        <v>17857810</v>
      </c>
      <c r="O362" s="276"/>
    </row>
    <row r="363" spans="1:17" ht="91.5" thickTop="1" thickBot="1" x14ac:dyDescent="1.2">
      <c r="A363" s="651" t="s">
        <v>381</v>
      </c>
      <c r="B363" s="651" t="s">
        <v>381</v>
      </c>
      <c r="C363" s="651" t="s">
        <v>381</v>
      </c>
      <c r="D363" s="652" t="s">
        <v>391</v>
      </c>
      <c r="E363" s="651" t="s">
        <v>381</v>
      </c>
      <c r="F363" s="651" t="s">
        <v>381</v>
      </c>
      <c r="G363" s="653">
        <f>G16+G59+G200+G109+G135+G179+G290+G329+G345+G352+G317+G311+G249+G222+G358</f>
        <v>4751500414.0200005</v>
      </c>
      <c r="H363" s="653">
        <f>H16+H59+H200+H109+H135+H179+H290+H329+H345+H352+H317+H311+H249+H222+H358</f>
        <v>3738649781.3299999</v>
      </c>
      <c r="I363" s="653">
        <f>I16+I59+I200+I109+I135+I179+I290+I329+I345+I352+I317+I311+I249+I222+I358</f>
        <v>1012850632.6900001</v>
      </c>
      <c r="J363" s="653">
        <f>J16+J59+J200+J109+J135+J179+J290+J329+J345+J352+J317+J311+J249+J222+J358</f>
        <v>767648880.53999996</v>
      </c>
      <c r="K363" s="696" t="b">
        <f>G363=H363+I363</f>
        <v>1</v>
      </c>
      <c r="L363" s="697" t="b">
        <f>'d3'!K430-'d3'!K169-'d3'!J173-'d3'!J177+'d4'!P25=J363+25000</f>
        <v>1</v>
      </c>
      <c r="M363" s="137"/>
    </row>
    <row r="364" spans="1:17" ht="31.7" customHeight="1" thickTop="1" x14ac:dyDescent="0.2">
      <c r="A364" s="737" t="s">
        <v>1515</v>
      </c>
      <c r="B364" s="738"/>
      <c r="C364" s="738"/>
      <c r="D364" s="738"/>
      <c r="E364" s="738"/>
      <c r="F364" s="738"/>
      <c r="G364" s="738"/>
      <c r="H364" s="738"/>
      <c r="I364" s="738"/>
      <c r="J364" s="738"/>
      <c r="L364" s="864" t="s">
        <v>1638</v>
      </c>
      <c r="M364" s="864"/>
    </row>
    <row r="365" spans="1:17" ht="4.5" customHeight="1" x14ac:dyDescent="0.2">
      <c r="A365" s="15"/>
      <c r="B365" s="16"/>
      <c r="C365" s="16"/>
      <c r="D365" s="16"/>
      <c r="E365" s="16"/>
      <c r="F365" s="16"/>
      <c r="G365" s="16"/>
      <c r="H365" s="16"/>
      <c r="I365" s="16"/>
      <c r="J365" s="16"/>
      <c r="L365" s="864"/>
      <c r="M365" s="864"/>
    </row>
    <row r="366" spans="1:17" ht="18.75" customHeight="1" x14ac:dyDescent="0.65">
      <c r="A366" s="15"/>
      <c r="B366" s="16"/>
      <c r="C366" s="16"/>
      <c r="D366" s="872"/>
      <c r="E366" s="795"/>
      <c r="F366" s="357"/>
      <c r="G366" s="357"/>
      <c r="H366" s="17"/>
      <c r="I366" s="17"/>
      <c r="J366" s="17"/>
      <c r="K366" s="277"/>
      <c r="L366" s="864"/>
      <c r="M366" s="864"/>
      <c r="N366" s="278"/>
      <c r="O366" s="199"/>
      <c r="P366" s="199"/>
      <c r="Q366" s="279"/>
    </row>
    <row r="367" spans="1:17" ht="45.75" x14ac:dyDescent="0.65">
      <c r="A367" s="76"/>
      <c r="B367" s="76"/>
      <c r="C367" s="76"/>
      <c r="D367" s="872" t="s">
        <v>1478</v>
      </c>
      <c r="E367" s="795"/>
      <c r="F367" s="357"/>
      <c r="G367" s="357" t="s">
        <v>1479</v>
      </c>
      <c r="H367" s="2"/>
      <c r="I367" s="2"/>
      <c r="J367" s="2"/>
      <c r="K367" s="200"/>
      <c r="L367" s="864"/>
      <c r="M367" s="864"/>
      <c r="N367" s="278"/>
      <c r="O367" s="199"/>
      <c r="P367" s="199"/>
      <c r="Q367" s="279"/>
    </row>
    <row r="368" spans="1:17" ht="45.75" hidden="1" x14ac:dyDescent="0.65">
      <c r="A368" s="76"/>
      <c r="B368" s="76"/>
      <c r="C368" s="76"/>
      <c r="D368" s="3" t="s">
        <v>1480</v>
      </c>
      <c r="E368" s="316"/>
      <c r="F368" s="3"/>
      <c r="G368" s="3" t="s">
        <v>1444</v>
      </c>
      <c r="H368" s="2"/>
      <c r="I368" s="2"/>
      <c r="J368" s="2"/>
      <c r="K368" s="200"/>
      <c r="L368" s="864"/>
      <c r="M368" s="864"/>
      <c r="N368" s="278"/>
      <c r="O368" s="199"/>
      <c r="P368" s="199"/>
      <c r="Q368" s="279"/>
    </row>
    <row r="369" spans="1:17" ht="63.75" customHeight="1" x14ac:dyDescent="0.65">
      <c r="A369" s="75"/>
      <c r="B369" s="75"/>
      <c r="C369" s="75"/>
      <c r="D369" s="872" t="s">
        <v>523</v>
      </c>
      <c r="E369" s="795"/>
      <c r="F369" s="3"/>
      <c r="G369" s="3" t="s">
        <v>1345</v>
      </c>
      <c r="H369" s="350"/>
      <c r="I369" s="351"/>
      <c r="J369" s="352"/>
      <c r="K369" s="122"/>
      <c r="L369" s="864"/>
      <c r="M369" s="864"/>
      <c r="N369" s="6"/>
      <c r="O369" s="6"/>
      <c r="P369" s="6"/>
      <c r="Q369" s="6"/>
    </row>
    <row r="370" spans="1:17" ht="45.75" x14ac:dyDescent="0.65">
      <c r="D370" s="852"/>
      <c r="E370" s="852"/>
      <c r="F370" s="852"/>
      <c r="G370" s="852"/>
      <c r="H370" s="852"/>
      <c r="I370" s="852"/>
      <c r="J370" s="852"/>
      <c r="K370" s="122"/>
      <c r="L370" s="864"/>
      <c r="M370" s="864"/>
      <c r="N370" s="6"/>
      <c r="O370" s="6"/>
      <c r="P370" s="6"/>
      <c r="Q370" s="6"/>
    </row>
    <row r="371" spans="1:17" x14ac:dyDescent="0.2">
      <c r="E371" s="281"/>
      <c r="F371" s="282"/>
      <c r="L371" s="714"/>
      <c r="M371" s="714"/>
    </row>
    <row r="372" spans="1:17" x14ac:dyDescent="0.2">
      <c r="E372" s="281"/>
      <c r="F372" s="282"/>
      <c r="L372" s="714"/>
      <c r="M372" s="714"/>
    </row>
    <row r="373" spans="1:17" ht="62.25" x14ac:dyDescent="0.8">
      <c r="A373" s="13"/>
      <c r="B373" s="13"/>
      <c r="C373" s="13"/>
      <c r="D373" s="13"/>
      <c r="E373" s="279"/>
      <c r="F373" s="278"/>
      <c r="I373" s="13"/>
      <c r="J373" s="284"/>
      <c r="L373" s="714"/>
      <c r="M373" s="714"/>
    </row>
    <row r="374" spans="1:17" ht="45.75" x14ac:dyDescent="0.2">
      <c r="E374" s="285"/>
      <c r="F374" s="280"/>
      <c r="L374" s="714"/>
      <c r="M374" s="714"/>
    </row>
    <row r="375" spans="1:17" ht="45.75" x14ac:dyDescent="0.2">
      <c r="A375" s="13"/>
      <c r="B375" s="13"/>
      <c r="C375" s="13"/>
      <c r="D375" s="13"/>
      <c r="E375" s="279"/>
      <c r="F375" s="278"/>
      <c r="I375" s="13"/>
      <c r="J375" s="13"/>
      <c r="L375" s="714"/>
      <c r="M375" s="714"/>
    </row>
    <row r="376" spans="1:17" ht="45.75" x14ac:dyDescent="0.2">
      <c r="E376" s="285"/>
      <c r="F376" s="280"/>
      <c r="L376" s="714"/>
      <c r="M376" s="714"/>
    </row>
    <row r="377" spans="1:17" ht="45.75" x14ac:dyDescent="0.2">
      <c r="E377" s="285"/>
      <c r="F377" s="280"/>
      <c r="L377" s="714"/>
      <c r="M377" s="714"/>
    </row>
    <row r="378" spans="1:17" ht="45.75" x14ac:dyDescent="0.2">
      <c r="E378" s="285"/>
      <c r="F378" s="280"/>
    </row>
    <row r="379" spans="1:17" ht="45.75" x14ac:dyDescent="0.2">
      <c r="A379" s="13"/>
      <c r="B379" s="13"/>
      <c r="C379" s="13"/>
      <c r="D379" s="13"/>
      <c r="E379" s="285"/>
      <c r="F379" s="280"/>
      <c r="G379" s="13"/>
      <c r="H379" s="13"/>
      <c r="I379" s="13"/>
      <c r="J379" s="13"/>
    </row>
    <row r="380" spans="1:17" ht="45.75" x14ac:dyDescent="0.2">
      <c r="A380" s="13"/>
      <c r="B380" s="13"/>
      <c r="C380" s="13"/>
      <c r="D380" s="13"/>
      <c r="E380" s="285"/>
      <c r="F380" s="280"/>
      <c r="G380" s="13"/>
      <c r="H380" s="13"/>
      <c r="I380" s="13"/>
      <c r="J380" s="13"/>
    </row>
    <row r="381" spans="1:17" ht="45.75" x14ac:dyDescent="0.2">
      <c r="A381" s="13"/>
      <c r="B381" s="13"/>
      <c r="C381" s="13"/>
      <c r="D381" s="13"/>
      <c r="E381" s="285"/>
      <c r="F381" s="280"/>
      <c r="G381" s="13"/>
      <c r="H381" s="13"/>
      <c r="I381" s="13"/>
      <c r="J381" s="13"/>
    </row>
    <row r="382" spans="1:17" ht="45.75" x14ac:dyDescent="0.2">
      <c r="A382" s="13"/>
      <c r="B382" s="13"/>
      <c r="C382" s="13"/>
      <c r="D382" s="13"/>
      <c r="E382" s="285"/>
      <c r="F382" s="280"/>
      <c r="G382" s="13"/>
      <c r="H382" s="13"/>
      <c r="I382" s="13"/>
      <c r="J382" s="13"/>
    </row>
  </sheetData>
  <mergeCells count="94">
    <mergeCell ref="M166:M169"/>
    <mergeCell ref="I307:I308"/>
    <mergeCell ref="J307:J308"/>
    <mergeCell ref="H282:H283"/>
    <mergeCell ref="I282:I283"/>
    <mergeCell ref="J282:J283"/>
    <mergeCell ref="H307:H308"/>
    <mergeCell ref="G282:G283"/>
    <mergeCell ref="K166:K169"/>
    <mergeCell ref="J34:J35"/>
    <mergeCell ref="G34:G35"/>
    <mergeCell ref="L166:L169"/>
    <mergeCell ref="I176:I177"/>
    <mergeCell ref="J176:J177"/>
    <mergeCell ref="I244:I245"/>
    <mergeCell ref="J244:J245"/>
    <mergeCell ref="H34:H35"/>
    <mergeCell ref="I34:I35"/>
    <mergeCell ref="A282:A283"/>
    <mergeCell ref="B282:B283"/>
    <mergeCell ref="C282:C283"/>
    <mergeCell ref="E282:E283"/>
    <mergeCell ref="F282:F283"/>
    <mergeCell ref="A307:A308"/>
    <mergeCell ref="B307:B308"/>
    <mergeCell ref="C307:C308"/>
    <mergeCell ref="E307:E308"/>
    <mergeCell ref="F307:F308"/>
    <mergeCell ref="L24:L26"/>
    <mergeCell ref="M24:M26"/>
    <mergeCell ref="A6:J6"/>
    <mergeCell ref="A9:J9"/>
    <mergeCell ref="A10:J10"/>
    <mergeCell ref="F12:F13"/>
    <mergeCell ref="G12:G13"/>
    <mergeCell ref="A12:A13"/>
    <mergeCell ref="B12:B13"/>
    <mergeCell ref="C12:C13"/>
    <mergeCell ref="D12:D13"/>
    <mergeCell ref="E12:E13"/>
    <mergeCell ref="H12:H13"/>
    <mergeCell ref="I12:J12"/>
    <mergeCell ref="A7:J7"/>
    <mergeCell ref="K24:K26"/>
    <mergeCell ref="I1:J1"/>
    <mergeCell ref="I2:J2"/>
    <mergeCell ref="I3:J3"/>
    <mergeCell ref="A5:J5"/>
    <mergeCell ref="A8:J8"/>
    <mergeCell ref="A34:A35"/>
    <mergeCell ref="B34:B35"/>
    <mergeCell ref="C34:C35"/>
    <mergeCell ref="E34:E35"/>
    <mergeCell ref="F34:F35"/>
    <mergeCell ref="F244:F245"/>
    <mergeCell ref="G244:G245"/>
    <mergeCell ref="H244:H245"/>
    <mergeCell ref="A176:A177"/>
    <mergeCell ref="B176:B177"/>
    <mergeCell ref="C176:C177"/>
    <mergeCell ref="E176:E177"/>
    <mergeCell ref="F176:F177"/>
    <mergeCell ref="H176:H177"/>
    <mergeCell ref="C244:C245"/>
    <mergeCell ref="E244:E245"/>
    <mergeCell ref="D370:J370"/>
    <mergeCell ref="A364:J364"/>
    <mergeCell ref="H322:H323"/>
    <mergeCell ref="I322:I323"/>
    <mergeCell ref="J322:J323"/>
    <mergeCell ref="D322:D323"/>
    <mergeCell ref="A322:A323"/>
    <mergeCell ref="B322:B323"/>
    <mergeCell ref="C322:C323"/>
    <mergeCell ref="G322:G323"/>
    <mergeCell ref="D369:E369"/>
    <mergeCell ref="D366:E366"/>
    <mergeCell ref="D367:E367"/>
    <mergeCell ref="L364:M370"/>
    <mergeCell ref="A244:A245"/>
    <mergeCell ref="J89:J90"/>
    <mergeCell ref="A89:A90"/>
    <mergeCell ref="B89:B90"/>
    <mergeCell ref="C89:C90"/>
    <mergeCell ref="D89:D90"/>
    <mergeCell ref="G89:G90"/>
    <mergeCell ref="H89:H90"/>
    <mergeCell ref="I89:I90"/>
    <mergeCell ref="B244:B245"/>
    <mergeCell ref="G130:G131"/>
    <mergeCell ref="H130:H131"/>
    <mergeCell ref="I130:I131"/>
    <mergeCell ref="J130:J131"/>
    <mergeCell ref="G176:G177"/>
  </mergeCells>
  <pageMargins left="0.23622047244094491" right="0.27559055118110237" top="0.27559055118110237" bottom="0.15748031496062992" header="0.23622047244094491" footer="0.27559055118110237"/>
  <pageSetup paperSize="9" scale="17" fitToHeight="0" orientation="landscape" r:id="rId1"/>
  <headerFooter alignWithMargins="0">
    <oddFooter>&amp;C&amp;"Times New Roman Cyr,курсив"Сторінка &amp;P з &amp;N</oddFooter>
  </headerFooter>
  <rowBreaks count="6" manualBreakCount="6">
    <brk id="34" max="9" man="1"/>
    <brk id="231" max="9" man="1"/>
    <brk id="245" max="9" man="1"/>
    <brk id="285" max="9" man="1"/>
    <brk id="341" max="9" man="1"/>
    <brk id="369"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J168"/>
  <sheetViews>
    <sheetView view="pageBreakPreview" topLeftCell="A15" zoomScale="85" zoomScaleNormal="85" zoomScaleSheetLayoutView="85" workbookViewId="0">
      <selection activeCell="A39" sqref="A39:XFD39"/>
    </sheetView>
  </sheetViews>
  <sheetFormatPr defaultColWidth="9.140625" defaultRowHeight="12.75" x14ac:dyDescent="0.2"/>
  <cols>
    <col min="1" max="1" width="18.140625" style="97" customWidth="1"/>
    <col min="2" max="2" width="108" style="97" customWidth="1"/>
    <col min="3" max="3" width="4" style="97" hidden="1" customWidth="1"/>
    <col min="4" max="4" width="17" style="97" customWidth="1"/>
    <col min="5" max="5" width="14.7109375" style="97" customWidth="1"/>
    <col min="6" max="6" width="21.85546875" style="97" bestFit="1" customWidth="1"/>
    <col min="7" max="7" width="18.85546875" style="97" bestFit="1" customWidth="1"/>
    <col min="8" max="9" width="9.140625" style="97"/>
    <col min="10" max="10" width="52.5703125" style="97" customWidth="1"/>
    <col min="11" max="16384" width="9.140625" style="97"/>
  </cols>
  <sheetData>
    <row r="1" spans="1:9" ht="16.5" customHeight="1" x14ac:dyDescent="0.2">
      <c r="A1" s="303"/>
      <c r="B1" s="303"/>
      <c r="C1" s="715" t="s">
        <v>592</v>
      </c>
      <c r="D1" s="715"/>
      <c r="E1" s="304"/>
      <c r="F1" s="304"/>
      <c r="G1" s="303"/>
      <c r="H1" s="303"/>
      <c r="I1" s="303"/>
    </row>
    <row r="2" spans="1:9" ht="16.5" customHeight="1" x14ac:dyDescent="0.2">
      <c r="A2" s="303"/>
      <c r="B2" s="303"/>
      <c r="C2" s="907" t="s">
        <v>961</v>
      </c>
      <c r="D2" s="908"/>
      <c r="E2" s="908"/>
      <c r="F2" s="908"/>
      <c r="G2" s="303"/>
      <c r="H2" s="303"/>
      <c r="I2" s="303"/>
    </row>
    <row r="3" spans="1:9" ht="12.75" customHeight="1" x14ac:dyDescent="0.2">
      <c r="A3" s="303"/>
      <c r="B3" s="303"/>
      <c r="C3" s="715" t="s">
        <v>1582</v>
      </c>
      <c r="D3" s="902"/>
      <c r="E3" s="303"/>
      <c r="F3" s="303"/>
      <c r="G3" s="303"/>
      <c r="H3" s="303"/>
      <c r="I3" s="303"/>
    </row>
    <row r="4" spans="1:9" ht="12.75" customHeight="1" x14ac:dyDescent="0.2">
      <c r="A4" s="303"/>
      <c r="B4" s="303"/>
      <c r="C4" s="715"/>
      <c r="D4" s="717"/>
      <c r="E4" s="303"/>
      <c r="F4" s="303"/>
      <c r="G4" s="303"/>
      <c r="H4" s="303"/>
      <c r="I4" s="303"/>
    </row>
    <row r="5" spans="1:9" ht="16.5" x14ac:dyDescent="0.25">
      <c r="A5" s="890" t="s">
        <v>568</v>
      </c>
      <c r="B5" s="890"/>
      <c r="C5" s="890"/>
      <c r="D5" s="717"/>
      <c r="E5" s="909"/>
      <c r="F5" s="910"/>
      <c r="G5" s="910"/>
      <c r="H5" s="910"/>
      <c r="I5" s="719"/>
    </row>
    <row r="6" spans="1:9" ht="16.5" x14ac:dyDescent="0.25">
      <c r="A6" s="890" t="s">
        <v>567</v>
      </c>
      <c r="B6" s="890"/>
      <c r="C6" s="890"/>
      <c r="D6" s="717"/>
      <c r="E6" s="98"/>
      <c r="F6" s="99"/>
      <c r="G6" s="99"/>
      <c r="H6" s="99"/>
      <c r="I6" s="305"/>
    </row>
    <row r="7" spans="1:9" ht="16.5" x14ac:dyDescent="0.25">
      <c r="A7" s="891" t="s">
        <v>126</v>
      </c>
      <c r="B7" s="891"/>
      <c r="C7" s="891"/>
      <c r="D7" s="892"/>
      <c r="E7" s="909"/>
      <c r="F7" s="909"/>
      <c r="G7" s="909"/>
      <c r="H7" s="909"/>
      <c r="I7" s="716"/>
    </row>
    <row r="8" spans="1:9" ht="16.5" x14ac:dyDescent="0.2">
      <c r="A8" s="891" t="s">
        <v>1524</v>
      </c>
      <c r="B8" s="891"/>
      <c r="C8" s="891"/>
      <c r="D8" s="892"/>
      <c r="E8" s="911"/>
      <c r="F8" s="911"/>
      <c r="G8" s="911"/>
      <c r="H8" s="911"/>
      <c r="I8" s="912"/>
    </row>
    <row r="9" spans="1:9" ht="16.5" x14ac:dyDescent="0.2">
      <c r="A9" s="96"/>
      <c r="B9" s="96"/>
      <c r="C9" s="96"/>
      <c r="D9" s="306"/>
      <c r="E9" s="100"/>
      <c r="F9" s="100"/>
      <c r="G9" s="100"/>
      <c r="H9" s="100"/>
      <c r="I9" s="307"/>
    </row>
    <row r="10" spans="1:9" ht="16.5" x14ac:dyDescent="0.2">
      <c r="A10" s="470">
        <v>2256400000</v>
      </c>
      <c r="B10" s="558"/>
      <c r="C10" s="559"/>
      <c r="D10" s="306"/>
      <c r="E10" s="560"/>
      <c r="F10" s="560"/>
      <c r="G10" s="560"/>
      <c r="H10" s="100"/>
      <c r="I10" s="307"/>
    </row>
    <row r="11" spans="1:9" ht="16.5" x14ac:dyDescent="0.2">
      <c r="A11" s="463" t="s">
        <v>490</v>
      </c>
      <c r="B11" s="464"/>
      <c r="C11" s="559"/>
      <c r="D11" s="306"/>
      <c r="E11" s="560"/>
      <c r="F11" s="560"/>
      <c r="G11" s="560"/>
      <c r="H11" s="100"/>
      <c r="I11" s="307"/>
    </row>
    <row r="12" spans="1:9" ht="17.25" thickBot="1" x14ac:dyDescent="0.25">
      <c r="A12" s="561"/>
      <c r="B12" s="561"/>
      <c r="C12" s="562"/>
      <c r="D12" s="562" t="s">
        <v>404</v>
      </c>
      <c r="E12" s="560"/>
      <c r="F12" s="560"/>
      <c r="G12" s="563"/>
      <c r="H12" s="303"/>
      <c r="I12" s="303"/>
    </row>
    <row r="13" spans="1:9" s="286" customFormat="1" ht="50.25" customHeight="1" thickTop="1" thickBot="1" x14ac:dyDescent="0.25">
      <c r="A13" s="654" t="s">
        <v>127</v>
      </c>
      <c r="B13" s="903" t="s">
        <v>128</v>
      </c>
      <c r="C13" s="905"/>
      <c r="D13" s="905"/>
      <c r="E13" s="564"/>
      <c r="F13" s="564"/>
      <c r="G13" s="564"/>
      <c r="H13" s="565"/>
      <c r="I13" s="565"/>
    </row>
    <row r="14" spans="1:9" s="286" customFormat="1" ht="39.75" customHeight="1" thickTop="1" thickBot="1" x14ac:dyDescent="0.25">
      <c r="A14" s="566" t="s">
        <v>129</v>
      </c>
      <c r="B14" s="888" t="s">
        <v>130</v>
      </c>
      <c r="C14" s="889"/>
      <c r="D14" s="567">
        <v>200</v>
      </c>
      <c r="E14" s="74"/>
      <c r="F14" s="74"/>
      <c r="G14" s="74"/>
    </row>
    <row r="15" spans="1:9" s="286" customFormat="1" ht="40.700000000000003" customHeight="1" thickTop="1" thickBot="1" x14ac:dyDescent="0.25">
      <c r="A15" s="566" t="s">
        <v>131</v>
      </c>
      <c r="B15" s="888" t="s">
        <v>132</v>
      </c>
      <c r="C15" s="889"/>
      <c r="D15" s="567">
        <f>(2300000)+1000000</f>
        <v>3300000</v>
      </c>
      <c r="E15" s="74"/>
      <c r="F15" s="74"/>
      <c r="G15" s="74"/>
    </row>
    <row r="16" spans="1:9" s="286" customFormat="1" ht="66" customHeight="1" thickTop="1" thickBot="1" x14ac:dyDescent="0.25">
      <c r="A16" s="566" t="s">
        <v>133</v>
      </c>
      <c r="B16" s="888" t="s">
        <v>1242</v>
      </c>
      <c r="C16" s="889"/>
      <c r="D16" s="567">
        <f>(350000)+300000</f>
        <v>650000</v>
      </c>
      <c r="E16" s="74"/>
      <c r="F16" s="74"/>
      <c r="G16" s="74"/>
    </row>
    <row r="17" spans="1:7" s="286" customFormat="1" ht="41.25" customHeight="1" thickTop="1" thickBot="1" x14ac:dyDescent="0.25">
      <c r="A17" s="566" t="s">
        <v>1010</v>
      </c>
      <c r="B17" s="888" t="s">
        <v>1011</v>
      </c>
      <c r="C17" s="889"/>
      <c r="D17" s="567">
        <v>2000000</v>
      </c>
      <c r="E17" s="74"/>
      <c r="F17" s="74"/>
      <c r="G17" s="74"/>
    </row>
    <row r="18" spans="1:7" s="286" customFormat="1" ht="41.25" customHeight="1" thickTop="1" thickBot="1" x14ac:dyDescent="0.25">
      <c r="A18" s="566" t="s">
        <v>134</v>
      </c>
      <c r="B18" s="888" t="s">
        <v>135</v>
      </c>
      <c r="C18" s="889"/>
      <c r="D18" s="567">
        <v>600</v>
      </c>
      <c r="E18" s="74"/>
      <c r="F18" s="74"/>
      <c r="G18" s="74"/>
    </row>
    <row r="19" spans="1:7" s="286" customFormat="1" ht="41.25" customHeight="1" thickTop="1" thickBot="1" x14ac:dyDescent="0.25">
      <c r="A19" s="566" t="s">
        <v>1243</v>
      </c>
      <c r="B19" s="888" t="s">
        <v>1244</v>
      </c>
      <c r="C19" s="889"/>
      <c r="D19" s="567">
        <v>415000</v>
      </c>
      <c r="E19" s="74"/>
      <c r="F19" s="74"/>
      <c r="G19" s="74"/>
    </row>
    <row r="20" spans="1:7" s="286" customFormat="1" ht="41.25" customHeight="1" thickTop="1" thickBot="1" x14ac:dyDescent="0.25">
      <c r="A20" s="566" t="s">
        <v>1245</v>
      </c>
      <c r="B20" s="888" t="s">
        <v>1246</v>
      </c>
      <c r="C20" s="889"/>
      <c r="D20" s="567">
        <v>150000</v>
      </c>
      <c r="E20" s="886" t="s">
        <v>1289</v>
      </c>
      <c r="F20" s="887"/>
      <c r="G20" s="74"/>
    </row>
    <row r="21" spans="1:7" s="286" customFormat="1" ht="18.75" thickTop="1" thickBot="1" x14ac:dyDescent="0.25">
      <c r="A21" s="566"/>
      <c r="B21" s="898" t="s">
        <v>136</v>
      </c>
      <c r="C21" s="889"/>
      <c r="D21" s="568">
        <f>SUM(D14:D20)</f>
        <v>6515800</v>
      </c>
      <c r="E21" s="74"/>
      <c r="F21" s="74"/>
      <c r="G21" s="74"/>
    </row>
    <row r="22" spans="1:7" s="286" customFormat="1" ht="18.75" hidden="1" thickTop="1" thickBot="1" x14ac:dyDescent="0.25">
      <c r="A22" s="287"/>
      <c r="B22" s="896" t="s">
        <v>439</v>
      </c>
      <c r="C22" s="897"/>
      <c r="D22" s="453"/>
      <c r="E22" s="74"/>
      <c r="F22" s="74"/>
      <c r="G22" s="74"/>
    </row>
    <row r="23" spans="1:7" s="286" customFormat="1" ht="18.75" hidden="1" thickTop="1" thickBot="1" x14ac:dyDescent="0.25">
      <c r="A23" s="287"/>
      <c r="B23" s="896" t="s">
        <v>1241</v>
      </c>
      <c r="C23" s="897"/>
      <c r="D23" s="453">
        <v>0</v>
      </c>
      <c r="E23" s="74"/>
      <c r="F23" s="74"/>
      <c r="G23" s="74"/>
    </row>
    <row r="24" spans="1:7" s="286" customFormat="1" ht="26.45" customHeight="1" thickTop="1" thickBot="1" x14ac:dyDescent="0.25">
      <c r="A24" s="655" t="s">
        <v>381</v>
      </c>
      <c r="B24" s="899" t="s">
        <v>494</v>
      </c>
      <c r="C24" s="906"/>
      <c r="D24" s="656">
        <f>D21+D23</f>
        <v>6515800</v>
      </c>
      <c r="E24" s="695" t="b">
        <f>D24='d1'!E111+D23</f>
        <v>1</v>
      </c>
      <c r="G24" s="74"/>
    </row>
    <row r="25" spans="1:7" s="286" customFormat="1" ht="47.25" customHeight="1" thickTop="1" thickBot="1" x14ac:dyDescent="0.25">
      <c r="A25" s="654" t="s">
        <v>127</v>
      </c>
      <c r="B25" s="903" t="s">
        <v>137</v>
      </c>
      <c r="C25" s="904"/>
      <c r="D25" s="904"/>
      <c r="E25" s="74"/>
      <c r="F25" s="74"/>
      <c r="G25" s="74"/>
    </row>
    <row r="26" spans="1:7" s="286" customFormat="1" ht="43.5" customHeight="1" thickTop="1" thickBot="1" x14ac:dyDescent="0.25">
      <c r="A26" s="566" t="s">
        <v>138</v>
      </c>
      <c r="B26" s="888" t="s">
        <v>139</v>
      </c>
      <c r="C26" s="889"/>
      <c r="D26" s="567">
        <v>30000</v>
      </c>
      <c r="E26" s="74"/>
      <c r="F26" s="74"/>
      <c r="G26" s="74"/>
    </row>
    <row r="27" spans="1:7" s="286" customFormat="1" ht="44.45" customHeight="1" thickTop="1" thickBot="1" x14ac:dyDescent="0.25">
      <c r="A27" s="566" t="s">
        <v>140</v>
      </c>
      <c r="B27" s="888" t="s">
        <v>141</v>
      </c>
      <c r="C27" s="889"/>
      <c r="D27" s="567">
        <v>150600</v>
      </c>
      <c r="E27" s="74"/>
      <c r="F27" s="74"/>
      <c r="G27" s="74"/>
    </row>
    <row r="28" spans="1:7" s="286" customFormat="1" ht="44.45" hidden="1" customHeight="1" thickTop="1" thickBot="1" x14ac:dyDescent="0.25">
      <c r="A28" s="566" t="s">
        <v>470</v>
      </c>
      <c r="B28" s="888" t="s">
        <v>409</v>
      </c>
      <c r="C28" s="889"/>
      <c r="D28" s="567">
        <v>0</v>
      </c>
      <c r="E28" s="74"/>
      <c r="F28" s="74"/>
      <c r="G28" s="74"/>
    </row>
    <row r="29" spans="1:7" s="286" customFormat="1" ht="32.25" customHeight="1" thickTop="1" thickBot="1" x14ac:dyDescent="0.25">
      <c r="A29" s="566" t="s">
        <v>142</v>
      </c>
      <c r="B29" s="888" t="s">
        <v>144</v>
      </c>
      <c r="C29" s="889"/>
      <c r="D29" s="567">
        <v>330000</v>
      </c>
      <c r="E29" s="74"/>
      <c r="F29" s="74"/>
      <c r="G29" s="74"/>
    </row>
    <row r="30" spans="1:7" s="286" customFormat="1" ht="55.5" customHeight="1" thickTop="1" thickBot="1" x14ac:dyDescent="0.25">
      <c r="A30" s="566" t="s">
        <v>143</v>
      </c>
      <c r="B30" s="888" t="s">
        <v>1485</v>
      </c>
      <c r="C30" s="889"/>
      <c r="D30" s="567">
        <f>(4205200)-500000-1500000-50000-50000</f>
        <v>2105200</v>
      </c>
      <c r="E30" s="74"/>
      <c r="F30" s="74"/>
      <c r="G30" s="74"/>
    </row>
    <row r="31" spans="1:7" s="286" customFormat="1" ht="104.25" hidden="1" customHeight="1" thickTop="1" thickBot="1" x14ac:dyDescent="0.25">
      <c r="A31" s="566" t="s">
        <v>145</v>
      </c>
      <c r="B31" s="888" t="s">
        <v>1210</v>
      </c>
      <c r="C31" s="889"/>
      <c r="D31" s="567">
        <v>0</v>
      </c>
      <c r="E31" s="74"/>
      <c r="F31" s="74"/>
      <c r="G31" s="74"/>
    </row>
    <row r="32" spans="1:7" s="286" customFormat="1" ht="51" hidden="1" thickTop="1" thickBot="1" x14ac:dyDescent="0.25">
      <c r="A32" s="569" t="s">
        <v>992</v>
      </c>
      <c r="B32" s="570" t="s">
        <v>993</v>
      </c>
      <c r="C32" s="571"/>
      <c r="D32" s="572">
        <v>0</v>
      </c>
      <c r="E32" s="74"/>
      <c r="F32" s="74"/>
      <c r="G32" s="74"/>
    </row>
    <row r="33" spans="1:7" s="286" customFormat="1" ht="17.25" hidden="1" thickTop="1" thickBot="1" x14ac:dyDescent="0.25">
      <c r="A33" s="566" t="s">
        <v>471</v>
      </c>
      <c r="B33" s="888" t="s">
        <v>146</v>
      </c>
      <c r="C33" s="889"/>
      <c r="D33" s="567">
        <f>(20000)-20000</f>
        <v>0</v>
      </c>
      <c r="E33" s="74"/>
      <c r="F33" s="74"/>
      <c r="G33" s="74"/>
    </row>
    <row r="34" spans="1:7" s="286" customFormat="1" ht="17.25" hidden="1" thickTop="1" thickBot="1" x14ac:dyDescent="0.25">
      <c r="A34" s="566" t="s">
        <v>471</v>
      </c>
      <c r="B34" s="888" t="s">
        <v>146</v>
      </c>
      <c r="C34" s="889"/>
      <c r="D34" s="567"/>
      <c r="E34" s="74"/>
      <c r="F34" s="74"/>
      <c r="G34" s="74"/>
    </row>
    <row r="35" spans="1:7" s="286" customFormat="1" ht="157.5" customHeight="1" thickTop="1" thickBot="1" x14ac:dyDescent="0.25">
      <c r="A35" s="566" t="s">
        <v>472</v>
      </c>
      <c r="B35" s="901" t="s">
        <v>1247</v>
      </c>
      <c r="C35" s="717"/>
      <c r="D35" s="573">
        <f>(500000)+3400000</f>
        <v>3900000</v>
      </c>
      <c r="E35" s="74"/>
      <c r="F35" s="74"/>
      <c r="G35" s="74"/>
    </row>
    <row r="36" spans="1:7" s="286" customFormat="1" ht="27.75" customHeight="1" thickTop="1" thickBot="1" x14ac:dyDescent="0.25">
      <c r="A36" s="655" t="s">
        <v>381</v>
      </c>
      <c r="B36" s="899" t="s">
        <v>494</v>
      </c>
      <c r="C36" s="900"/>
      <c r="D36" s="656">
        <f>SUM(D26:D35)</f>
        <v>6515800</v>
      </c>
      <c r="E36" s="695" t="b">
        <f>D24=D36</f>
        <v>1</v>
      </c>
      <c r="F36" s="695" t="b">
        <f>D36='d3'!J33+'d3'!J198+'d3'!J278+'d3'!J309+'d3'!J342</f>
        <v>1</v>
      </c>
      <c r="G36" s="695" t="b">
        <f>D36='d7'!G282+'d7'!G244+'d7'!G176+'d7'!G34+'d7'!G307</f>
        <v>1</v>
      </c>
    </row>
    <row r="37" spans="1:7" s="292" customFormat="1" ht="27.75" customHeight="1" thickTop="1" x14ac:dyDescent="0.2">
      <c r="A37" s="288"/>
      <c r="B37" s="289"/>
      <c r="C37" s="290"/>
      <c r="D37" s="291"/>
      <c r="E37" s="10"/>
      <c r="F37" s="10"/>
    </row>
    <row r="38" spans="1:7" ht="15.75" x14ac:dyDescent="0.25">
      <c r="B38" s="858" t="s">
        <v>1478</v>
      </c>
      <c r="C38" s="859"/>
      <c r="D38" s="365" t="s">
        <v>1479</v>
      </c>
      <c r="E38" s="1"/>
      <c r="F38" s="365"/>
    </row>
    <row r="39" spans="1:7" ht="15.75" hidden="1" x14ac:dyDescent="0.25">
      <c r="B39" s="341" t="s">
        <v>1443</v>
      </c>
      <c r="C39" s="342"/>
      <c r="D39" s="341" t="s">
        <v>1444</v>
      </c>
      <c r="E39" s="1"/>
      <c r="F39" s="365"/>
    </row>
    <row r="40" spans="1:7" ht="15" x14ac:dyDescent="0.25">
      <c r="B40" s="341"/>
      <c r="C40" s="341"/>
      <c r="D40" s="341"/>
      <c r="E40" s="11"/>
    </row>
    <row r="41" spans="1:7" ht="22.5" customHeight="1" x14ac:dyDescent="0.65">
      <c r="A41" s="293" t="s">
        <v>525</v>
      </c>
      <c r="B41" s="858" t="s">
        <v>523</v>
      </c>
      <c r="C41" s="859"/>
      <c r="D41" s="341" t="s">
        <v>1345</v>
      </c>
      <c r="E41" s="3"/>
    </row>
    <row r="42" spans="1:7" ht="18.75" x14ac:dyDescent="0.2">
      <c r="A42" s="293"/>
      <c r="B42" s="293"/>
      <c r="C42" s="293"/>
    </row>
    <row r="43" spans="1:7" ht="18.75" x14ac:dyDescent="0.2">
      <c r="A43" s="895"/>
      <c r="B43" s="895"/>
      <c r="C43" s="294"/>
    </row>
    <row r="49" spans="1:4" ht="16.5" x14ac:dyDescent="0.2">
      <c r="A49" s="894"/>
      <c r="B49" s="295"/>
      <c r="C49" s="296"/>
      <c r="D49" s="297"/>
    </row>
    <row r="50" spans="1:4" ht="16.5" x14ac:dyDescent="0.2">
      <c r="A50" s="894"/>
      <c r="B50" s="298"/>
      <c r="C50" s="296"/>
      <c r="D50" s="297"/>
    </row>
    <row r="51" spans="1:4" ht="16.5" x14ac:dyDescent="0.2">
      <c r="A51" s="894"/>
      <c r="B51" s="299"/>
      <c r="C51" s="296"/>
      <c r="D51" s="297"/>
    </row>
    <row r="52" spans="1:4" ht="16.5" x14ac:dyDescent="0.2">
      <c r="A52" s="894"/>
      <c r="B52" s="295"/>
      <c r="C52" s="296"/>
      <c r="D52" s="297"/>
    </row>
    <row r="53" spans="1:4" ht="16.5" x14ac:dyDescent="0.2">
      <c r="A53" s="894"/>
      <c r="B53" s="295" t="s">
        <v>1626</v>
      </c>
      <c r="C53" s="296"/>
      <c r="D53" s="297"/>
    </row>
    <row r="84" spans="6:6" x14ac:dyDescent="0.2">
      <c r="F84" s="893"/>
    </row>
    <row r="85" spans="6:6" x14ac:dyDescent="0.2">
      <c r="F85" s="806"/>
    </row>
    <row r="121" spans="4:6" x14ac:dyDescent="0.2">
      <c r="D121" s="97">
        <f>SUM(D122:D134)+D141</f>
        <v>88281</v>
      </c>
      <c r="F121" s="97">
        <f>G121+H121</f>
        <v>0</v>
      </c>
    </row>
    <row r="123" spans="4:6" x14ac:dyDescent="0.2">
      <c r="F123" s="97">
        <f t="shared" ref="F123:F133" si="0">G123+H123</f>
        <v>0</v>
      </c>
    </row>
    <row r="124" spans="4:6" x14ac:dyDescent="0.2">
      <c r="F124" s="97">
        <f t="shared" si="0"/>
        <v>0</v>
      </c>
    </row>
    <row r="125" spans="4:6" x14ac:dyDescent="0.2">
      <c r="F125" s="97">
        <f t="shared" si="0"/>
        <v>0</v>
      </c>
    </row>
    <row r="126" spans="4:6" x14ac:dyDescent="0.2">
      <c r="F126" s="97">
        <f t="shared" si="0"/>
        <v>0</v>
      </c>
    </row>
    <row r="127" spans="4:6" x14ac:dyDescent="0.2">
      <c r="F127" s="97">
        <f t="shared" si="0"/>
        <v>0</v>
      </c>
    </row>
    <row r="128" spans="4:6" x14ac:dyDescent="0.2">
      <c r="F128" s="97">
        <f t="shared" si="0"/>
        <v>0</v>
      </c>
    </row>
    <row r="129" spans="1:10" x14ac:dyDescent="0.2">
      <c r="F129" s="97">
        <f t="shared" si="0"/>
        <v>0</v>
      </c>
    </row>
    <row r="130" spans="1:10" x14ac:dyDescent="0.2">
      <c r="F130" s="97">
        <f t="shared" si="0"/>
        <v>0</v>
      </c>
    </row>
    <row r="131" spans="1:10" x14ac:dyDescent="0.2">
      <c r="F131" s="97">
        <f t="shared" si="0"/>
        <v>0</v>
      </c>
    </row>
    <row r="132" spans="1:10" x14ac:dyDescent="0.2">
      <c r="F132" s="97">
        <f t="shared" si="0"/>
        <v>0</v>
      </c>
    </row>
    <row r="133" spans="1:10" x14ac:dyDescent="0.2">
      <c r="F133" s="97">
        <f t="shared" si="0"/>
        <v>0</v>
      </c>
    </row>
    <row r="135" spans="1:10" x14ac:dyDescent="0.2">
      <c r="F135" s="97">
        <f>G136+H136</f>
        <v>0</v>
      </c>
    </row>
    <row r="136" spans="1:10" x14ac:dyDescent="0.2">
      <c r="F136" s="97">
        <f t="shared" ref="F136" si="1">G136+H136</f>
        <v>0</v>
      </c>
    </row>
    <row r="137" spans="1:10" x14ac:dyDescent="0.2">
      <c r="F137" s="97">
        <f>G137+H137</f>
        <v>0</v>
      </c>
    </row>
    <row r="138" spans="1:10" x14ac:dyDescent="0.2">
      <c r="F138" s="97">
        <f>G138+H138</f>
        <v>0</v>
      </c>
    </row>
    <row r="139" spans="1:10" x14ac:dyDescent="0.2">
      <c r="F139" s="97">
        <f>G139+H139</f>
        <v>0</v>
      </c>
    </row>
    <row r="140" spans="1:10" x14ac:dyDescent="0.2">
      <c r="F140" s="97">
        <f>G140+H140</f>
        <v>0</v>
      </c>
    </row>
    <row r="141" spans="1:10" x14ac:dyDescent="0.2">
      <c r="A141" s="97">
        <v>41057700</v>
      </c>
      <c r="B141" s="97" t="s">
        <v>1376</v>
      </c>
      <c r="D141" s="97">
        <v>88281</v>
      </c>
    </row>
    <row r="142" spans="1:10" x14ac:dyDescent="0.2">
      <c r="G142" s="97" t="b">
        <f>C142=C138+C137+C136+C116+C110+C104+C98+C97+C93+C92+C91+C90+C87+C86+C85+C84+C82+C81+C79+C77+C76+C75+C72+C71+C70+C68+C67+C63+C62+C61+C58+C57+C56+C54+C53+C49+C48+C47+C46+C45+C44+C43+C42+C41+C40+C35+C33+C30+C28+C26+C23+C21+C20+C19+C18+C102+C101+C36+C51+C127+C126+C108+C141</f>
        <v>1</v>
      </c>
      <c r="H142" s="97" t="e">
        <f>D142=D138+D137+D136+D116+D110+D104+D98+D97+D93+D92+D91+D90+D87+D86+D85+D84+D82+D81+D79+D77+D76+D75+D72+D71+D70+D68+D67+D63+D62+D61+D58+D57+D56+D54+D53+D49+D48+D47+D46+D45+D44+D43+D42+D41+D40+D35+D33+D30+D28+D26+D23+D21+D20+D19+D18+D102+D101+D36+D51+D127+D126+D108+D141</f>
        <v>#VALUE!</v>
      </c>
      <c r="I142" s="97" t="e">
        <f>E142=E138+E137+E136+E116+E110+E104+E98+E97+E93+E92+E91+E90+E87+E86+E85+E84+E82+E81+E79+E77+E76+E75+E72+E71+E70+E68+E67+E63+E62+E61+E58+E57+E56+E54+E53+E49+E48+E47+E46+E45+E44+E43+E42+E41+E40+E35+E33+E30+E28+E26+E23+E21+E20+E19+E18+E102+E101+E36+E51+E127+E126+E108+E141</f>
        <v>#VALUE!</v>
      </c>
      <c r="J142" s="97" t="b">
        <f>F142=F138+F137+F136+F116+F110+F104+F98+F97+F93+F92+F91+F90+F87+F86+F85+F84+F82+F81+F79+F77+F76+F75+F72+F71+F70+F68+F67+F63+F62+F61+F58+F57+F56+F54+F53+F49+F48+F47+F46+F45+F44+F43+F42+F41+F40+F35+F33+F30+F28+F26+F23+F21+F20+F19+F18+F102+F101+F36+F51+F127+F126+F108+F141</f>
        <v>0</v>
      </c>
    </row>
    <row r="143" spans="1:10" x14ac:dyDescent="0.2">
      <c r="G143" s="97" t="b">
        <f>(3453807039-'d2'!C37+7423154+961639+622418100+3715400+4544686)+16400+4309689+6350319+16579700+88281=C142</f>
        <v>0</v>
      </c>
    </row>
    <row r="146" spans="6:9" ht="46.5" x14ac:dyDescent="0.2">
      <c r="I146" s="12"/>
    </row>
    <row r="149" spans="6:9" ht="46.5" x14ac:dyDescent="0.2">
      <c r="F149" s="12">
        <f>G149+H149</f>
        <v>0</v>
      </c>
      <c r="I149" s="12"/>
    </row>
    <row r="168" spans="10:10" ht="90" x14ac:dyDescent="0.2">
      <c r="J168" s="300" t="b">
        <f>F168=G168+H168</f>
        <v>1</v>
      </c>
    </row>
  </sheetData>
  <mergeCells count="40">
    <mergeCell ref="C1:D1"/>
    <mergeCell ref="C3:D3"/>
    <mergeCell ref="C4:D4"/>
    <mergeCell ref="B29:C29"/>
    <mergeCell ref="B28:C28"/>
    <mergeCell ref="B27:C27"/>
    <mergeCell ref="B26:C26"/>
    <mergeCell ref="B25:D25"/>
    <mergeCell ref="B13:D13"/>
    <mergeCell ref="B24:C24"/>
    <mergeCell ref="C2:F2"/>
    <mergeCell ref="E5:I5"/>
    <mergeCell ref="E7:I7"/>
    <mergeCell ref="E8:I8"/>
    <mergeCell ref="B18:C18"/>
    <mergeCell ref="A8:D8"/>
    <mergeCell ref="F84:F85"/>
    <mergeCell ref="A49:A53"/>
    <mergeCell ref="A43:B43"/>
    <mergeCell ref="B22:C22"/>
    <mergeCell ref="B21:C21"/>
    <mergeCell ref="B36:C36"/>
    <mergeCell ref="B35:C35"/>
    <mergeCell ref="B33:C33"/>
    <mergeCell ref="B31:C31"/>
    <mergeCell ref="B30:C30"/>
    <mergeCell ref="B23:C23"/>
    <mergeCell ref="B41:C41"/>
    <mergeCell ref="B38:C38"/>
    <mergeCell ref="B16:C16"/>
    <mergeCell ref="B15:C15"/>
    <mergeCell ref="B14:C14"/>
    <mergeCell ref="A5:D5"/>
    <mergeCell ref="A7:D7"/>
    <mergeCell ref="A6:D6"/>
    <mergeCell ref="E20:F20"/>
    <mergeCell ref="B17:C17"/>
    <mergeCell ref="B19:C19"/>
    <mergeCell ref="B20:C20"/>
    <mergeCell ref="B34:C34"/>
  </mergeCells>
  <pageMargins left="0.23622047244094491" right="0.31496062992125984" top="0.27559055118110237" bottom="0" header="0.23622047244094491" footer="0.19685039370078741"/>
  <pageSetup paperSize="9" scale="6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1"/>
  <sheetViews>
    <sheetView view="pageBreakPreview" topLeftCell="A10" zoomScale="70" zoomScaleNormal="85" zoomScaleSheetLayoutView="70" workbookViewId="0">
      <selection activeCell="A26" sqref="A26:XFD26"/>
    </sheetView>
  </sheetViews>
  <sheetFormatPr defaultColWidth="9.140625" defaultRowHeight="12.75" x14ac:dyDescent="0.2"/>
  <cols>
    <col min="1" max="1" width="6.85546875" style="13" customWidth="1"/>
    <col min="2" max="2" width="15.140625" style="13" customWidth="1"/>
    <col min="3" max="3" width="15.28515625" style="13" customWidth="1"/>
    <col min="4" max="4" width="10.85546875" style="13" customWidth="1"/>
    <col min="5" max="5" width="62" style="13" customWidth="1"/>
    <col min="6" max="6" width="17.5703125" style="13" customWidth="1"/>
    <col min="7" max="10" width="15.7109375" style="13" bestFit="1" customWidth="1"/>
    <col min="11" max="11" width="52.5703125" style="13" customWidth="1"/>
    <col min="12" max="16384" width="9.140625" style="13"/>
  </cols>
  <sheetData>
    <row r="1" spans="1:10" x14ac:dyDescent="0.2">
      <c r="A1" s="474"/>
      <c r="B1" s="474"/>
      <c r="C1" s="474"/>
      <c r="D1" s="474"/>
      <c r="E1" s="474"/>
      <c r="F1" s="474" t="s">
        <v>593</v>
      </c>
      <c r="G1"/>
      <c r="H1"/>
      <c r="I1"/>
    </row>
    <row r="2" spans="1:10" x14ac:dyDescent="0.2">
      <c r="A2" s="474"/>
      <c r="B2" s="474"/>
      <c r="C2" s="474"/>
      <c r="D2" s="474"/>
      <c r="E2" s="474"/>
      <c r="F2" s="474" t="s">
        <v>962</v>
      </c>
      <c r="G2"/>
      <c r="H2"/>
      <c r="I2"/>
    </row>
    <row r="3" spans="1:10" x14ac:dyDescent="0.2">
      <c r="A3" s="474"/>
      <c r="B3" s="474"/>
      <c r="C3" s="474"/>
      <c r="D3" s="474"/>
      <c r="E3" s="474"/>
      <c r="F3" s="915" t="s">
        <v>1583</v>
      </c>
      <c r="G3" s="827"/>
      <c r="H3" s="827"/>
      <c r="I3" s="827"/>
    </row>
    <row r="4" spans="1:10" ht="15.75" x14ac:dyDescent="0.25">
      <c r="A4" s="916" t="s">
        <v>570</v>
      </c>
      <c r="B4" s="730"/>
      <c r="C4" s="730"/>
      <c r="D4" s="730"/>
      <c r="E4" s="730"/>
      <c r="F4" s="730"/>
      <c r="G4"/>
      <c r="H4"/>
      <c r="I4"/>
    </row>
    <row r="5" spans="1:10" ht="15.75" x14ac:dyDescent="0.25">
      <c r="A5" s="916" t="s">
        <v>569</v>
      </c>
      <c r="B5" s="730"/>
      <c r="C5" s="730"/>
      <c r="D5" s="730"/>
      <c r="E5" s="730"/>
      <c r="F5" s="730"/>
      <c r="G5"/>
      <c r="H5"/>
      <c r="I5"/>
    </row>
    <row r="6" spans="1:10" ht="15.75" x14ac:dyDescent="0.25">
      <c r="A6" s="916" t="s">
        <v>897</v>
      </c>
      <c r="B6" s="730"/>
      <c r="C6" s="730"/>
      <c r="D6" s="730"/>
      <c r="E6" s="730"/>
      <c r="F6" s="730"/>
      <c r="G6"/>
      <c r="H6"/>
      <c r="I6"/>
    </row>
    <row r="7" spans="1:10" ht="15.75" x14ac:dyDescent="0.25">
      <c r="A7"/>
      <c r="B7"/>
      <c r="C7" s="916" t="s">
        <v>1506</v>
      </c>
      <c r="D7" s="730"/>
      <c r="E7" s="730"/>
      <c r="F7"/>
      <c r="G7"/>
      <c r="H7"/>
      <c r="I7"/>
    </row>
    <row r="8" spans="1:10" ht="12.75" customHeight="1" x14ac:dyDescent="0.25">
      <c r="A8" s="475"/>
      <c r="B8" s="475"/>
      <c r="C8" s="475"/>
      <c r="D8" s="475"/>
      <c r="E8" s="475"/>
      <c r="F8" s="475"/>
      <c r="G8" s="475"/>
      <c r="H8" s="475"/>
      <c r="I8" s="475"/>
      <c r="J8" s="301"/>
    </row>
    <row r="9" spans="1:10" x14ac:dyDescent="0.2">
      <c r="A9" s="801">
        <v>2256400000</v>
      </c>
      <c r="B9" s="730"/>
      <c r="C9" s="471"/>
      <c r="D9" s="471"/>
      <c r="E9" s="471"/>
      <c r="F9" s="471"/>
      <c r="G9"/>
      <c r="H9"/>
      <c r="I9"/>
    </row>
    <row r="10" spans="1:10" x14ac:dyDescent="0.2">
      <c r="A10" s="803" t="s">
        <v>490</v>
      </c>
      <c r="B10" s="913"/>
      <c r="C10" s="471"/>
      <c r="D10" s="471"/>
      <c r="E10" s="471"/>
      <c r="F10" s="471"/>
      <c r="G10"/>
      <c r="H10"/>
      <c r="I10"/>
    </row>
    <row r="11" spans="1:10" ht="13.5" thickBot="1" x14ac:dyDescent="0.25">
      <c r="A11" s="463"/>
      <c r="B11" s="463"/>
      <c r="C11" s="471"/>
      <c r="D11" s="471"/>
      <c r="E11" s="471"/>
      <c r="F11" s="471"/>
      <c r="G11"/>
      <c r="H11"/>
      <c r="I11"/>
    </row>
    <row r="12" spans="1:10" ht="48" customHeight="1" thickTop="1" thickBot="1" x14ac:dyDescent="0.25">
      <c r="A12" s="479" t="s">
        <v>316</v>
      </c>
      <c r="B12" s="480" t="s">
        <v>317</v>
      </c>
      <c r="C12" s="480" t="s">
        <v>20</v>
      </c>
      <c r="D12" s="480" t="s">
        <v>16</v>
      </c>
      <c r="E12" s="479" t="s">
        <v>318</v>
      </c>
      <c r="F12" s="481" t="s">
        <v>405</v>
      </c>
      <c r="G12" s="20"/>
    </row>
    <row r="13" spans="1:10" ht="17.25" thickTop="1" thickBot="1" x14ac:dyDescent="0.25">
      <c r="A13" s="482">
        <v>1</v>
      </c>
      <c r="B13" s="483" t="s">
        <v>1127</v>
      </c>
      <c r="C13" s="483" t="s">
        <v>1128</v>
      </c>
      <c r="D13" s="483" t="s">
        <v>51</v>
      </c>
      <c r="E13" s="484" t="s">
        <v>1507</v>
      </c>
      <c r="F13" s="476">
        <v>80000</v>
      </c>
      <c r="G13" s="20"/>
    </row>
    <row r="14" spans="1:10" ht="87" customHeight="1" thickTop="1" thickBot="1" x14ac:dyDescent="0.25">
      <c r="A14" s="482">
        <v>2</v>
      </c>
      <c r="B14" s="483" t="s">
        <v>1127</v>
      </c>
      <c r="C14" s="483" t="s">
        <v>1128</v>
      </c>
      <c r="D14" s="483" t="s">
        <v>51</v>
      </c>
      <c r="E14" s="484" t="s">
        <v>1508</v>
      </c>
      <c r="F14" s="476">
        <v>120000</v>
      </c>
      <c r="G14" s="20"/>
    </row>
    <row r="15" spans="1:10" ht="17.25" thickTop="1" thickBot="1" x14ac:dyDescent="0.25">
      <c r="A15" s="482">
        <v>3</v>
      </c>
      <c r="B15" s="483" t="s">
        <v>1127</v>
      </c>
      <c r="C15" s="483" t="s">
        <v>1128</v>
      </c>
      <c r="D15" s="483" t="s">
        <v>51</v>
      </c>
      <c r="E15" s="484" t="s">
        <v>1622</v>
      </c>
      <c r="F15" s="477">
        <f>(100000)+200000</f>
        <v>300000</v>
      </c>
      <c r="G15" s="20"/>
    </row>
    <row r="16" spans="1:10" ht="53.25" customHeight="1" thickTop="1" thickBot="1" x14ac:dyDescent="0.25">
      <c r="A16" s="482">
        <v>4</v>
      </c>
      <c r="B16" s="483" t="s">
        <v>1127</v>
      </c>
      <c r="C16" s="483" t="s">
        <v>1128</v>
      </c>
      <c r="D16" s="483" t="s">
        <v>51</v>
      </c>
      <c r="E16" s="484" t="s">
        <v>1509</v>
      </c>
      <c r="F16" s="477">
        <f>(600000)-550000</f>
        <v>50000</v>
      </c>
      <c r="G16" s="20"/>
    </row>
    <row r="17" spans="1:7" ht="80.25" thickTop="1" thickBot="1" x14ac:dyDescent="0.25">
      <c r="A17" s="482">
        <v>5</v>
      </c>
      <c r="B17" s="483" t="s">
        <v>1127</v>
      </c>
      <c r="C17" s="483" t="s">
        <v>1128</v>
      </c>
      <c r="D17" s="483" t="s">
        <v>51</v>
      </c>
      <c r="E17" s="484" t="s">
        <v>1621</v>
      </c>
      <c r="F17" s="477">
        <v>450000</v>
      </c>
      <c r="G17" s="20"/>
    </row>
    <row r="18" spans="1:7" ht="64.5" thickTop="1" thickBot="1" x14ac:dyDescent="0.25">
      <c r="A18" s="482">
        <v>6</v>
      </c>
      <c r="B18" s="483" t="s">
        <v>1127</v>
      </c>
      <c r="C18" s="483" t="s">
        <v>1128</v>
      </c>
      <c r="D18" s="483" t="s">
        <v>51</v>
      </c>
      <c r="E18" s="484" t="s">
        <v>1613</v>
      </c>
      <c r="F18" s="477">
        <v>100000</v>
      </c>
      <c r="G18" s="20"/>
    </row>
    <row r="19" spans="1:7" ht="39.75" customHeight="1" thickTop="1" thickBot="1" x14ac:dyDescent="0.25">
      <c r="A19" s="482">
        <v>7</v>
      </c>
      <c r="B19" s="483" t="s">
        <v>1127</v>
      </c>
      <c r="C19" s="483" t="s">
        <v>1128</v>
      </c>
      <c r="D19" s="483" t="s">
        <v>51</v>
      </c>
      <c r="E19" s="484" t="s">
        <v>1510</v>
      </c>
      <c r="F19" s="478">
        <f>(300000)-200000</f>
        <v>100000</v>
      </c>
      <c r="G19" s="20"/>
    </row>
    <row r="20" spans="1:7" ht="32.25" customHeight="1" thickTop="1" thickBot="1" x14ac:dyDescent="0.25">
      <c r="A20" s="657" t="s">
        <v>381</v>
      </c>
      <c r="B20" s="657" t="s">
        <v>381</v>
      </c>
      <c r="C20" s="657" t="s">
        <v>381</v>
      </c>
      <c r="D20" s="657" t="s">
        <v>381</v>
      </c>
      <c r="E20" s="657" t="s">
        <v>391</v>
      </c>
      <c r="F20" s="658">
        <f>SUM(F13:F19)</f>
        <v>1200000</v>
      </c>
      <c r="G20" s="694" t="b">
        <f>F20='d3'!P400</f>
        <v>1</v>
      </c>
    </row>
    <row r="21" spans="1:7" ht="15" customHeight="1" thickTop="1" x14ac:dyDescent="0.2">
      <c r="A21" s="485"/>
      <c r="B21" s="485"/>
      <c r="C21" s="485"/>
      <c r="D21" s="485"/>
      <c r="E21" s="485"/>
      <c r="F21" s="486"/>
    </row>
    <row r="22" spans="1:7" ht="15.75" hidden="1" customHeight="1" x14ac:dyDescent="0.25">
      <c r="A22" s="465"/>
      <c r="B22" s="1"/>
      <c r="C22" s="487"/>
      <c r="D22" s="1"/>
      <c r="E22" s="1"/>
      <c r="F22" s="1"/>
    </row>
    <row r="23" spans="1:7" ht="27" hidden="1" customHeight="1" x14ac:dyDescent="0.2">
      <c r="A23" s="914" t="s">
        <v>523</v>
      </c>
      <c r="B23" s="914"/>
      <c r="C23" s="914"/>
      <c r="D23" s="914"/>
      <c r="E23" s="465"/>
      <c r="F23" s="489" t="s">
        <v>524</v>
      </c>
    </row>
    <row r="24" spans="1:7" ht="15.75" hidden="1" x14ac:dyDescent="0.2">
      <c r="A24" s="488"/>
      <c r="B24" s="488"/>
      <c r="C24" s="488"/>
      <c r="D24" s="488"/>
      <c r="E24" s="465"/>
      <c r="F24" s="490"/>
    </row>
    <row r="25" spans="1:7" ht="15.75" x14ac:dyDescent="0.25">
      <c r="A25" s="465"/>
      <c r="B25" s="813" t="s">
        <v>1478</v>
      </c>
      <c r="C25" s="859"/>
      <c r="D25" s="343"/>
      <c r="E25" s="1"/>
      <c r="F25" s="343" t="s">
        <v>1479</v>
      </c>
    </row>
    <row r="26" spans="1:7" ht="15.75" hidden="1" x14ac:dyDescent="0.25">
      <c r="A26" s="465"/>
      <c r="B26" s="341" t="s">
        <v>1480</v>
      </c>
      <c r="C26" s="348"/>
      <c r="D26" s="341"/>
      <c r="E26" s="341"/>
      <c r="F26" s="341" t="s">
        <v>1444</v>
      </c>
    </row>
    <row r="27" spans="1:7" ht="15.75" x14ac:dyDescent="0.25">
      <c r="A27" s="488"/>
      <c r="B27" s="341"/>
      <c r="C27" s="341"/>
      <c r="D27" s="341"/>
      <c r="E27" s="341"/>
      <c r="F27" s="341"/>
    </row>
    <row r="28" spans="1:7" ht="15.75" x14ac:dyDescent="0.25">
      <c r="A28" s="488"/>
      <c r="B28" s="813" t="s">
        <v>523</v>
      </c>
      <c r="C28" s="859"/>
      <c r="D28" s="341"/>
      <c r="E28" s="341"/>
      <c r="F28" s="341" t="s">
        <v>1345</v>
      </c>
    </row>
    <row r="77" spans="7:7" x14ac:dyDescent="0.2">
      <c r="G77" s="806"/>
    </row>
    <row r="78" spans="7:7" x14ac:dyDescent="0.2">
      <c r="G78" s="806"/>
    </row>
    <row r="112" spans="4:4" x14ac:dyDescent="0.2">
      <c r="D112" s="13">
        <f>SUM(D113:D125)+D132</f>
        <v>88281</v>
      </c>
    </row>
    <row r="132" spans="1:10" x14ac:dyDescent="0.2">
      <c r="A132" s="13">
        <v>41057700</v>
      </c>
      <c r="B132" s="13" t="s">
        <v>1376</v>
      </c>
      <c r="D132" s="13">
        <v>88281</v>
      </c>
    </row>
    <row r="133" spans="1:10" x14ac:dyDescent="0.2">
      <c r="G133" s="13" t="e">
        <f>C133=C129+C128+C127+C107+C101+C95+C89+C88+C84+C83+C82+C81+C78+C77+C76+C75+C73+C72+C70+C68+C67+C66+C63+C62+C61+C59+C58+C54+C53+C52+C49+C48+C47+C45+C44+C40+C39+C38+C37+C36+C35+C34+C33+C32+C31+C27+C24+C21+#REF!+#REF!+#REF!+#REF!+#REF!+#REF!+C19+C93+C92+C28+C42+C118+C117+C99+C132</f>
        <v>#REF!</v>
      </c>
      <c r="H133" s="13" t="e">
        <f>D133=D129+D128+D127+D107+D101+D95+D89+D88+D84+D83+D82+D81+D78+D77+D76+D75+D73+D72+D70+D68+D67+D66+D63+D62+D61+D59+D58+D54+D53+D52+D49+D48+D47+D45+D44+D40+D39+D38+D37+D36+D35+D34+D33+D32+D31+D27+D24+D21+#REF!+#REF!+#REF!+#REF!+#REF!+#REF!+D19+D93+D92+D28+D42+D118+D117+D99+D132</f>
        <v>#REF!</v>
      </c>
      <c r="I133" s="13" t="e">
        <f>E133=E129+E128+E127+E107+E101+E95+E89+E88+E84+E83+E82+E81+E78+E77+E76+E75+E73+E72+E70+E68+E67+E66+E63+E62+E61+E59+E58+E54+E53+E52+E49+E48+E47+E45+E44+E40+E39+E38+E37+E36+E35+E34+E33+E32+E31+E27+E24+E21+#REF!+#REF!+#REF!+#REF!+#REF!+#REF!+E19+E93+E92+E28+E42+E118+E117+E99+E132</f>
        <v>#REF!</v>
      </c>
      <c r="J133" s="13" t="e">
        <f>F133=F129+F128+F127+F107+F101+F95+F89+F88+F84+F83+F82+F81+F78+F77+F76+F75+F73+F72+F70+F68+F67+F66+F63+F62+F61+F59+F58+F54+F53+F52+F49+F48+F47+F45+F44+F40+F39+F38+F37+F36+F35+F34+F33+F32+F31+F27+F24+F21+#REF!+#REF!+#REF!+#REF!+#REF!+#REF!+F19+F93+F92+F28+F42+F118+F117+F99+F132</f>
        <v>#REF!</v>
      </c>
    </row>
    <row r="134" spans="1:10" x14ac:dyDescent="0.2">
      <c r="G134" s="13" t="b">
        <f>(3453807039-'d2'!C37+7423154+961639+622418100+3715400+4544686)+16400+4309689+6350319+16579700+88281=C133</f>
        <v>0</v>
      </c>
    </row>
    <row r="139" spans="1:10" ht="46.5" x14ac:dyDescent="0.65">
      <c r="J139" s="9"/>
    </row>
    <row r="142" spans="1:10" ht="46.5" x14ac:dyDescent="0.65">
      <c r="G142" s="9"/>
      <c r="J142" s="9"/>
    </row>
    <row r="161" spans="11:11" ht="90" x14ac:dyDescent="1.1499999999999999">
      <c r="K161" s="302" t="b">
        <f>G161=H161+I161</f>
        <v>1</v>
      </c>
    </row>
  </sheetData>
  <mergeCells count="11">
    <mergeCell ref="A10:B10"/>
    <mergeCell ref="A23:D23"/>
    <mergeCell ref="G77:G78"/>
    <mergeCell ref="F3:I3"/>
    <mergeCell ref="A4:F4"/>
    <mergeCell ref="A5:F5"/>
    <mergeCell ref="A6:F6"/>
    <mergeCell ref="C7:E7"/>
    <mergeCell ref="A9:B9"/>
    <mergeCell ref="B28:C28"/>
    <mergeCell ref="B25:C25"/>
  </mergeCells>
  <pageMargins left="0.74803149606299213" right="0.74803149606299213" top="0.98425196850393704" bottom="0.98425196850393704" header="0.51181102362204722" footer="0.51181102362204722"/>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13</vt:i4>
      </vt:variant>
      <vt:variant>
        <vt:lpstr>Іменовані діапазони</vt:lpstr>
      </vt:variant>
      <vt:variant>
        <vt:i4>18</vt:i4>
      </vt:variant>
    </vt:vector>
  </HeadingPairs>
  <TitlesOfParts>
    <vt:vector size="31" baseType="lpstr">
      <vt:lpstr>d1</vt:lpstr>
      <vt:lpstr>d2</vt:lpstr>
      <vt:lpstr>d3</vt:lpstr>
      <vt:lpstr>d4</vt:lpstr>
      <vt:lpstr>d5</vt:lpstr>
      <vt:lpstr>d6</vt:lpstr>
      <vt:lpstr>d7</vt:lpstr>
      <vt:lpstr>d8</vt:lpstr>
      <vt:lpstr>d9</vt:lpstr>
      <vt:lpstr>d1П</vt:lpstr>
      <vt:lpstr>d1 Рп</vt:lpstr>
      <vt:lpstr>d3П</vt:lpstr>
      <vt:lpstr>d3Рп</vt:lpstr>
      <vt:lpstr>'d3'!Заголовки_для_друку</vt:lpstr>
      <vt:lpstr>d3П!Заголовки_для_друку</vt:lpstr>
      <vt:lpstr>d3Рп!Заголовки_для_друку</vt:lpstr>
      <vt:lpstr>'d6'!Заголовки_для_друку</vt:lpstr>
      <vt:lpstr>'d7'!Заголовки_для_друку</vt:lpstr>
      <vt:lpstr>'d1'!Область_друку</vt:lpstr>
      <vt:lpstr>'d1 Рп'!Область_друку</vt:lpstr>
      <vt:lpstr>d1П!Область_друку</vt:lpstr>
      <vt:lpstr>'d2'!Область_друку</vt:lpstr>
      <vt:lpstr>'d3'!Область_друку</vt:lpstr>
      <vt:lpstr>d3П!Область_друку</vt:lpstr>
      <vt:lpstr>d3Рп!Область_друку</vt:lpstr>
      <vt:lpstr>'d4'!Область_друку</vt:lpstr>
      <vt:lpstr>'d5'!Область_друку</vt:lpstr>
      <vt:lpstr>'d6'!Область_друку</vt:lpstr>
      <vt:lpstr>'d7'!Область_друку</vt:lpstr>
      <vt:lpstr>'d8'!Область_друку</vt:lpstr>
      <vt:lpstr>'d9'!Область_друку</vt:lpstr>
    </vt:vector>
  </TitlesOfParts>
  <Company>Міське фінуправління</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Ковтун Денис Леонідович</cp:lastModifiedBy>
  <cp:lastPrinted>2024-08-08T08:41:52Z</cp:lastPrinted>
  <dcterms:created xsi:type="dcterms:W3CDTF">2001-12-03T09:30:42Z</dcterms:created>
  <dcterms:modified xsi:type="dcterms:W3CDTF">2024-08-08T08:43:19Z</dcterms:modified>
</cp:coreProperties>
</file>