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24.10.2024\"/>
    </mc:Choice>
  </mc:AlternateContent>
  <bookViews>
    <workbookView xWindow="0" yWindow="0" windowWidth="28800" windowHeight="12435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Виробництво!$A$1:$F$60</definedName>
    <definedName name="_xlnm.Print_Area" localSheetId="3">Постачання!$A$1:$F$46</definedName>
    <definedName name="_xlnm.Print_Area" localSheetId="0">'Теплова енергія'!$A$1:$G$55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52511"/>
</workbook>
</file>

<file path=xl/calcChain.xml><?xml version="1.0" encoding="utf-8"?>
<calcChain xmlns="http://schemas.openxmlformats.org/spreadsheetml/2006/main">
  <c r="F18" i="2" l="1"/>
  <c r="E18" i="2"/>
  <c r="D18" i="2"/>
  <c r="F22" i="4" l="1"/>
  <c r="E22" i="4"/>
  <c r="D22" i="4"/>
  <c r="C22" i="4"/>
  <c r="F39" i="4"/>
  <c r="E39" i="4"/>
  <c r="D39" i="4"/>
  <c r="C39" i="4"/>
  <c r="F23" i="3"/>
  <c r="E23" i="3"/>
  <c r="F34" i="3"/>
  <c r="D23" i="3"/>
  <c r="E34" i="3"/>
  <c r="D34" i="3"/>
  <c r="C23" i="3"/>
  <c r="C34" i="3"/>
  <c r="C17" i="2" l="1"/>
  <c r="G30" i="1" l="1"/>
  <c r="C42" i="1" l="1"/>
  <c r="C48" i="1"/>
  <c r="C49" i="1"/>
  <c r="C47" i="1"/>
  <c r="C40" i="1"/>
  <c r="C41" i="1"/>
  <c r="C39" i="1"/>
  <c r="C36" i="1"/>
  <c r="C37" i="1"/>
  <c r="C35" i="1"/>
  <c r="C32" i="1"/>
  <c r="C33" i="1"/>
  <c r="C31" i="1"/>
  <c r="C29" i="1"/>
  <c r="C28" i="1"/>
  <c r="C27" i="1"/>
  <c r="C26" i="1"/>
  <c r="C23" i="1"/>
  <c r="C22" i="1"/>
  <c r="E16" i="5" l="1"/>
  <c r="C16" i="5" l="1"/>
  <c r="C19" i="5"/>
  <c r="F16" i="5"/>
  <c r="F19" i="5"/>
  <c r="C23" i="5" l="1"/>
  <c r="F23" i="5"/>
  <c r="F24" i="5" l="1"/>
  <c r="F26" i="5" s="1"/>
  <c r="C24" i="5"/>
  <c r="C14" i="5" s="1"/>
  <c r="D21" i="1"/>
  <c r="E51" i="1"/>
  <c r="F51" i="1"/>
  <c r="G51" i="1"/>
  <c r="D51" i="1"/>
  <c r="D46" i="1"/>
  <c r="D38" i="1"/>
  <c r="D34" i="1"/>
  <c r="D30" i="1"/>
  <c r="C36" i="4"/>
  <c r="D42" i="1"/>
  <c r="C23" i="4"/>
  <c r="C19" i="4"/>
  <c r="C40" i="3"/>
  <c r="C28" i="3"/>
  <c r="C24" i="3"/>
  <c r="C20" i="3"/>
  <c r="C15" i="3"/>
  <c r="C27" i="2"/>
  <c r="C23" i="2"/>
  <c r="C56" i="2"/>
  <c r="C38" i="2"/>
  <c r="C31" i="2"/>
  <c r="F14" i="5" l="1"/>
  <c r="C26" i="5"/>
  <c r="C51" i="1"/>
  <c r="C54" i="2"/>
  <c r="C27" i="4"/>
  <c r="D20" i="1"/>
  <c r="D50" i="1" s="1"/>
  <c r="C16" i="4"/>
  <c r="C14" i="3"/>
  <c r="C33" i="3" s="1"/>
  <c r="C13" i="3" s="1"/>
  <c r="D15" i="1" s="1"/>
  <c r="C16" i="2"/>
  <c r="C36" i="2" s="1"/>
  <c r="C42" i="2" s="1"/>
  <c r="C15" i="2" s="1"/>
  <c r="C15" i="4" l="1"/>
  <c r="D16" i="1" s="1"/>
  <c r="D14" i="1"/>
  <c r="C33" i="4"/>
  <c r="C37" i="3"/>
  <c r="E19" i="5"/>
  <c r="D19" i="5"/>
  <c r="D16" i="5"/>
  <c r="D13" i="1" l="1"/>
  <c r="D18" i="1" s="1"/>
  <c r="D17" i="1" s="1"/>
  <c r="D23" i="5"/>
  <c r="D24" i="5" s="1"/>
  <c r="E23" i="5"/>
  <c r="E24" i="5" s="1"/>
  <c r="E26" i="5" l="1"/>
  <c r="D14" i="5"/>
  <c r="E14" i="5"/>
  <c r="F36" i="4"/>
  <c r="E36" i="4"/>
  <c r="D36" i="4"/>
  <c r="F27" i="4"/>
  <c r="E27" i="4"/>
  <c r="D27" i="4"/>
  <c r="F23" i="4"/>
  <c r="E23" i="4"/>
  <c r="D23" i="4"/>
  <c r="F19" i="4"/>
  <c r="E19" i="4"/>
  <c r="D19" i="4"/>
  <c r="F40" i="3"/>
  <c r="E40" i="3"/>
  <c r="D40" i="3"/>
  <c r="F28" i="3"/>
  <c r="E28" i="3"/>
  <c r="D28" i="3"/>
  <c r="F24" i="3"/>
  <c r="E24" i="3"/>
  <c r="D24" i="3"/>
  <c r="F20" i="3"/>
  <c r="E20" i="3"/>
  <c r="D20" i="3"/>
  <c r="F15" i="3"/>
  <c r="E15" i="3"/>
  <c r="D15" i="3"/>
  <c r="F56" i="2"/>
  <c r="F54" i="2" s="1"/>
  <c r="E56" i="2"/>
  <c r="E54" i="2" s="1"/>
  <c r="D56" i="2"/>
  <c r="F38" i="2"/>
  <c r="E38" i="2"/>
  <c r="D38" i="2"/>
  <c r="F31" i="2"/>
  <c r="E31" i="2"/>
  <c r="D31" i="2"/>
  <c r="F27" i="2"/>
  <c r="E27" i="2"/>
  <c r="D27" i="2"/>
  <c r="F23" i="2"/>
  <c r="E23" i="2"/>
  <c r="D23" i="2"/>
  <c r="F17" i="2"/>
  <c r="E17" i="2"/>
  <c r="D17" i="2"/>
  <c r="G46" i="1"/>
  <c r="F46" i="1"/>
  <c r="E46" i="1"/>
  <c r="G38" i="1"/>
  <c r="F38" i="1"/>
  <c r="E38" i="1"/>
  <c r="G34" i="1"/>
  <c r="F34" i="1"/>
  <c r="E34" i="1"/>
  <c r="F30" i="1"/>
  <c r="E30" i="1"/>
  <c r="C21" i="1"/>
  <c r="G21" i="1"/>
  <c r="F21" i="1"/>
  <c r="E21" i="1"/>
  <c r="F14" i="3" l="1"/>
  <c r="F33" i="3" s="1"/>
  <c r="F37" i="3" s="1"/>
  <c r="E42" i="1"/>
  <c r="G42" i="1"/>
  <c r="F16" i="2"/>
  <c r="F36" i="2" s="1"/>
  <c r="F42" i="2" s="1"/>
  <c r="C34" i="1"/>
  <c r="F42" i="1"/>
  <c r="D26" i="5"/>
  <c r="D16" i="2"/>
  <c r="D36" i="2" s="1"/>
  <c r="E16" i="4"/>
  <c r="D16" i="4"/>
  <c r="F16" i="4"/>
  <c r="D14" i="3"/>
  <c r="D33" i="3" s="1"/>
  <c r="E14" i="3"/>
  <c r="E33" i="3" s="1"/>
  <c r="E13" i="3" s="1"/>
  <c r="C38" i="1"/>
  <c r="C30" i="1"/>
  <c r="E16" i="2"/>
  <c r="E36" i="2" s="1"/>
  <c r="E42" i="2" s="1"/>
  <c r="G20" i="1"/>
  <c r="C46" i="1"/>
  <c r="E20" i="1"/>
  <c r="F20" i="1"/>
  <c r="D54" i="2"/>
  <c r="F15" i="2" l="1"/>
  <c r="G14" i="1" s="1"/>
  <c r="E15" i="2"/>
  <c r="F14" i="1" s="1"/>
  <c r="D37" i="3"/>
  <c r="D13" i="3"/>
  <c r="E15" i="1" s="1"/>
  <c r="E50" i="1"/>
  <c r="F13" i="3"/>
  <c r="G15" i="1" s="1"/>
  <c r="G50" i="1"/>
  <c r="D42" i="2"/>
  <c r="F50" i="1"/>
  <c r="C20" i="1"/>
  <c r="C50" i="1" s="1"/>
  <c r="F15" i="4"/>
  <c r="G16" i="1" s="1"/>
  <c r="F15" i="1"/>
  <c r="F33" i="4"/>
  <c r="D33" i="4"/>
  <c r="D15" i="4"/>
  <c r="E16" i="1" s="1"/>
  <c r="E15" i="4"/>
  <c r="F16" i="1" s="1"/>
  <c r="E33" i="4"/>
  <c r="E37" i="3"/>
  <c r="D15" i="2" l="1"/>
  <c r="E14" i="1" s="1"/>
  <c r="E13" i="1" s="1"/>
  <c r="E18" i="1" s="1"/>
  <c r="E17" i="1" s="1"/>
  <c r="G13" i="1"/>
  <c r="G18" i="1" s="1"/>
  <c r="G17" i="1" s="1"/>
  <c r="F13" i="1"/>
  <c r="F18" i="1" s="1"/>
  <c r="F17" i="1" s="1"/>
</calcChain>
</file>

<file path=xl/sharedStrings.xml><?xml version="1.0" encoding="utf-8"?>
<sst xmlns="http://schemas.openxmlformats.org/spreadsheetml/2006/main" count="374" uniqueCount="163">
  <si>
    <t>Додаток 1</t>
  </si>
  <si>
    <t xml:space="preserve">до рішення виконавчого комітету </t>
  </si>
  <si>
    <t xml:space="preserve">Хмельницької міської ради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</si>
  <si>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</si>
  <si>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</si>
  <si>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</si>
  <si>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</si>
  <si>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для потреб бюджетних установ</t>
  </si>
  <si>
    <t>для потреб інших споживачів</t>
  </si>
  <si>
    <t>для потреб релігійних організацій</t>
  </si>
  <si>
    <t>І</t>
  </si>
  <si>
    <t>Тарифи на теплову енергію без ПДВ,                       у тому числі:</t>
  </si>
  <si>
    <t>Х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</si>
  <si>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</si>
  <si>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</si>
  <si>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</si>
  <si>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</si>
  <si>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</si>
  <si>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</si>
  <si>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</si>
  <si>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</si>
  <si>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</si>
  <si>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</si>
  <si>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</si>
  <si>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</si>
  <si>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</si>
  <si>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</si>
  <si>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</si>
  <si>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</si>
  <si>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</si>
  <si>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</si>
  <si>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</si>
  <si>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</si>
  <si>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</si>
  <si>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</si>
  <si>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</si>
  <si>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</si>
  <si>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</si>
  <si>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</si>
  <si>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</si>
  <si>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</si>
  <si>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</si>
  <si>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</si>
  <si>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</si>
  <si>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</si>
  <si>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</si>
  <si>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</si>
  <si>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</si>
  <si>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</si>
  <si>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</si>
  <si>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</si>
  <si>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</si>
  <si>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</si>
  <si>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</si>
  <si>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</si>
  <si>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</si>
  <si>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</si>
  <si>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</si>
  <si>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</si>
  <si>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</si>
  <si>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</si>
  <si>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</si>
  <si>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</si>
  <si>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</si>
  <si>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</si>
  <si>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</si>
  <si>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</si>
  <si>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</si>
  <si>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</si>
  <si>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</si>
  <si>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</si>
  <si>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</si>
  <si>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</si>
  <si>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</si>
  <si>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</si>
  <si>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Керуючий справами виконавчого комітету</t>
  </si>
  <si>
    <t>Юлія САБІЙ</t>
  </si>
  <si>
    <t>Директор МКП "Хмельницьктеплокомуненерго"</t>
  </si>
  <si>
    <t>Володимир СКАЛІЙ</t>
  </si>
  <si>
    <t>Додаток 2</t>
  </si>
  <si>
    <t>Структура тарифів на виробництво теплової енергії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</si>
  <si>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</si>
  <si>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</si>
  <si>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</si>
  <si>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</si>
  <si>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</si>
  <si>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</si>
  <si>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</si>
  <si>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</si>
  <si>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</si>
  <si>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</si>
  <si>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</si>
  <si>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</si>
  <si>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</si>
  <si>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</si>
  <si>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</si>
  <si>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</si>
  <si>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</si>
  <si>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</si>
  <si>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</si>
  <si>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</si>
  <si>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</si>
  <si>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</si>
  <si>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</si>
  <si>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</si>
  <si>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</si>
  <si>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</si>
  <si>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</si>
  <si>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</si>
  <si>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</si>
  <si>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</si>
  <si>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</si>
  <si>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</si>
  <si>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</si>
  <si>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Додаток 3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</si>
  <si>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</si>
  <si>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</si>
  <si>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</si>
  <si>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</si>
  <si>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</si>
  <si>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>Додаток 4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</si>
  <si>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</si>
  <si>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</si>
  <si>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</si>
  <si>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</si>
  <si>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</si>
  <si>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</si>
  <si>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</si>
  <si>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</si>
  <si>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</si>
  <si>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</si>
  <si>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</si>
  <si>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</si>
  <si>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</si>
  <si>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</si>
  <si>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</si>
  <si>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</si>
  <si>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</si>
  <si>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</si>
  <si>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</si>
  <si>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</si>
  <si>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</si>
  <si>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Додаток 5</t>
  </si>
  <si>
    <t>тариф, грн./куб.м.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</si>
  <si>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</si>
  <si>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</si>
  <si>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</si>
  <si>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</si>
  <si>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 без ПДВ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</si>
  <si>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</si>
  <si>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</si>
  <si>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</si>
  <si>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</si>
  <si>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>Структура тарифів на теплову енергію, грн/Гкал, без ПДВ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</si>
  <si>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</si>
  <si>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</si>
  <si>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</si>
  <si>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 Х</t>
  </si>
  <si>
    <t xml:space="preserve">Структура тарифів на транспортування теплової енергії </t>
  </si>
  <si>
    <t>для потреб населення</t>
  </si>
  <si>
    <t>всього</t>
  </si>
  <si>
    <t>для потреб релігійних установ</t>
  </si>
  <si>
    <t xml:space="preserve">від   24.10.2024  № 1665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</si>
</sst>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₴_-;\-* #,##0.00_₴_-;_-* &quot;-&quot;??_₴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_-* #,##0.00\ _г_р_н_._-;\-* #,##0.00\ _г_р_н_._-;_-* &quot;-&quot;??\ _г_р_н_._-;_-@_-"/>
    <numFmt numFmtId="171" formatCode="dd\ mmm\ yyyy_);;;&quot;  &quot;@"/>
    <numFmt numFmtId="172" formatCode="_([$€]* #,##0.00_);_([$€]* \(#,##0.00\);_([$€]* &quot;-&quot;??_);_(@_)"/>
    <numFmt numFmtId="173" formatCode="#,##0_);\(#,##0\);&quot;- &quot;;&quot;  &quot;@"/>
    <numFmt numFmtId="174" formatCode="0.0_)"/>
    <numFmt numFmtId="175" formatCode="_-* #,##0\ _к_._-;\-* #,##0\ _к_._-;_-* &quot;-&quot;\ _к_._-;_-@_-"/>
    <numFmt numFmtId="176" formatCode="_(* #,##0.00_);_(* \(#,##0.00\);_(* &quot;-&quot;??_);_(@_)"/>
    <numFmt numFmtId="177" formatCode="_-* #,##0.0\ _г_р_н_._-;\-* #,##0.0\ _г_р_н_._-;_-* &quot;-&quot;??\ _г_р_н_.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1"/>
      <scheme val="minor"/>
    </font>
    <font>
      <b/>
      <sz val="1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7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368">
    <xf numFmtId="0" fontId="0" fillId="0" borderId="0"/>
    <xf numFmtId="0" fontId="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12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19" fillId="9" borderId="0" applyNumberFormat="0" applyBorder="0" applyAlignment="0" applyProtection="0"/>
    <xf numFmtId="0" fontId="20" fillId="4" borderId="27" applyNumberFormat="0" applyAlignment="0" applyProtection="0"/>
    <xf numFmtId="0" fontId="20" fillId="4" borderId="27" applyNumberFormat="0" applyAlignment="0" applyProtection="0"/>
    <xf numFmtId="0" fontId="21" fillId="25" borderId="28" applyNumberFormat="0" applyAlignment="0" applyProtection="0"/>
    <xf numFmtId="170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16" fillId="0" borderId="0"/>
    <xf numFmtId="0" fontId="16" fillId="0" borderId="0"/>
    <xf numFmtId="0" fontId="25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8" fillId="0" borderId="29" applyNumberFormat="0" applyFill="0" applyAlignment="0" applyProtection="0"/>
    <xf numFmtId="0" fontId="29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174" fontId="31" fillId="0" borderId="0" applyNumberFormat="0"/>
    <xf numFmtId="0" fontId="32" fillId="0" borderId="0"/>
    <xf numFmtId="0" fontId="33" fillId="5" borderId="27" applyNumberFormat="0" applyAlignment="0" applyProtection="0"/>
    <xf numFmtId="0" fontId="33" fillId="5" borderId="27" applyNumberFormat="0" applyAlignment="0" applyProtection="0"/>
    <xf numFmtId="0" fontId="34" fillId="0" borderId="32" applyNumberFormat="0" applyFill="0" applyAlignment="0" applyProtection="0"/>
    <xf numFmtId="0" fontId="35" fillId="14" borderId="0" applyNumberFormat="0" applyBorder="0" applyAlignment="0" applyProtection="0"/>
    <xf numFmtId="0" fontId="36" fillId="0" borderId="0" applyNumberFormat="0" applyFill="0" applyBorder="0" applyAlignment="0" applyProtection="0"/>
    <xf numFmtId="9" fontId="37" fillId="0" borderId="0"/>
    <xf numFmtId="9" fontId="37" fillId="0" borderId="0"/>
    <xf numFmtId="0" fontId="22" fillId="6" borderId="33" applyNumberFormat="0" applyFont="0" applyAlignment="0" applyProtection="0"/>
    <xf numFmtId="0" fontId="22" fillId="6" borderId="33" applyNumberFormat="0" applyFont="0" applyAlignment="0" applyProtection="0"/>
    <xf numFmtId="0" fontId="38" fillId="4" borderId="34" applyNumberFormat="0" applyAlignment="0" applyProtection="0"/>
    <xf numFmtId="0" fontId="38" fillId="4" borderId="34" applyNumberFormat="0" applyAlignment="0" applyProtection="0"/>
    <xf numFmtId="0" fontId="39" fillId="4" borderId="0">
      <alignment horizontal="center" vertical="center"/>
    </xf>
    <xf numFmtId="0" fontId="40" fillId="4" borderId="0">
      <alignment horizontal="left" vertical="center"/>
    </xf>
    <xf numFmtId="1" fontId="41" fillId="0" borderId="0"/>
    <xf numFmtId="0" fontId="42" fillId="0" borderId="0" applyNumberFormat="0" applyFill="0" applyBorder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18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4" borderId="0" applyNumberFormat="0" applyBorder="0" applyAlignment="0" applyProtection="0"/>
    <xf numFmtId="0" fontId="17" fillId="24" borderId="0" applyNumberFormat="0" applyBorder="0" applyAlignment="0" applyProtection="0"/>
    <xf numFmtId="0" fontId="45" fillId="5" borderId="27" applyNumberFormat="0" applyAlignment="0" applyProtection="0"/>
    <xf numFmtId="0" fontId="33" fillId="5" borderId="27" applyNumberFormat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7" fillId="12" borderId="34" applyNumberFormat="0" applyAlignment="0" applyProtection="0"/>
    <xf numFmtId="0" fontId="38" fillId="12" borderId="34" applyNumberFormat="0" applyAlignment="0" applyProtection="0"/>
    <xf numFmtId="0" fontId="47" fillId="4" borderId="34" applyNumberFormat="0" applyAlignment="0" applyProtection="0"/>
    <xf numFmtId="0" fontId="48" fillId="12" borderId="27" applyNumberFormat="0" applyAlignment="0" applyProtection="0"/>
    <xf numFmtId="0" fontId="20" fillId="12" borderId="27" applyNumberFormat="0" applyAlignment="0" applyProtection="0"/>
    <xf numFmtId="0" fontId="48" fillId="4" borderId="27" applyNumberFormat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9" fontId="46" fillId="0" borderId="0" applyFill="0" applyBorder="0" applyAlignment="0" applyProtection="0"/>
    <xf numFmtId="0" fontId="50" fillId="0" borderId="36" applyNumberFormat="0" applyFill="0" applyAlignment="0" applyProtection="0"/>
    <xf numFmtId="0" fontId="51" fillId="0" borderId="36" applyNumberFormat="0" applyFill="0" applyAlignment="0" applyProtection="0"/>
    <xf numFmtId="0" fontId="50" fillId="0" borderId="36" applyNumberFormat="0" applyFill="0" applyAlignment="0" applyProtection="0"/>
    <xf numFmtId="0" fontId="52" fillId="0" borderId="36" applyNumberFormat="0" applyFill="0" applyAlignment="0" applyProtection="0"/>
    <xf numFmtId="0" fontId="53" fillId="0" borderId="30" applyNumberFormat="0" applyFill="0" applyAlignment="0" applyProtection="0"/>
    <xf numFmtId="0" fontId="54" fillId="0" borderId="30" applyNumberFormat="0" applyFill="0" applyAlignment="0" applyProtection="0"/>
    <xf numFmtId="0" fontId="53" fillId="0" borderId="30" applyNumberFormat="0" applyFill="0" applyAlignment="0" applyProtection="0"/>
    <xf numFmtId="0" fontId="55" fillId="0" borderId="30" applyNumberFormat="0" applyFill="0" applyAlignment="0" applyProtection="0"/>
    <xf numFmtId="0" fontId="56" fillId="0" borderId="37" applyNumberFormat="0" applyFill="0" applyAlignment="0" applyProtection="0"/>
    <xf numFmtId="0" fontId="57" fillId="0" borderId="37" applyNumberFormat="0" applyFill="0" applyAlignment="0" applyProtection="0"/>
    <xf numFmtId="0" fontId="56" fillId="0" borderId="37" applyNumberFormat="0" applyFill="0" applyAlignment="0" applyProtection="0"/>
    <xf numFmtId="0" fontId="58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23" fillId="0" borderId="0"/>
    <xf numFmtId="0" fontId="46" fillId="0" borderId="0"/>
    <xf numFmtId="0" fontId="23" fillId="0" borderId="0"/>
    <xf numFmtId="0" fontId="23" fillId="0" borderId="0"/>
    <xf numFmtId="0" fontId="5" fillId="0" borderId="0"/>
    <xf numFmtId="0" fontId="16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38" applyNumberFormat="0" applyFill="0" applyAlignment="0" applyProtection="0"/>
    <xf numFmtId="0" fontId="43" fillId="0" borderId="38" applyNumberFormat="0" applyFill="0" applyAlignment="0" applyProtection="0"/>
    <xf numFmtId="0" fontId="59" fillId="0" borderId="35" applyNumberFormat="0" applyFill="0" applyAlignment="0" applyProtection="0"/>
    <xf numFmtId="0" fontId="60" fillId="25" borderId="28" applyNumberFormat="0" applyAlignment="0" applyProtection="0"/>
    <xf numFmtId="0" fontId="21" fillId="25" borderId="28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4" borderId="0" applyNumberFormat="0" applyBorder="0" applyAlignment="0" applyProtection="0"/>
    <xf numFmtId="0" fontId="35" fillId="14" borderId="0" applyNumberFormat="0" applyBorder="0" applyAlignment="0" applyProtection="0"/>
    <xf numFmtId="0" fontId="1" fillId="0" borderId="0"/>
    <xf numFmtId="0" fontId="1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9" fillId="0" borderId="0"/>
    <xf numFmtId="0" fontId="66" fillId="0" borderId="0"/>
    <xf numFmtId="0" fontId="66" fillId="0" borderId="0"/>
    <xf numFmtId="0" fontId="66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68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6" fillId="0" borderId="0"/>
    <xf numFmtId="0" fontId="5" fillId="0" borderId="0"/>
    <xf numFmtId="0" fontId="22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2" fillId="0" borderId="0"/>
    <xf numFmtId="0" fontId="15" fillId="0" borderId="0"/>
    <xf numFmtId="0" fontId="65" fillId="0" borderId="0"/>
    <xf numFmtId="0" fontId="1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46" fillId="0" borderId="0"/>
    <xf numFmtId="0" fontId="69" fillId="9" borderId="0" applyNumberFormat="0" applyBorder="0" applyAlignment="0" applyProtection="0"/>
    <xf numFmtId="0" fontId="70" fillId="9" borderId="0" applyNumberFormat="0" applyBorder="0" applyAlignment="0" applyProtection="0"/>
    <xf numFmtId="0" fontId="7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6" borderId="33" applyNumberFormat="0" applyFont="0" applyAlignment="0" applyProtection="0"/>
    <xf numFmtId="0" fontId="49" fillId="6" borderId="33" applyNumberFormat="0" applyFont="0" applyAlignment="0" applyProtection="0"/>
    <xf numFmtId="0" fontId="15" fillId="6" borderId="33" applyNumberFormat="0" applyFont="0" applyAlignment="0" applyProtection="0"/>
    <xf numFmtId="0" fontId="72" fillId="6" borderId="33" applyNumberFormat="0" applyFont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6" fillId="0" borderId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ill="0" applyBorder="0" applyAlignment="0" applyProtection="0"/>
    <xf numFmtId="0" fontId="73" fillId="0" borderId="32" applyNumberFormat="0" applyFill="0" applyAlignment="0" applyProtection="0"/>
    <xf numFmtId="0" fontId="34" fillId="0" borderId="32" applyNumberFormat="0" applyFill="0" applyAlignment="0" applyProtection="0"/>
    <xf numFmtId="0" fontId="74" fillId="0" borderId="0"/>
    <xf numFmtId="0" fontId="75" fillId="0" borderId="39">
      <alignment vertical="center" wrapText="1"/>
    </xf>
    <xf numFmtId="0" fontId="49" fillId="0" borderId="0">
      <alignment vertical="justify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6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7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8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4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</cellStyleXfs>
  <cellXfs count="268">
    <xf numFmtId="0" fontId="0" fillId="0" borderId="0" xfId="0"/>
    <xf numFmtId="0" fontId="4" fillId="0" borderId="0" xfId="1"/>
    <xf numFmtId="0" fontId="6" fillId="0" borderId="0" xfId="1" applyFont="1"/>
    <xf numFmtId="0" fontId="4" fillId="0" borderId="6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top" wrapText="1"/>
    </xf>
    <xf numFmtId="0" fontId="9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6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2" fontId="4" fillId="3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9" xfId="1" applyBorder="1" applyAlignment="1">
      <alignment horizontal="center" vertical="center"/>
    </xf>
    <xf numFmtId="0" fontId="4" fillId="0" borderId="7" xfId="1" applyBorder="1" applyAlignment="1">
      <alignment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4" fillId="0" borderId="10" xfId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0" fontId="4" fillId="0" borderId="0" xfId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0" fontId="8" fillId="0" borderId="0" xfId="1" applyFont="1" applyBorder="1"/>
    <xf numFmtId="0" fontId="14" fillId="0" borderId="0" xfId="1" applyFont="1"/>
    <xf numFmtId="0" fontId="4" fillId="0" borderId="0" xfId="1" applyAlignment="1">
      <alignment vertical="center"/>
    </xf>
    <xf numFmtId="0" fontId="4" fillId="0" borderId="0" xfId="1" applyFont="1"/>
    <xf numFmtId="2" fontId="4" fillId="0" borderId="0" xfId="1" applyNumberFormat="1"/>
    <xf numFmtId="0" fontId="3" fillId="0" borderId="0" xfId="1" applyFont="1" applyAlignment="1"/>
    <xf numFmtId="0" fontId="1" fillId="0" borderId="47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78" fillId="0" borderId="0" xfId="0" applyFont="1"/>
    <xf numFmtId="0" fontId="78" fillId="0" borderId="0" xfId="1" applyFont="1"/>
    <xf numFmtId="0" fontId="1" fillId="0" borderId="9" xfId="1" applyFont="1" applyBorder="1" applyAlignment="1">
      <alignment horizontal="center" vertical="center" wrapText="1"/>
    </xf>
    <xf numFmtId="0" fontId="79" fillId="0" borderId="9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7" fillId="0" borderId="56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/>
    </xf>
    <xf numFmtId="0" fontId="7" fillId="3" borderId="56" xfId="1" applyFont="1" applyFill="1" applyBorder="1" applyAlignment="1">
      <alignment horizontal="center" vertical="center"/>
    </xf>
    <xf numFmtId="0" fontId="7" fillId="0" borderId="42" xfId="1" applyFont="1" applyBorder="1" applyAlignment="1">
      <alignment horizontal="left" vertical="center" wrapText="1"/>
    </xf>
    <xf numFmtId="0" fontId="1" fillId="0" borderId="42" xfId="1" applyFont="1" applyBorder="1" applyAlignment="1">
      <alignment horizontal="left" vertical="center" wrapText="1"/>
    </xf>
    <xf numFmtId="0" fontId="7" fillId="3" borderId="42" xfId="1" applyFont="1" applyFill="1" applyBorder="1" applyAlignment="1" applyProtection="1">
      <alignment wrapText="1"/>
    </xf>
    <xf numFmtId="0" fontId="1" fillId="3" borderId="42" xfId="1" applyFont="1" applyFill="1" applyBorder="1" applyAlignment="1" applyProtection="1">
      <alignment wrapText="1"/>
    </xf>
    <xf numFmtId="0" fontId="1" fillId="0" borderId="42" xfId="1" applyFont="1" applyBorder="1" applyAlignment="1">
      <alignment horizontal="left"/>
    </xf>
    <xf numFmtId="0" fontId="8" fillId="0" borderId="0" xfId="1" applyFont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2" fontId="4" fillId="3" borderId="17" xfId="1" applyNumberFormat="1" applyFont="1" applyFill="1" applyBorder="1" applyAlignment="1">
      <alignment horizontal="center" vertical="center" wrapText="1"/>
    </xf>
    <xf numFmtId="2" fontId="4" fillId="3" borderId="15" xfId="1" applyNumberFormat="1" applyFont="1" applyFill="1" applyBorder="1" applyAlignment="1">
      <alignment horizontal="center" vertical="center" wrapText="1"/>
    </xf>
    <xf numFmtId="2" fontId="4" fillId="3" borderId="7" xfId="1" applyNumberFormat="1" applyFont="1" applyFill="1" applyBorder="1" applyAlignment="1">
      <alignment horizontal="center" vertical="center" wrapText="1"/>
    </xf>
    <xf numFmtId="2" fontId="4" fillId="3" borderId="50" xfId="1" applyNumberFormat="1" applyFill="1" applyBorder="1" applyAlignment="1">
      <alignment horizontal="center" vertical="center" wrapText="1"/>
    </xf>
    <xf numFmtId="2" fontId="4" fillId="3" borderId="8" xfId="1" applyNumberFormat="1" applyFill="1" applyBorder="1" applyAlignment="1">
      <alignment horizontal="center" vertical="center" wrapText="1"/>
    </xf>
    <xf numFmtId="2" fontId="4" fillId="3" borderId="3" xfId="1" applyNumberFormat="1" applyFill="1" applyBorder="1" applyAlignment="1">
      <alignment horizontal="center" vertical="center" wrapText="1"/>
    </xf>
    <xf numFmtId="2" fontId="4" fillId="3" borderId="12" xfId="1" applyNumberFormat="1" applyFill="1" applyBorder="1" applyAlignment="1">
      <alignment horizontal="center" vertical="center" wrapText="1"/>
    </xf>
    <xf numFmtId="2" fontId="4" fillId="3" borderId="6" xfId="1" applyNumberFormat="1" applyFill="1" applyBorder="1" applyAlignment="1">
      <alignment horizontal="center" vertical="center" wrapText="1"/>
    </xf>
    <xf numFmtId="0" fontId="4" fillId="3" borderId="6" xfId="1" applyFill="1" applyBorder="1" applyAlignment="1">
      <alignment horizontal="center" vertical="center" wrapText="1"/>
    </xf>
    <xf numFmtId="0" fontId="4" fillId="3" borderId="2" xfId="1" applyFill="1" applyBorder="1" applyAlignment="1">
      <alignment horizontal="center" vertical="center" wrapText="1"/>
    </xf>
    <xf numFmtId="0" fontId="4" fillId="3" borderId="12" xfId="1" applyFill="1" applyBorder="1" applyAlignment="1">
      <alignment horizontal="center" vertical="center" wrapText="1"/>
    </xf>
    <xf numFmtId="0" fontId="4" fillId="3" borderId="13" xfId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3" borderId="21" xfId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24" xfId="1" applyFill="1" applyBorder="1" applyAlignment="1">
      <alignment horizontal="center" vertical="center" wrapText="1"/>
    </xf>
    <xf numFmtId="0" fontId="4" fillId="3" borderId="5" xfId="1" applyFill="1" applyBorder="1" applyAlignment="1">
      <alignment horizontal="center" vertical="center" wrapText="1"/>
    </xf>
    <xf numFmtId="0" fontId="4" fillId="3" borderId="25" xfId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6" xfId="1" applyFill="1" applyBorder="1" applyAlignment="1">
      <alignment horizontal="center" vertical="top" wrapText="1"/>
    </xf>
    <xf numFmtId="0" fontId="4" fillId="3" borderId="2" xfId="1" applyFill="1" applyBorder="1" applyAlignment="1">
      <alignment horizontal="center" vertical="top" wrapText="1"/>
    </xf>
    <xf numFmtId="0" fontId="4" fillId="3" borderId="12" xfId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top" wrapText="1"/>
    </xf>
    <xf numFmtId="0" fontId="4" fillId="3" borderId="7" xfId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center" wrapText="1"/>
    </xf>
    <xf numFmtId="169" fontId="4" fillId="3" borderId="6" xfId="1" applyNumberFormat="1" applyFill="1" applyBorder="1" applyAlignment="1">
      <alignment horizontal="center" vertical="center" wrapText="1"/>
    </xf>
    <xf numFmtId="169" fontId="4" fillId="3" borderId="6" xfId="1" applyNumberFormat="1" applyFont="1" applyFill="1" applyBorder="1" applyAlignment="1">
      <alignment horizontal="center" vertical="center" wrapText="1"/>
    </xf>
    <xf numFmtId="2" fontId="7" fillId="3" borderId="6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  <xf numFmtId="2" fontId="4" fillId="3" borderId="6" xfId="1" applyNumberFormat="1" applyFill="1" applyBorder="1" applyAlignment="1">
      <alignment horizontal="center" vertical="top" wrapText="1"/>
    </xf>
    <xf numFmtId="2" fontId="1" fillId="3" borderId="6" xfId="1" applyNumberFormat="1" applyFont="1" applyFill="1" applyBorder="1" applyAlignment="1">
      <alignment horizontal="center" vertical="top" wrapText="1"/>
    </xf>
    <xf numFmtId="2" fontId="4" fillId="3" borderId="6" xfId="1" applyNumberFormat="1" applyFont="1" applyFill="1" applyBorder="1" applyAlignment="1">
      <alignment horizontal="center" vertical="top" wrapText="1"/>
    </xf>
    <xf numFmtId="2" fontId="7" fillId="3" borderId="6" xfId="1" applyNumberFormat="1" applyFont="1" applyFill="1" applyBorder="1" applyAlignment="1">
      <alignment horizontal="center" vertical="center" wrapText="1"/>
    </xf>
    <xf numFmtId="2" fontId="11" fillId="3" borderId="6" xfId="1" applyNumberFormat="1" applyFont="1" applyFill="1" applyBorder="1" applyAlignment="1">
      <alignment horizontal="center" vertical="center" wrapText="1"/>
    </xf>
    <xf numFmtId="2" fontId="7" fillId="3" borderId="39" xfId="1" applyNumberFormat="1" applyFont="1" applyFill="1" applyBorder="1" applyAlignment="1">
      <alignment horizontal="center" vertical="center" wrapText="1"/>
    </xf>
    <xf numFmtId="2" fontId="1" fillId="3" borderId="39" xfId="1" applyNumberFormat="1" applyFont="1" applyFill="1" applyBorder="1" applyAlignment="1">
      <alignment horizontal="center" vertical="center" wrapText="1"/>
    </xf>
    <xf numFmtId="2" fontId="1" fillId="3" borderId="39" xfId="1" applyNumberFormat="1" applyFont="1" applyFill="1" applyBorder="1" applyAlignment="1">
      <alignment horizontal="center"/>
    </xf>
    <xf numFmtId="2" fontId="7" fillId="3" borderId="39" xfId="1" applyNumberFormat="1" applyFont="1" applyFill="1" applyBorder="1" applyAlignment="1">
      <alignment horizontal="center" vertical="center"/>
    </xf>
    <xf numFmtId="2" fontId="79" fillId="3" borderId="48" xfId="1" applyNumberFormat="1" applyFont="1" applyFill="1" applyBorder="1" applyAlignment="1">
      <alignment horizontal="center" vertical="center" wrapText="1"/>
    </xf>
    <xf numFmtId="2" fontId="79" fillId="3" borderId="49" xfId="1" applyNumberFormat="1" applyFont="1" applyFill="1" applyBorder="1" applyAlignment="1">
      <alignment horizontal="center" vertical="center" wrapText="1"/>
    </xf>
    <xf numFmtId="2" fontId="7" fillId="3" borderId="41" xfId="1" applyNumberFormat="1" applyFont="1" applyFill="1" applyBorder="1" applyAlignment="1">
      <alignment horizontal="center" vertical="center" wrapText="1"/>
    </xf>
    <xf numFmtId="2" fontId="1" fillId="3" borderId="41" xfId="1" applyNumberFormat="1" applyFont="1" applyFill="1" applyBorder="1" applyAlignment="1">
      <alignment horizontal="center" vertical="center" wrapText="1"/>
    </xf>
    <xf numFmtId="2" fontId="1" fillId="3" borderId="41" xfId="1" applyNumberFormat="1" applyFont="1" applyFill="1" applyBorder="1" applyAlignment="1">
      <alignment horizontal="center"/>
    </xf>
    <xf numFmtId="2" fontId="7" fillId="3" borderId="41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2" fontId="7" fillId="3" borderId="2" xfId="1" applyNumberFormat="1" applyFont="1" applyFill="1" applyBorder="1" applyAlignment="1">
      <alignment horizontal="center" vertical="center" wrapText="1"/>
    </xf>
    <xf numFmtId="2" fontId="4" fillId="3" borderId="2" xfId="1" applyNumberFormat="1" applyFill="1" applyBorder="1" applyAlignment="1">
      <alignment horizontal="center" vertical="center" wrapText="1"/>
    </xf>
    <xf numFmtId="2" fontId="1" fillId="3" borderId="6" xfId="1" applyNumberFormat="1" applyFont="1" applyFill="1" applyBorder="1" applyAlignment="1">
      <alignment horizontal="center" vertical="center" wrapText="1"/>
    </xf>
    <xf numFmtId="1" fontId="7" fillId="3" borderId="6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1" fontId="1" fillId="3" borderId="6" xfId="1" applyNumberFormat="1" applyFont="1" applyFill="1" applyBorder="1" applyAlignment="1">
      <alignment horizontal="center" vertical="center" wrapText="1"/>
    </xf>
    <xf numFmtId="2" fontId="13" fillId="3" borderId="6" xfId="1" applyNumberFormat="1" applyFont="1" applyFill="1" applyBorder="1" applyAlignment="1">
      <alignment horizontal="center" vertical="center" wrapText="1"/>
    </xf>
    <xf numFmtId="2" fontId="10" fillId="3" borderId="6" xfId="1" applyNumberFormat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7" fillId="3" borderId="14" xfId="1" applyNumberFormat="1" applyFont="1" applyFill="1" applyBorder="1" applyAlignment="1">
      <alignment horizontal="center" vertical="center" wrapText="1"/>
    </xf>
    <xf numFmtId="2" fontId="7" fillId="3" borderId="5" xfId="1" applyNumberFormat="1" applyFont="1" applyFill="1" applyBorder="1" applyAlignment="1">
      <alignment horizontal="center" vertical="center" wrapText="1"/>
    </xf>
    <xf numFmtId="2" fontId="3" fillId="3" borderId="18" xfId="1" applyNumberFormat="1" applyFont="1" applyFill="1" applyBorder="1" applyAlignment="1">
      <alignment horizontal="center" vertical="center" wrapText="1"/>
    </xf>
    <xf numFmtId="2" fontId="7" fillId="3" borderId="12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vertical="center" wrapText="1"/>
    </xf>
    <xf numFmtId="0" fontId="4" fillId="3" borderId="22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vertical="center" wrapText="1"/>
    </xf>
    <xf numFmtId="0" fontId="7" fillId="3" borderId="13" xfId="1" applyFont="1" applyFill="1" applyBorder="1" applyAlignment="1">
      <alignment vertical="center" wrapText="1"/>
    </xf>
    <xf numFmtId="0" fontId="4" fillId="3" borderId="9" xfId="1" applyFill="1" applyBorder="1" applyAlignment="1">
      <alignment horizontal="center"/>
    </xf>
    <xf numFmtId="0" fontId="4" fillId="3" borderId="7" xfId="1" applyFill="1" applyBorder="1" applyAlignment="1">
      <alignment wrapText="1"/>
    </xf>
    <xf numFmtId="49" fontId="3" fillId="3" borderId="18" xfId="1" applyNumberFormat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vertical="center" wrapText="1"/>
    </xf>
    <xf numFmtId="49" fontId="4" fillId="3" borderId="14" xfId="1" applyNumberFormat="1" applyFill="1" applyBorder="1" applyAlignment="1">
      <alignment horizontal="center" vertical="center" wrapText="1"/>
    </xf>
    <xf numFmtId="0" fontId="4" fillId="3" borderId="20" xfId="1" applyFill="1" applyBorder="1" applyAlignment="1">
      <alignment vertical="center" wrapText="1"/>
    </xf>
    <xf numFmtId="49" fontId="4" fillId="3" borderId="7" xfId="1" applyNumberFormat="1" applyFill="1" applyBorder="1" applyAlignment="1">
      <alignment horizontal="center" vertical="center" wrapText="1"/>
    </xf>
    <xf numFmtId="49" fontId="4" fillId="3" borderId="18" xfId="1" applyNumberFormat="1" applyFill="1" applyBorder="1" applyAlignment="1">
      <alignment horizontal="center" vertical="center" wrapText="1"/>
    </xf>
    <xf numFmtId="0" fontId="4" fillId="3" borderId="19" xfId="1" applyFill="1" applyBorder="1" applyAlignment="1">
      <alignment vertical="center" wrapText="1"/>
    </xf>
    <xf numFmtId="0" fontId="4" fillId="3" borderId="7" xfId="1" applyFill="1" applyBorder="1" applyAlignment="1">
      <alignment vertical="center" wrapText="1"/>
    </xf>
    <xf numFmtId="0" fontId="4" fillId="2" borderId="26" xfId="1" applyFill="1" applyBorder="1" applyAlignment="1">
      <alignment horizontal="center" vertical="center"/>
    </xf>
    <xf numFmtId="0" fontId="4" fillId="2" borderId="18" xfId="1" applyFill="1" applyBorder="1" applyAlignment="1">
      <alignment vertical="center" wrapText="1"/>
    </xf>
    <xf numFmtId="0" fontId="11" fillId="0" borderId="0" xfId="1" applyFont="1" applyBorder="1" applyAlignment="1">
      <alignment horizontal="right" vertical="center" wrapText="1"/>
    </xf>
    <xf numFmtId="0" fontId="1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80" fillId="0" borderId="0" xfId="1" applyFont="1" applyBorder="1" applyAlignment="1">
      <alignment vertical="center" wrapText="1"/>
    </xf>
    <xf numFmtId="0" fontId="80" fillId="0" borderId="0" xfId="1" applyFont="1" applyBorder="1" applyAlignment="1">
      <alignment vertical="center"/>
    </xf>
    <xf numFmtId="2" fontId="80" fillId="0" borderId="0" xfId="1" applyNumberFormat="1" applyFont="1" applyBorder="1" applyAlignment="1">
      <alignment vertical="center" wrapText="1"/>
    </xf>
    <xf numFmtId="2" fontId="11" fillId="0" borderId="0" xfId="1" applyNumberFormat="1" applyFont="1" applyBorder="1" applyAlignment="1">
      <alignment vertical="center" wrapText="1"/>
    </xf>
    <xf numFmtId="0" fontId="11" fillId="0" borderId="0" xfId="1" applyFont="1" applyBorder="1"/>
    <xf numFmtId="0" fontId="80" fillId="0" borderId="0" xfId="1" applyFont="1" applyBorder="1" applyAlignment="1">
      <alignment vertical="top" wrapText="1"/>
    </xf>
    <xf numFmtId="0" fontId="11" fillId="0" borderId="0" xfId="1" applyFont="1" applyBorder="1" applyAlignment="1">
      <alignment vertical="top" wrapText="1"/>
    </xf>
    <xf numFmtId="2" fontId="1" fillId="3" borderId="39" xfId="1" applyNumberFormat="1" applyFont="1" applyFill="1" applyBorder="1" applyAlignment="1">
      <alignment horizontal="center" vertical="center"/>
    </xf>
    <xf numFmtId="2" fontId="1" fillId="3" borderId="41" xfId="1" applyNumberFormat="1" applyFont="1" applyFill="1" applyBorder="1" applyAlignment="1">
      <alignment horizontal="center" vertical="center"/>
    </xf>
    <xf numFmtId="0" fontId="1" fillId="3" borderId="43" xfId="1" applyFont="1" applyFill="1" applyBorder="1" applyAlignment="1" applyProtection="1">
      <alignment wrapText="1"/>
    </xf>
    <xf numFmtId="2" fontId="1" fillId="3" borderId="44" xfId="1" applyNumberFormat="1" applyFont="1" applyFill="1" applyBorder="1" applyAlignment="1">
      <alignment horizontal="center" vertical="center"/>
    </xf>
    <xf numFmtId="2" fontId="1" fillId="3" borderId="45" xfId="1" applyNumberFormat="1" applyFont="1" applyFill="1" applyBorder="1" applyAlignment="1">
      <alignment horizontal="center" vertical="center"/>
    </xf>
    <xf numFmtId="16" fontId="1" fillId="0" borderId="56" xfId="1" applyNumberFormat="1" applyFont="1" applyBorder="1" applyAlignment="1">
      <alignment horizontal="center" vertical="center"/>
    </xf>
    <xf numFmtId="0" fontId="1" fillId="0" borderId="57" xfId="1" applyFont="1" applyBorder="1" applyAlignment="1">
      <alignment horizontal="center" vertical="center"/>
    </xf>
    <xf numFmtId="0" fontId="4" fillId="0" borderId="63" xfId="1" applyBorder="1" applyAlignment="1">
      <alignment horizontal="center" vertical="center" wrapText="1"/>
    </xf>
    <xf numFmtId="0" fontId="4" fillId="0" borderId="66" xfId="1" applyBorder="1" applyAlignment="1">
      <alignment horizontal="center" vertical="center" wrapText="1"/>
    </xf>
    <xf numFmtId="0" fontId="4" fillId="0" borderId="67" xfId="1" applyBorder="1" applyAlignment="1">
      <alignment horizontal="center" vertical="center" wrapText="1"/>
    </xf>
    <xf numFmtId="0" fontId="3" fillId="3" borderId="66" xfId="1" applyFont="1" applyFill="1" applyBorder="1" applyAlignment="1">
      <alignment horizontal="center" vertical="center" wrapText="1"/>
    </xf>
    <xf numFmtId="2" fontId="3" fillId="3" borderId="68" xfId="1" applyNumberFormat="1" applyFont="1" applyFill="1" applyBorder="1" applyAlignment="1">
      <alignment horizontal="center" vertical="center" wrapText="1"/>
    </xf>
    <xf numFmtId="0" fontId="4" fillId="3" borderId="66" xfId="1" applyFill="1" applyBorder="1" applyAlignment="1">
      <alignment horizontal="center" vertical="center" wrapText="1"/>
    </xf>
    <xf numFmtId="2" fontId="7" fillId="3" borderId="68" xfId="1" applyNumberFormat="1" applyFont="1" applyFill="1" applyBorder="1" applyAlignment="1">
      <alignment horizontal="center" vertical="center" wrapText="1"/>
    </xf>
    <xf numFmtId="49" fontId="4" fillId="3" borderId="66" xfId="1" applyNumberFormat="1" applyFill="1" applyBorder="1" applyAlignment="1">
      <alignment horizontal="center" vertical="center" wrapText="1"/>
    </xf>
    <xf numFmtId="2" fontId="7" fillId="3" borderId="68" xfId="1" applyNumberFormat="1" applyFont="1" applyFill="1" applyBorder="1" applyAlignment="1">
      <alignment horizontal="center" vertical="top" wrapText="1"/>
    </xf>
    <xf numFmtId="49" fontId="3" fillId="3" borderId="66" xfId="1" applyNumberFormat="1" applyFont="1" applyFill="1" applyBorder="1" applyAlignment="1">
      <alignment horizontal="center" vertical="center" wrapText="1"/>
    </xf>
    <xf numFmtId="2" fontId="3" fillId="3" borderId="68" xfId="1" applyNumberFormat="1" applyFont="1" applyFill="1" applyBorder="1" applyAlignment="1">
      <alignment horizontal="center" vertical="top" wrapText="1"/>
    </xf>
    <xf numFmtId="2" fontId="4" fillId="3" borderId="68" xfId="1" applyNumberFormat="1" applyFill="1" applyBorder="1" applyAlignment="1">
      <alignment horizontal="center" vertical="center" wrapText="1"/>
    </xf>
    <xf numFmtId="2" fontId="4" fillId="3" borderId="68" xfId="1" applyNumberFormat="1" applyFill="1" applyBorder="1" applyAlignment="1">
      <alignment horizontal="center" vertical="top" wrapText="1"/>
    </xf>
    <xf numFmtId="2" fontId="4" fillId="3" borderId="68" xfId="1" applyNumberFormat="1" applyFont="1" applyFill="1" applyBorder="1" applyAlignment="1">
      <alignment horizontal="center" vertical="top" wrapText="1"/>
    </xf>
    <xf numFmtId="49" fontId="7" fillId="3" borderId="66" xfId="1" applyNumberFormat="1" applyFont="1" applyFill="1" applyBorder="1" applyAlignment="1">
      <alignment horizontal="center" vertical="center" wrapText="1"/>
    </xf>
    <xf numFmtId="0" fontId="7" fillId="2" borderId="69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wrapText="1"/>
    </xf>
    <xf numFmtId="2" fontId="7" fillId="2" borderId="11" xfId="1" applyNumberFormat="1" applyFont="1" applyFill="1" applyBorder="1" applyAlignment="1">
      <alignment horizontal="center" vertical="center" wrapText="1"/>
    </xf>
    <xf numFmtId="2" fontId="7" fillId="2" borderId="70" xfId="1" applyNumberFormat="1" applyFont="1" applyFill="1" applyBorder="1" applyAlignment="1">
      <alignment horizontal="center" vertical="center" wrapText="1"/>
    </xf>
    <xf numFmtId="0" fontId="3" fillId="0" borderId="66" xfId="1" applyFont="1" applyBorder="1" applyAlignment="1">
      <alignment horizontal="center" vertical="center" wrapText="1"/>
    </xf>
    <xf numFmtId="0" fontId="7" fillId="3" borderId="66" xfId="1" applyFont="1" applyFill="1" applyBorder="1" applyAlignment="1">
      <alignment horizontal="center" vertical="center" wrapText="1"/>
    </xf>
    <xf numFmtId="2" fontId="4" fillId="3" borderId="68" xfId="1" applyNumberFormat="1" applyFont="1" applyFill="1" applyBorder="1" applyAlignment="1">
      <alignment horizontal="center" vertical="center" wrapText="1"/>
    </xf>
    <xf numFmtId="0" fontId="7" fillId="3" borderId="68" xfId="1" applyFont="1" applyFill="1" applyBorder="1" applyAlignment="1">
      <alignment horizontal="center" vertical="center" wrapText="1"/>
    </xf>
    <xf numFmtId="169" fontId="4" fillId="3" borderId="68" xfId="1" applyNumberFormat="1" applyFill="1" applyBorder="1" applyAlignment="1">
      <alignment horizontal="center" vertical="center" wrapText="1"/>
    </xf>
    <xf numFmtId="169" fontId="4" fillId="3" borderId="68" xfId="1" applyNumberFormat="1" applyFont="1" applyFill="1" applyBorder="1" applyAlignment="1">
      <alignment horizontal="center" vertical="center" wrapText="1"/>
    </xf>
    <xf numFmtId="0" fontId="7" fillId="2" borderId="69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left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70" xfId="1" applyFont="1" applyFill="1" applyBorder="1" applyAlignment="1">
      <alignment horizontal="center" vertical="center" wrapText="1"/>
    </xf>
    <xf numFmtId="0" fontId="3" fillId="3" borderId="69" xfId="1" applyFont="1" applyFill="1" applyBorder="1" applyAlignment="1">
      <alignment horizontal="center" vertical="center" wrapText="1"/>
    </xf>
    <xf numFmtId="2" fontId="3" fillId="3" borderId="70" xfId="1" applyNumberFormat="1" applyFont="1" applyFill="1" applyBorder="1" applyAlignment="1">
      <alignment horizontal="center" vertical="center" wrapText="1"/>
    </xf>
    <xf numFmtId="0" fontId="3" fillId="3" borderId="65" xfId="1" applyFont="1" applyFill="1" applyBorder="1" applyAlignment="1">
      <alignment horizontal="center" vertical="center" wrapText="1"/>
    </xf>
    <xf numFmtId="2" fontId="7" fillId="3" borderId="67" xfId="1" applyNumberFormat="1" applyFont="1" applyFill="1" applyBorder="1" applyAlignment="1">
      <alignment horizontal="center" vertical="center" wrapText="1"/>
    </xf>
    <xf numFmtId="49" fontId="4" fillId="3" borderId="66" xfId="1" applyNumberFormat="1" applyFont="1" applyFill="1" applyBorder="1" applyAlignment="1">
      <alignment horizontal="center" vertical="center" wrapText="1"/>
    </xf>
    <xf numFmtId="2" fontId="10" fillId="3" borderId="68" xfId="1" applyNumberFormat="1" applyFont="1" applyFill="1" applyBorder="1" applyAlignment="1">
      <alignment horizontal="center" vertical="center" wrapText="1"/>
    </xf>
    <xf numFmtId="49" fontId="7" fillId="3" borderId="72" xfId="1" applyNumberFormat="1" applyFont="1" applyFill="1" applyBorder="1" applyAlignment="1">
      <alignment horizontal="center" vertical="center" wrapText="1"/>
    </xf>
    <xf numFmtId="0" fontId="4" fillId="3" borderId="73" xfId="1" applyFont="1" applyFill="1" applyBorder="1" applyAlignment="1">
      <alignment horizontal="center" vertical="top" wrapText="1"/>
    </xf>
    <xf numFmtId="2" fontId="4" fillId="2" borderId="74" xfId="1" applyNumberFormat="1" applyFont="1" applyFill="1" applyBorder="1" applyAlignment="1">
      <alignment horizontal="center" vertical="center" wrapText="1"/>
    </xf>
    <xf numFmtId="0" fontId="4" fillId="2" borderId="74" xfId="1" applyFont="1" applyFill="1" applyBorder="1" applyAlignment="1">
      <alignment horizontal="center" vertical="center" wrapText="1"/>
    </xf>
    <xf numFmtId="2" fontId="4" fillId="2" borderId="19" xfId="1" applyNumberFormat="1" applyFont="1" applyFill="1" applyBorder="1" applyAlignment="1">
      <alignment horizontal="center" vertical="center" wrapText="1"/>
    </xf>
    <xf numFmtId="0" fontId="1" fillId="0" borderId="66" xfId="1" applyFont="1" applyBorder="1" applyAlignment="1">
      <alignment horizontal="center" vertical="center" wrapText="1"/>
    </xf>
    <xf numFmtId="2" fontId="1" fillId="3" borderId="68" xfId="1" applyNumberFormat="1" applyFont="1" applyFill="1" applyBorder="1" applyAlignment="1">
      <alignment horizontal="center" vertical="center" wrapText="1"/>
    </xf>
    <xf numFmtId="0" fontId="7" fillId="2" borderId="66" xfId="1" applyFont="1" applyFill="1" applyBorder="1" applyAlignment="1">
      <alignment horizontal="center" vertical="center" wrapText="1"/>
    </xf>
    <xf numFmtId="2" fontId="7" fillId="2" borderId="68" xfId="1" applyNumberFormat="1" applyFont="1" applyFill="1" applyBorder="1" applyAlignment="1">
      <alignment horizontal="center" vertical="center" wrapText="1"/>
    </xf>
    <xf numFmtId="49" fontId="4" fillId="0" borderId="66" xfId="1" applyNumberFormat="1" applyBorder="1" applyAlignment="1">
      <alignment horizontal="center" vertical="center" wrapText="1"/>
    </xf>
    <xf numFmtId="2" fontId="4" fillId="0" borderId="68" xfId="1" applyNumberFormat="1" applyBorder="1" applyAlignment="1">
      <alignment horizontal="center" vertical="center" wrapText="1"/>
    </xf>
    <xf numFmtId="49" fontId="4" fillId="0" borderId="66" xfId="1" applyNumberFormat="1" applyBorder="1" applyAlignment="1">
      <alignment horizontal="center" vertical="center"/>
    </xf>
    <xf numFmtId="49" fontId="4" fillId="0" borderId="66" xfId="1" applyNumberFormat="1" applyFont="1" applyBorder="1" applyAlignment="1">
      <alignment horizontal="center" vertical="center"/>
    </xf>
    <xf numFmtId="49" fontId="7" fillId="2" borderId="66" xfId="1" applyNumberFormat="1" applyFont="1" applyFill="1" applyBorder="1" applyAlignment="1">
      <alignment horizontal="center" vertical="center" wrapText="1"/>
    </xf>
    <xf numFmtId="49" fontId="4" fillId="0" borderId="66" xfId="1" applyNumberFormat="1" applyFont="1" applyBorder="1" applyAlignment="1">
      <alignment horizontal="center" vertical="center" wrapText="1"/>
    </xf>
    <xf numFmtId="2" fontId="11" fillId="3" borderId="68" xfId="1" applyNumberFormat="1" applyFont="1" applyFill="1" applyBorder="1" applyAlignment="1">
      <alignment horizontal="center" vertical="center" wrapText="1"/>
    </xf>
    <xf numFmtId="49" fontId="7" fillId="2" borderId="72" xfId="1" applyNumberFormat="1" applyFont="1" applyFill="1" applyBorder="1" applyAlignment="1">
      <alignment horizontal="center" vertical="center" wrapText="1"/>
    </xf>
    <xf numFmtId="2" fontId="4" fillId="3" borderId="76" xfId="1" applyNumberFormat="1" applyFill="1" applyBorder="1" applyAlignment="1">
      <alignment horizontal="center" vertical="center" wrapText="1"/>
    </xf>
    <xf numFmtId="2" fontId="4" fillId="3" borderId="77" xfId="1" applyNumberFormat="1" applyFill="1" applyBorder="1" applyAlignment="1">
      <alignment horizontal="center" vertical="center" wrapText="1"/>
    </xf>
    <xf numFmtId="2" fontId="7" fillId="0" borderId="39" xfId="1" applyNumberFormat="1" applyFont="1" applyFill="1" applyBorder="1" applyAlignment="1">
      <alignment horizontal="center" vertical="center" wrapText="1"/>
    </xf>
    <xf numFmtId="0" fontId="79" fillId="0" borderId="47" xfId="1" applyFont="1" applyFill="1" applyBorder="1" applyAlignment="1" applyProtection="1">
      <alignment vertical="center" wrapText="1"/>
    </xf>
    <xf numFmtId="0" fontId="11" fillId="3" borderId="0" xfId="1" applyFont="1" applyFill="1" applyBorder="1" applyAlignment="1">
      <alignment vertical="center" wrapText="1"/>
    </xf>
    <xf numFmtId="0" fontId="11" fillId="3" borderId="0" xfId="1" applyFont="1" applyFill="1"/>
    <xf numFmtId="0" fontId="78" fillId="3" borderId="0" xfId="1" applyFont="1" applyFill="1" applyBorder="1" applyAlignment="1" applyProtection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5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7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61" xfId="1" applyBorder="1" applyAlignment="1">
      <alignment vertical="center" wrapText="1"/>
    </xf>
    <xf numFmtId="0" fontId="4" fillId="0" borderId="65" xfId="1" applyBorder="1" applyAlignment="1">
      <alignment vertical="center" wrapText="1"/>
    </xf>
    <xf numFmtId="0" fontId="4" fillId="0" borderId="62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4" fillId="0" borderId="71" xfId="1" applyBorder="1" applyAlignment="1">
      <alignment horizontal="center" vertical="center" wrapText="1"/>
    </xf>
    <xf numFmtId="0" fontId="4" fillId="0" borderId="63" xfId="1" applyBorder="1" applyAlignment="1">
      <alignment horizontal="center" vertical="center" wrapText="1"/>
    </xf>
    <xf numFmtId="0" fontId="4" fillId="0" borderId="20" xfId="1" applyBorder="1" applyAlignment="1">
      <alignment horizontal="center" vertical="center" wrapText="1"/>
    </xf>
    <xf numFmtId="0" fontId="4" fillId="0" borderId="64" xfId="1" applyBorder="1" applyAlignment="1">
      <alignment horizontal="center" vertical="center" wrapText="1"/>
    </xf>
    <xf numFmtId="0" fontId="1" fillId="0" borderId="60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3" fillId="3" borderId="58" xfId="1" applyFont="1" applyFill="1" applyBorder="1" applyAlignment="1" applyProtection="1">
      <alignment horizontal="center" wrapText="1"/>
    </xf>
    <xf numFmtId="0" fontId="3" fillId="3" borderId="51" xfId="1" applyFont="1" applyFill="1" applyBorder="1" applyAlignment="1" applyProtection="1">
      <alignment horizontal="center" wrapText="1"/>
    </xf>
    <xf numFmtId="0" fontId="3" fillId="3" borderId="52" xfId="1" applyFont="1" applyFill="1" applyBorder="1" applyAlignment="1" applyProtection="1">
      <alignment horizontal="center" wrapText="1"/>
    </xf>
    <xf numFmtId="0" fontId="1" fillId="0" borderId="9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22" xfId="1" applyFont="1" applyBorder="1" applyAlignment="1">
      <alignment horizontal="center"/>
    </xf>
    <xf numFmtId="0" fontId="81" fillId="0" borderId="0" xfId="1" applyFont="1" applyAlignment="1">
      <alignment horizontal="center"/>
    </xf>
    <xf numFmtId="0" fontId="1" fillId="0" borderId="53" xfId="1" applyFont="1" applyBorder="1" applyAlignment="1">
      <alignment vertical="center" wrapText="1"/>
    </xf>
    <xf numFmtId="0" fontId="1" fillId="0" borderId="54" xfId="1" applyFont="1" applyBorder="1" applyAlignment="1"/>
    <xf numFmtId="0" fontId="1" fillId="0" borderId="26" xfId="1" applyFont="1" applyBorder="1" applyAlignment="1"/>
    <xf numFmtId="0" fontId="1" fillId="0" borderId="53" xfId="1" applyFont="1" applyBorder="1" applyAlignment="1">
      <alignment horizontal="center" vertical="center" wrapText="1"/>
    </xf>
    <xf numFmtId="0" fontId="1" fillId="0" borderId="40" xfId="1" applyFont="1" applyBorder="1" applyAlignment="1"/>
    <xf numFmtId="0" fontId="1" fillId="0" borderId="46" xfId="1" applyFont="1" applyBorder="1" applyAlignment="1"/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" xfId="0" builtinId="0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\Tariff\&#1058;&#1072;&#1088;&#1080;&#1092;&#1080;\2021\&#1053;&#1086;&#1074;&#1080;&#1081;%20&#1090;&#1072;&#1088;&#1080;&#1092;%20&#1087;&#1086;&#1089;&#1090;&#1072;&#1085;&#1086;&#1074;&#1072;%20869%20&#1046;&#1050;&#1043;\&#1057;&#1090;&#1088;&#1091;&#1082;&#1090;&#1091;&#1088;&#1072;%20&#1090;&#1072;&#1088;&#1080;&#1092;&#1110;&#1074;\ALL_TRANZIT\&#1055;&#1045;&#1042;\&#1053;&#1072;&#1090;&#1072;&#1096;&#1072;%20&#1052;&#1072;&#1088;&#1082;&#1086;&#1074;&#1072;\&#1052;&#1086;&#1080;%20&#1076;&#1086;&#1082;&#1091;&#1084;&#1077;&#1085;&#1090;&#1099;\PEV20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Lead"/>
      <sheetName val="XREF"/>
      <sheetName val="Depreciation"/>
      <sheetName val="assump"/>
      <sheetName val="м_812"/>
      <sheetName val="СправСтатей"/>
      <sheetName val="СправСтатейРасхУК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 t="str">
            <v/>
          </cell>
          <cell r="AJ207" t="str">
            <v/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 t="str">
            <v xml:space="preserve"> 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 t="str">
            <v/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 t="str">
            <v/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 t="str">
            <v/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 t="str">
            <v/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 t="str">
            <v/>
          </cell>
          <cell r="AJ207" t="str">
            <v/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 t="str">
            <v/>
          </cell>
          <cell r="T187" t="str">
            <v/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 t="str">
            <v/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 t="str">
            <v/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 t="str">
            <v/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 t="str">
            <v/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 t="str">
            <v/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 t="str">
            <v/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 t="str">
            <v/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 t="str">
            <v/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 t="str">
            <v/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 t="str">
            <v/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 t="str">
            <v/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 t="str">
            <v/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zoomScale="80" zoomScaleNormal="80" zoomScaleSheetLayoutView="80" workbookViewId="0">
      <selection activeCell="A5" sqref="A5:G5"/>
    </sheetView>
  </sheetViews>
  <sheetFormatPr defaultRowHeight="15"/>
  <cols>
    <col min="1" max="1" width="5.28515625" style="1" customWidth="1"/>
    <col min="2" max="2" width="44.7109375" style="1" customWidth="1"/>
    <col min="3" max="7" width="15.7109375" style="1" customWidth="1"/>
    <col min="8" max="9" width="11.7109375" style="1" bestFit="1" customWidth="1"/>
    <col min="10" max="12" width="11.42578125" style="1" bestFit="1" customWidth="1"/>
    <col min="13" max="16384" width="9.140625" style="1"/>
  </cols>
  <sheetData>
    <row r="1" spans="1:11">
      <c r="A1" s="28"/>
      <c r="B1" s="28"/>
      <c r="C1" s="28"/>
      <c r="D1" s="28"/>
      <c r="E1" s="28"/>
      <c r="F1" s="56" t="s">
        <v>0</v>
      </c>
      <c r="G1" s="57"/>
      <c r="H1" s="2"/>
    </row>
    <row r="2" spans="1:11">
      <c r="A2" s="28"/>
      <c r="B2" s="28"/>
      <c r="C2" s="28"/>
      <c r="D2" s="28"/>
      <c r="E2" s="28"/>
      <c r="F2" s="56" t="s">
        <v>1</v>
      </c>
      <c r="G2" s="57"/>
      <c r="H2" s="2"/>
    </row>
    <row r="3" spans="1:11">
      <c r="A3" s="28"/>
      <c r="B3" s="28"/>
      <c r="C3" s="28"/>
      <c r="D3" s="28"/>
      <c r="E3" s="28"/>
      <c r="F3" s="56" t="s">
        <v>2</v>
      </c>
      <c r="G3" s="57"/>
      <c r="H3" s="2"/>
    </row>
    <row r="4" spans="1:11">
      <c r="A4" s="28"/>
      <c r="B4" s="28"/>
      <c r="C4" s="28"/>
      <c r="D4" s="28"/>
      <c r="E4" s="28"/>
      <c r="F4" s="56" t="s">
        <v>162</v>
      </c>
      <c r="G4" s="57"/>
      <c r="H4" s="2"/>
    </row>
    <row r="5" spans="1:11">
      <c r="A5" s="237" t="s">
        <v>3</v>
      </c>
      <c r="B5" s="237"/>
      <c r="C5" s="237"/>
      <c r="D5" s="237"/>
      <c r="E5" s="237"/>
      <c r="F5" s="237"/>
      <c r="G5" s="237"/>
    </row>
    <row r="6" spans="1:11" ht="14.25" customHeight="1">
      <c r="A6" s="238" t="s">
        <v>4</v>
      </c>
      <c r="B6" s="238"/>
      <c r="C6" s="238"/>
      <c r="D6" s="238"/>
      <c r="E6" s="238"/>
      <c r="F6" s="238"/>
      <c r="G6" s="238"/>
    </row>
    <row r="7" spans="1:11" ht="7.5" hidden="1" customHeight="1"/>
    <row r="9" spans="1:11" ht="6" customHeight="1" thickBot="1"/>
    <row r="10" spans="1:11" ht="21.6" customHeight="1" thickBot="1">
      <c r="A10" s="239" t="s">
        <v>5</v>
      </c>
      <c r="B10" s="241" t="s">
        <v>6</v>
      </c>
      <c r="C10" s="243" t="s">
        <v>153</v>
      </c>
      <c r="D10" s="243"/>
      <c r="E10" s="243"/>
      <c r="F10" s="243"/>
      <c r="G10" s="244"/>
    </row>
    <row r="11" spans="1:11" ht="66.75" customHeight="1" thickBot="1">
      <c r="A11" s="240"/>
      <c r="B11" s="242"/>
      <c r="C11" s="14" t="s">
        <v>160</v>
      </c>
      <c r="D11" s="3" t="s">
        <v>159</v>
      </c>
      <c r="E11" s="3" t="s">
        <v>7</v>
      </c>
      <c r="F11" s="4" t="s">
        <v>8</v>
      </c>
      <c r="G11" s="5" t="s">
        <v>9</v>
      </c>
    </row>
    <row r="12" spans="1:11" ht="15.75" thickBot="1">
      <c r="A12" s="175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176">
        <v>7</v>
      </c>
    </row>
    <row r="13" spans="1:11" ht="30.75" thickBot="1">
      <c r="A13" s="193" t="s">
        <v>10</v>
      </c>
      <c r="B13" s="6" t="s">
        <v>11</v>
      </c>
      <c r="C13" s="3" t="s">
        <v>12</v>
      </c>
      <c r="D13" s="100">
        <f t="shared" ref="D13:E13" si="0">SUM(D14:D16)</f>
        <v>1914.1100000000001</v>
      </c>
      <c r="E13" s="100">
        <f t="shared" si="0"/>
        <v>2992.27</v>
      </c>
      <c r="F13" s="100">
        <f>SUM(F14:F16)</f>
        <v>3095.7999999999997</v>
      </c>
      <c r="G13" s="178">
        <f>SUM(G14:G16)</f>
        <v>3115.21</v>
      </c>
      <c r="H13" s="7"/>
      <c r="I13" s="7"/>
      <c r="K13" s="8"/>
    </row>
    <row r="14" spans="1:11" ht="33" customHeight="1" thickBot="1">
      <c r="A14" s="214">
        <v>1</v>
      </c>
      <c r="B14" s="9" t="s">
        <v>13</v>
      </c>
      <c r="C14" s="9" t="s">
        <v>12</v>
      </c>
      <c r="D14" s="123">
        <f>Виробництво!C15</f>
        <v>1473.9</v>
      </c>
      <c r="E14" s="123">
        <f>Виробництво!D15</f>
        <v>2410.9500000000003</v>
      </c>
      <c r="F14" s="123">
        <f>Виробництво!E15</f>
        <v>2531.44</v>
      </c>
      <c r="G14" s="215">
        <f>Виробництво!F15</f>
        <v>2553.34</v>
      </c>
    </row>
    <row r="15" spans="1:11" ht="15.75" thickBot="1">
      <c r="A15" s="214">
        <v>2</v>
      </c>
      <c r="B15" s="9" t="s">
        <v>154</v>
      </c>
      <c r="C15" s="9" t="s">
        <v>12</v>
      </c>
      <c r="D15" s="123">
        <f>Транспортування!C13</f>
        <v>434.72</v>
      </c>
      <c r="E15" s="123">
        <f>Транспортування!D13</f>
        <v>575.83000000000004</v>
      </c>
      <c r="F15" s="123">
        <f>Транспортування!E13</f>
        <v>558.87</v>
      </c>
      <c r="G15" s="215">
        <f>Транспортування!F13</f>
        <v>556.38</v>
      </c>
    </row>
    <row r="16" spans="1:11" ht="15.75" thickBot="1">
      <c r="A16" s="214">
        <v>3</v>
      </c>
      <c r="B16" s="9" t="s">
        <v>14</v>
      </c>
      <c r="C16" s="9" t="s">
        <v>12</v>
      </c>
      <c r="D16" s="123">
        <f>Постачання!C15</f>
        <v>5.49</v>
      </c>
      <c r="E16" s="123">
        <f>Постачання!D15</f>
        <v>5.49</v>
      </c>
      <c r="F16" s="123">
        <f>Постачання!E15</f>
        <v>5.49</v>
      </c>
      <c r="G16" s="215">
        <f>Постачання!F15</f>
        <v>5.49</v>
      </c>
    </row>
    <row r="17" spans="1:12" ht="15.75" thickBot="1">
      <c r="A17" s="214">
        <v>4</v>
      </c>
      <c r="B17" s="9" t="s">
        <v>155</v>
      </c>
      <c r="C17" s="9" t="s">
        <v>12</v>
      </c>
      <c r="D17" s="123">
        <f>D18-D13</f>
        <v>382.82200000000012</v>
      </c>
      <c r="E17" s="123">
        <f>E18-E13</f>
        <v>598.45399999999972</v>
      </c>
      <c r="F17" s="123">
        <f>F18-F13</f>
        <v>619.15999999999985</v>
      </c>
      <c r="G17" s="215">
        <f>G18-G13</f>
        <v>623.04199999999992</v>
      </c>
    </row>
    <row r="18" spans="1:12" ht="30.75" thickBot="1">
      <c r="A18" s="193">
        <v>5</v>
      </c>
      <c r="B18" s="6" t="s">
        <v>156</v>
      </c>
      <c r="C18" s="6" t="s">
        <v>157</v>
      </c>
      <c r="D18" s="100">
        <f>D13*1.2</f>
        <v>2296.9320000000002</v>
      </c>
      <c r="E18" s="100">
        <f>E13*1.2</f>
        <v>3590.7239999999997</v>
      </c>
      <c r="F18" s="100">
        <f>F13*1.2</f>
        <v>3714.9599999999996</v>
      </c>
      <c r="G18" s="178">
        <f>G13*1.2</f>
        <v>3738.252</v>
      </c>
    </row>
    <row r="19" spans="1:12" ht="15.75" thickBot="1">
      <c r="A19" s="193" t="s">
        <v>15</v>
      </c>
      <c r="B19" s="233" t="s">
        <v>16</v>
      </c>
      <c r="C19" s="234"/>
      <c r="D19" s="234"/>
      <c r="E19" s="234"/>
      <c r="F19" s="234"/>
      <c r="G19" s="235"/>
    </row>
    <row r="20" spans="1:12" ht="20.25" customHeight="1" thickBot="1">
      <c r="A20" s="216">
        <v>1</v>
      </c>
      <c r="B20" s="10" t="s">
        <v>17</v>
      </c>
      <c r="C20" s="11">
        <f>ROUND((C21+C29+C30+C34),2)</f>
        <v>999022.24</v>
      </c>
      <c r="D20" s="11">
        <f t="shared" ref="D20:G20" si="1">ROUND((D21+D29+D30+D34),2)</f>
        <v>731364.02</v>
      </c>
      <c r="E20" s="11">
        <f t="shared" si="1"/>
        <v>207871.45</v>
      </c>
      <c r="F20" s="11">
        <f t="shared" si="1"/>
        <v>59339.06</v>
      </c>
      <c r="G20" s="217">
        <f t="shared" si="1"/>
        <v>447.71</v>
      </c>
      <c r="H20" s="12"/>
      <c r="I20" s="12"/>
      <c r="J20" s="12"/>
      <c r="K20" s="12"/>
      <c r="L20" s="12"/>
    </row>
    <row r="21" spans="1:12" ht="24.75" customHeight="1" thickBot="1">
      <c r="A21" s="218" t="s">
        <v>18</v>
      </c>
      <c r="B21" s="13" t="s">
        <v>19</v>
      </c>
      <c r="C21" s="14">
        <f>SUM(C22:C28)</f>
        <v>776656.53000000014</v>
      </c>
      <c r="D21" s="78">
        <f t="shared" ref="D21:G21" si="2">SUM(D22:D28)</f>
        <v>548730.34000000008</v>
      </c>
      <c r="E21" s="14">
        <f t="shared" si="2"/>
        <v>177261.09</v>
      </c>
      <c r="F21" s="14">
        <f t="shared" si="2"/>
        <v>50287.329999999994</v>
      </c>
      <c r="G21" s="219">
        <f t="shared" si="2"/>
        <v>377.77</v>
      </c>
      <c r="H21" s="12"/>
      <c r="I21" s="12"/>
      <c r="J21" s="12"/>
      <c r="K21" s="12"/>
      <c r="L21" s="12"/>
    </row>
    <row r="22" spans="1:12" ht="30.75" thickBot="1">
      <c r="A22" s="220" t="s">
        <v>20</v>
      </c>
      <c r="B22" s="15" t="s">
        <v>21</v>
      </c>
      <c r="C22" s="78">
        <f>SUM(D22:G22)</f>
        <v>669577.77</v>
      </c>
      <c r="D22" s="109">
        <v>468103.17</v>
      </c>
      <c r="E22" s="78">
        <v>154740.04</v>
      </c>
      <c r="F22" s="78">
        <v>46374.28</v>
      </c>
      <c r="G22" s="185">
        <v>360.28</v>
      </c>
      <c r="H22" s="12"/>
      <c r="I22" s="16"/>
      <c r="J22" s="16"/>
      <c r="K22" s="12"/>
      <c r="L22" s="12"/>
    </row>
    <row r="23" spans="1:12" ht="66" customHeight="1" thickBot="1">
      <c r="A23" s="220" t="s">
        <v>22</v>
      </c>
      <c r="B23" s="17" t="s">
        <v>23</v>
      </c>
      <c r="C23" s="14">
        <f>SUM(D23:G23)</f>
        <v>58084.399999999994</v>
      </c>
      <c r="D23" s="78">
        <v>40621.56</v>
      </c>
      <c r="E23" s="78">
        <v>15535.24</v>
      </c>
      <c r="F23" s="78">
        <v>1925.22</v>
      </c>
      <c r="G23" s="185">
        <v>2.38</v>
      </c>
      <c r="H23" s="12"/>
      <c r="I23" s="12"/>
      <c r="J23" s="12"/>
      <c r="K23" s="12"/>
      <c r="L23" s="12"/>
    </row>
    <row r="24" spans="1:12" ht="43.9" customHeight="1" thickBot="1">
      <c r="A24" s="220" t="s">
        <v>24</v>
      </c>
      <c r="B24" s="15" t="s">
        <v>25</v>
      </c>
      <c r="C24" s="14">
        <v>0</v>
      </c>
      <c r="D24" s="78">
        <v>0</v>
      </c>
      <c r="E24" s="78">
        <v>0</v>
      </c>
      <c r="F24" s="78">
        <v>0</v>
      </c>
      <c r="G24" s="185">
        <v>0</v>
      </c>
      <c r="H24" s="12"/>
      <c r="I24" s="12"/>
      <c r="J24" s="12"/>
      <c r="K24" s="12"/>
      <c r="L24" s="12"/>
    </row>
    <row r="25" spans="1:12" ht="46.5" customHeight="1" thickBot="1">
      <c r="A25" s="220" t="s">
        <v>26</v>
      </c>
      <c r="B25" s="15" t="s">
        <v>27</v>
      </c>
      <c r="C25" s="14">
        <v>0</v>
      </c>
      <c r="D25" s="78">
        <v>0</v>
      </c>
      <c r="E25" s="78">
        <v>0</v>
      </c>
      <c r="F25" s="78">
        <v>0</v>
      </c>
      <c r="G25" s="185">
        <v>0</v>
      </c>
      <c r="H25" s="12"/>
      <c r="I25" s="12"/>
      <c r="J25" s="12"/>
      <c r="K25" s="12"/>
      <c r="L25" s="12"/>
    </row>
    <row r="26" spans="1:12" ht="45.75" customHeight="1" thickBot="1">
      <c r="A26" s="220" t="s">
        <v>28</v>
      </c>
      <c r="B26" s="15" t="s">
        <v>29</v>
      </c>
      <c r="C26" s="78">
        <f>SUM(D26:G26)</f>
        <v>32162.26</v>
      </c>
      <c r="D26" s="78">
        <v>26277</v>
      </c>
      <c r="E26" s="78">
        <v>4569.9799999999996</v>
      </c>
      <c r="F26" s="78">
        <v>1305.3399999999999</v>
      </c>
      <c r="G26" s="185">
        <v>9.94</v>
      </c>
      <c r="H26" s="12"/>
      <c r="I26" s="16"/>
      <c r="J26" s="16"/>
      <c r="K26" s="12"/>
      <c r="L26" s="12"/>
    </row>
    <row r="27" spans="1:12" ht="33.75" customHeight="1" thickBot="1">
      <c r="A27" s="220" t="s">
        <v>30</v>
      </c>
      <c r="B27" s="15" t="s">
        <v>31</v>
      </c>
      <c r="C27" s="78">
        <f>SUM(D27:G27)</f>
        <v>3320.3100000000004</v>
      </c>
      <c r="D27" s="78">
        <v>2699.8</v>
      </c>
      <c r="E27" s="78">
        <v>485.11</v>
      </c>
      <c r="F27" s="78">
        <v>134.38999999999999</v>
      </c>
      <c r="G27" s="185">
        <v>1.01</v>
      </c>
      <c r="H27" s="12"/>
      <c r="I27" s="18"/>
      <c r="J27" s="16"/>
      <c r="K27" s="12"/>
      <c r="L27" s="12"/>
    </row>
    <row r="28" spans="1:12" ht="30.75" thickBot="1">
      <c r="A28" s="220" t="s">
        <v>32</v>
      </c>
      <c r="B28" s="15" t="s">
        <v>33</v>
      </c>
      <c r="C28" s="78">
        <f>SUM(D28:G28)</f>
        <v>13511.789999999999</v>
      </c>
      <c r="D28" s="78">
        <v>11028.81</v>
      </c>
      <c r="E28" s="78">
        <v>1930.72</v>
      </c>
      <c r="F28" s="78">
        <v>548.1</v>
      </c>
      <c r="G28" s="185">
        <v>4.16</v>
      </c>
      <c r="H28" s="12"/>
      <c r="I28" s="18"/>
      <c r="J28" s="16"/>
      <c r="K28" s="12"/>
      <c r="L28" s="12"/>
    </row>
    <row r="29" spans="1:12" ht="15.75" thickBot="1">
      <c r="A29" s="218" t="s">
        <v>34</v>
      </c>
      <c r="B29" s="15" t="s">
        <v>35</v>
      </c>
      <c r="C29" s="78">
        <f>SUM(D29:G29)</f>
        <v>144129.83000000002</v>
      </c>
      <c r="D29" s="78">
        <v>118401.16</v>
      </c>
      <c r="E29" s="78">
        <v>19815.599999999999</v>
      </c>
      <c r="F29" s="78">
        <v>5867.7</v>
      </c>
      <c r="G29" s="185">
        <v>45.37</v>
      </c>
      <c r="H29" s="12"/>
      <c r="I29" s="18"/>
      <c r="J29" s="16"/>
      <c r="K29" s="12"/>
      <c r="L29" s="12"/>
    </row>
    <row r="30" spans="1:12" ht="15.75" thickBot="1">
      <c r="A30" s="218" t="s">
        <v>36</v>
      </c>
      <c r="B30" s="19" t="s">
        <v>37</v>
      </c>
      <c r="C30" s="105">
        <f>ROUND(SUM(C31:C33),2)</f>
        <v>64640.98</v>
      </c>
      <c r="D30" s="105">
        <f>ROUND(SUM(D31:D33),2)</f>
        <v>53053.79</v>
      </c>
      <c r="E30" s="105">
        <f>ROUND(SUM(E31:E33),2)</f>
        <v>8936.65</v>
      </c>
      <c r="F30" s="105">
        <f>ROUND(SUM(F31:F33),2)</f>
        <v>2630.27</v>
      </c>
      <c r="G30" s="186">
        <f>ROUND(SUM(G31:G33),2)</f>
        <v>20.27</v>
      </c>
      <c r="H30" s="12"/>
      <c r="I30" s="18"/>
      <c r="J30" s="16"/>
      <c r="K30" s="12"/>
      <c r="L30" s="12"/>
    </row>
    <row r="31" spans="1:12" ht="15.75" thickBot="1">
      <c r="A31" s="220" t="s">
        <v>38</v>
      </c>
      <c r="B31" s="15" t="s">
        <v>39</v>
      </c>
      <c r="C31" s="78">
        <f>SUM(D31:G31)</f>
        <v>31708.559999999998</v>
      </c>
      <c r="D31" s="78">
        <v>26048.26</v>
      </c>
      <c r="E31" s="78">
        <v>4359.43</v>
      </c>
      <c r="F31" s="78">
        <v>1290.8900000000001</v>
      </c>
      <c r="G31" s="185">
        <v>9.98</v>
      </c>
      <c r="H31" s="12"/>
      <c r="I31" s="18"/>
      <c r="J31" s="16"/>
      <c r="K31" s="12"/>
      <c r="L31" s="12"/>
    </row>
    <row r="32" spans="1:12" ht="17.25" customHeight="1" thickBot="1">
      <c r="A32" s="220" t="s">
        <v>40</v>
      </c>
      <c r="B32" s="15" t="s">
        <v>41</v>
      </c>
      <c r="C32" s="78">
        <f t="shared" ref="C32:C41" si="3">SUM(D32:G32)</f>
        <v>26148.639999999999</v>
      </c>
      <c r="D32" s="78">
        <v>21427.66</v>
      </c>
      <c r="E32" s="78">
        <v>3649.76</v>
      </c>
      <c r="F32" s="78">
        <v>1063.06</v>
      </c>
      <c r="G32" s="185">
        <v>8.16</v>
      </c>
      <c r="H32" s="12"/>
      <c r="I32" s="18"/>
      <c r="J32" s="16"/>
      <c r="K32" s="12"/>
      <c r="L32" s="12"/>
    </row>
    <row r="33" spans="1:12" ht="15.75" thickBot="1">
      <c r="A33" s="220" t="s">
        <v>42</v>
      </c>
      <c r="B33" s="15" t="s">
        <v>43</v>
      </c>
      <c r="C33" s="78">
        <f t="shared" si="3"/>
        <v>6783.78</v>
      </c>
      <c r="D33" s="20">
        <v>5577.87</v>
      </c>
      <c r="E33" s="78">
        <v>927.46</v>
      </c>
      <c r="F33" s="78">
        <v>276.32</v>
      </c>
      <c r="G33" s="185">
        <v>2.13</v>
      </c>
      <c r="H33" s="12"/>
      <c r="I33" s="18"/>
      <c r="J33" s="16"/>
      <c r="K33" s="12"/>
      <c r="L33" s="12"/>
    </row>
    <row r="34" spans="1:12" ht="15.75" thickBot="1">
      <c r="A34" s="221" t="s">
        <v>44</v>
      </c>
      <c r="B34" s="19" t="s">
        <v>45</v>
      </c>
      <c r="C34" s="20">
        <f>ROUND(SUM(C35:C37),2)</f>
        <v>13594.9</v>
      </c>
      <c r="D34" s="78">
        <f>ROUND(SUM(D35:D37),2)</f>
        <v>11178.73</v>
      </c>
      <c r="E34" s="78">
        <f>ROUND(SUM(E35:E37),2)</f>
        <v>1858.11</v>
      </c>
      <c r="F34" s="78">
        <f>ROUND(SUM(F35:F37),2)</f>
        <v>553.76</v>
      </c>
      <c r="G34" s="185">
        <f>ROUND(SUM(G35:G37),2)</f>
        <v>4.3</v>
      </c>
      <c r="H34" s="12"/>
      <c r="I34" s="18"/>
      <c r="J34" s="16"/>
      <c r="K34" s="12"/>
      <c r="L34" s="12"/>
    </row>
    <row r="35" spans="1:12" ht="24.75" customHeight="1" thickBot="1">
      <c r="A35" s="221" t="s">
        <v>46</v>
      </c>
      <c r="B35" s="21" t="s">
        <v>47</v>
      </c>
      <c r="C35" s="78">
        <f t="shared" si="3"/>
        <v>10736.189999999999</v>
      </c>
      <c r="D35" s="20">
        <v>8828.09</v>
      </c>
      <c r="E35" s="78">
        <v>1467.39</v>
      </c>
      <c r="F35" s="78">
        <v>437.32</v>
      </c>
      <c r="G35" s="185">
        <v>3.39</v>
      </c>
      <c r="H35" s="12"/>
      <c r="I35" s="18"/>
      <c r="J35" s="16"/>
      <c r="K35" s="12"/>
      <c r="L35" s="12"/>
    </row>
    <row r="36" spans="1:12" ht="15.75" thickBot="1">
      <c r="A36" s="221" t="s">
        <v>48</v>
      </c>
      <c r="B36" s="21" t="s">
        <v>39</v>
      </c>
      <c r="C36" s="78">
        <f t="shared" si="3"/>
        <v>2361.9500000000003</v>
      </c>
      <c r="D36" s="20">
        <v>1942.17</v>
      </c>
      <c r="E36" s="78">
        <v>322.82</v>
      </c>
      <c r="F36" s="78">
        <v>96.21</v>
      </c>
      <c r="G36" s="185">
        <v>0.75</v>
      </c>
      <c r="H36" s="12"/>
      <c r="I36" s="18"/>
      <c r="J36" s="16"/>
      <c r="K36" s="12"/>
      <c r="L36" s="12"/>
    </row>
    <row r="37" spans="1:12" ht="22.5" customHeight="1" thickBot="1">
      <c r="A37" s="221" t="s">
        <v>150</v>
      </c>
      <c r="B37" s="21" t="s">
        <v>50</v>
      </c>
      <c r="C37" s="78">
        <f t="shared" si="3"/>
        <v>496.76000000000005</v>
      </c>
      <c r="D37" s="20">
        <v>408.47</v>
      </c>
      <c r="E37" s="78">
        <v>67.900000000000006</v>
      </c>
      <c r="F37" s="78">
        <v>20.23</v>
      </c>
      <c r="G37" s="185">
        <v>0.16</v>
      </c>
      <c r="H37" s="12"/>
      <c r="I37" s="18"/>
      <c r="J37" s="16"/>
      <c r="K37" s="12"/>
      <c r="L37" s="12"/>
    </row>
    <row r="38" spans="1:12" ht="32.25" customHeight="1" thickBot="1">
      <c r="A38" s="222" t="s">
        <v>51</v>
      </c>
      <c r="B38" s="10" t="s">
        <v>52</v>
      </c>
      <c r="C38" s="108">
        <f>ROUND(SUM(C39:C41),2)</f>
        <v>19226.3</v>
      </c>
      <c r="D38" s="108">
        <f>ROUND(SUM(D39:D41),2)</f>
        <v>15809.27</v>
      </c>
      <c r="E38" s="108">
        <f>ROUND(SUM(E39:E41),2)</f>
        <v>2627.8</v>
      </c>
      <c r="F38" s="108">
        <f>ROUND(SUM(F39:F41),2)</f>
        <v>783.16</v>
      </c>
      <c r="G38" s="180">
        <f>ROUND(SUM(G39:G41),2)</f>
        <v>6.07</v>
      </c>
      <c r="H38" s="12"/>
      <c r="I38" s="18"/>
      <c r="J38" s="16"/>
      <c r="K38" s="12"/>
      <c r="L38" s="12"/>
    </row>
    <row r="39" spans="1:12" ht="21" customHeight="1" thickBot="1">
      <c r="A39" s="223" t="s">
        <v>53</v>
      </c>
      <c r="B39" s="21" t="s">
        <v>47</v>
      </c>
      <c r="C39" s="78">
        <f t="shared" si="3"/>
        <v>15099.190000000002</v>
      </c>
      <c r="D39" s="20">
        <v>12415.67</v>
      </c>
      <c r="E39" s="78">
        <v>2063.71</v>
      </c>
      <c r="F39" s="78">
        <v>615.04</v>
      </c>
      <c r="G39" s="185">
        <v>4.7699999999999996</v>
      </c>
      <c r="H39" s="12"/>
      <c r="I39" s="18"/>
      <c r="J39" s="16"/>
      <c r="K39" s="12"/>
      <c r="L39" s="12"/>
    </row>
    <row r="40" spans="1:12" ht="15.75" thickBot="1">
      <c r="A40" s="223" t="s">
        <v>54</v>
      </c>
      <c r="B40" s="21" t="s">
        <v>39</v>
      </c>
      <c r="C40" s="78">
        <f t="shared" si="3"/>
        <v>3293.8900000000003</v>
      </c>
      <c r="D40" s="20">
        <v>2708.48</v>
      </c>
      <c r="E40" s="78">
        <v>450.21</v>
      </c>
      <c r="F40" s="78">
        <v>134.16999999999999</v>
      </c>
      <c r="G40" s="185">
        <v>1.03</v>
      </c>
      <c r="H40" s="12"/>
      <c r="I40" s="18"/>
      <c r="J40" s="16"/>
      <c r="K40" s="12"/>
      <c r="L40" s="12"/>
    </row>
    <row r="41" spans="1:12" ht="15.75" thickBot="1">
      <c r="A41" s="223" t="s">
        <v>55</v>
      </c>
      <c r="B41" s="21" t="s">
        <v>50</v>
      </c>
      <c r="C41" s="78">
        <f t="shared" si="3"/>
        <v>833.22</v>
      </c>
      <c r="D41" s="20">
        <v>685.12</v>
      </c>
      <c r="E41" s="78">
        <v>113.88</v>
      </c>
      <c r="F41" s="78">
        <v>33.950000000000003</v>
      </c>
      <c r="G41" s="185">
        <v>0.27</v>
      </c>
      <c r="H41" s="12"/>
      <c r="I41" s="18"/>
      <c r="J41" s="16"/>
      <c r="K41" s="12"/>
      <c r="L41" s="12"/>
    </row>
    <row r="42" spans="1:12" ht="15.75" thickBot="1">
      <c r="A42" s="222" t="s">
        <v>56</v>
      </c>
      <c r="B42" s="10" t="s">
        <v>57</v>
      </c>
      <c r="C42" s="108">
        <f>SUM(C43:C45)</f>
        <v>0</v>
      </c>
      <c r="D42" s="108">
        <f>Виробництво!C35+Транспортування!C32+Постачання!C31</f>
        <v>0</v>
      </c>
      <c r="E42" s="108">
        <f>Виробництво!D35+Транспортування!D32+Постачання!D31</f>
        <v>0</v>
      </c>
      <c r="F42" s="108">
        <f>Виробництво!E35+Транспортування!E32+Постачання!E31</f>
        <v>0</v>
      </c>
      <c r="G42" s="180">
        <f>Виробництво!F35+Транспортування!F32+Постачання!F31</f>
        <v>0</v>
      </c>
      <c r="H42" s="12"/>
      <c r="I42" s="18"/>
      <c r="J42" s="12"/>
      <c r="K42" s="12"/>
      <c r="L42" s="12"/>
    </row>
    <row r="43" spans="1:12" ht="15.75" thickBot="1">
      <c r="A43" s="218" t="s">
        <v>58</v>
      </c>
      <c r="B43" s="15" t="s">
        <v>59</v>
      </c>
      <c r="C43" s="20">
        <v>0</v>
      </c>
      <c r="D43" s="78">
        <v>0</v>
      </c>
      <c r="E43" s="78">
        <v>0</v>
      </c>
      <c r="F43" s="78">
        <v>0</v>
      </c>
      <c r="G43" s="185">
        <v>0</v>
      </c>
      <c r="H43" s="12"/>
      <c r="I43" s="18"/>
      <c r="J43" s="12"/>
      <c r="K43" s="12"/>
      <c r="L43" s="12"/>
    </row>
    <row r="44" spans="1:12" ht="15.75" thickBot="1">
      <c r="A44" s="218" t="s">
        <v>60</v>
      </c>
      <c r="B44" s="15" t="s">
        <v>61</v>
      </c>
      <c r="C44" s="20">
        <v>0</v>
      </c>
      <c r="D44" s="20">
        <v>0</v>
      </c>
      <c r="E44" s="20">
        <v>0</v>
      </c>
      <c r="F44" s="20">
        <v>0</v>
      </c>
      <c r="G44" s="195">
        <v>0</v>
      </c>
      <c r="H44" s="12"/>
      <c r="I44" s="18"/>
      <c r="J44" s="12"/>
      <c r="K44" s="12"/>
      <c r="L44" s="12"/>
    </row>
    <row r="45" spans="1:12" ht="15.75" thickBot="1">
      <c r="A45" s="218" t="s">
        <v>62</v>
      </c>
      <c r="B45" s="15" t="s">
        <v>63</v>
      </c>
      <c r="C45" s="78">
        <v>0</v>
      </c>
      <c r="D45" s="78">
        <v>0</v>
      </c>
      <c r="E45" s="78">
        <v>0</v>
      </c>
      <c r="F45" s="78">
        <v>0</v>
      </c>
      <c r="G45" s="185">
        <v>0</v>
      </c>
      <c r="H45" s="12"/>
      <c r="I45" s="18"/>
      <c r="J45" s="12"/>
      <c r="K45" s="12"/>
      <c r="L45" s="12"/>
    </row>
    <row r="46" spans="1:12" ht="30.75" thickBot="1">
      <c r="A46" s="222" t="s">
        <v>64</v>
      </c>
      <c r="B46" s="10" t="s">
        <v>65</v>
      </c>
      <c r="C46" s="129">
        <f>SUM(C47:C49)</f>
        <v>47692.89</v>
      </c>
      <c r="D46" s="129">
        <f t="shared" ref="D46:G46" si="4">SUM(D47:D49)</f>
        <v>35153.199999999997</v>
      </c>
      <c r="E46" s="129">
        <f t="shared" si="4"/>
        <v>9645.43</v>
      </c>
      <c r="F46" s="129">
        <f t="shared" si="4"/>
        <v>2872.2</v>
      </c>
      <c r="G46" s="208">
        <f t="shared" si="4"/>
        <v>22.06</v>
      </c>
      <c r="H46" s="12"/>
      <c r="I46" s="18"/>
      <c r="J46" s="12"/>
      <c r="K46" s="12"/>
      <c r="L46" s="12"/>
    </row>
    <row r="47" spans="1:12" ht="15.75" thickBot="1">
      <c r="A47" s="218" t="s">
        <v>66</v>
      </c>
      <c r="B47" s="15" t="s">
        <v>67</v>
      </c>
      <c r="C47" s="78">
        <f t="shared" ref="C47:C49" si="5">SUM(D47:G47)</f>
        <v>8584.73</v>
      </c>
      <c r="D47" s="109">
        <v>6327.58</v>
      </c>
      <c r="E47" s="109">
        <v>1736.17</v>
      </c>
      <c r="F47" s="109">
        <v>517</v>
      </c>
      <c r="G47" s="224">
        <v>3.98</v>
      </c>
      <c r="H47" s="12"/>
      <c r="I47" s="18"/>
      <c r="J47" s="16"/>
      <c r="K47" s="12"/>
      <c r="L47" s="12"/>
    </row>
    <row r="48" spans="1:12" ht="30.75" thickBot="1">
      <c r="A48" s="218" t="s">
        <v>68</v>
      </c>
      <c r="B48" s="15" t="s">
        <v>69</v>
      </c>
      <c r="C48" s="78">
        <f t="shared" si="5"/>
        <v>0</v>
      </c>
      <c r="D48" s="109">
        <v>0</v>
      </c>
      <c r="E48" s="109">
        <v>0</v>
      </c>
      <c r="F48" s="109">
        <v>0</v>
      </c>
      <c r="G48" s="224">
        <v>0</v>
      </c>
      <c r="H48" s="12"/>
      <c r="I48" s="18"/>
      <c r="J48" s="12"/>
      <c r="K48" s="12"/>
      <c r="L48" s="12"/>
    </row>
    <row r="49" spans="1:12" ht="15.75" thickBot="1">
      <c r="A49" s="218" t="s">
        <v>70</v>
      </c>
      <c r="B49" s="15" t="s">
        <v>71</v>
      </c>
      <c r="C49" s="78">
        <f t="shared" si="5"/>
        <v>39108.159999999996</v>
      </c>
      <c r="D49" s="109">
        <v>28825.62</v>
      </c>
      <c r="E49" s="109">
        <v>7909.26</v>
      </c>
      <c r="F49" s="109">
        <v>2355.1999999999998</v>
      </c>
      <c r="G49" s="224">
        <v>18.079999999999998</v>
      </c>
      <c r="H49" s="12"/>
      <c r="I49" s="18"/>
      <c r="J49" s="16"/>
      <c r="K49" s="12"/>
      <c r="L49" s="12"/>
    </row>
    <row r="50" spans="1:12" ht="15.75" thickBot="1">
      <c r="A50" s="225" t="s">
        <v>72</v>
      </c>
      <c r="B50" s="22" t="s">
        <v>73</v>
      </c>
      <c r="C50" s="129">
        <f>C46+C38+C20</f>
        <v>1065941.43</v>
      </c>
      <c r="D50" s="108">
        <f>ROUND((D20+D38+D42+D43+D44+D45+D46),2)</f>
        <v>782326.49</v>
      </c>
      <c r="E50" s="108">
        <f>ROUND((E20+E38+E42+E43+E44+E45+E46),2)</f>
        <v>220144.68</v>
      </c>
      <c r="F50" s="108">
        <f>ROUND((F20+F38+F42+F43+F44+F45+F46),2)</f>
        <v>62994.42</v>
      </c>
      <c r="G50" s="180">
        <f>ROUND((G20+G38+G42+G43+G44+G45+G46),2)</f>
        <v>475.84</v>
      </c>
      <c r="H50" s="12"/>
      <c r="I50" s="18"/>
      <c r="J50" s="16"/>
      <c r="K50" s="12"/>
      <c r="L50" s="12"/>
    </row>
    <row r="51" spans="1:12" ht="36.75" customHeight="1" thickBot="1">
      <c r="A51" s="23">
        <v>9</v>
      </c>
      <c r="B51" s="24" t="s">
        <v>74</v>
      </c>
      <c r="C51" s="226">
        <f>SUM(D51:G51)</f>
        <v>502786.45</v>
      </c>
      <c r="D51" s="226">
        <f>Транспортування!C44</f>
        <v>408714.21</v>
      </c>
      <c r="E51" s="226">
        <f>Транспортування!D44</f>
        <v>73571.17</v>
      </c>
      <c r="F51" s="226">
        <f>Транспортування!E44</f>
        <v>20348.32</v>
      </c>
      <c r="G51" s="227">
        <f>Транспортування!F44</f>
        <v>152.75</v>
      </c>
      <c r="H51" s="25"/>
      <c r="I51" s="18"/>
      <c r="J51" s="25"/>
      <c r="K51" s="25"/>
      <c r="L51" s="25"/>
    </row>
    <row r="52" spans="1:12" ht="15.75" customHeight="1">
      <c r="A52" s="27"/>
      <c r="B52" s="27"/>
      <c r="C52" s="28"/>
      <c r="D52" s="28"/>
      <c r="E52" s="28"/>
      <c r="F52" s="28"/>
      <c r="G52" s="28"/>
    </row>
    <row r="53" spans="1:12" ht="36" customHeight="1">
      <c r="A53" s="27"/>
      <c r="B53" s="70" t="s">
        <v>75</v>
      </c>
      <c r="C53" s="28"/>
      <c r="D53" s="28"/>
      <c r="E53" s="28"/>
      <c r="F53" s="236" t="s">
        <v>76</v>
      </c>
      <c r="G53" s="236"/>
      <c r="H53" s="28"/>
    </row>
    <row r="54" spans="1:12" ht="9.75" customHeight="1">
      <c r="A54" s="28"/>
      <c r="B54" s="27"/>
      <c r="C54" s="28"/>
      <c r="D54" s="28"/>
      <c r="E54" s="28"/>
      <c r="F54" s="28"/>
      <c r="G54" s="28"/>
    </row>
    <row r="55" spans="1:12" ht="24.75" customHeight="1">
      <c r="A55" s="27"/>
      <c r="B55" s="27" t="s">
        <v>77</v>
      </c>
      <c r="C55" s="28"/>
      <c r="D55" s="28"/>
      <c r="E55" s="28"/>
      <c r="F55" s="28" t="s">
        <v>78</v>
      </c>
      <c r="G55" s="28"/>
    </row>
    <row r="56" spans="1:12">
      <c r="A56" s="27"/>
      <c r="B56" s="27"/>
      <c r="C56" s="28"/>
      <c r="D56" s="28"/>
      <c r="E56" s="28"/>
      <c r="F56" s="28"/>
      <c r="G56" s="28"/>
    </row>
    <row r="57" spans="1:12">
      <c r="A57" s="28"/>
      <c r="B57" s="28"/>
      <c r="C57" s="28"/>
      <c r="D57" s="28"/>
      <c r="E57" s="28"/>
      <c r="F57" s="28"/>
      <c r="G57" s="28"/>
    </row>
  </sheetData>
  <mergeCells count="7">
    <mergeCell ref="B19:G19"/>
    <mergeCell ref="F53:G53"/>
    <mergeCell ref="A5:G5"/>
    <mergeCell ref="A6:G6"/>
    <mergeCell ref="A10:A11"/>
    <mergeCell ref="B10:B11"/>
    <mergeCell ref="C10:G10"/>
  </mergeCells>
  <printOptions horizontalCentered="1"/>
  <pageMargins left="0.25" right="0.25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view="pageBreakPreview" topLeftCell="A43" zoomScale="80" zoomScaleNormal="100" zoomScaleSheetLayoutView="80" workbookViewId="0">
      <selection activeCell="D5" sqref="D5"/>
    </sheetView>
  </sheetViews>
  <sheetFormatPr defaultRowHeight="15"/>
  <cols>
    <col min="1" max="1" width="5.28515625" style="1" customWidth="1"/>
    <col min="2" max="2" width="44.5703125" style="1" customWidth="1"/>
    <col min="3" max="6" width="15.7109375" style="1" customWidth="1"/>
    <col min="7" max="7" width="11.28515625" style="25" customWidth="1"/>
    <col min="8" max="8" width="12.7109375" style="1" bestFit="1" customWidth="1"/>
    <col min="9" max="12" width="9.140625" style="1"/>
    <col min="13" max="16" width="11.5703125" style="1" bestFit="1" customWidth="1"/>
    <col min="17" max="16384" width="9.140625" style="1"/>
  </cols>
  <sheetData>
    <row r="1" spans="1:16">
      <c r="C1" s="28"/>
      <c r="D1" s="56" t="s">
        <v>79</v>
      </c>
      <c r="E1" s="57"/>
      <c r="F1" s="57"/>
      <c r="G1" s="29"/>
    </row>
    <row r="2" spans="1:16">
      <c r="C2" s="28"/>
      <c r="D2" s="56" t="s">
        <v>1</v>
      </c>
      <c r="E2" s="57"/>
      <c r="F2" s="57"/>
      <c r="G2" s="29"/>
    </row>
    <row r="3" spans="1:16">
      <c r="C3" s="28"/>
      <c r="D3" s="56" t="s">
        <v>2</v>
      </c>
      <c r="E3" s="57"/>
      <c r="F3" s="57"/>
      <c r="G3" s="29"/>
    </row>
    <row r="4" spans="1:16">
      <c r="C4" s="28"/>
      <c r="D4" s="56" t="s">
        <v>162</v>
      </c>
      <c r="E4" s="57"/>
      <c r="F4" s="57"/>
      <c r="G4" s="29"/>
    </row>
    <row r="5" spans="1:16">
      <c r="C5" s="28"/>
      <c r="D5" s="56"/>
      <c r="E5" s="57"/>
      <c r="F5" s="57"/>
      <c r="G5" s="29"/>
    </row>
    <row r="6" spans="1:16">
      <c r="C6" s="28"/>
      <c r="D6" s="56"/>
      <c r="E6" s="57"/>
      <c r="F6" s="57"/>
      <c r="G6" s="29"/>
    </row>
    <row r="7" spans="1:16" ht="17.45" customHeight="1">
      <c r="A7" s="238" t="s">
        <v>80</v>
      </c>
      <c r="B7" s="238"/>
      <c r="C7" s="238"/>
      <c r="D7" s="238"/>
      <c r="E7" s="238"/>
      <c r="F7" s="238"/>
      <c r="G7" s="30"/>
    </row>
    <row r="8" spans="1:16" ht="14.25" customHeight="1">
      <c r="A8" s="238" t="s">
        <v>4</v>
      </c>
      <c r="B8" s="238"/>
      <c r="C8" s="238"/>
      <c r="D8" s="238"/>
      <c r="E8" s="238"/>
      <c r="F8" s="238"/>
      <c r="G8" s="30"/>
    </row>
    <row r="9" spans="1:16" ht="7.5" hidden="1" customHeight="1"/>
    <row r="11" spans="1:16" ht="6" customHeight="1" thickBot="1"/>
    <row r="12" spans="1:16" ht="15.6" customHeight="1" thickBot="1">
      <c r="A12" s="239" t="s">
        <v>5</v>
      </c>
      <c r="B12" s="241" t="s">
        <v>6</v>
      </c>
      <c r="C12" s="245" t="s">
        <v>148</v>
      </c>
      <c r="D12" s="246"/>
      <c r="E12" s="246"/>
      <c r="F12" s="247"/>
      <c r="G12" s="31"/>
    </row>
    <row r="13" spans="1:16" ht="61.5" customHeight="1" thickBot="1">
      <c r="A13" s="240"/>
      <c r="B13" s="242"/>
      <c r="C13" s="3" t="s">
        <v>159</v>
      </c>
      <c r="D13" s="3" t="s">
        <v>7</v>
      </c>
      <c r="E13" s="4" t="s">
        <v>8</v>
      </c>
      <c r="F13" s="5" t="s">
        <v>9</v>
      </c>
      <c r="G13" s="32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15.75" thickBot="1">
      <c r="A14" s="175">
        <v>1</v>
      </c>
      <c r="B14" s="3">
        <v>2</v>
      </c>
      <c r="C14" s="3">
        <v>3</v>
      </c>
      <c r="D14" s="3">
        <v>4</v>
      </c>
      <c r="E14" s="4">
        <v>5</v>
      </c>
      <c r="F14" s="34">
        <v>6</v>
      </c>
      <c r="G14" s="31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51.75" customHeight="1" thickBot="1">
      <c r="A15" s="203"/>
      <c r="B15" s="142" t="s">
        <v>81</v>
      </c>
      <c r="C15" s="131">
        <f>ROUND((SUM((C42*C43)+(C44*C48)+C54)/C56),2)-0.01</f>
        <v>1473.9</v>
      </c>
      <c r="D15" s="131">
        <f>ROUND((SUM((D42*D43)+(D44*D48)+D54)/D56),2)+0.01</f>
        <v>2410.9500000000003</v>
      </c>
      <c r="E15" s="131">
        <f>ROUND((SUM((E42*E43)+(E44*E48)+E54)/E56),2)+0.01</f>
        <v>2531.44</v>
      </c>
      <c r="F15" s="204">
        <f>ROUND((SUM((F42*F43)+(F44*F48)+F54)/F56),2)+0.01</f>
        <v>2553.34</v>
      </c>
      <c r="G15" s="35"/>
      <c r="H15" s="36"/>
      <c r="I15" s="37"/>
      <c r="J15" s="38"/>
      <c r="K15" s="37"/>
      <c r="L15" s="37"/>
      <c r="M15" s="33"/>
      <c r="N15" s="33"/>
      <c r="O15" s="33"/>
      <c r="P15" s="33"/>
    </row>
    <row r="16" spans="1:16" s="42" customFormat="1" ht="45.75" customHeight="1" thickBot="1">
      <c r="A16" s="205">
        <v>1</v>
      </c>
      <c r="B16" s="143" t="s">
        <v>82</v>
      </c>
      <c r="C16" s="130">
        <f t="shared" ref="C16:E16" si="0">ROUND((C17+C22+C23+C27),2)</f>
        <v>1385.93</v>
      </c>
      <c r="D16" s="133">
        <f t="shared" si="0"/>
        <v>2406.56</v>
      </c>
      <c r="E16" s="133">
        <f t="shared" si="0"/>
        <v>2406.56</v>
      </c>
      <c r="F16" s="206">
        <f>(F17+F22+F23+F27)</f>
        <v>2406.56</v>
      </c>
      <c r="G16" s="39"/>
      <c r="H16" s="40"/>
      <c r="I16" s="41"/>
      <c r="J16" s="41"/>
      <c r="K16" s="41"/>
      <c r="L16" s="41"/>
      <c r="M16" s="41"/>
      <c r="N16" s="41"/>
      <c r="O16" s="41"/>
      <c r="P16" s="41"/>
    </row>
    <row r="17" spans="1:16" s="42" customFormat="1" ht="15.75" thickBot="1">
      <c r="A17" s="183" t="s">
        <v>18</v>
      </c>
      <c r="B17" s="137" t="s">
        <v>19</v>
      </c>
      <c r="C17" s="108">
        <f>ROUND(SUM(C18:C21),2)</f>
        <v>1051.82</v>
      </c>
      <c r="D17" s="108">
        <f t="shared" ref="D17:E17" si="1">ROUND(SUM(D18:D21),2)</f>
        <v>2072.4499999999998</v>
      </c>
      <c r="E17" s="108">
        <f t="shared" si="1"/>
        <v>2072.4499999999998</v>
      </c>
      <c r="F17" s="180">
        <f>SUM(F18:F21)</f>
        <v>2072.4500000000003</v>
      </c>
      <c r="G17" s="39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30.75" thickBot="1">
      <c r="A18" s="181" t="s">
        <v>20</v>
      </c>
      <c r="B18" s="17" t="s">
        <v>83</v>
      </c>
      <c r="C18" s="78">
        <v>1020.03</v>
      </c>
      <c r="D18" s="78">
        <f>2040.67-0.01</f>
        <v>2040.66</v>
      </c>
      <c r="E18" s="78">
        <f>2040.67-0.01</f>
        <v>2040.66</v>
      </c>
      <c r="F18" s="185">
        <f>2040.67-0.01</f>
        <v>2040.66</v>
      </c>
      <c r="G18" s="157"/>
      <c r="H18" s="158"/>
      <c r="I18" s="43"/>
      <c r="J18" s="43"/>
      <c r="K18" s="43"/>
      <c r="L18" s="43"/>
      <c r="M18" s="37"/>
      <c r="N18" s="37"/>
      <c r="O18" s="37"/>
      <c r="P18" s="37"/>
    </row>
    <row r="19" spans="1:16" ht="31.5" customHeight="1" thickBot="1">
      <c r="A19" s="181" t="s">
        <v>22</v>
      </c>
      <c r="B19" s="17" t="s">
        <v>29</v>
      </c>
      <c r="C19" s="78">
        <v>23.61</v>
      </c>
      <c r="D19" s="78">
        <v>23.61</v>
      </c>
      <c r="E19" s="78">
        <v>23.61</v>
      </c>
      <c r="F19" s="185">
        <v>23.61</v>
      </c>
      <c r="G19" s="158"/>
      <c r="H19" s="159"/>
      <c r="I19" s="37"/>
      <c r="J19" s="37"/>
      <c r="K19" s="37"/>
      <c r="L19" s="37"/>
      <c r="M19" s="37"/>
      <c r="N19" s="37"/>
      <c r="O19" s="37"/>
      <c r="P19" s="37"/>
    </row>
    <row r="20" spans="1:16" ht="30" customHeight="1" thickBot="1">
      <c r="A20" s="181" t="s">
        <v>24</v>
      </c>
      <c r="B20" s="17" t="s">
        <v>31</v>
      </c>
      <c r="C20" s="78">
        <v>0.13</v>
      </c>
      <c r="D20" s="78">
        <v>0.13</v>
      </c>
      <c r="E20" s="78">
        <v>0.13</v>
      </c>
      <c r="F20" s="185">
        <v>0.13</v>
      </c>
      <c r="G20" s="158"/>
      <c r="H20" s="159"/>
      <c r="I20" s="37"/>
      <c r="J20" s="37"/>
      <c r="K20" s="37"/>
      <c r="L20" s="37"/>
      <c r="M20" s="37"/>
      <c r="N20" s="37"/>
      <c r="O20" s="37"/>
      <c r="P20" s="37"/>
    </row>
    <row r="21" spans="1:16" ht="46.5" customHeight="1" thickBot="1">
      <c r="A21" s="181" t="s">
        <v>26</v>
      </c>
      <c r="B21" s="17" t="s">
        <v>33</v>
      </c>
      <c r="C21" s="78">
        <v>8.0500000000000007</v>
      </c>
      <c r="D21" s="78">
        <v>8.0500000000000007</v>
      </c>
      <c r="E21" s="78">
        <v>8.0500000000000007</v>
      </c>
      <c r="F21" s="185">
        <v>8.0500000000000007</v>
      </c>
      <c r="G21" s="158"/>
      <c r="H21" s="159"/>
      <c r="I21" s="37"/>
      <c r="J21" s="37"/>
      <c r="K21" s="37"/>
      <c r="L21" s="37"/>
      <c r="M21" s="37"/>
      <c r="N21" s="37"/>
      <c r="O21" s="37"/>
      <c r="P21" s="37"/>
    </row>
    <row r="22" spans="1:16" ht="15.75" thickBot="1">
      <c r="A22" s="183" t="s">
        <v>34</v>
      </c>
      <c r="B22" s="138" t="s">
        <v>35</v>
      </c>
      <c r="C22" s="108">
        <v>220.89</v>
      </c>
      <c r="D22" s="108">
        <v>220.89</v>
      </c>
      <c r="E22" s="121">
        <v>220.89</v>
      </c>
      <c r="F22" s="135">
        <v>220.89</v>
      </c>
      <c r="G22" s="163"/>
      <c r="H22" s="159"/>
      <c r="I22" s="37"/>
      <c r="J22" s="37"/>
      <c r="K22" s="37"/>
      <c r="L22" s="37"/>
      <c r="M22" s="37"/>
      <c r="N22" s="37"/>
      <c r="O22" s="37"/>
      <c r="P22" s="37"/>
    </row>
    <row r="23" spans="1:16" s="42" customFormat="1" ht="15.75" thickBot="1">
      <c r="A23" s="183" t="s">
        <v>36</v>
      </c>
      <c r="B23" s="137" t="s">
        <v>37</v>
      </c>
      <c r="C23" s="120">
        <f t="shared" ref="C23:E23" si="2">ROUND(SUM(C24:C26),2)</f>
        <v>90.48</v>
      </c>
      <c r="D23" s="120">
        <f t="shared" si="2"/>
        <v>90.48</v>
      </c>
      <c r="E23" s="120">
        <f t="shared" si="2"/>
        <v>90.48</v>
      </c>
      <c r="F23" s="180">
        <f>SUM(F24:F26)</f>
        <v>90.48</v>
      </c>
      <c r="G23" s="160"/>
      <c r="H23" s="161"/>
      <c r="I23" s="44"/>
      <c r="J23" s="44"/>
      <c r="K23" s="44"/>
      <c r="L23" s="44"/>
      <c r="M23" s="41"/>
      <c r="N23" s="41"/>
      <c r="O23" s="41"/>
      <c r="P23" s="41"/>
    </row>
    <row r="24" spans="1:16" ht="15.75" thickBot="1">
      <c r="A24" s="181" t="s">
        <v>38</v>
      </c>
      <c r="B24" s="17" t="s">
        <v>39</v>
      </c>
      <c r="C24" s="78">
        <v>48.59</v>
      </c>
      <c r="D24" s="78">
        <v>48.59</v>
      </c>
      <c r="E24" s="122">
        <v>48.59</v>
      </c>
      <c r="F24" s="77">
        <v>48.59</v>
      </c>
      <c r="G24" s="163"/>
      <c r="H24" s="159"/>
      <c r="I24" s="37"/>
      <c r="J24" s="37"/>
      <c r="K24" s="37"/>
      <c r="L24" s="37"/>
      <c r="M24" s="37"/>
      <c r="N24" s="37"/>
      <c r="O24" s="37"/>
      <c r="P24" s="37"/>
    </row>
    <row r="25" spans="1:16" ht="28.5" customHeight="1" thickBot="1">
      <c r="A25" s="181" t="s">
        <v>40</v>
      </c>
      <c r="B25" s="17" t="s">
        <v>41</v>
      </c>
      <c r="C25" s="78">
        <v>30.59</v>
      </c>
      <c r="D25" s="78">
        <v>30.59</v>
      </c>
      <c r="E25" s="122">
        <v>30.59</v>
      </c>
      <c r="F25" s="77">
        <v>30.59</v>
      </c>
      <c r="G25" s="163"/>
      <c r="H25" s="159"/>
      <c r="I25" s="37"/>
      <c r="J25" s="37"/>
      <c r="K25" s="37"/>
      <c r="L25" s="37"/>
      <c r="M25" s="37"/>
      <c r="N25" s="37"/>
      <c r="O25" s="37"/>
      <c r="P25" s="37"/>
    </row>
    <row r="26" spans="1:16" ht="15.75" thickBot="1">
      <c r="A26" s="181" t="s">
        <v>42</v>
      </c>
      <c r="B26" s="17" t="s">
        <v>43</v>
      </c>
      <c r="C26" s="78">
        <v>11.3</v>
      </c>
      <c r="D26" s="78">
        <v>11.3</v>
      </c>
      <c r="E26" s="78">
        <v>11.3</v>
      </c>
      <c r="F26" s="185">
        <v>11.3</v>
      </c>
      <c r="G26" s="163"/>
      <c r="H26" s="159"/>
      <c r="I26" s="37"/>
      <c r="J26" s="37"/>
      <c r="K26" s="37"/>
      <c r="L26" s="37"/>
      <c r="M26" s="37"/>
      <c r="N26" s="37"/>
      <c r="O26" s="37"/>
      <c r="P26" s="37"/>
    </row>
    <row r="27" spans="1:16" s="42" customFormat="1" ht="15.75" thickBot="1">
      <c r="A27" s="183" t="s">
        <v>44</v>
      </c>
      <c r="B27" s="137" t="s">
        <v>45</v>
      </c>
      <c r="C27" s="108">
        <f>ROUND(SUM(C28:C30),2)</f>
        <v>22.74</v>
      </c>
      <c r="D27" s="108">
        <f>ROUND(SUM(D28:D30),2)</f>
        <v>22.74</v>
      </c>
      <c r="E27" s="108">
        <f>ROUND(SUM(E28:E30),2)</f>
        <v>22.74</v>
      </c>
      <c r="F27" s="180">
        <f>SUM(F28:F30)</f>
        <v>22.74</v>
      </c>
      <c r="G27" s="162"/>
      <c r="H27" s="161"/>
      <c r="I27" s="44"/>
      <c r="J27" s="44"/>
      <c r="K27" s="44"/>
      <c r="L27" s="44"/>
      <c r="M27" s="41"/>
      <c r="N27" s="41"/>
      <c r="O27" s="41"/>
      <c r="P27" s="41"/>
    </row>
    <row r="28" spans="1:16" ht="24.75" customHeight="1" thickBot="1">
      <c r="A28" s="207" t="s">
        <v>46</v>
      </c>
      <c r="B28" s="141" t="s">
        <v>47</v>
      </c>
      <c r="C28" s="123">
        <v>17.96</v>
      </c>
      <c r="D28" s="78">
        <v>17.96</v>
      </c>
      <c r="E28" s="122">
        <v>17.96</v>
      </c>
      <c r="F28" s="77">
        <v>17.96</v>
      </c>
      <c r="G28" s="163"/>
      <c r="H28" s="159"/>
      <c r="I28" s="37"/>
      <c r="J28" s="37"/>
      <c r="K28" s="37"/>
      <c r="L28" s="37"/>
      <c r="M28" s="37"/>
      <c r="N28" s="37"/>
      <c r="O28" s="37"/>
      <c r="P28" s="37"/>
    </row>
    <row r="29" spans="1:16" ht="15.75" thickBot="1">
      <c r="A29" s="207" t="s">
        <v>48</v>
      </c>
      <c r="B29" s="141" t="s">
        <v>39</v>
      </c>
      <c r="C29" s="123">
        <v>3.95</v>
      </c>
      <c r="D29" s="78">
        <v>3.95</v>
      </c>
      <c r="E29" s="122">
        <v>3.95</v>
      </c>
      <c r="F29" s="77">
        <v>3.95</v>
      </c>
      <c r="G29" s="163"/>
      <c r="H29" s="159"/>
      <c r="I29" s="37"/>
      <c r="J29" s="37"/>
      <c r="K29" s="37"/>
      <c r="L29" s="37"/>
      <c r="M29" s="37"/>
      <c r="N29" s="37"/>
      <c r="O29" s="37"/>
      <c r="P29" s="37"/>
    </row>
    <row r="30" spans="1:16" ht="22.5" customHeight="1" thickBot="1">
      <c r="A30" s="207" t="s">
        <v>49</v>
      </c>
      <c r="B30" s="141" t="s">
        <v>50</v>
      </c>
      <c r="C30" s="123">
        <v>0.83</v>
      </c>
      <c r="D30" s="78">
        <v>0.83</v>
      </c>
      <c r="E30" s="122">
        <v>0.83</v>
      </c>
      <c r="F30" s="77">
        <v>0.83</v>
      </c>
      <c r="G30" s="163"/>
      <c r="H30" s="159"/>
      <c r="I30" s="37"/>
      <c r="J30" s="37"/>
      <c r="K30" s="37"/>
      <c r="L30" s="37"/>
      <c r="M30" s="37"/>
      <c r="N30" s="37"/>
      <c r="O30" s="37"/>
      <c r="P30" s="37"/>
    </row>
    <row r="31" spans="1:16" s="42" customFormat="1" ht="46.5" customHeight="1" thickBot="1">
      <c r="A31" s="188" t="s">
        <v>51</v>
      </c>
      <c r="B31" s="137" t="s">
        <v>84</v>
      </c>
      <c r="C31" s="129">
        <f>ROUND(SUM(C32:C34),2)</f>
        <v>32.15</v>
      </c>
      <c r="D31" s="108">
        <f>ROUND(SUM(D32:D34),2)</f>
        <v>32.15</v>
      </c>
      <c r="E31" s="108">
        <f>ROUND(SUM(E32:E34),2)</f>
        <v>32.15</v>
      </c>
      <c r="F31" s="180">
        <f>SUM(F32:F34)</f>
        <v>32.15</v>
      </c>
      <c r="G31" s="162"/>
      <c r="H31" s="161"/>
      <c r="I31" s="44"/>
      <c r="J31" s="44"/>
      <c r="K31" s="44"/>
      <c r="L31" s="44"/>
      <c r="M31" s="41"/>
      <c r="N31" s="41"/>
      <c r="O31" s="41"/>
      <c r="P31" s="41"/>
    </row>
    <row r="32" spans="1:16" ht="21" customHeight="1" thickBot="1">
      <c r="A32" s="181" t="s">
        <v>53</v>
      </c>
      <c r="B32" s="17" t="s">
        <v>47</v>
      </c>
      <c r="C32" s="123">
        <v>25.25</v>
      </c>
      <c r="D32" s="78">
        <v>25.25</v>
      </c>
      <c r="E32" s="122">
        <v>25.25</v>
      </c>
      <c r="F32" s="77">
        <v>25.25</v>
      </c>
      <c r="G32" s="163"/>
      <c r="H32" s="159"/>
      <c r="I32" s="37"/>
      <c r="J32" s="37"/>
      <c r="K32" s="37"/>
      <c r="L32" s="37"/>
      <c r="M32" s="37"/>
      <c r="N32" s="37"/>
      <c r="O32" s="37"/>
      <c r="P32" s="37"/>
    </row>
    <row r="33" spans="1:16" ht="15.75" thickBot="1">
      <c r="A33" s="181" t="s">
        <v>54</v>
      </c>
      <c r="B33" s="17" t="s">
        <v>39</v>
      </c>
      <c r="C33" s="123">
        <v>5.51</v>
      </c>
      <c r="D33" s="78">
        <v>5.51</v>
      </c>
      <c r="E33" s="122">
        <v>5.51</v>
      </c>
      <c r="F33" s="77">
        <v>5.51</v>
      </c>
      <c r="G33" s="163"/>
      <c r="H33" s="159"/>
      <c r="I33" s="37"/>
      <c r="J33" s="37"/>
      <c r="K33" s="37"/>
      <c r="L33" s="37"/>
      <c r="M33" s="37"/>
      <c r="N33" s="37"/>
      <c r="O33" s="37"/>
      <c r="P33" s="37"/>
    </row>
    <row r="34" spans="1:16" ht="15.75" thickBot="1">
      <c r="A34" s="181" t="s">
        <v>55</v>
      </c>
      <c r="B34" s="17" t="s">
        <v>50</v>
      </c>
      <c r="C34" s="123">
        <v>1.39</v>
      </c>
      <c r="D34" s="78">
        <v>1.39</v>
      </c>
      <c r="E34" s="122">
        <v>1.39</v>
      </c>
      <c r="F34" s="77">
        <v>1.39</v>
      </c>
      <c r="G34" s="163"/>
      <c r="H34" s="159"/>
      <c r="I34" s="37"/>
      <c r="J34" s="37"/>
      <c r="K34" s="37"/>
      <c r="L34" s="37"/>
      <c r="M34" s="37"/>
      <c r="N34" s="37"/>
      <c r="O34" s="37"/>
      <c r="P34" s="37"/>
    </row>
    <row r="35" spans="1:16" ht="15.75" thickBot="1">
      <c r="A35" s="188" t="s">
        <v>56</v>
      </c>
      <c r="B35" s="137" t="s">
        <v>57</v>
      </c>
      <c r="C35" s="124">
        <v>0</v>
      </c>
      <c r="D35" s="120">
        <v>0</v>
      </c>
      <c r="E35" s="125">
        <v>0</v>
      </c>
      <c r="F35" s="126">
        <v>0</v>
      </c>
      <c r="G35" s="163"/>
      <c r="H35" s="159"/>
      <c r="I35" s="37"/>
      <c r="J35" s="37"/>
      <c r="K35" s="37"/>
      <c r="L35" s="37"/>
      <c r="M35" s="37"/>
      <c r="N35" s="37"/>
      <c r="O35" s="37"/>
      <c r="P35" s="37"/>
    </row>
    <row r="36" spans="1:16" ht="15.75" thickBot="1">
      <c r="A36" s="183"/>
      <c r="B36" s="137" t="s">
        <v>85</v>
      </c>
      <c r="C36" s="108">
        <f t="shared" ref="C36:F36" si="3">C16+C31+C35</f>
        <v>1418.0800000000002</v>
      </c>
      <c r="D36" s="108">
        <f t="shared" si="3"/>
        <v>2438.71</v>
      </c>
      <c r="E36" s="108">
        <f t="shared" si="3"/>
        <v>2438.71</v>
      </c>
      <c r="F36" s="180">
        <f t="shared" si="3"/>
        <v>2438.71</v>
      </c>
      <c r="G36" s="163"/>
      <c r="H36" s="159"/>
      <c r="I36" s="37"/>
      <c r="J36" s="37"/>
      <c r="K36" s="37"/>
      <c r="L36" s="37"/>
      <c r="M36" s="37"/>
      <c r="N36" s="37"/>
      <c r="O36" s="37"/>
      <c r="P36" s="37"/>
    </row>
    <row r="37" spans="1:16" ht="15.75" thickBot="1">
      <c r="A37" s="181" t="s">
        <v>58</v>
      </c>
      <c r="B37" s="17" t="s">
        <v>59</v>
      </c>
      <c r="C37" s="127">
        <v>0</v>
      </c>
      <c r="D37" s="79">
        <v>0</v>
      </c>
      <c r="E37" s="80">
        <v>0</v>
      </c>
      <c r="F37" s="81">
        <v>0</v>
      </c>
      <c r="G37" s="163"/>
      <c r="H37" s="159"/>
      <c r="I37" s="37"/>
      <c r="J37" s="37"/>
      <c r="K37" s="37"/>
      <c r="L37" s="37"/>
      <c r="M37" s="37"/>
      <c r="N37" s="37"/>
      <c r="O37" s="37"/>
      <c r="P37" s="37"/>
    </row>
    <row r="38" spans="1:16" s="42" customFormat="1" ht="45.75" thickBot="1">
      <c r="A38" s="188" t="s">
        <v>60</v>
      </c>
      <c r="B38" s="137" t="s">
        <v>86</v>
      </c>
      <c r="C38" s="129">
        <f>SUM(C39:C41)</f>
        <v>69.17</v>
      </c>
      <c r="D38" s="129">
        <f>SUM(D39:D41)</f>
        <v>118.96</v>
      </c>
      <c r="E38" s="129">
        <f t="shared" ref="E38:F38" si="4">SUM(E39:E41)</f>
        <v>118.96</v>
      </c>
      <c r="F38" s="208">
        <f t="shared" si="4"/>
        <v>118.96</v>
      </c>
      <c r="G38" s="162"/>
      <c r="H38" s="161"/>
      <c r="I38" s="44"/>
      <c r="J38" s="44"/>
      <c r="K38" s="44"/>
      <c r="L38" s="44"/>
      <c r="M38" s="41"/>
      <c r="N38" s="41"/>
      <c r="O38" s="41"/>
      <c r="P38" s="41"/>
    </row>
    <row r="39" spans="1:16" ht="15.75" thickBot="1">
      <c r="A39" s="181" t="s">
        <v>87</v>
      </c>
      <c r="B39" s="17" t="s">
        <v>67</v>
      </c>
      <c r="C39" s="128">
        <v>12.45</v>
      </c>
      <c r="D39" s="78">
        <v>21.41</v>
      </c>
      <c r="E39" s="122">
        <v>21.41</v>
      </c>
      <c r="F39" s="77">
        <v>21.41</v>
      </c>
      <c r="G39" s="163"/>
      <c r="H39" s="159"/>
      <c r="I39" s="37"/>
      <c r="J39" s="37"/>
      <c r="K39" s="37"/>
      <c r="L39" s="37"/>
      <c r="M39" s="37"/>
      <c r="N39" s="37"/>
      <c r="O39" s="37"/>
      <c r="P39" s="37"/>
    </row>
    <row r="40" spans="1:16" ht="30.75" thickBot="1">
      <c r="A40" s="181" t="s">
        <v>88</v>
      </c>
      <c r="B40" s="17" t="s">
        <v>69</v>
      </c>
      <c r="C40" s="128">
        <v>0</v>
      </c>
      <c r="D40" s="78">
        <v>0</v>
      </c>
      <c r="E40" s="122">
        <v>0</v>
      </c>
      <c r="F40" s="77">
        <v>0</v>
      </c>
      <c r="G40" s="163"/>
      <c r="H40" s="159"/>
      <c r="I40" s="37"/>
      <c r="J40" s="37"/>
      <c r="K40" s="37"/>
      <c r="L40" s="37"/>
      <c r="M40" s="37"/>
      <c r="N40" s="37"/>
      <c r="O40" s="37"/>
      <c r="P40" s="37"/>
    </row>
    <row r="41" spans="1:16" ht="15.75" thickBot="1">
      <c r="A41" s="181" t="s">
        <v>89</v>
      </c>
      <c r="B41" s="17" t="s">
        <v>71</v>
      </c>
      <c r="C41" s="128">
        <v>56.72</v>
      </c>
      <c r="D41" s="78">
        <v>97.55</v>
      </c>
      <c r="E41" s="122">
        <v>97.55</v>
      </c>
      <c r="F41" s="77">
        <v>97.55</v>
      </c>
      <c r="G41" s="158"/>
      <c r="H41" s="159"/>
      <c r="I41" s="37"/>
      <c r="J41" s="37"/>
      <c r="K41" s="37"/>
      <c r="L41" s="37"/>
      <c r="M41" s="33"/>
      <c r="N41" s="33"/>
      <c r="O41" s="33"/>
      <c r="P41" s="33"/>
    </row>
    <row r="42" spans="1:16" s="42" customFormat="1" ht="30.75" thickBot="1">
      <c r="A42" s="209" t="s">
        <v>62</v>
      </c>
      <c r="B42" s="144" t="s">
        <v>90</v>
      </c>
      <c r="C42" s="132">
        <f t="shared" ref="C42:F42" si="5">C38+C36</f>
        <v>1487.2500000000002</v>
      </c>
      <c r="D42" s="132">
        <f t="shared" si="5"/>
        <v>2557.67</v>
      </c>
      <c r="E42" s="132">
        <f t="shared" si="5"/>
        <v>2557.67</v>
      </c>
      <c r="F42" s="132">
        <f t="shared" si="5"/>
        <v>2557.67</v>
      </c>
      <c r="G42" s="160"/>
      <c r="H42" s="160"/>
      <c r="I42" s="41"/>
      <c r="J42" s="41"/>
      <c r="K42" s="41"/>
      <c r="L42" s="41"/>
      <c r="M42" s="41"/>
      <c r="N42" s="41"/>
      <c r="O42" s="41"/>
      <c r="P42" s="41"/>
    </row>
    <row r="43" spans="1:16" ht="30.75" thickBot="1">
      <c r="A43" s="145">
        <v>7</v>
      </c>
      <c r="B43" s="146" t="s">
        <v>91</v>
      </c>
      <c r="C43" s="71">
        <v>458911.18</v>
      </c>
      <c r="D43" s="72">
        <v>75828.03</v>
      </c>
      <c r="E43" s="71">
        <v>22725.02</v>
      </c>
      <c r="F43" s="73">
        <v>176.55</v>
      </c>
      <c r="G43" s="158"/>
      <c r="H43" s="164"/>
      <c r="I43" s="33"/>
      <c r="J43" s="33"/>
      <c r="K43" s="33"/>
      <c r="L43" s="33"/>
      <c r="M43" s="33"/>
      <c r="N43" s="33"/>
      <c r="O43" s="33"/>
      <c r="P43" s="33"/>
    </row>
    <row r="44" spans="1:16" s="42" customFormat="1" ht="60.75" thickBot="1">
      <c r="A44" s="147" t="s">
        <v>72</v>
      </c>
      <c r="B44" s="148" t="s">
        <v>92</v>
      </c>
      <c r="C44" s="134">
        <v>1283.6500000000001</v>
      </c>
      <c r="D44" s="134">
        <v>1409.9</v>
      </c>
      <c r="E44" s="134">
        <v>1940.66</v>
      </c>
      <c r="F44" s="134">
        <v>1940.66</v>
      </c>
      <c r="G44" s="160"/>
      <c r="H44" s="161"/>
      <c r="I44" s="44"/>
      <c r="J44" s="44"/>
      <c r="K44" s="44"/>
      <c r="L44" s="44"/>
      <c r="M44" s="37"/>
      <c r="N44" s="37"/>
      <c r="O44" s="37"/>
      <c r="P44" s="37"/>
    </row>
    <row r="45" spans="1:16" ht="30.75" thickBot="1">
      <c r="A45" s="149" t="s">
        <v>93</v>
      </c>
      <c r="B45" s="150" t="s">
        <v>94</v>
      </c>
      <c r="C45" s="82">
        <v>0</v>
      </c>
      <c r="D45" s="83">
        <v>0</v>
      </c>
      <c r="E45" s="82">
        <v>0</v>
      </c>
      <c r="F45" s="84">
        <v>0</v>
      </c>
      <c r="G45" s="165"/>
      <c r="H45" s="165"/>
      <c r="I45" s="45"/>
      <c r="J45" s="45"/>
      <c r="K45" s="45"/>
      <c r="L45" s="46"/>
      <c r="M45" s="45"/>
      <c r="N45" s="45"/>
      <c r="O45" s="45"/>
      <c r="P45" s="45"/>
    </row>
    <row r="46" spans="1:16" ht="30.75" thickBot="1">
      <c r="A46" s="151" t="s">
        <v>95</v>
      </c>
      <c r="B46" s="139" t="s">
        <v>96</v>
      </c>
      <c r="C46" s="85"/>
      <c r="D46" s="86"/>
      <c r="E46" s="87"/>
      <c r="F46" s="88"/>
      <c r="G46" s="158"/>
      <c r="H46" s="164"/>
      <c r="I46" s="33"/>
      <c r="J46" s="33"/>
      <c r="K46" s="33"/>
      <c r="L46" s="33"/>
      <c r="M46" s="33"/>
      <c r="N46" s="33"/>
      <c r="O46" s="33"/>
      <c r="P46" s="33"/>
    </row>
    <row r="47" spans="1:16" ht="45.75" thickBot="1">
      <c r="A47" s="152" t="s">
        <v>97</v>
      </c>
      <c r="B47" s="153" t="s">
        <v>98</v>
      </c>
      <c r="C47" s="89">
        <v>0</v>
      </c>
      <c r="D47" s="90">
        <v>0</v>
      </c>
      <c r="E47" s="89">
        <v>0</v>
      </c>
      <c r="F47" s="91">
        <v>0</v>
      </c>
      <c r="G47" s="166"/>
      <c r="H47" s="164"/>
      <c r="I47" s="33"/>
      <c r="J47" s="33"/>
      <c r="K47" s="33"/>
      <c r="L47" s="33"/>
      <c r="M47" s="33"/>
      <c r="N47" s="33"/>
      <c r="O47" s="33"/>
      <c r="P47" s="33"/>
    </row>
    <row r="48" spans="1:16" ht="60.75" thickBot="1">
      <c r="A48" s="151" t="s">
        <v>99</v>
      </c>
      <c r="B48" s="139" t="s">
        <v>100</v>
      </c>
      <c r="C48" s="74">
        <v>32180.87</v>
      </c>
      <c r="D48" s="75">
        <v>11114.4</v>
      </c>
      <c r="E48" s="76">
        <v>1009.21</v>
      </c>
      <c r="F48" s="77">
        <v>1.25</v>
      </c>
      <c r="G48" s="158"/>
      <c r="H48" s="164"/>
      <c r="I48" s="33"/>
      <c r="J48" s="33"/>
      <c r="K48" s="33"/>
      <c r="L48" s="33"/>
      <c r="M48" s="33"/>
      <c r="N48" s="33"/>
      <c r="O48" s="33"/>
      <c r="P48" s="33"/>
    </row>
    <row r="49" spans="1:16" ht="30.75" thickBot="1">
      <c r="A49" s="151" t="s">
        <v>101</v>
      </c>
      <c r="B49" s="139" t="s">
        <v>102</v>
      </c>
      <c r="C49" s="79">
        <v>0</v>
      </c>
      <c r="D49" s="79">
        <v>0</v>
      </c>
      <c r="E49" s="80">
        <v>0</v>
      </c>
      <c r="F49" s="81">
        <v>0</v>
      </c>
      <c r="G49" s="166"/>
      <c r="H49" s="164"/>
      <c r="I49" s="33"/>
      <c r="J49" s="33"/>
      <c r="K49" s="33"/>
      <c r="L49" s="33"/>
      <c r="M49" s="33"/>
      <c r="N49" s="33"/>
      <c r="O49" s="33"/>
      <c r="P49" s="33"/>
    </row>
    <row r="50" spans="1:16" ht="30.75" thickBot="1">
      <c r="A50" s="151" t="s">
        <v>103</v>
      </c>
      <c r="B50" s="139" t="s">
        <v>104</v>
      </c>
      <c r="C50" s="92">
        <v>0</v>
      </c>
      <c r="D50" s="92">
        <v>0</v>
      </c>
      <c r="E50" s="93">
        <v>0</v>
      </c>
      <c r="F50" s="94">
        <v>0</v>
      </c>
      <c r="G50" s="166"/>
      <c r="H50" s="164"/>
      <c r="I50" s="33"/>
      <c r="J50" s="33"/>
      <c r="K50" s="33"/>
      <c r="L50" s="33"/>
      <c r="M50" s="33"/>
      <c r="N50" s="33"/>
      <c r="O50" s="33"/>
      <c r="P50" s="33"/>
    </row>
    <row r="51" spans="1:16" ht="52.5" customHeight="1" thickBot="1">
      <c r="A51" s="151" t="s">
        <v>105</v>
      </c>
      <c r="B51" s="139" t="s">
        <v>106</v>
      </c>
      <c r="C51" s="79">
        <v>0</v>
      </c>
      <c r="D51" s="79">
        <v>0</v>
      </c>
      <c r="E51" s="80">
        <v>0</v>
      </c>
      <c r="F51" s="81">
        <v>0</v>
      </c>
      <c r="G51" s="166"/>
      <c r="H51" s="164"/>
      <c r="I51" s="33"/>
      <c r="J51" s="33"/>
      <c r="K51" s="33"/>
      <c r="L51" s="33"/>
      <c r="M51" s="33"/>
      <c r="N51" s="33"/>
      <c r="O51" s="33"/>
      <c r="P51" s="33"/>
    </row>
    <row r="52" spans="1:16" ht="30.75" thickBot="1">
      <c r="A52" s="151" t="s">
        <v>107</v>
      </c>
      <c r="B52" s="139" t="s">
        <v>108</v>
      </c>
      <c r="C52" s="79">
        <v>0</v>
      </c>
      <c r="D52" s="79">
        <v>0</v>
      </c>
      <c r="E52" s="80">
        <v>0</v>
      </c>
      <c r="F52" s="81">
        <v>0</v>
      </c>
      <c r="G52" s="166"/>
      <c r="H52" s="164"/>
      <c r="I52" s="33"/>
      <c r="J52" s="33"/>
      <c r="K52" s="33"/>
      <c r="L52" s="33"/>
      <c r="M52" s="33"/>
      <c r="N52" s="33"/>
      <c r="O52" s="33"/>
      <c r="P52" s="33"/>
    </row>
    <row r="53" spans="1:16" ht="15.75" thickBot="1">
      <c r="A53" s="151" t="s">
        <v>109</v>
      </c>
      <c r="B53" s="139" t="s">
        <v>110</v>
      </c>
      <c r="C53" s="95">
        <v>0</v>
      </c>
      <c r="D53" s="95">
        <v>0</v>
      </c>
      <c r="E53" s="96">
        <v>0</v>
      </c>
      <c r="F53" s="97">
        <v>0</v>
      </c>
      <c r="G53" s="166"/>
      <c r="H53" s="164"/>
      <c r="I53" s="33"/>
      <c r="J53" s="33"/>
      <c r="K53" s="33"/>
      <c r="L53" s="33"/>
      <c r="M53" s="33"/>
      <c r="N53" s="33"/>
      <c r="O53" s="33"/>
      <c r="P53" s="33"/>
    </row>
    <row r="54" spans="1:16" ht="15.75" thickBot="1">
      <c r="A54" s="149" t="s">
        <v>111</v>
      </c>
      <c r="B54" s="150" t="s">
        <v>61</v>
      </c>
      <c r="C54" s="98">
        <f>'Теплова енергія'!C44*0.8166119/C56*1000</f>
        <v>0</v>
      </c>
      <c r="D54" s="98">
        <f>'Теплова енергія'!E44*0.8166119/D56*1000</f>
        <v>0</v>
      </c>
      <c r="E54" s="98">
        <f>'Теплова енергія'!F44*0.8166119/E56*1000</f>
        <v>0</v>
      </c>
      <c r="F54" s="210">
        <f>'Теплова енергія'!G44*0.8166119/Виробництво!F56*1000</f>
        <v>0</v>
      </c>
      <c r="G54" s="166"/>
      <c r="H54" s="164"/>
      <c r="I54" s="33"/>
      <c r="J54" s="33"/>
      <c r="K54" s="33"/>
      <c r="L54" s="33"/>
      <c r="M54" s="33"/>
      <c r="N54" s="33"/>
      <c r="O54" s="33"/>
      <c r="P54" s="33"/>
    </row>
    <row r="55" spans="1:16" ht="15.75" thickBot="1">
      <c r="A55" s="151" t="s">
        <v>112</v>
      </c>
      <c r="B55" s="154" t="s">
        <v>63</v>
      </c>
      <c r="C55" s="99">
        <v>0</v>
      </c>
      <c r="D55" s="99">
        <v>0</v>
      </c>
      <c r="E55" s="99">
        <v>0</v>
      </c>
      <c r="F55" s="99">
        <v>0</v>
      </c>
      <c r="G55" s="166"/>
      <c r="H55" s="164"/>
      <c r="I55" s="33"/>
      <c r="J55" s="33"/>
      <c r="K55" s="33"/>
      <c r="L55" s="33"/>
      <c r="M55" s="33"/>
      <c r="N55" s="33"/>
      <c r="O55" s="33"/>
      <c r="P55" s="33"/>
    </row>
    <row r="56" spans="1:16" ht="35.25" customHeight="1" thickBot="1">
      <c r="A56" s="155">
        <v>14</v>
      </c>
      <c r="B56" s="156" t="s">
        <v>113</v>
      </c>
      <c r="C56" s="211">
        <f t="shared" ref="C56:F56" si="6">ROUND((C43+C48),2)</f>
        <v>491092.05</v>
      </c>
      <c r="D56" s="212">
        <f t="shared" si="6"/>
        <v>86942.43</v>
      </c>
      <c r="E56" s="212">
        <f t="shared" si="6"/>
        <v>23734.23</v>
      </c>
      <c r="F56" s="213">
        <f t="shared" si="6"/>
        <v>177.8</v>
      </c>
      <c r="G56" s="158"/>
      <c r="H56" s="166"/>
      <c r="I56" s="46"/>
      <c r="J56" s="46"/>
      <c r="K56" s="46"/>
      <c r="L56" s="46"/>
      <c r="M56" s="33"/>
      <c r="N56" s="33"/>
      <c r="O56" s="33"/>
      <c r="P56" s="33"/>
    </row>
    <row r="57" spans="1:16" ht="15.75" customHeight="1">
      <c r="A57" s="26"/>
      <c r="B57" s="27"/>
      <c r="C57" s="27"/>
      <c r="D57" s="28"/>
      <c r="E57" s="28"/>
      <c r="F57" s="28"/>
      <c r="G57" s="47"/>
      <c r="H57" s="33"/>
      <c r="I57" s="33"/>
      <c r="J57" s="33"/>
      <c r="K57" s="33"/>
      <c r="L57" s="33"/>
      <c r="M57" s="33"/>
      <c r="N57" s="33"/>
      <c r="O57" s="33"/>
      <c r="P57" s="33"/>
    </row>
    <row r="58" spans="1:16" ht="15.75" customHeight="1">
      <c r="A58" s="27"/>
      <c r="B58" s="70" t="s">
        <v>75</v>
      </c>
      <c r="C58" s="28"/>
      <c r="D58" s="28"/>
      <c r="E58" s="28" t="s">
        <v>76</v>
      </c>
      <c r="F58" s="28"/>
      <c r="G58" s="47"/>
      <c r="H58" s="33"/>
      <c r="I58" s="33"/>
      <c r="J58" s="33"/>
      <c r="K58" s="33"/>
      <c r="L58" s="33"/>
      <c r="M58" s="33"/>
      <c r="N58" s="33"/>
      <c r="O58" s="33"/>
      <c r="P58" s="33"/>
    </row>
    <row r="59" spans="1:16">
      <c r="A59" s="28"/>
      <c r="B59" s="27"/>
      <c r="C59" s="28"/>
      <c r="D59" s="28"/>
      <c r="E59" s="28"/>
      <c r="F59" s="28"/>
      <c r="G59" s="47"/>
      <c r="H59" s="33"/>
      <c r="I59" s="33"/>
      <c r="J59" s="33"/>
      <c r="K59" s="33"/>
      <c r="L59" s="33"/>
      <c r="M59" s="33"/>
      <c r="N59" s="33"/>
      <c r="O59" s="33"/>
      <c r="P59" s="33"/>
    </row>
    <row r="60" spans="1:16" ht="29.25" customHeight="1">
      <c r="A60" s="27"/>
      <c r="B60" s="27" t="s">
        <v>77</v>
      </c>
      <c r="C60" s="28"/>
      <c r="D60" s="28"/>
      <c r="E60" s="28" t="s">
        <v>78</v>
      </c>
      <c r="F60" s="28"/>
    </row>
    <row r="61" spans="1:16">
      <c r="A61" s="26"/>
      <c r="B61" s="26"/>
    </row>
    <row r="64" spans="1:16">
      <c r="B64" s="48"/>
      <c r="C64" s="48"/>
      <c r="D64" s="48"/>
      <c r="E64" s="48"/>
      <c r="F64" s="48"/>
    </row>
    <row r="65" spans="2:6" ht="15.75" customHeight="1">
      <c r="B65" s="48"/>
      <c r="C65" s="25"/>
      <c r="D65" s="25"/>
      <c r="E65" s="25"/>
      <c r="F65" s="25"/>
    </row>
    <row r="66" spans="2:6" ht="10.5" customHeight="1">
      <c r="B66" s="48"/>
      <c r="C66" s="25"/>
      <c r="D66" s="25"/>
      <c r="E66" s="25"/>
      <c r="F66" s="25"/>
    </row>
    <row r="67" spans="2:6">
      <c r="B67" s="48"/>
      <c r="C67" s="25"/>
      <c r="D67" s="25"/>
      <c r="E67" s="25"/>
      <c r="F67" s="25"/>
    </row>
    <row r="68" spans="2:6">
      <c r="B68" s="48"/>
      <c r="C68" s="25"/>
      <c r="D68" s="25"/>
      <c r="E68" s="25"/>
      <c r="F68" s="25"/>
    </row>
    <row r="69" spans="2:6">
      <c r="B69" s="48"/>
      <c r="C69" s="25"/>
      <c r="D69" s="25"/>
      <c r="E69" s="25"/>
      <c r="F69" s="25"/>
    </row>
    <row r="70" spans="2:6">
      <c r="B70" s="48"/>
      <c r="C70" s="25"/>
      <c r="D70" s="25"/>
      <c r="E70" s="25"/>
      <c r="F70" s="25"/>
    </row>
    <row r="71" spans="2:6">
      <c r="B71" s="48"/>
      <c r="C71" s="25"/>
      <c r="D71" s="25"/>
      <c r="E71" s="25"/>
      <c r="F71" s="25"/>
    </row>
    <row r="72" spans="2:6">
      <c r="B72" s="48"/>
      <c r="C72" s="48"/>
      <c r="D72" s="48"/>
      <c r="E72" s="48"/>
      <c r="F72" s="48"/>
    </row>
    <row r="73" spans="2:6">
      <c r="B73" s="48"/>
      <c r="C73" s="48"/>
      <c r="D73" s="48"/>
      <c r="E73" s="48"/>
      <c r="F73" s="48"/>
    </row>
    <row r="74" spans="2:6">
      <c r="B74" s="48"/>
      <c r="C74" s="48"/>
      <c r="D74" s="48"/>
      <c r="E74" s="48"/>
      <c r="F74" s="48"/>
    </row>
    <row r="75" spans="2:6">
      <c r="B75" s="48"/>
      <c r="C75" s="48"/>
      <c r="D75" s="48"/>
      <c r="E75" s="48"/>
      <c r="F75" s="48"/>
    </row>
  </sheetData>
  <mergeCells count="5">
    <mergeCell ref="A7:F7"/>
    <mergeCell ref="A8:F8"/>
    <mergeCell ref="A12:A13"/>
    <mergeCell ref="B12:B13"/>
    <mergeCell ref="C12:F12"/>
  </mergeCells>
  <printOptions horizontalCentered="1"/>
  <pageMargins left="0.25" right="0.25" top="0.75" bottom="0.75" header="0.3" footer="0.3"/>
  <pageSetup paperSize="9" scale="87" fitToHeight="0" orientation="portrait" r:id="rId1"/>
  <rowBreaks count="1" manualBreakCount="1">
    <brk id="60" max="8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20" zoomScale="80" zoomScaleNormal="80" workbookViewId="0">
      <selection activeCell="A5" sqref="A5:F5"/>
    </sheetView>
  </sheetViews>
  <sheetFormatPr defaultRowHeight="15"/>
  <cols>
    <col min="1" max="1" width="5.28515625" style="1" customWidth="1"/>
    <col min="2" max="2" width="44.7109375" style="1" customWidth="1"/>
    <col min="3" max="6" width="15.7109375" style="1" customWidth="1"/>
    <col min="7" max="16384" width="9.140625" style="1"/>
  </cols>
  <sheetData>
    <row r="1" spans="1:7">
      <c r="A1" s="28"/>
      <c r="B1" s="28"/>
      <c r="C1" s="28"/>
      <c r="D1" s="56" t="s">
        <v>114</v>
      </c>
      <c r="E1" s="57"/>
      <c r="F1" s="57"/>
      <c r="G1" s="2"/>
    </row>
    <row r="2" spans="1:7">
      <c r="A2" s="28"/>
      <c r="B2" s="28"/>
      <c r="C2" s="28"/>
      <c r="D2" s="56" t="s">
        <v>1</v>
      </c>
      <c r="E2" s="57"/>
      <c r="F2" s="57"/>
      <c r="G2" s="2"/>
    </row>
    <row r="3" spans="1:7">
      <c r="A3" s="28"/>
      <c r="B3" s="28"/>
      <c r="C3" s="28"/>
      <c r="D3" s="56" t="s">
        <v>2</v>
      </c>
      <c r="E3" s="57"/>
      <c r="F3" s="57"/>
      <c r="G3" s="2"/>
    </row>
    <row r="4" spans="1:7">
      <c r="A4" s="28"/>
      <c r="B4" s="28"/>
      <c r="C4" s="28"/>
      <c r="D4" s="56" t="s">
        <v>162</v>
      </c>
      <c r="E4" s="57"/>
      <c r="F4" s="57"/>
      <c r="G4" s="2"/>
    </row>
    <row r="5" spans="1:7" ht="33" customHeight="1">
      <c r="A5" s="237" t="s">
        <v>158</v>
      </c>
      <c r="B5" s="237"/>
      <c r="C5" s="237"/>
      <c r="D5" s="237"/>
      <c r="E5" s="237"/>
      <c r="F5" s="237"/>
    </row>
    <row r="6" spans="1:7" ht="14.25" customHeight="1">
      <c r="A6" s="238" t="s">
        <v>4</v>
      </c>
      <c r="B6" s="238"/>
      <c r="C6" s="238"/>
      <c r="D6" s="238"/>
      <c r="E6" s="238"/>
      <c r="F6" s="238"/>
    </row>
    <row r="7" spans="1:7" ht="7.5" hidden="1" customHeight="1"/>
    <row r="8" spans="1:7" ht="25.9" customHeight="1" thickBot="1"/>
    <row r="9" spans="1:7" ht="6" hidden="1" customHeight="1" thickBot="1"/>
    <row r="10" spans="1:7" ht="15.75" customHeight="1" thickBot="1">
      <c r="A10" s="239" t="s">
        <v>5</v>
      </c>
      <c r="B10" s="241" t="s">
        <v>6</v>
      </c>
      <c r="C10" s="245" t="s">
        <v>149</v>
      </c>
      <c r="D10" s="246"/>
      <c r="E10" s="246"/>
      <c r="F10" s="247"/>
    </row>
    <row r="11" spans="1:7" ht="60.75" customHeight="1" thickBot="1">
      <c r="A11" s="240"/>
      <c r="B11" s="242"/>
      <c r="C11" s="3" t="s">
        <v>159</v>
      </c>
      <c r="D11" s="3" t="s">
        <v>7</v>
      </c>
      <c r="E11" s="4" t="s">
        <v>8</v>
      </c>
      <c r="F11" s="5" t="s">
        <v>9</v>
      </c>
    </row>
    <row r="12" spans="1:7" ht="15.75" thickBot="1">
      <c r="A12" s="175">
        <v>1</v>
      </c>
      <c r="B12" s="3">
        <v>2</v>
      </c>
      <c r="C12" s="3">
        <v>3</v>
      </c>
      <c r="D12" s="3">
        <v>4</v>
      </c>
      <c r="E12" s="3">
        <v>5</v>
      </c>
      <c r="F12" s="176">
        <v>6</v>
      </c>
    </row>
    <row r="13" spans="1:7" ht="51.75" customHeight="1" thickBot="1">
      <c r="A13" s="193"/>
      <c r="B13" s="6" t="s">
        <v>147</v>
      </c>
      <c r="C13" s="100">
        <f>ROUND((C33+C34+C35+C36+C38+C39+C40),2)</f>
        <v>434.72</v>
      </c>
      <c r="D13" s="100">
        <f>ROUND((D33+D34+D35+D36+D38+D39+D40),2)</f>
        <v>575.83000000000004</v>
      </c>
      <c r="E13" s="100">
        <f>ROUND((E33+E34+E35+E36+E38+E39+E40),2)</f>
        <v>558.87</v>
      </c>
      <c r="F13" s="178">
        <f t="shared" ref="F13" si="0">ROUND((F33+F34+F35+F36+F38+F39+F40),2)</f>
        <v>556.38</v>
      </c>
    </row>
    <row r="14" spans="1:7" ht="24.75" customHeight="1" thickBot="1">
      <c r="A14" s="194">
        <v>1</v>
      </c>
      <c r="B14" s="137" t="s">
        <v>17</v>
      </c>
      <c r="C14" s="108">
        <f>C15+C19+C20+C24</f>
        <v>128.77000000000001</v>
      </c>
      <c r="D14" s="108">
        <f t="shared" ref="D14:F14" si="1">D15+D19+D20+D24</f>
        <v>128.77000000000001</v>
      </c>
      <c r="E14" s="108">
        <f t="shared" si="1"/>
        <v>128.77000000000001</v>
      </c>
      <c r="F14" s="180">
        <f t="shared" si="1"/>
        <v>128.77000000000001</v>
      </c>
    </row>
    <row r="15" spans="1:7" ht="15.75" thickBot="1">
      <c r="A15" s="181" t="s">
        <v>18</v>
      </c>
      <c r="B15" s="137" t="s">
        <v>19</v>
      </c>
      <c r="C15" s="108">
        <f>SUM(C16:C18)</f>
        <v>62.120000000000005</v>
      </c>
      <c r="D15" s="108">
        <f t="shared" ref="D15:F15" si="2">SUM(D16:D18)</f>
        <v>62.120000000000005</v>
      </c>
      <c r="E15" s="108">
        <f t="shared" si="2"/>
        <v>62.120000000000005</v>
      </c>
      <c r="F15" s="180">
        <f t="shared" si="2"/>
        <v>62.120000000000005</v>
      </c>
    </row>
    <row r="16" spans="1:7" ht="30.75" thickBot="1">
      <c r="A16" s="181" t="s">
        <v>20</v>
      </c>
      <c r="B16" s="17" t="s">
        <v>29</v>
      </c>
      <c r="C16" s="78">
        <v>37.78</v>
      </c>
      <c r="D16" s="78">
        <v>37.78</v>
      </c>
      <c r="E16" s="78">
        <v>37.78</v>
      </c>
      <c r="F16" s="185">
        <v>37.78</v>
      </c>
    </row>
    <row r="17" spans="1:6" ht="31.5" customHeight="1" thickBot="1">
      <c r="A17" s="181" t="s">
        <v>22</v>
      </c>
      <c r="B17" s="17" t="s">
        <v>31</v>
      </c>
      <c r="C17" s="78">
        <v>6.46</v>
      </c>
      <c r="D17" s="78">
        <v>6.46</v>
      </c>
      <c r="E17" s="78">
        <v>6.46</v>
      </c>
      <c r="F17" s="185">
        <v>6.46</v>
      </c>
    </row>
    <row r="18" spans="1:6" ht="30" customHeight="1" thickBot="1">
      <c r="A18" s="181" t="s">
        <v>24</v>
      </c>
      <c r="B18" s="17" t="s">
        <v>33</v>
      </c>
      <c r="C18" s="78">
        <v>17.88</v>
      </c>
      <c r="D18" s="78">
        <v>17.88</v>
      </c>
      <c r="E18" s="78">
        <v>17.88</v>
      </c>
      <c r="F18" s="185">
        <v>17.88</v>
      </c>
    </row>
    <row r="19" spans="1:6" ht="15.75" thickBot="1">
      <c r="A19" s="183" t="s">
        <v>34</v>
      </c>
      <c r="B19" s="138" t="s">
        <v>35</v>
      </c>
      <c r="C19" s="100">
        <v>37.630000000000003</v>
      </c>
      <c r="D19" s="100">
        <v>37.630000000000003</v>
      </c>
      <c r="E19" s="100">
        <v>37.630000000000003</v>
      </c>
      <c r="F19" s="178">
        <v>37.630000000000003</v>
      </c>
    </row>
    <row r="20" spans="1:6" ht="15.75" thickBot="1">
      <c r="A20" s="181" t="s">
        <v>36</v>
      </c>
      <c r="B20" s="137" t="s">
        <v>37</v>
      </c>
      <c r="C20" s="108">
        <f>SUM(C21:C23)</f>
        <v>27.279999999999998</v>
      </c>
      <c r="D20" s="108">
        <f t="shared" ref="D20:F20" si="3">SUM(D21:D23)</f>
        <v>27.279999999999998</v>
      </c>
      <c r="E20" s="108">
        <f t="shared" si="3"/>
        <v>27.279999999999998</v>
      </c>
      <c r="F20" s="180">
        <f t="shared" si="3"/>
        <v>27.279999999999998</v>
      </c>
    </row>
    <row r="21" spans="1:6" ht="15.75" thickBot="1">
      <c r="A21" s="181" t="s">
        <v>38</v>
      </c>
      <c r="B21" s="17" t="s">
        <v>39</v>
      </c>
      <c r="C21" s="78">
        <v>8.2799999999999994</v>
      </c>
      <c r="D21" s="78">
        <v>8.2799999999999994</v>
      </c>
      <c r="E21" s="78">
        <v>8.2799999999999994</v>
      </c>
      <c r="F21" s="185">
        <v>8.2799999999999994</v>
      </c>
    </row>
    <row r="22" spans="1:6" ht="16.5" customHeight="1" thickBot="1">
      <c r="A22" s="181" t="s">
        <v>40</v>
      </c>
      <c r="B22" s="17" t="s">
        <v>41</v>
      </c>
      <c r="C22" s="78">
        <v>18.05</v>
      </c>
      <c r="D22" s="78">
        <v>18.05</v>
      </c>
      <c r="E22" s="78">
        <v>18.05</v>
      </c>
      <c r="F22" s="185">
        <v>18.05</v>
      </c>
    </row>
    <row r="23" spans="1:6" ht="15.75" thickBot="1">
      <c r="A23" s="181" t="s">
        <v>42</v>
      </c>
      <c r="B23" s="141" t="s">
        <v>43</v>
      </c>
      <c r="C23" s="20">
        <f>0.94+0.01</f>
        <v>0.95</v>
      </c>
      <c r="D23" s="20">
        <f>0.94+0.01</f>
        <v>0.95</v>
      </c>
      <c r="E23" s="20">
        <f>0.94+0.01</f>
        <v>0.95</v>
      </c>
      <c r="F23" s="195">
        <f>0.94+0.01</f>
        <v>0.95</v>
      </c>
    </row>
    <row r="24" spans="1:6" ht="15.75" thickBot="1">
      <c r="A24" s="181" t="s">
        <v>44</v>
      </c>
      <c r="B24" s="137" t="s">
        <v>45</v>
      </c>
      <c r="C24" s="108">
        <f t="shared" ref="C24" si="4">SUM(C25:C27)</f>
        <v>1.74</v>
      </c>
      <c r="D24" s="108">
        <f>SUM(D25:D27)</f>
        <v>1.74</v>
      </c>
      <c r="E24" s="108">
        <f>SUM(E25:E27)</f>
        <v>1.74</v>
      </c>
      <c r="F24" s="180">
        <f>SUM(F25:F27)</f>
        <v>1.74</v>
      </c>
    </row>
    <row r="25" spans="1:6" ht="18" customHeight="1" thickBot="1">
      <c r="A25" s="181" t="s">
        <v>46</v>
      </c>
      <c r="B25" s="17" t="s">
        <v>47</v>
      </c>
      <c r="C25" s="78">
        <v>1.38</v>
      </c>
      <c r="D25" s="78">
        <v>1.38</v>
      </c>
      <c r="E25" s="78">
        <v>1.38</v>
      </c>
      <c r="F25" s="185">
        <v>1.38</v>
      </c>
    </row>
    <row r="26" spans="1:6" ht="15.75" thickBot="1">
      <c r="A26" s="181" t="s">
        <v>48</v>
      </c>
      <c r="B26" s="17" t="s">
        <v>39</v>
      </c>
      <c r="C26" s="78">
        <v>0.3</v>
      </c>
      <c r="D26" s="78">
        <v>0.3</v>
      </c>
      <c r="E26" s="78">
        <v>0.3</v>
      </c>
      <c r="F26" s="185">
        <v>0.3</v>
      </c>
    </row>
    <row r="27" spans="1:6" ht="15" customHeight="1" thickBot="1">
      <c r="A27" s="181" t="s">
        <v>49</v>
      </c>
      <c r="B27" s="17" t="s">
        <v>50</v>
      </c>
      <c r="C27" s="78">
        <v>0.06</v>
      </c>
      <c r="D27" s="78">
        <v>0.06</v>
      </c>
      <c r="E27" s="78">
        <v>0.06</v>
      </c>
      <c r="F27" s="185">
        <v>0.06</v>
      </c>
    </row>
    <row r="28" spans="1:6" ht="24" customHeight="1" thickBot="1">
      <c r="A28" s="188" t="s">
        <v>51</v>
      </c>
      <c r="B28" s="137" t="s">
        <v>52</v>
      </c>
      <c r="C28" s="120">
        <f t="shared" ref="C28" si="5">SUM(C29:C31)</f>
        <v>2.48</v>
      </c>
      <c r="D28" s="120">
        <f>SUM(D29:D31)</f>
        <v>2.48</v>
      </c>
      <c r="E28" s="120">
        <f>SUM(E29:E31)</f>
        <v>2.48</v>
      </c>
      <c r="F28" s="196">
        <f>SUM(F29:F31)</f>
        <v>2.48</v>
      </c>
    </row>
    <row r="29" spans="1:6" ht="21" customHeight="1" thickBot="1">
      <c r="A29" s="181" t="s">
        <v>53</v>
      </c>
      <c r="B29" s="17" t="s">
        <v>47</v>
      </c>
      <c r="C29" s="78">
        <v>1.95</v>
      </c>
      <c r="D29" s="78">
        <v>1.95</v>
      </c>
      <c r="E29" s="78">
        <v>1.95</v>
      </c>
      <c r="F29" s="185">
        <v>1.95</v>
      </c>
    </row>
    <row r="30" spans="1:6" ht="15.75" thickBot="1">
      <c r="A30" s="181" t="s">
        <v>54</v>
      </c>
      <c r="B30" s="17" t="s">
        <v>39</v>
      </c>
      <c r="C30" s="78">
        <v>0.42</v>
      </c>
      <c r="D30" s="78">
        <v>0.42</v>
      </c>
      <c r="E30" s="78">
        <v>0.42</v>
      </c>
      <c r="F30" s="185">
        <v>0.42</v>
      </c>
    </row>
    <row r="31" spans="1:6" ht="15.75" thickBot="1">
      <c r="A31" s="181" t="s">
        <v>55</v>
      </c>
      <c r="B31" s="17" t="s">
        <v>50</v>
      </c>
      <c r="C31" s="78">
        <v>0.11</v>
      </c>
      <c r="D31" s="78">
        <v>0.11</v>
      </c>
      <c r="E31" s="78">
        <v>0.11</v>
      </c>
      <c r="F31" s="185">
        <v>0.11</v>
      </c>
    </row>
    <row r="32" spans="1:6" ht="15.75" thickBot="1">
      <c r="A32" s="188" t="s">
        <v>56</v>
      </c>
      <c r="B32" s="137" t="s">
        <v>57</v>
      </c>
      <c r="C32" s="120">
        <v>0</v>
      </c>
      <c r="D32" s="120">
        <v>0</v>
      </c>
      <c r="E32" s="120">
        <v>0</v>
      </c>
      <c r="F32" s="196">
        <v>0</v>
      </c>
    </row>
    <row r="33" spans="1:7" ht="30.75" customHeight="1" thickBot="1">
      <c r="A33" s="188" t="s">
        <v>58</v>
      </c>
      <c r="B33" s="137" t="s">
        <v>115</v>
      </c>
      <c r="C33" s="120">
        <f t="shared" ref="C33" si="6">C14+C28</f>
        <v>131.25</v>
      </c>
      <c r="D33" s="120">
        <f>D14+D28</f>
        <v>131.25</v>
      </c>
      <c r="E33" s="120">
        <f>E14+E28</f>
        <v>131.25</v>
      </c>
      <c r="F33" s="196">
        <f>F14+F28</f>
        <v>131.25</v>
      </c>
    </row>
    <row r="34" spans="1:7" s="49" customFormat="1" ht="45.75" thickBot="1">
      <c r="A34" s="188" t="s">
        <v>60</v>
      </c>
      <c r="B34" s="137" t="s">
        <v>116</v>
      </c>
      <c r="C34" s="120">
        <f>297.07</f>
        <v>297.07</v>
      </c>
      <c r="D34" s="120">
        <f>438.18</f>
        <v>438.18</v>
      </c>
      <c r="E34" s="120">
        <f>421.22</f>
        <v>421.22</v>
      </c>
      <c r="F34" s="196">
        <f>418.73</f>
        <v>418.73</v>
      </c>
    </row>
    <row r="35" spans="1:7" ht="43.5" customHeight="1" thickBot="1">
      <c r="A35" s="188" t="s">
        <v>62</v>
      </c>
      <c r="B35" s="137" t="s">
        <v>117</v>
      </c>
      <c r="C35" s="120">
        <v>0</v>
      </c>
      <c r="D35" s="120">
        <v>0</v>
      </c>
      <c r="E35" s="120">
        <v>0</v>
      </c>
      <c r="F35" s="196">
        <v>0</v>
      </c>
    </row>
    <row r="36" spans="1:7" ht="22.5" customHeight="1" thickBot="1">
      <c r="A36" s="181" t="s">
        <v>64</v>
      </c>
      <c r="B36" s="17" t="s">
        <v>59</v>
      </c>
      <c r="C36" s="101">
        <v>0</v>
      </c>
      <c r="D36" s="101">
        <v>0</v>
      </c>
      <c r="E36" s="101">
        <v>0</v>
      </c>
      <c r="F36" s="197">
        <v>0</v>
      </c>
    </row>
    <row r="37" spans="1:7" ht="19.5" customHeight="1" thickBot="1">
      <c r="A37" s="183" t="s">
        <v>72</v>
      </c>
      <c r="B37" s="137" t="s">
        <v>85</v>
      </c>
      <c r="C37" s="100">
        <f t="shared" ref="C37" si="7">C34+C33</f>
        <v>428.32</v>
      </c>
      <c r="D37" s="108">
        <f t="shared" ref="D37:F37" si="8">D34+D33</f>
        <v>569.43000000000006</v>
      </c>
      <c r="E37" s="108">
        <f t="shared" si="8"/>
        <v>552.47</v>
      </c>
      <c r="F37" s="180">
        <f t="shared" si="8"/>
        <v>549.98</v>
      </c>
    </row>
    <row r="38" spans="1:7" ht="15.75" thickBot="1">
      <c r="A38" s="181" t="s">
        <v>99</v>
      </c>
      <c r="B38" s="139" t="s">
        <v>61</v>
      </c>
      <c r="C38" s="102">
        <v>0</v>
      </c>
      <c r="D38" s="102">
        <v>0</v>
      </c>
      <c r="E38" s="102">
        <v>0</v>
      </c>
      <c r="F38" s="198">
        <v>0</v>
      </c>
    </row>
    <row r="39" spans="1:7" ht="15.75" thickBot="1">
      <c r="A39" s="181" t="s">
        <v>107</v>
      </c>
      <c r="B39" s="140" t="s">
        <v>63</v>
      </c>
      <c r="C39" s="101">
        <v>0</v>
      </c>
      <c r="D39" s="101">
        <v>0</v>
      </c>
      <c r="E39" s="101">
        <v>0</v>
      </c>
      <c r="F39" s="197">
        <v>0</v>
      </c>
    </row>
    <row r="40" spans="1:7" s="50" customFormat="1" ht="30.75" thickBot="1">
      <c r="A40" s="188" t="s">
        <v>109</v>
      </c>
      <c r="B40" s="137" t="s">
        <v>118</v>
      </c>
      <c r="C40" s="108">
        <f t="shared" ref="C40" si="9">SUM(C41:C43)</f>
        <v>6.4</v>
      </c>
      <c r="D40" s="108">
        <f t="shared" ref="D40:F40" si="10">SUM(D41:D43)</f>
        <v>6.4</v>
      </c>
      <c r="E40" s="108">
        <f t="shared" si="10"/>
        <v>6.4</v>
      </c>
      <c r="F40" s="180">
        <f t="shared" si="10"/>
        <v>6.4</v>
      </c>
    </row>
    <row r="41" spans="1:7" ht="15.75" thickBot="1">
      <c r="A41" s="181" t="s">
        <v>144</v>
      </c>
      <c r="B41" s="17" t="s">
        <v>67</v>
      </c>
      <c r="C41" s="78">
        <v>1.1499999999999999</v>
      </c>
      <c r="D41" s="78">
        <v>1.1499999999999999</v>
      </c>
      <c r="E41" s="78">
        <v>1.1499999999999999</v>
      </c>
      <c r="F41" s="185">
        <v>1.1499999999999999</v>
      </c>
    </row>
    <row r="42" spans="1:7" ht="30.75" thickBot="1">
      <c r="A42" s="181" t="s">
        <v>145</v>
      </c>
      <c r="B42" s="17" t="s">
        <v>69</v>
      </c>
      <c r="C42" s="78">
        <v>0</v>
      </c>
      <c r="D42" s="78">
        <v>0</v>
      </c>
      <c r="E42" s="78">
        <v>0</v>
      </c>
      <c r="F42" s="185">
        <v>0</v>
      </c>
    </row>
    <row r="43" spans="1:7" ht="15.75" thickBot="1">
      <c r="A43" s="181" t="s">
        <v>146</v>
      </c>
      <c r="B43" s="17" t="s">
        <v>71</v>
      </c>
      <c r="C43" s="78">
        <v>5.25</v>
      </c>
      <c r="D43" s="78">
        <v>5.25</v>
      </c>
      <c r="E43" s="78">
        <v>5.25</v>
      </c>
      <c r="F43" s="185">
        <v>5.25</v>
      </c>
    </row>
    <row r="44" spans="1:7" ht="35.25" customHeight="1" thickBot="1">
      <c r="A44" s="199">
        <v>12</v>
      </c>
      <c r="B44" s="200" t="s">
        <v>119</v>
      </c>
      <c r="C44" s="201">
        <v>408714.21</v>
      </c>
      <c r="D44" s="201">
        <v>73571.17</v>
      </c>
      <c r="E44" s="201">
        <v>20348.32</v>
      </c>
      <c r="F44" s="202">
        <v>152.75</v>
      </c>
    </row>
    <row r="45" spans="1:7" ht="15.75" customHeight="1">
      <c r="A45" s="26"/>
      <c r="B45" s="27"/>
      <c r="C45" s="27"/>
      <c r="D45" s="28"/>
      <c r="E45" s="28"/>
      <c r="F45" s="28"/>
    </row>
    <row r="46" spans="1:7" ht="49.5" hidden="1" customHeight="1">
      <c r="A46" s="26"/>
      <c r="B46" s="27"/>
      <c r="C46" s="27"/>
      <c r="D46" s="28"/>
      <c r="E46" s="28"/>
      <c r="F46" s="28"/>
    </row>
    <row r="47" spans="1:7">
      <c r="A47" s="28"/>
      <c r="B47" s="230" t="s">
        <v>75</v>
      </c>
      <c r="C47" s="231"/>
      <c r="D47" s="231"/>
      <c r="E47" s="231" t="s">
        <v>76</v>
      </c>
      <c r="F47" s="231"/>
      <c r="G47" s="25"/>
    </row>
    <row r="48" spans="1:7" ht="14.45" customHeight="1">
      <c r="A48" s="26"/>
      <c r="B48" s="27"/>
      <c r="C48" s="28"/>
      <c r="D48" s="28"/>
      <c r="E48" s="28"/>
      <c r="F48" s="28"/>
    </row>
    <row r="49" spans="1:6" ht="30">
      <c r="A49" s="26"/>
      <c r="B49" s="27" t="s">
        <v>77</v>
      </c>
      <c r="C49" s="28"/>
      <c r="D49" s="28"/>
      <c r="E49" s="28" t="s">
        <v>78</v>
      </c>
      <c r="F49" s="28"/>
    </row>
    <row r="50" spans="1:6">
      <c r="B50" s="28"/>
      <c r="C50" s="27"/>
      <c r="D50" s="28"/>
      <c r="E50" s="28"/>
      <c r="F50" s="28"/>
    </row>
  </sheetData>
  <mergeCells count="5">
    <mergeCell ref="A5:F5"/>
    <mergeCell ref="A6:F6"/>
    <mergeCell ref="A10:A11"/>
    <mergeCell ref="B10:B11"/>
    <mergeCell ref="C10:F10"/>
  </mergeCells>
  <printOptions horizontalCentered="1"/>
  <pageMargins left="0.25" right="0.25" top="0.75" bottom="0.7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="80" zoomScaleNormal="80" zoomScaleSheetLayoutView="80" workbookViewId="0">
      <selection activeCell="D5" sqref="D5"/>
    </sheetView>
  </sheetViews>
  <sheetFormatPr defaultRowHeight="15"/>
  <cols>
    <col min="1" max="1" width="5.28515625" style="1" customWidth="1"/>
    <col min="2" max="2" width="44.7109375" style="1" customWidth="1"/>
    <col min="3" max="6" width="15.7109375" style="1" customWidth="1"/>
    <col min="7" max="7" width="6.5703125" style="1" customWidth="1"/>
    <col min="8" max="8" width="10.140625" style="1" bestFit="1" customWidth="1"/>
    <col min="9" max="16384" width="9.140625" style="1"/>
  </cols>
  <sheetData>
    <row r="1" spans="1:10">
      <c r="C1" s="28"/>
      <c r="D1" s="56" t="s">
        <v>120</v>
      </c>
      <c r="E1" s="57"/>
      <c r="F1" s="57"/>
      <c r="G1" s="2"/>
    </row>
    <row r="2" spans="1:10">
      <c r="C2" s="28"/>
      <c r="D2" s="56" t="s">
        <v>1</v>
      </c>
      <c r="E2" s="57"/>
      <c r="F2" s="57"/>
      <c r="G2" s="2"/>
    </row>
    <row r="3" spans="1:10">
      <c r="C3" s="28"/>
      <c r="D3" s="56" t="s">
        <v>2</v>
      </c>
      <c r="E3" s="57"/>
      <c r="F3" s="57"/>
      <c r="G3" s="2"/>
    </row>
    <row r="4" spans="1:10">
      <c r="C4" s="28"/>
      <c r="D4" s="56" t="s">
        <v>162</v>
      </c>
      <c r="E4" s="57"/>
      <c r="F4" s="57"/>
      <c r="G4" s="2"/>
    </row>
    <row r="5" spans="1:10">
      <c r="C5" s="28"/>
      <c r="D5" s="56"/>
      <c r="E5" s="57"/>
      <c r="F5" s="57"/>
      <c r="G5" s="2"/>
    </row>
    <row r="6" spans="1:10">
      <c r="C6" s="28"/>
      <c r="D6" s="56"/>
      <c r="E6" s="57"/>
      <c r="F6" s="57"/>
      <c r="G6" s="2"/>
    </row>
    <row r="7" spans="1:10">
      <c r="A7" s="238" t="s">
        <v>121</v>
      </c>
      <c r="B7" s="238"/>
      <c r="C7" s="238"/>
      <c r="D7" s="238"/>
      <c r="E7" s="238"/>
      <c r="F7" s="238"/>
    </row>
    <row r="8" spans="1:10" ht="14.25" customHeight="1">
      <c r="A8" s="238" t="s">
        <v>4</v>
      </c>
      <c r="B8" s="238"/>
      <c r="C8" s="238"/>
      <c r="D8" s="238"/>
      <c r="E8" s="238"/>
      <c r="F8" s="238"/>
    </row>
    <row r="9" spans="1:10" ht="7.5" hidden="1" customHeight="1"/>
    <row r="11" spans="1:10" ht="6" customHeight="1" thickBot="1"/>
    <row r="12" spans="1:10" ht="15.75" customHeight="1" thickBot="1">
      <c r="A12" s="239" t="s">
        <v>5</v>
      </c>
      <c r="B12" s="241" t="s">
        <v>6</v>
      </c>
      <c r="C12" s="174"/>
      <c r="D12" s="248" t="s">
        <v>149</v>
      </c>
      <c r="E12" s="248"/>
      <c r="F12" s="247"/>
    </row>
    <row r="13" spans="1:10" ht="60.75" customHeight="1" thickBot="1">
      <c r="A13" s="240"/>
      <c r="B13" s="242"/>
      <c r="C13" s="3" t="s">
        <v>159</v>
      </c>
      <c r="D13" s="3" t="s">
        <v>7</v>
      </c>
      <c r="E13" s="4" t="s">
        <v>8</v>
      </c>
      <c r="F13" s="5" t="s">
        <v>9</v>
      </c>
    </row>
    <row r="14" spans="1:10" ht="15.75" thickBot="1">
      <c r="A14" s="175">
        <v>1</v>
      </c>
      <c r="B14" s="3">
        <v>2</v>
      </c>
      <c r="C14" s="3">
        <v>3</v>
      </c>
      <c r="D14" s="3">
        <v>4</v>
      </c>
      <c r="E14" s="3">
        <v>5</v>
      </c>
      <c r="F14" s="176">
        <v>6</v>
      </c>
    </row>
    <row r="15" spans="1:10" ht="51.75" customHeight="1" thickBot="1">
      <c r="A15" s="177"/>
      <c r="B15" s="136" t="s">
        <v>152</v>
      </c>
      <c r="C15" s="100">
        <f>ROUND((C16+C27+C31+C32+C34+C35+C36),2)</f>
        <v>5.49</v>
      </c>
      <c r="D15" s="100">
        <f>ROUND((D16+D27+D31+D32+D34+D35+D36),2)</f>
        <v>5.49</v>
      </c>
      <c r="E15" s="100">
        <f t="shared" ref="E15:F15" si="0">ROUND((E16+E27+E31+E32+E34+E35+E36),2)</f>
        <v>5.49</v>
      </c>
      <c r="F15" s="178">
        <f t="shared" si="0"/>
        <v>5.49</v>
      </c>
      <c r="H15" s="36"/>
      <c r="I15" s="33"/>
      <c r="J15" s="36"/>
    </row>
    <row r="16" spans="1:10" ht="14.25" customHeight="1" thickBot="1">
      <c r="A16" s="179">
        <v>1</v>
      </c>
      <c r="B16" s="137" t="s">
        <v>17</v>
      </c>
      <c r="C16" s="108">
        <f>SUM(C17:C19)+C23</f>
        <v>5.1400000000000006</v>
      </c>
      <c r="D16" s="108">
        <f>SUM(D17:D19)+D23</f>
        <v>5.1400000000000006</v>
      </c>
      <c r="E16" s="108">
        <f>SUM(E17:E19)+E23</f>
        <v>5.1400000000000006</v>
      </c>
      <c r="F16" s="180">
        <f>SUM(F17:F19)+F23</f>
        <v>5.1400000000000006</v>
      </c>
    </row>
    <row r="17" spans="1:6" ht="15.75" thickBot="1">
      <c r="A17" s="181" t="s">
        <v>18</v>
      </c>
      <c r="B17" s="137" t="s">
        <v>122</v>
      </c>
      <c r="C17" s="103">
        <v>7.0000000000000007E-2</v>
      </c>
      <c r="D17" s="103">
        <v>7.0000000000000007E-2</v>
      </c>
      <c r="E17" s="103">
        <v>7.0000000000000007E-2</v>
      </c>
      <c r="F17" s="182">
        <v>7.0000000000000007E-2</v>
      </c>
    </row>
    <row r="18" spans="1:6" ht="15.75" thickBot="1">
      <c r="A18" s="183" t="s">
        <v>34</v>
      </c>
      <c r="B18" s="138" t="s">
        <v>35</v>
      </c>
      <c r="C18" s="104">
        <v>4.05</v>
      </c>
      <c r="D18" s="104">
        <v>4.05</v>
      </c>
      <c r="E18" s="104">
        <v>4.05</v>
      </c>
      <c r="F18" s="184">
        <v>4.05</v>
      </c>
    </row>
    <row r="19" spans="1:6" ht="15.75" thickBot="1">
      <c r="A19" s="181" t="s">
        <v>36</v>
      </c>
      <c r="B19" s="137" t="s">
        <v>37</v>
      </c>
      <c r="C19" s="108">
        <f>SUM(C20:C22)</f>
        <v>0.95000000000000007</v>
      </c>
      <c r="D19" s="108">
        <f>SUM(D20:D22)</f>
        <v>0.95000000000000007</v>
      </c>
      <c r="E19" s="108">
        <f>SUM(E20:E22)</f>
        <v>0.95000000000000007</v>
      </c>
      <c r="F19" s="180">
        <f>SUM(F20:F22)</f>
        <v>0.95000000000000007</v>
      </c>
    </row>
    <row r="20" spans="1:6" ht="15.75" thickBot="1">
      <c r="A20" s="181" t="s">
        <v>38</v>
      </c>
      <c r="B20" s="17" t="s">
        <v>39</v>
      </c>
      <c r="C20" s="105">
        <v>0.89</v>
      </c>
      <c r="D20" s="106">
        <v>0.89</v>
      </c>
      <c r="E20" s="78">
        <v>0.89</v>
      </c>
      <c r="F20" s="185">
        <v>0.89</v>
      </c>
    </row>
    <row r="21" spans="1:6" ht="18.75" customHeight="1" thickBot="1">
      <c r="A21" s="181" t="s">
        <v>40</v>
      </c>
      <c r="B21" s="17" t="s">
        <v>41</v>
      </c>
      <c r="C21" s="105">
        <v>0.03</v>
      </c>
      <c r="D21" s="106">
        <v>0.03</v>
      </c>
      <c r="E21" s="105">
        <v>0.03</v>
      </c>
      <c r="F21" s="186">
        <v>0.03</v>
      </c>
    </row>
    <row r="22" spans="1:6" ht="15.75" thickBot="1">
      <c r="A22" s="181" t="s">
        <v>42</v>
      </c>
      <c r="B22" s="17" t="s">
        <v>43</v>
      </c>
      <c r="C22" s="105">
        <f>0.02+0.01</f>
        <v>0.03</v>
      </c>
      <c r="D22" s="106">
        <f>0.02+0.01</f>
        <v>0.03</v>
      </c>
      <c r="E22" s="107">
        <f>0.02+0.01</f>
        <v>0.03</v>
      </c>
      <c r="F22" s="187">
        <f>0.02+0.01</f>
        <v>0.03</v>
      </c>
    </row>
    <row r="23" spans="1:6" ht="15.75" thickBot="1">
      <c r="A23" s="181" t="s">
        <v>44</v>
      </c>
      <c r="B23" s="137" t="s">
        <v>45</v>
      </c>
      <c r="C23" s="108">
        <f t="shared" ref="C23" si="1">SUM(C24:C26)</f>
        <v>6.9999999999999993E-2</v>
      </c>
      <c r="D23" s="108">
        <f>SUM(D24:D26)</f>
        <v>6.9999999999999993E-2</v>
      </c>
      <c r="E23" s="108">
        <f>SUM(E24:E26)</f>
        <v>6.9999999999999993E-2</v>
      </c>
      <c r="F23" s="180">
        <f>SUM(F24:F26)</f>
        <v>6.9999999999999993E-2</v>
      </c>
    </row>
    <row r="24" spans="1:6" ht="18.75" customHeight="1" thickBot="1">
      <c r="A24" s="181" t="s">
        <v>46</v>
      </c>
      <c r="B24" s="17" t="s">
        <v>47</v>
      </c>
      <c r="C24" s="105">
        <v>0.06</v>
      </c>
      <c r="D24" s="106">
        <v>0.06</v>
      </c>
      <c r="E24" s="105">
        <v>0.06</v>
      </c>
      <c r="F24" s="186">
        <v>0.06</v>
      </c>
    </row>
    <row r="25" spans="1:6" ht="15.75" thickBot="1">
      <c r="A25" s="181" t="s">
        <v>48</v>
      </c>
      <c r="B25" s="17" t="s">
        <v>39</v>
      </c>
      <c r="C25" s="105">
        <v>0.01</v>
      </c>
      <c r="D25" s="106">
        <v>0.01</v>
      </c>
      <c r="E25" s="105">
        <v>0.01</v>
      </c>
      <c r="F25" s="186">
        <v>0.01</v>
      </c>
    </row>
    <row r="26" spans="1:6" ht="22.5" customHeight="1" thickBot="1">
      <c r="A26" s="181" t="s">
        <v>150</v>
      </c>
      <c r="B26" s="17" t="s">
        <v>50</v>
      </c>
      <c r="C26" s="105">
        <v>0</v>
      </c>
      <c r="D26" s="106">
        <v>0</v>
      </c>
      <c r="E26" s="105">
        <v>0</v>
      </c>
      <c r="F26" s="186">
        <v>0</v>
      </c>
    </row>
    <row r="27" spans="1:6" ht="17.25" customHeight="1" thickBot="1">
      <c r="A27" s="181" t="s">
        <v>51</v>
      </c>
      <c r="B27" s="137" t="s">
        <v>52</v>
      </c>
      <c r="C27" s="108">
        <f>SUM(C28:C31)</f>
        <v>0.1</v>
      </c>
      <c r="D27" s="108">
        <f>SUM(D28:D31)</f>
        <v>0.1</v>
      </c>
      <c r="E27" s="108">
        <f>SUM(E28:E31)</f>
        <v>0.1</v>
      </c>
      <c r="F27" s="180">
        <f>SUM(F28:F31)</f>
        <v>0.1</v>
      </c>
    </row>
    <row r="28" spans="1:6" ht="21" customHeight="1" thickBot="1">
      <c r="A28" s="181" t="s">
        <v>53</v>
      </c>
      <c r="B28" s="17" t="s">
        <v>47</v>
      </c>
      <c r="C28" s="105">
        <v>0.08</v>
      </c>
      <c r="D28" s="106">
        <v>0.08</v>
      </c>
      <c r="E28" s="105">
        <v>0.08</v>
      </c>
      <c r="F28" s="186">
        <v>0.08</v>
      </c>
    </row>
    <row r="29" spans="1:6" ht="15.75" thickBot="1">
      <c r="A29" s="181" t="s">
        <v>54</v>
      </c>
      <c r="B29" s="17" t="s">
        <v>39</v>
      </c>
      <c r="C29" s="105">
        <v>0.02</v>
      </c>
      <c r="D29" s="106">
        <v>0.02</v>
      </c>
      <c r="E29" s="105">
        <v>0.02</v>
      </c>
      <c r="F29" s="186">
        <v>0.02</v>
      </c>
    </row>
    <row r="30" spans="1:6" ht="15.75" thickBot="1">
      <c r="A30" s="181" t="s">
        <v>151</v>
      </c>
      <c r="B30" s="17" t="s">
        <v>50</v>
      </c>
      <c r="C30" s="105">
        <v>0</v>
      </c>
      <c r="D30" s="106">
        <v>0</v>
      </c>
      <c r="E30" s="105">
        <v>0</v>
      </c>
      <c r="F30" s="186">
        <v>0</v>
      </c>
    </row>
    <row r="31" spans="1:6" ht="15.75" thickBot="1">
      <c r="A31" s="188" t="s">
        <v>56</v>
      </c>
      <c r="B31" s="137" t="s">
        <v>57</v>
      </c>
      <c r="C31" s="108">
        <v>0</v>
      </c>
      <c r="D31" s="108">
        <v>0</v>
      </c>
      <c r="E31" s="108">
        <v>0</v>
      </c>
      <c r="F31" s="180">
        <v>0</v>
      </c>
    </row>
    <row r="32" spans="1:6" ht="15.75" thickBot="1">
      <c r="A32" s="181" t="s">
        <v>58</v>
      </c>
      <c r="B32" s="17" t="s">
        <v>59</v>
      </c>
      <c r="C32" s="105">
        <v>0</v>
      </c>
      <c r="D32" s="105">
        <v>0</v>
      </c>
      <c r="E32" s="105">
        <v>0</v>
      </c>
      <c r="F32" s="186">
        <v>0</v>
      </c>
    </row>
    <row r="33" spans="1:8" ht="15.75" thickBot="1">
      <c r="A33" s="183" t="s">
        <v>60</v>
      </c>
      <c r="B33" s="137" t="s">
        <v>85</v>
      </c>
      <c r="C33" s="108">
        <f t="shared" ref="C33" si="2">C27+C16+C31</f>
        <v>5.24</v>
      </c>
      <c r="D33" s="108">
        <f>D27+D16+D31</f>
        <v>5.24</v>
      </c>
      <c r="E33" s="108">
        <f>E27+E16+E31</f>
        <v>5.24</v>
      </c>
      <c r="F33" s="180">
        <f>F27+F16+F31</f>
        <v>5.24</v>
      </c>
    </row>
    <row r="34" spans="1:8" ht="15.75" thickBot="1">
      <c r="A34" s="181" t="s">
        <v>62</v>
      </c>
      <c r="B34" s="139" t="s">
        <v>61</v>
      </c>
      <c r="C34" s="105">
        <v>0</v>
      </c>
      <c r="D34" s="105">
        <v>0</v>
      </c>
      <c r="E34" s="105">
        <v>0</v>
      </c>
      <c r="F34" s="186">
        <v>0</v>
      </c>
    </row>
    <row r="35" spans="1:8" ht="15.75" thickBot="1">
      <c r="A35" s="181" t="s">
        <v>64</v>
      </c>
      <c r="B35" s="140" t="s">
        <v>63</v>
      </c>
      <c r="C35" s="105">
        <v>0</v>
      </c>
      <c r="D35" s="105">
        <v>0</v>
      </c>
      <c r="E35" s="105">
        <v>0</v>
      </c>
      <c r="F35" s="186">
        <v>0</v>
      </c>
    </row>
    <row r="36" spans="1:8" ht="30.75" thickBot="1">
      <c r="A36" s="188" t="s">
        <v>72</v>
      </c>
      <c r="B36" s="137" t="s">
        <v>123</v>
      </c>
      <c r="C36" s="108">
        <f>SUM(C37:C39)</f>
        <v>0.25</v>
      </c>
      <c r="D36" s="108">
        <f>SUM(D37:D39)</f>
        <v>0.25</v>
      </c>
      <c r="E36" s="108">
        <f>SUM(E37:E39)</f>
        <v>0.25</v>
      </c>
      <c r="F36" s="180">
        <f>SUM(F37:F39)</f>
        <v>0.25</v>
      </c>
    </row>
    <row r="37" spans="1:8" ht="15.75" thickBot="1">
      <c r="A37" s="181" t="s">
        <v>93</v>
      </c>
      <c r="B37" s="17" t="s">
        <v>67</v>
      </c>
      <c r="C37" s="105">
        <v>0.05</v>
      </c>
      <c r="D37" s="106">
        <v>0.05</v>
      </c>
      <c r="E37" s="105">
        <v>0.05</v>
      </c>
      <c r="F37" s="186">
        <v>0.05</v>
      </c>
    </row>
    <row r="38" spans="1:8" ht="30.75" thickBot="1">
      <c r="A38" s="181" t="s">
        <v>95</v>
      </c>
      <c r="B38" s="17" t="s">
        <v>69</v>
      </c>
      <c r="C38" s="105">
        <v>0</v>
      </c>
      <c r="D38" s="106">
        <v>0</v>
      </c>
      <c r="E38" s="105">
        <v>0</v>
      </c>
      <c r="F38" s="186">
        <v>0</v>
      </c>
    </row>
    <row r="39" spans="1:8" ht="15.75" thickBot="1">
      <c r="A39" s="181" t="s">
        <v>97</v>
      </c>
      <c r="B39" s="17" t="s">
        <v>71</v>
      </c>
      <c r="C39" s="105">
        <f>0.21-0.01</f>
        <v>0.19999999999999998</v>
      </c>
      <c r="D39" s="106">
        <f>0.21-0.01</f>
        <v>0.19999999999999998</v>
      </c>
      <c r="E39" s="105">
        <f>0.21-0.01</f>
        <v>0.19999999999999998</v>
      </c>
      <c r="F39" s="186">
        <f>0.21-0.01</f>
        <v>0.19999999999999998</v>
      </c>
    </row>
    <row r="40" spans="1:8" ht="35.25" customHeight="1" thickBot="1">
      <c r="A40" s="189">
        <v>9</v>
      </c>
      <c r="B40" s="190" t="s">
        <v>119</v>
      </c>
      <c r="C40" s="191">
        <v>408714.21</v>
      </c>
      <c r="D40" s="191">
        <v>73571.17</v>
      </c>
      <c r="E40" s="191">
        <v>20348.32</v>
      </c>
      <c r="F40" s="192">
        <v>152.75</v>
      </c>
      <c r="H40" s="51"/>
    </row>
    <row r="41" spans="1:8" ht="15.75" customHeight="1">
      <c r="A41" s="27"/>
      <c r="B41" s="69"/>
      <c r="C41" s="69"/>
      <c r="D41" s="25"/>
      <c r="E41" s="25"/>
      <c r="F41" s="25"/>
      <c r="G41" s="28"/>
    </row>
    <row r="42" spans="1:8" ht="49.5" hidden="1" customHeight="1">
      <c r="A42" s="27"/>
      <c r="B42" s="69"/>
      <c r="C42" s="69"/>
      <c r="D42" s="25"/>
      <c r="E42" s="25"/>
      <c r="F42" s="25"/>
      <c r="G42" s="28"/>
    </row>
    <row r="43" spans="1:8">
      <c r="A43" s="28"/>
      <c r="B43" s="70"/>
      <c r="C43" s="28"/>
      <c r="D43" s="28"/>
      <c r="E43" s="28"/>
      <c r="F43" s="28"/>
      <c r="G43" s="28"/>
    </row>
    <row r="44" spans="1:8">
      <c r="A44" s="27"/>
      <c r="B44" s="70" t="s">
        <v>75</v>
      </c>
      <c r="C44" s="28"/>
      <c r="D44" s="28"/>
      <c r="E44" s="28" t="s">
        <v>76</v>
      </c>
      <c r="F44" s="28"/>
      <c r="G44" s="28"/>
    </row>
    <row r="45" spans="1:8">
      <c r="A45" s="27"/>
      <c r="B45" s="27"/>
      <c r="C45" s="28"/>
      <c r="D45" s="28"/>
      <c r="E45" s="28"/>
      <c r="F45" s="28"/>
      <c r="G45" s="28"/>
    </row>
    <row r="46" spans="1:8" ht="30">
      <c r="B46" s="27" t="s">
        <v>77</v>
      </c>
      <c r="C46" s="28"/>
      <c r="D46" s="28"/>
      <c r="E46" s="28" t="s">
        <v>78</v>
      </c>
      <c r="F46" s="28"/>
    </row>
  </sheetData>
  <mergeCells count="5">
    <mergeCell ref="A7:F7"/>
    <mergeCell ref="A8:F8"/>
    <mergeCell ref="A12:A13"/>
    <mergeCell ref="B12:B13"/>
    <mergeCell ref="D12:F12"/>
  </mergeCells>
  <printOptions horizontalCentered="1"/>
  <pageMargins left="0.25" right="0.25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80" zoomScaleNormal="80" workbookViewId="0">
      <selection activeCell="A5" sqref="A5:E5"/>
    </sheetView>
  </sheetViews>
  <sheetFormatPr defaultRowHeight="15"/>
  <cols>
    <col min="1" max="1" width="5.28515625" style="1" customWidth="1"/>
    <col min="2" max="2" width="44.7109375" style="1" customWidth="1"/>
    <col min="3" max="6" width="15.7109375" style="1" customWidth="1"/>
    <col min="7" max="16384" width="9.140625" style="1"/>
  </cols>
  <sheetData>
    <row r="1" spans="1:8">
      <c r="A1" s="57"/>
      <c r="B1" s="57"/>
      <c r="C1" s="57"/>
      <c r="D1" s="57"/>
      <c r="E1" s="56" t="s">
        <v>142</v>
      </c>
      <c r="F1" s="57"/>
      <c r="G1" s="2"/>
      <c r="H1" s="2"/>
    </row>
    <row r="2" spans="1:8">
      <c r="A2" s="57"/>
      <c r="B2" s="57"/>
      <c r="C2" s="57"/>
      <c r="D2" s="57"/>
      <c r="E2" s="56" t="s">
        <v>1</v>
      </c>
      <c r="F2" s="57"/>
      <c r="G2" s="2"/>
      <c r="H2" s="2"/>
    </row>
    <row r="3" spans="1:8">
      <c r="A3" s="57"/>
      <c r="B3" s="57"/>
      <c r="C3" s="57"/>
      <c r="D3" s="57"/>
      <c r="E3" s="56" t="s">
        <v>2</v>
      </c>
      <c r="F3" s="57"/>
      <c r="G3" s="2"/>
      <c r="H3" s="2"/>
    </row>
    <row r="4" spans="1:8">
      <c r="A4" s="57"/>
      <c r="B4" s="57"/>
      <c r="C4" s="57"/>
      <c r="D4" s="57"/>
      <c r="E4" s="56" t="s">
        <v>162</v>
      </c>
      <c r="F4" s="57"/>
      <c r="G4" s="2"/>
      <c r="H4" s="2"/>
    </row>
    <row r="5" spans="1:8" ht="27.75" customHeight="1">
      <c r="A5" s="261" t="s">
        <v>124</v>
      </c>
      <c r="B5" s="261"/>
      <c r="C5" s="261"/>
      <c r="D5" s="261"/>
      <c r="E5" s="261"/>
      <c r="F5" s="57"/>
      <c r="G5" s="2"/>
    </row>
    <row r="6" spans="1:8">
      <c r="A6" s="238" t="s">
        <v>4</v>
      </c>
      <c r="B6" s="238"/>
      <c r="C6" s="238"/>
      <c r="D6" s="238"/>
      <c r="E6" s="238"/>
      <c r="F6" s="52"/>
      <c r="G6" s="2"/>
    </row>
    <row r="7" spans="1:8">
      <c r="A7" s="2"/>
      <c r="B7" s="2"/>
      <c r="C7" s="2"/>
      <c r="D7" s="2"/>
      <c r="E7" s="2"/>
      <c r="F7" s="2"/>
      <c r="G7" s="2"/>
    </row>
    <row r="8" spans="1:8" ht="15.75" thickBot="1">
      <c r="A8" s="2"/>
      <c r="B8" s="2"/>
      <c r="C8" s="2"/>
      <c r="D8" s="2"/>
      <c r="E8" s="2"/>
      <c r="F8" s="2"/>
      <c r="G8" s="2"/>
    </row>
    <row r="9" spans="1:8" ht="15" customHeight="1" thickBot="1">
      <c r="A9" s="262" t="s">
        <v>5</v>
      </c>
      <c r="B9" s="265" t="s">
        <v>6</v>
      </c>
      <c r="C9" s="258" t="s">
        <v>143</v>
      </c>
      <c r="D9" s="259"/>
      <c r="E9" s="259"/>
      <c r="F9" s="260"/>
      <c r="G9" s="2"/>
    </row>
    <row r="10" spans="1:8" ht="14.45" customHeight="1">
      <c r="A10" s="263"/>
      <c r="B10" s="266"/>
      <c r="C10" s="252" t="s">
        <v>159</v>
      </c>
      <c r="D10" s="252" t="s">
        <v>7</v>
      </c>
      <c r="E10" s="252" t="s">
        <v>8</v>
      </c>
      <c r="F10" s="249" t="s">
        <v>161</v>
      </c>
      <c r="G10" s="2"/>
    </row>
    <row r="11" spans="1:8">
      <c r="A11" s="263"/>
      <c r="B11" s="266"/>
      <c r="C11" s="253"/>
      <c r="D11" s="253"/>
      <c r="E11" s="253"/>
      <c r="F11" s="250"/>
      <c r="G11" s="2"/>
    </row>
    <row r="12" spans="1:8" ht="25.5" customHeight="1" thickBot="1">
      <c r="A12" s="264"/>
      <c r="B12" s="267"/>
      <c r="C12" s="254"/>
      <c r="D12" s="254"/>
      <c r="E12" s="254"/>
      <c r="F12" s="251"/>
      <c r="G12" s="2"/>
    </row>
    <row r="13" spans="1:8" ht="15.75" thickBot="1">
      <c r="A13" s="58">
        <v>1</v>
      </c>
      <c r="B13" s="53">
        <v>2</v>
      </c>
      <c r="C13" s="54">
        <v>3</v>
      </c>
      <c r="D13" s="54">
        <v>4</v>
      </c>
      <c r="E13" s="54">
        <v>5</v>
      </c>
      <c r="F13" s="55">
        <v>5</v>
      </c>
      <c r="G13" s="2"/>
    </row>
    <row r="14" spans="1:8" ht="21.75" customHeight="1" thickBot="1">
      <c r="A14" s="59" t="s">
        <v>10</v>
      </c>
      <c r="B14" s="229" t="s">
        <v>125</v>
      </c>
      <c r="C14" s="114">
        <f>C24</f>
        <v>122.59199999999998</v>
      </c>
      <c r="D14" s="114">
        <f>D24</f>
        <v>180.43200000000002</v>
      </c>
      <c r="E14" s="114">
        <f>E24</f>
        <v>186.19199999999998</v>
      </c>
      <c r="F14" s="115">
        <f>F24</f>
        <v>187.31319999999997</v>
      </c>
      <c r="G14" s="2"/>
    </row>
    <row r="15" spans="1:8" ht="15" customHeight="1">
      <c r="A15" s="60" t="s">
        <v>15</v>
      </c>
      <c r="B15" s="255" t="s">
        <v>126</v>
      </c>
      <c r="C15" s="256"/>
      <c r="D15" s="256"/>
      <c r="E15" s="256"/>
      <c r="F15" s="257"/>
      <c r="G15" s="2"/>
    </row>
    <row r="16" spans="1:8" ht="36" customHeight="1">
      <c r="A16" s="61">
        <v>1</v>
      </c>
      <c r="B16" s="64" t="s">
        <v>127</v>
      </c>
      <c r="C16" s="228">
        <f t="shared" ref="C16:D16" si="0">C17+C18</f>
        <v>102.16</v>
      </c>
      <c r="D16" s="110">
        <f t="shared" si="0"/>
        <v>150.36000000000001</v>
      </c>
      <c r="E16" s="110">
        <f>E17+E18</f>
        <v>155.16</v>
      </c>
      <c r="F16" s="116">
        <f>F17+F18-0.004</f>
        <v>156.08599999999998</v>
      </c>
      <c r="G16" s="2"/>
    </row>
    <row r="17" spans="1:7" ht="24.6" customHeight="1">
      <c r="A17" s="172" t="s">
        <v>128</v>
      </c>
      <c r="B17" s="65" t="s">
        <v>129</v>
      </c>
      <c r="C17" s="111">
        <v>84.81</v>
      </c>
      <c r="D17" s="111">
        <v>132.68</v>
      </c>
      <c r="E17" s="111">
        <v>137.26</v>
      </c>
      <c r="F17" s="117">
        <v>138.26</v>
      </c>
      <c r="G17" s="2"/>
    </row>
    <row r="18" spans="1:7" ht="31.15" customHeight="1">
      <c r="A18" s="62" t="s">
        <v>130</v>
      </c>
      <c r="B18" s="65" t="s">
        <v>131</v>
      </c>
      <c r="C18" s="111">
        <v>17.350000000000001</v>
      </c>
      <c r="D18" s="111">
        <v>17.68</v>
      </c>
      <c r="E18" s="111">
        <v>17.899999999999999</v>
      </c>
      <c r="F18" s="117">
        <v>17.829999999999998</v>
      </c>
      <c r="G18" s="2"/>
    </row>
    <row r="19" spans="1:7" ht="29.45" customHeight="1">
      <c r="A19" s="61">
        <v>2</v>
      </c>
      <c r="B19" s="66" t="s">
        <v>132</v>
      </c>
      <c r="C19" s="110">
        <f t="shared" ref="C19" si="1">C20+C21+C22</f>
        <v>0</v>
      </c>
      <c r="D19" s="110">
        <f t="shared" ref="D19:E19" si="2">D20+D21+D22</f>
        <v>0</v>
      </c>
      <c r="E19" s="110">
        <f t="shared" si="2"/>
        <v>0</v>
      </c>
      <c r="F19" s="116">
        <f t="shared" ref="F19" si="3">F20+F21+F22</f>
        <v>0</v>
      </c>
      <c r="G19" s="2"/>
    </row>
    <row r="20" spans="1:7" ht="20.45" customHeight="1">
      <c r="A20" s="62" t="s">
        <v>133</v>
      </c>
      <c r="B20" s="67" t="s">
        <v>67</v>
      </c>
      <c r="C20" s="112">
        <v>0</v>
      </c>
      <c r="D20" s="112">
        <v>0</v>
      </c>
      <c r="E20" s="112">
        <v>0</v>
      </c>
      <c r="F20" s="118">
        <v>0</v>
      </c>
      <c r="G20" s="2"/>
    </row>
    <row r="21" spans="1:7" ht="27.6" customHeight="1">
      <c r="A21" s="62" t="s">
        <v>134</v>
      </c>
      <c r="B21" s="67" t="s">
        <v>69</v>
      </c>
      <c r="C21" s="112">
        <v>0</v>
      </c>
      <c r="D21" s="112">
        <v>0</v>
      </c>
      <c r="E21" s="112">
        <v>0</v>
      </c>
      <c r="F21" s="118">
        <v>0</v>
      </c>
      <c r="G21" s="2"/>
    </row>
    <row r="22" spans="1:7">
      <c r="A22" s="62" t="s">
        <v>135</v>
      </c>
      <c r="B22" s="68" t="s">
        <v>71</v>
      </c>
      <c r="C22" s="112">
        <v>0</v>
      </c>
      <c r="D22" s="112">
        <v>0</v>
      </c>
      <c r="E22" s="112">
        <v>0</v>
      </c>
      <c r="F22" s="118">
        <v>0</v>
      </c>
      <c r="G22" s="2"/>
    </row>
    <row r="23" spans="1:7" ht="19.149999999999999" customHeight="1">
      <c r="A23" s="63">
        <v>3</v>
      </c>
      <c r="B23" s="66" t="s">
        <v>136</v>
      </c>
      <c r="C23" s="113">
        <f>C16+C19</f>
        <v>102.16</v>
      </c>
      <c r="D23" s="113">
        <f t="shared" ref="D23:E23" si="4">D16+D19</f>
        <v>150.36000000000001</v>
      </c>
      <c r="E23" s="113">
        <f t="shared" si="4"/>
        <v>155.16</v>
      </c>
      <c r="F23" s="119">
        <f t="shared" ref="F23" si="5">F16+F19</f>
        <v>156.08599999999998</v>
      </c>
      <c r="G23" s="2"/>
    </row>
    <row r="24" spans="1:7" ht="31.9" customHeight="1">
      <c r="A24" s="62">
        <v>4</v>
      </c>
      <c r="B24" s="67" t="s">
        <v>137</v>
      </c>
      <c r="C24" s="167">
        <f>C23*1.2</f>
        <v>122.59199999999998</v>
      </c>
      <c r="D24" s="167">
        <f>D23*1.2</f>
        <v>180.43200000000002</v>
      </c>
      <c r="E24" s="167">
        <f>E23*1.2</f>
        <v>186.19199999999998</v>
      </c>
      <c r="F24" s="168">
        <f>F23*1.2+0.01</f>
        <v>187.31319999999997</v>
      </c>
      <c r="G24" s="2"/>
    </row>
    <row r="25" spans="1:7" ht="21" customHeight="1">
      <c r="A25" s="62" t="s">
        <v>138</v>
      </c>
      <c r="B25" s="67" t="s">
        <v>139</v>
      </c>
      <c r="C25" s="167">
        <v>63.683999999999997</v>
      </c>
      <c r="D25" s="167">
        <v>117.15</v>
      </c>
      <c r="E25" s="167">
        <v>125.268</v>
      </c>
      <c r="F25" s="168">
        <v>126.18</v>
      </c>
      <c r="G25" s="2"/>
    </row>
    <row r="26" spans="1:7" ht="35.25" customHeight="1" thickBot="1">
      <c r="A26" s="173" t="s">
        <v>140</v>
      </c>
      <c r="B26" s="169" t="s">
        <v>141</v>
      </c>
      <c r="C26" s="170">
        <f>C24-C25</f>
        <v>58.907999999999987</v>
      </c>
      <c r="D26" s="170">
        <f t="shared" ref="D26:E26" si="6">D24-D25</f>
        <v>63.282000000000011</v>
      </c>
      <c r="E26" s="170">
        <f t="shared" si="6"/>
        <v>60.923999999999978</v>
      </c>
      <c r="F26" s="171">
        <f t="shared" ref="F26" si="7">F24-F25</f>
        <v>61.13319999999996</v>
      </c>
      <c r="G26" s="2"/>
    </row>
    <row r="27" spans="1:7">
      <c r="A27" s="28"/>
      <c r="B27" s="28"/>
      <c r="C27" s="28"/>
      <c r="D27" s="28"/>
      <c r="E27" s="28"/>
      <c r="F27" s="28"/>
    </row>
    <row r="28" spans="1:7">
      <c r="A28" s="232"/>
      <c r="B28" s="70" t="s">
        <v>75</v>
      </c>
      <c r="C28" s="70"/>
      <c r="D28" s="28"/>
      <c r="E28" s="28" t="s">
        <v>76</v>
      </c>
      <c r="F28" s="28"/>
    </row>
    <row r="29" spans="1:7">
      <c r="A29" s="232"/>
      <c r="B29" s="27"/>
      <c r="C29" s="27"/>
      <c r="D29" s="28"/>
      <c r="E29" s="28"/>
      <c r="F29" s="28"/>
    </row>
    <row r="30" spans="1:7" ht="30">
      <c r="A30" s="232"/>
      <c r="B30" s="27" t="s">
        <v>77</v>
      </c>
      <c r="C30" s="27"/>
      <c r="D30" s="28"/>
      <c r="E30" s="28" t="s">
        <v>78</v>
      </c>
      <c r="F30" s="28"/>
    </row>
    <row r="31" spans="1:7">
      <c r="A31" s="232"/>
      <c r="B31" s="232"/>
      <c r="C31" s="232"/>
      <c r="D31" s="28"/>
      <c r="E31" s="28"/>
      <c r="F31" s="28"/>
    </row>
  </sheetData>
  <mergeCells count="10">
    <mergeCell ref="F10:F12"/>
    <mergeCell ref="C10:C12"/>
    <mergeCell ref="B15:F15"/>
    <mergeCell ref="C9:F9"/>
    <mergeCell ref="A5:E5"/>
    <mergeCell ref="A6:E6"/>
    <mergeCell ref="A9:A12"/>
    <mergeCell ref="B9:B12"/>
    <mergeCell ref="D10:D12"/>
    <mergeCell ref="E10:E12"/>
  </mergeCells>
  <printOptions horizontalCentered="1"/>
  <pageMargins left="0.25" right="0.25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Виробництво!Область_друку</vt:lpstr>
      <vt:lpstr>Постачання!Область_друку</vt:lpstr>
      <vt:lpstr>'Теплова енергія'!Область_друку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Кірічук Оксана Володимирівна</cp:lastModifiedBy>
  <cp:lastPrinted>2024-10-17T12:58:46Z</cp:lastPrinted>
  <dcterms:created xsi:type="dcterms:W3CDTF">2021-08-30T22:30:20Z</dcterms:created>
  <dcterms:modified xsi:type="dcterms:W3CDTF">2024-10-29T08:34:05Z</dcterms:modified>
</cp:coreProperties>
</file>