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ЦяКнига"/>
  <mc:AlternateContent xmlns:mc="http://schemas.openxmlformats.org/markup-compatibility/2006">
    <mc:Choice Requires="x15">
      <x15ac:absPath xmlns:x15ac="http://schemas.microsoft.com/office/spreadsheetml/2010/11/ac" url="O:\BUDJET\2024\Рішення від  18.12.2024 №\Рішення МВК від 03.12.2024 №\"/>
    </mc:Choice>
  </mc:AlternateContent>
  <xr:revisionPtr revIDLastSave="0" documentId="13_ncr:1_{10E2653F-3324-43AC-93D7-1AC43638AAB5}" xr6:coauthVersionLast="47" xr6:coauthVersionMax="47" xr10:uidLastSave="{00000000-0000-0000-0000-000000000000}"/>
  <bookViews>
    <workbookView xWindow="-28920" yWindow="-120" windowWidth="29040" windowHeight="15720" tabRatio="583" activeTab="5" xr2:uid="{00000000-000D-0000-FFFF-FFFF0000000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211" r:id="rId10"/>
    <sheet name="d1РП" sheetId="213" r:id="rId11"/>
    <sheet name="d3П" sheetId="210" r:id="rId12"/>
    <sheet name="d3РП" sheetId="212" r:id="rId13"/>
  </sheets>
  <externalReferences>
    <externalReference r:id="rId14"/>
  </externalReferences>
  <definedNames>
    <definedName name="_GoBack" localSheetId="5">'d6'!#REF!</definedName>
    <definedName name="_xlnm.Print_Titles" localSheetId="2">'d3'!$11:$14</definedName>
    <definedName name="_xlnm.Print_Titles" localSheetId="11">d3П!$11:$14</definedName>
    <definedName name="_xlnm.Print_Titles" localSheetId="12">d3РП!$11:$14</definedName>
    <definedName name="_xlnm.Print_Titles" localSheetId="5">'d6'!$9:$10</definedName>
    <definedName name="_xlnm.Print_Titles" localSheetId="6">'d7'!$12:$14</definedName>
    <definedName name="_xlnm.Print_Area" localSheetId="0">'d1'!$A$1:$F$158</definedName>
    <definedName name="_xlnm.Print_Area" localSheetId="9">d1П!$A$1:$F$158</definedName>
    <definedName name="_xlnm.Print_Area" localSheetId="10">d1РП!$A$1:$F$158</definedName>
    <definedName name="_xlnm.Print_Area" localSheetId="1">'d2'!$A$1:$F$64</definedName>
    <definedName name="_xlnm.Print_Area" localSheetId="2">'d3'!$A$1:$P$435</definedName>
    <definedName name="_xlnm.Print_Area" localSheetId="11">d3П!$A$1:$P$435</definedName>
    <definedName name="_xlnm.Print_Area" localSheetId="12">d3РП!$A$1:$P$430</definedName>
    <definedName name="_xlnm.Print_Area" localSheetId="3">'d4'!$B$1:$Q$34</definedName>
    <definedName name="_xlnm.Print_Area" localSheetId="4">'d5'!$A$1:$D$117</definedName>
    <definedName name="_xlnm.Print_Area" localSheetId="5">'d6'!$B$1:$K$129</definedName>
    <definedName name="_xlnm.Print_Area" localSheetId="6">'d7'!$A$1:$J$370</definedName>
    <definedName name="_xlnm.Print_Area" localSheetId="7">'d8'!$A$1:$D$41</definedName>
    <definedName name="_xlnm.Print_Area" localSheetId="8">'d9'!$A$1:$F$28</definedName>
    <definedName name="С16" localSheetId="0">#REF!</definedName>
    <definedName name="С16" localSheetId="9">#REF!</definedName>
    <definedName name="С16" localSheetId="1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67" l="1"/>
  <c r="J45" i="167"/>
  <c r="I45" i="167"/>
  <c r="O431" i="165"/>
  <c r="K431" i="165"/>
  <c r="J431" i="165"/>
  <c r="F431" i="165"/>
  <c r="D100" i="170"/>
  <c r="D84" i="170"/>
  <c r="H414" i="165" l="1"/>
  <c r="H431" i="165"/>
  <c r="J40" i="184" l="1"/>
  <c r="K46" i="165"/>
  <c r="F46" i="165"/>
  <c r="K158" i="165"/>
  <c r="K181" i="165"/>
  <c r="G405" i="165"/>
  <c r="G431" i="165"/>
  <c r="H168" i="167"/>
  <c r="F184" i="165"/>
  <c r="F164" i="165"/>
  <c r="D40" i="170"/>
  <c r="D29" i="170"/>
  <c r="H62" i="165" l="1"/>
  <c r="F62" i="165"/>
  <c r="H183" i="165"/>
  <c r="F183" i="165"/>
  <c r="D119" i="188"/>
  <c r="D137" i="188"/>
  <c r="D137" i="213" s="1"/>
  <c r="F151" i="213"/>
  <c r="E151" i="213"/>
  <c r="D151" i="213"/>
  <c r="F150" i="213"/>
  <c r="E150" i="213"/>
  <c r="D150" i="213"/>
  <c r="F149" i="213"/>
  <c r="E149" i="213"/>
  <c r="D149" i="213"/>
  <c r="F148" i="213"/>
  <c r="E148" i="213"/>
  <c r="D148" i="213"/>
  <c r="F147" i="213"/>
  <c r="E147" i="213"/>
  <c r="D147" i="213"/>
  <c r="F146" i="213"/>
  <c r="E146" i="213"/>
  <c r="D146" i="213"/>
  <c r="F145" i="213"/>
  <c r="E145" i="213"/>
  <c r="D145" i="213"/>
  <c r="F143" i="213"/>
  <c r="E143" i="213"/>
  <c r="D143" i="213"/>
  <c r="F142" i="213"/>
  <c r="E142" i="213"/>
  <c r="D142" i="213"/>
  <c r="F141" i="213"/>
  <c r="E141" i="213"/>
  <c r="D141" i="213"/>
  <c r="F140" i="213"/>
  <c r="E140" i="213"/>
  <c r="F139" i="213"/>
  <c r="E139" i="213"/>
  <c r="D139" i="213"/>
  <c r="F138" i="213"/>
  <c r="E138" i="213"/>
  <c r="F137" i="213"/>
  <c r="E137" i="213"/>
  <c r="F136" i="213"/>
  <c r="D136" i="213"/>
  <c r="F135" i="213"/>
  <c r="E135" i="213"/>
  <c r="D135" i="213"/>
  <c r="F134" i="213"/>
  <c r="E134" i="213"/>
  <c r="D134" i="213"/>
  <c r="F133" i="213"/>
  <c r="E133" i="213"/>
  <c r="F132" i="213"/>
  <c r="E132" i="213"/>
  <c r="F131" i="213"/>
  <c r="E131" i="213"/>
  <c r="F129" i="213"/>
  <c r="E129" i="213"/>
  <c r="D129" i="213"/>
  <c r="F128" i="213"/>
  <c r="E128" i="213"/>
  <c r="D128" i="213"/>
  <c r="F127" i="213"/>
  <c r="E127" i="213"/>
  <c r="D127" i="213"/>
  <c r="F126" i="213"/>
  <c r="E126" i="213"/>
  <c r="D126" i="213"/>
  <c r="F125" i="213"/>
  <c r="E125" i="213"/>
  <c r="F124" i="213"/>
  <c r="E124" i="213"/>
  <c r="F123" i="213"/>
  <c r="E123" i="213"/>
  <c r="F122" i="213"/>
  <c r="E122" i="213"/>
  <c r="D122" i="213"/>
  <c r="F119" i="213"/>
  <c r="E119" i="213"/>
  <c r="F118" i="213"/>
  <c r="E118" i="213"/>
  <c r="D118" i="213"/>
  <c r="F117" i="213"/>
  <c r="E117" i="213"/>
  <c r="F112" i="213"/>
  <c r="D112" i="213"/>
  <c r="D111" i="213" s="1"/>
  <c r="F109" i="213"/>
  <c r="E109" i="213"/>
  <c r="D109" i="213"/>
  <c r="F108" i="213"/>
  <c r="E108" i="213"/>
  <c r="D108" i="213"/>
  <c r="D105" i="213"/>
  <c r="F104" i="213"/>
  <c r="E104" i="213"/>
  <c r="D104" i="213"/>
  <c r="F103" i="213"/>
  <c r="E103" i="213"/>
  <c r="F100" i="213"/>
  <c r="D100" i="213"/>
  <c r="F99" i="213"/>
  <c r="D99" i="213"/>
  <c r="F98" i="213"/>
  <c r="D98" i="213"/>
  <c r="F97" i="213"/>
  <c r="D97" i="213"/>
  <c r="F96" i="213"/>
  <c r="D96" i="213"/>
  <c r="F95" i="213"/>
  <c r="D94" i="213"/>
  <c r="F93" i="213"/>
  <c r="E93" i="213"/>
  <c r="D93" i="213"/>
  <c r="F92" i="213"/>
  <c r="E92" i="213"/>
  <c r="F91" i="213"/>
  <c r="E91" i="213"/>
  <c r="F89" i="213"/>
  <c r="E89" i="213"/>
  <c r="D89" i="213"/>
  <c r="F88" i="213"/>
  <c r="E88" i="213"/>
  <c r="D88" i="213"/>
  <c r="F87" i="213"/>
  <c r="E87" i="213"/>
  <c r="D87" i="213"/>
  <c r="F86" i="213"/>
  <c r="E86" i="213"/>
  <c r="F85" i="213"/>
  <c r="E85" i="213"/>
  <c r="D85" i="213"/>
  <c r="F84" i="213"/>
  <c r="E84" i="213"/>
  <c r="F83" i="213"/>
  <c r="E83" i="213"/>
  <c r="D83" i="213"/>
  <c r="F82" i="213"/>
  <c r="E82" i="213"/>
  <c r="F81" i="213"/>
  <c r="E81" i="213"/>
  <c r="D81" i="213"/>
  <c r="F80" i="213"/>
  <c r="E80" i="213"/>
  <c r="F79" i="213"/>
  <c r="E79" i="213"/>
  <c r="D79" i="213"/>
  <c r="F78" i="213"/>
  <c r="E78" i="213"/>
  <c r="F77" i="213"/>
  <c r="E77" i="213"/>
  <c r="F76" i="213"/>
  <c r="E76" i="213"/>
  <c r="D76" i="213"/>
  <c r="F75" i="213"/>
  <c r="E75" i="213"/>
  <c r="D75" i="213"/>
  <c r="F74" i="213"/>
  <c r="E74" i="213"/>
  <c r="D74" i="213"/>
  <c r="F73" i="213"/>
  <c r="E73" i="213"/>
  <c r="D73" i="213"/>
  <c r="F72" i="213"/>
  <c r="E72" i="213"/>
  <c r="D72" i="213"/>
  <c r="F71" i="213"/>
  <c r="E71" i="213"/>
  <c r="F70" i="213"/>
  <c r="E70" i="213"/>
  <c r="D70" i="213"/>
  <c r="F69" i="213"/>
  <c r="E69" i="213"/>
  <c r="F68" i="213"/>
  <c r="E68" i="213"/>
  <c r="F67" i="213"/>
  <c r="E67" i="213"/>
  <c r="F65" i="213"/>
  <c r="E65" i="213"/>
  <c r="D65" i="213"/>
  <c r="F64" i="213"/>
  <c r="E64" i="213"/>
  <c r="D64" i="213"/>
  <c r="F63" i="213"/>
  <c r="E63" i="213"/>
  <c r="D63" i="213"/>
  <c r="F62" i="213"/>
  <c r="F61" i="213"/>
  <c r="D61" i="213"/>
  <c r="F60" i="213"/>
  <c r="E60" i="213"/>
  <c r="D60" i="213"/>
  <c r="F59" i="213"/>
  <c r="E59" i="213"/>
  <c r="F58" i="213"/>
  <c r="E58" i="213"/>
  <c r="D58" i="213"/>
  <c r="F57" i="213"/>
  <c r="E57" i="213"/>
  <c r="F56" i="213"/>
  <c r="E56" i="213"/>
  <c r="D56" i="213"/>
  <c r="F55" i="213"/>
  <c r="E55" i="213"/>
  <c r="D55" i="213"/>
  <c r="F54" i="213"/>
  <c r="E54" i="213"/>
  <c r="F53" i="213"/>
  <c r="E53" i="213"/>
  <c r="D53" i="213"/>
  <c r="F52" i="213"/>
  <c r="E52" i="213"/>
  <c r="F51" i="213"/>
  <c r="E51" i="213"/>
  <c r="D51" i="213"/>
  <c r="F50" i="213"/>
  <c r="E50" i="213"/>
  <c r="D50" i="213"/>
  <c r="F49" i="213"/>
  <c r="E49" i="213"/>
  <c r="D49" i="213"/>
  <c r="F48" i="213"/>
  <c r="E48" i="213"/>
  <c r="D48" i="213"/>
  <c r="F47" i="213"/>
  <c r="E47" i="213"/>
  <c r="D47" i="213"/>
  <c r="F46" i="213"/>
  <c r="E46" i="213"/>
  <c r="D46" i="213"/>
  <c r="F45" i="213"/>
  <c r="E45" i="213"/>
  <c r="F44" i="213"/>
  <c r="E44" i="213"/>
  <c r="F43" i="213"/>
  <c r="E43" i="213"/>
  <c r="F42" i="213"/>
  <c r="E42" i="213"/>
  <c r="D42" i="213"/>
  <c r="F41" i="213"/>
  <c r="E41" i="213"/>
  <c r="F40" i="213"/>
  <c r="E40" i="213"/>
  <c r="F39" i="213"/>
  <c r="E39" i="213"/>
  <c r="D39" i="213"/>
  <c r="F38" i="213"/>
  <c r="E38" i="213"/>
  <c r="F37" i="213"/>
  <c r="E37" i="213"/>
  <c r="F36" i="213"/>
  <c r="E36" i="213"/>
  <c r="D36" i="213"/>
  <c r="F35" i="213"/>
  <c r="E35" i="213"/>
  <c r="F34" i="213"/>
  <c r="E34" i="213"/>
  <c r="D34" i="213"/>
  <c r="F33" i="213"/>
  <c r="E33" i="213"/>
  <c r="F32" i="213"/>
  <c r="E32" i="213"/>
  <c r="F31" i="213"/>
  <c r="E31" i="213"/>
  <c r="D31" i="213"/>
  <c r="F30" i="213"/>
  <c r="E30" i="213"/>
  <c r="F29" i="213"/>
  <c r="E29" i="213"/>
  <c r="D29" i="213"/>
  <c r="F28" i="213"/>
  <c r="E28" i="213"/>
  <c r="D28" i="213"/>
  <c r="F27" i="213"/>
  <c r="E27" i="213"/>
  <c r="F26" i="213"/>
  <c r="E26" i="213"/>
  <c r="F25" i="213"/>
  <c r="E25" i="213"/>
  <c r="D25" i="213"/>
  <c r="F24" i="213"/>
  <c r="E24" i="213"/>
  <c r="F23" i="213"/>
  <c r="E23" i="213"/>
  <c r="D23" i="213"/>
  <c r="F22" i="213"/>
  <c r="E22" i="213"/>
  <c r="D22" i="213"/>
  <c r="F21" i="213"/>
  <c r="E21" i="213"/>
  <c r="F20" i="213"/>
  <c r="E20" i="213"/>
  <c r="D20" i="213"/>
  <c r="F19" i="213"/>
  <c r="E19" i="213"/>
  <c r="D19" i="213"/>
  <c r="F18" i="213"/>
  <c r="E18" i="213"/>
  <c r="F17" i="213"/>
  <c r="E17" i="213"/>
  <c r="F16" i="213"/>
  <c r="F15" i="213" s="1"/>
  <c r="E16" i="213"/>
  <c r="D36" i="170"/>
  <c r="D32" i="170"/>
  <c r="D19" i="170"/>
  <c r="C152" i="213"/>
  <c r="C116" i="213"/>
  <c r="D115" i="213"/>
  <c r="C115" i="213" s="1"/>
  <c r="F111" i="213"/>
  <c r="C110" i="213"/>
  <c r="D133" i="188"/>
  <c r="D131" i="188"/>
  <c r="D123" i="188"/>
  <c r="D123" i="213" s="1"/>
  <c r="D38" i="188" l="1"/>
  <c r="D38" i="213" s="1"/>
  <c r="D69" i="188"/>
  <c r="D69" i="213" s="1"/>
  <c r="D80" i="188"/>
  <c r="D59" i="188"/>
  <c r="D18" i="188"/>
  <c r="D18" i="213" s="1"/>
  <c r="N422" i="212"/>
  <c r="M422" i="212"/>
  <c r="L422" i="212"/>
  <c r="K422" i="212"/>
  <c r="I422" i="212"/>
  <c r="H422" i="212"/>
  <c r="G422" i="212"/>
  <c r="N420" i="212"/>
  <c r="M420" i="212"/>
  <c r="L420" i="212"/>
  <c r="K420" i="212"/>
  <c r="I420" i="212"/>
  <c r="H420" i="212"/>
  <c r="G420" i="212"/>
  <c r="N418" i="212"/>
  <c r="M418" i="212"/>
  <c r="L418" i="212"/>
  <c r="K418" i="212"/>
  <c r="I418" i="212"/>
  <c r="H418" i="212"/>
  <c r="G418" i="212"/>
  <c r="F418" i="212"/>
  <c r="N415" i="212"/>
  <c r="M415" i="212"/>
  <c r="L415" i="212"/>
  <c r="K415" i="212"/>
  <c r="I415" i="212"/>
  <c r="H415" i="212"/>
  <c r="G415" i="212"/>
  <c r="F415" i="212"/>
  <c r="N414" i="212"/>
  <c r="M414" i="212"/>
  <c r="L414" i="212"/>
  <c r="I414" i="212"/>
  <c r="N410" i="212"/>
  <c r="M410" i="212"/>
  <c r="L410" i="212"/>
  <c r="I410" i="212"/>
  <c r="H410" i="212"/>
  <c r="G410" i="212"/>
  <c r="F410" i="212"/>
  <c r="N408" i="212"/>
  <c r="M408" i="212"/>
  <c r="L408" i="212"/>
  <c r="I408" i="212"/>
  <c r="H408" i="212"/>
  <c r="G408" i="212"/>
  <c r="N405" i="212"/>
  <c r="M405" i="212"/>
  <c r="L405" i="212"/>
  <c r="I405" i="212"/>
  <c r="N399" i="212"/>
  <c r="M399" i="212"/>
  <c r="K399" i="212"/>
  <c r="I399" i="212"/>
  <c r="H399" i="212"/>
  <c r="G399" i="212"/>
  <c r="F399" i="212"/>
  <c r="E399" i="212"/>
  <c r="N396" i="212"/>
  <c r="M396" i="212"/>
  <c r="L396" i="212"/>
  <c r="K396" i="212"/>
  <c r="I396" i="212"/>
  <c r="H396" i="212"/>
  <c r="G396" i="212"/>
  <c r="F396" i="212"/>
  <c r="N395" i="212"/>
  <c r="M395" i="212"/>
  <c r="L395" i="212"/>
  <c r="K395" i="212"/>
  <c r="I395" i="212"/>
  <c r="N388" i="212"/>
  <c r="M388" i="212"/>
  <c r="L388" i="212"/>
  <c r="I388" i="212"/>
  <c r="H388" i="212"/>
  <c r="G388" i="212"/>
  <c r="N385" i="212"/>
  <c r="M385" i="212"/>
  <c r="L385" i="212"/>
  <c r="K385" i="212"/>
  <c r="I385" i="212"/>
  <c r="H385" i="212"/>
  <c r="G385" i="212"/>
  <c r="F385" i="212"/>
  <c r="N383" i="212"/>
  <c r="M383" i="212"/>
  <c r="L383" i="212"/>
  <c r="I383" i="212"/>
  <c r="H383" i="212"/>
  <c r="G383" i="212"/>
  <c r="N382" i="212"/>
  <c r="M382" i="212"/>
  <c r="L382" i="212"/>
  <c r="K382" i="212"/>
  <c r="I382" i="212"/>
  <c r="H382" i="212"/>
  <c r="G382" i="212"/>
  <c r="N381" i="212"/>
  <c r="M381" i="212"/>
  <c r="L381" i="212"/>
  <c r="K381" i="212"/>
  <c r="I381" i="212"/>
  <c r="H381" i="212"/>
  <c r="G381" i="212"/>
  <c r="N379" i="212"/>
  <c r="M379" i="212"/>
  <c r="L379" i="212"/>
  <c r="I379" i="212"/>
  <c r="H379" i="212"/>
  <c r="G379" i="212"/>
  <c r="N376" i="212"/>
  <c r="M376" i="212"/>
  <c r="L376" i="212"/>
  <c r="I376" i="212"/>
  <c r="H376" i="212"/>
  <c r="G376" i="212"/>
  <c r="N375" i="212"/>
  <c r="M375" i="212"/>
  <c r="L375" i="212"/>
  <c r="I375" i="212"/>
  <c r="H375" i="212"/>
  <c r="G375" i="212"/>
  <c r="N369" i="212"/>
  <c r="M369" i="212"/>
  <c r="L369" i="212"/>
  <c r="K369" i="212"/>
  <c r="I369" i="212"/>
  <c r="H369" i="212"/>
  <c r="G369" i="212"/>
  <c r="N366" i="212"/>
  <c r="M366" i="212"/>
  <c r="L366" i="212"/>
  <c r="I366" i="212"/>
  <c r="H366" i="212"/>
  <c r="G366" i="212"/>
  <c r="F366" i="212"/>
  <c r="N364" i="212"/>
  <c r="M364" i="212"/>
  <c r="L364" i="212"/>
  <c r="K364" i="212"/>
  <c r="I364" i="212"/>
  <c r="H364" i="212"/>
  <c r="G364" i="212"/>
  <c r="F364" i="212"/>
  <c r="N363" i="212"/>
  <c r="M363" i="212"/>
  <c r="L363" i="212"/>
  <c r="K363" i="212"/>
  <c r="I363" i="212"/>
  <c r="H363" i="212"/>
  <c r="G363" i="212"/>
  <c r="N361" i="212"/>
  <c r="M361" i="212"/>
  <c r="L361" i="212"/>
  <c r="K361" i="212"/>
  <c r="I361" i="212"/>
  <c r="H361" i="212"/>
  <c r="G361" i="212"/>
  <c r="N357" i="212"/>
  <c r="M357" i="212"/>
  <c r="L357" i="212"/>
  <c r="K357" i="212"/>
  <c r="I357" i="212"/>
  <c r="H357" i="212"/>
  <c r="G357" i="212"/>
  <c r="F357" i="212"/>
  <c r="N356" i="212"/>
  <c r="M356" i="212"/>
  <c r="L356" i="212"/>
  <c r="K356" i="212"/>
  <c r="I356" i="212"/>
  <c r="H356" i="212"/>
  <c r="N349" i="212"/>
  <c r="M349" i="212"/>
  <c r="L349" i="212"/>
  <c r="K349" i="212"/>
  <c r="I349" i="212"/>
  <c r="H349" i="212"/>
  <c r="G349" i="212"/>
  <c r="N348" i="212"/>
  <c r="M348" i="212"/>
  <c r="L348" i="212"/>
  <c r="K348" i="212"/>
  <c r="I348" i="212"/>
  <c r="H348" i="212"/>
  <c r="G348" i="212"/>
  <c r="F348" i="212"/>
  <c r="N347" i="212"/>
  <c r="M347" i="212"/>
  <c r="L347" i="212"/>
  <c r="K347" i="212"/>
  <c r="I347" i="212"/>
  <c r="N337" i="212"/>
  <c r="M337" i="212"/>
  <c r="L337" i="212"/>
  <c r="I337" i="212"/>
  <c r="H337" i="212"/>
  <c r="G337" i="212"/>
  <c r="F337" i="212"/>
  <c r="N336" i="212"/>
  <c r="M336" i="212"/>
  <c r="L336" i="212"/>
  <c r="K336" i="212"/>
  <c r="I336" i="212"/>
  <c r="H336" i="212"/>
  <c r="G336" i="212"/>
  <c r="F336" i="212"/>
  <c r="N335" i="212"/>
  <c r="M335" i="212"/>
  <c r="L335" i="212"/>
  <c r="I335" i="212"/>
  <c r="H335" i="212"/>
  <c r="G335" i="212"/>
  <c r="F335" i="212"/>
  <c r="N334" i="212"/>
  <c r="M334" i="212"/>
  <c r="L334" i="212"/>
  <c r="I334" i="212"/>
  <c r="H334" i="212"/>
  <c r="G334" i="212"/>
  <c r="F334" i="212"/>
  <c r="N332" i="212"/>
  <c r="M332" i="212"/>
  <c r="L332" i="212"/>
  <c r="K332" i="212"/>
  <c r="I332" i="212"/>
  <c r="H332" i="212"/>
  <c r="G332" i="212"/>
  <c r="F332" i="212"/>
  <c r="N329" i="212"/>
  <c r="M329" i="212"/>
  <c r="L329" i="212"/>
  <c r="K329" i="212"/>
  <c r="I329" i="212"/>
  <c r="H329" i="212"/>
  <c r="G329" i="212"/>
  <c r="F329" i="212"/>
  <c r="N326" i="212"/>
  <c r="M326" i="212"/>
  <c r="L326" i="212"/>
  <c r="I326" i="212"/>
  <c r="H326" i="212"/>
  <c r="G326" i="212"/>
  <c r="F326" i="212"/>
  <c r="N324" i="212"/>
  <c r="M324" i="212"/>
  <c r="L324" i="212"/>
  <c r="K324" i="212"/>
  <c r="I324" i="212"/>
  <c r="H324" i="212"/>
  <c r="G324" i="212"/>
  <c r="F324" i="212"/>
  <c r="N323" i="212"/>
  <c r="M323" i="212"/>
  <c r="L323" i="212"/>
  <c r="K323" i="212"/>
  <c r="I323" i="212"/>
  <c r="H323" i="212"/>
  <c r="G323" i="212"/>
  <c r="F323" i="212"/>
  <c r="N322" i="212"/>
  <c r="M322" i="212"/>
  <c r="L322" i="212"/>
  <c r="K322" i="212"/>
  <c r="I322" i="212"/>
  <c r="H322" i="212"/>
  <c r="N318" i="212"/>
  <c r="M318" i="212"/>
  <c r="L318" i="212"/>
  <c r="K318" i="212"/>
  <c r="I318" i="212"/>
  <c r="H318" i="212"/>
  <c r="G318" i="212"/>
  <c r="N315" i="212"/>
  <c r="M315" i="212"/>
  <c r="L315" i="212"/>
  <c r="K315" i="212"/>
  <c r="I315" i="212"/>
  <c r="N314" i="212"/>
  <c r="M314" i="212"/>
  <c r="L314" i="212"/>
  <c r="K314" i="212"/>
  <c r="I314" i="212"/>
  <c r="N313" i="212"/>
  <c r="M313" i="212"/>
  <c r="L313" i="212"/>
  <c r="K313" i="212"/>
  <c r="I313" i="212"/>
  <c r="H313" i="212"/>
  <c r="G313" i="212"/>
  <c r="N310" i="212"/>
  <c r="M310" i="212"/>
  <c r="L310" i="212"/>
  <c r="K310" i="212"/>
  <c r="I310" i="212"/>
  <c r="H310" i="212"/>
  <c r="G310" i="212"/>
  <c r="F310" i="212"/>
  <c r="P309" i="212"/>
  <c r="O309" i="212"/>
  <c r="N309" i="212"/>
  <c r="M309" i="212"/>
  <c r="L309" i="212"/>
  <c r="K309" i="212"/>
  <c r="J309" i="212"/>
  <c r="I309" i="212"/>
  <c r="H309" i="212"/>
  <c r="G309" i="212"/>
  <c r="F309" i="212"/>
  <c r="E309" i="212"/>
  <c r="O308" i="212"/>
  <c r="N308" i="212"/>
  <c r="M308" i="212"/>
  <c r="L308" i="212"/>
  <c r="K308" i="212"/>
  <c r="I308" i="212"/>
  <c r="H308" i="212"/>
  <c r="G308" i="212"/>
  <c r="F308" i="212"/>
  <c r="E308" i="212"/>
  <c r="N306" i="212"/>
  <c r="M306" i="212"/>
  <c r="L306" i="212"/>
  <c r="I306" i="212"/>
  <c r="H306" i="212"/>
  <c r="G306" i="212"/>
  <c r="F306" i="212"/>
  <c r="N305" i="212"/>
  <c r="M305" i="212"/>
  <c r="L305" i="212"/>
  <c r="I305" i="212"/>
  <c r="H305" i="212"/>
  <c r="G305" i="212"/>
  <c r="F305" i="212"/>
  <c r="N303" i="212"/>
  <c r="M303" i="212"/>
  <c r="L303" i="212"/>
  <c r="I303" i="212"/>
  <c r="H303" i="212"/>
  <c r="G303" i="212"/>
  <c r="N300" i="212"/>
  <c r="M300" i="212"/>
  <c r="L300" i="212"/>
  <c r="I300" i="212"/>
  <c r="H300" i="212"/>
  <c r="G300" i="212"/>
  <c r="F300" i="212"/>
  <c r="N297" i="212"/>
  <c r="M297" i="212"/>
  <c r="L297" i="212"/>
  <c r="K297" i="212"/>
  <c r="I297" i="212"/>
  <c r="H297" i="212"/>
  <c r="G297" i="212"/>
  <c r="F297" i="212"/>
  <c r="N296" i="212"/>
  <c r="M296" i="212"/>
  <c r="L296" i="212"/>
  <c r="K296" i="212"/>
  <c r="I296" i="212"/>
  <c r="H296" i="212"/>
  <c r="G296" i="212"/>
  <c r="N295" i="212"/>
  <c r="M295" i="212"/>
  <c r="L295" i="212"/>
  <c r="K295" i="212"/>
  <c r="I295" i="212"/>
  <c r="H295" i="212"/>
  <c r="G295" i="212"/>
  <c r="N294" i="212"/>
  <c r="M294" i="212"/>
  <c r="L294" i="212"/>
  <c r="K294" i="212"/>
  <c r="I294" i="212"/>
  <c r="H294" i="212"/>
  <c r="G294" i="212"/>
  <c r="F294" i="212"/>
  <c r="N293" i="212"/>
  <c r="M293" i="212"/>
  <c r="L293" i="212"/>
  <c r="I293" i="212"/>
  <c r="H293" i="212"/>
  <c r="G293" i="212"/>
  <c r="N292" i="212"/>
  <c r="M292" i="212"/>
  <c r="L292" i="212"/>
  <c r="K292" i="212"/>
  <c r="I292" i="212"/>
  <c r="H292" i="212"/>
  <c r="G292" i="212"/>
  <c r="N289" i="212"/>
  <c r="M289" i="212"/>
  <c r="L289" i="212"/>
  <c r="K289" i="212"/>
  <c r="I289" i="212"/>
  <c r="H289" i="212"/>
  <c r="G289" i="212"/>
  <c r="F289" i="212"/>
  <c r="N288" i="212"/>
  <c r="M288" i="212"/>
  <c r="L288" i="212"/>
  <c r="K288" i="212"/>
  <c r="I288" i="212"/>
  <c r="H288" i="212"/>
  <c r="G288" i="212"/>
  <c r="F288" i="212"/>
  <c r="N287" i="212"/>
  <c r="M287" i="212"/>
  <c r="L287" i="212"/>
  <c r="K287" i="212"/>
  <c r="I287" i="212"/>
  <c r="H287" i="212"/>
  <c r="N281" i="212"/>
  <c r="M281" i="212"/>
  <c r="L281" i="212"/>
  <c r="K281" i="212"/>
  <c r="I281" i="212"/>
  <c r="H281" i="212"/>
  <c r="G281" i="212"/>
  <c r="P278" i="212"/>
  <c r="O278" i="212"/>
  <c r="N278" i="212"/>
  <c r="M278" i="212"/>
  <c r="L278" i="212"/>
  <c r="K278" i="212"/>
  <c r="J278" i="212"/>
  <c r="I278" i="212"/>
  <c r="H278" i="212"/>
  <c r="G278" i="212"/>
  <c r="F278" i="212"/>
  <c r="E278" i="212"/>
  <c r="N277" i="212"/>
  <c r="M277" i="212"/>
  <c r="L277" i="212"/>
  <c r="K277" i="212"/>
  <c r="I277" i="212"/>
  <c r="H277" i="212"/>
  <c r="G277" i="212"/>
  <c r="F277" i="212"/>
  <c r="N275" i="212"/>
  <c r="M275" i="212"/>
  <c r="L275" i="212"/>
  <c r="I275" i="212"/>
  <c r="H275" i="212"/>
  <c r="G275" i="212"/>
  <c r="F275" i="212"/>
  <c r="N274" i="212"/>
  <c r="M274" i="212"/>
  <c r="L274" i="212"/>
  <c r="K274" i="212"/>
  <c r="I274" i="212"/>
  <c r="H274" i="212"/>
  <c r="G274" i="212"/>
  <c r="N272" i="212"/>
  <c r="M272" i="212"/>
  <c r="L272" i="212"/>
  <c r="I272" i="212"/>
  <c r="H272" i="212"/>
  <c r="G272" i="212"/>
  <c r="F272" i="212"/>
  <c r="N269" i="212"/>
  <c r="M269" i="212"/>
  <c r="L269" i="212"/>
  <c r="K269" i="212"/>
  <c r="I269" i="212"/>
  <c r="H269" i="212"/>
  <c r="G269" i="212"/>
  <c r="N268" i="212"/>
  <c r="M268" i="212"/>
  <c r="L268" i="212"/>
  <c r="I268" i="212"/>
  <c r="H268" i="212"/>
  <c r="G268" i="212"/>
  <c r="N267" i="212"/>
  <c r="M267" i="212"/>
  <c r="L267" i="212"/>
  <c r="K267" i="212"/>
  <c r="I267" i="212"/>
  <c r="H267" i="212"/>
  <c r="G267" i="212"/>
  <c r="N266" i="212"/>
  <c r="M266" i="212"/>
  <c r="L266" i="212"/>
  <c r="K266" i="212"/>
  <c r="I266" i="212"/>
  <c r="H266" i="212"/>
  <c r="G266" i="212"/>
  <c r="N265" i="212"/>
  <c r="M265" i="212"/>
  <c r="L265" i="212"/>
  <c r="I265" i="212"/>
  <c r="H265" i="212"/>
  <c r="G265" i="212"/>
  <c r="F265" i="212"/>
  <c r="N264" i="212"/>
  <c r="M264" i="212"/>
  <c r="L264" i="212"/>
  <c r="K264" i="212"/>
  <c r="I264" i="212"/>
  <c r="H264" i="212"/>
  <c r="G264" i="212"/>
  <c r="F264" i="212"/>
  <c r="N263" i="212"/>
  <c r="M263" i="212"/>
  <c r="L263" i="212"/>
  <c r="I263" i="212"/>
  <c r="H263" i="212"/>
  <c r="G263" i="212"/>
  <c r="O260" i="212"/>
  <c r="N260" i="212"/>
  <c r="M260" i="212"/>
  <c r="L260" i="212"/>
  <c r="K260" i="212"/>
  <c r="I260" i="212"/>
  <c r="H260" i="212"/>
  <c r="G260" i="212"/>
  <c r="F260" i="212"/>
  <c r="N259" i="212"/>
  <c r="M259" i="212"/>
  <c r="L259" i="212"/>
  <c r="K259" i="212"/>
  <c r="I259" i="212"/>
  <c r="H259" i="212"/>
  <c r="G259" i="212"/>
  <c r="F259" i="212"/>
  <c r="N258" i="212"/>
  <c r="M258" i="212"/>
  <c r="L258" i="212"/>
  <c r="K258" i="212"/>
  <c r="I258" i="212"/>
  <c r="N254" i="212"/>
  <c r="M254" i="212"/>
  <c r="L254" i="212"/>
  <c r="K254" i="212"/>
  <c r="I254" i="212"/>
  <c r="H254" i="212"/>
  <c r="G254" i="212"/>
  <c r="F254" i="212"/>
  <c r="N251" i="212"/>
  <c r="M251" i="212"/>
  <c r="L251" i="212"/>
  <c r="K251" i="212"/>
  <c r="I251" i="212"/>
  <c r="H251" i="212"/>
  <c r="G251" i="212"/>
  <c r="F251" i="212"/>
  <c r="N250" i="212"/>
  <c r="M250" i="212"/>
  <c r="L250" i="212"/>
  <c r="K250" i="212"/>
  <c r="I250" i="212"/>
  <c r="H250" i="212"/>
  <c r="G250" i="212"/>
  <c r="F250" i="212"/>
  <c r="N248" i="212"/>
  <c r="M248" i="212"/>
  <c r="L248" i="212"/>
  <c r="I248" i="212"/>
  <c r="H248" i="212"/>
  <c r="G248" i="212"/>
  <c r="F248" i="212"/>
  <c r="N244" i="212"/>
  <c r="M244" i="212"/>
  <c r="L244" i="212"/>
  <c r="K244" i="212"/>
  <c r="I244" i="212"/>
  <c r="H244" i="212"/>
  <c r="G244" i="212"/>
  <c r="F244" i="212"/>
  <c r="N241" i="212"/>
  <c r="M241" i="212"/>
  <c r="L241" i="212"/>
  <c r="K241" i="212"/>
  <c r="I241" i="212"/>
  <c r="H241" i="212"/>
  <c r="G241" i="212"/>
  <c r="N240" i="212"/>
  <c r="M240" i="212"/>
  <c r="L240" i="212"/>
  <c r="K240" i="212"/>
  <c r="I240" i="212"/>
  <c r="H240" i="212"/>
  <c r="G240" i="212"/>
  <c r="N239" i="212"/>
  <c r="M239" i="212"/>
  <c r="L239" i="212"/>
  <c r="K239" i="212"/>
  <c r="I239" i="212"/>
  <c r="H239" i="212"/>
  <c r="G239" i="212"/>
  <c r="N237" i="212"/>
  <c r="M237" i="212"/>
  <c r="L237" i="212"/>
  <c r="K237" i="212"/>
  <c r="I237" i="212"/>
  <c r="H237" i="212"/>
  <c r="G237" i="212"/>
  <c r="F237" i="212"/>
  <c r="N235" i="212"/>
  <c r="M235" i="212"/>
  <c r="L235" i="212"/>
  <c r="K235" i="212"/>
  <c r="I235" i="212"/>
  <c r="H235" i="212"/>
  <c r="G235" i="212"/>
  <c r="F235" i="212"/>
  <c r="N234" i="212"/>
  <c r="M234" i="212"/>
  <c r="I234" i="212"/>
  <c r="N232" i="212"/>
  <c r="M232" i="212"/>
  <c r="L232" i="212"/>
  <c r="K232" i="212"/>
  <c r="I232" i="212"/>
  <c r="H232" i="212"/>
  <c r="G232" i="212"/>
  <c r="F232" i="212"/>
  <c r="N230" i="212"/>
  <c r="M230" i="212"/>
  <c r="L230" i="212"/>
  <c r="K230" i="212"/>
  <c r="I230" i="212"/>
  <c r="H230" i="212"/>
  <c r="G230" i="212"/>
  <c r="N229" i="212"/>
  <c r="M229" i="212"/>
  <c r="L229" i="212"/>
  <c r="K229" i="212"/>
  <c r="I229" i="212"/>
  <c r="H229" i="212"/>
  <c r="G229" i="212"/>
  <c r="N226" i="212"/>
  <c r="M226" i="212"/>
  <c r="L226" i="212"/>
  <c r="K226" i="212"/>
  <c r="I226" i="212"/>
  <c r="N225" i="212"/>
  <c r="M225" i="212"/>
  <c r="L225" i="212"/>
  <c r="I225" i="212"/>
  <c r="G225" i="212"/>
  <c r="F225" i="212"/>
  <c r="N223" i="212"/>
  <c r="M223" i="212"/>
  <c r="L223" i="212"/>
  <c r="K223" i="212"/>
  <c r="I223" i="212"/>
  <c r="N215" i="212"/>
  <c r="M215" i="212"/>
  <c r="L215" i="212"/>
  <c r="I215" i="212"/>
  <c r="H215" i="212"/>
  <c r="G215" i="212"/>
  <c r="F215" i="212"/>
  <c r="N214" i="212"/>
  <c r="M214" i="212"/>
  <c r="L214" i="212"/>
  <c r="K214" i="212"/>
  <c r="I214" i="212"/>
  <c r="H214" i="212"/>
  <c r="G214" i="212"/>
  <c r="F214" i="212"/>
  <c r="N213" i="212"/>
  <c r="M213" i="212"/>
  <c r="L213" i="212"/>
  <c r="K213" i="212"/>
  <c r="I213" i="212"/>
  <c r="H213" i="212"/>
  <c r="G213" i="212"/>
  <c r="F213" i="212"/>
  <c r="N209" i="212"/>
  <c r="M209" i="212"/>
  <c r="L209" i="212"/>
  <c r="K209" i="212"/>
  <c r="I209" i="212"/>
  <c r="H209" i="212"/>
  <c r="G209" i="212"/>
  <c r="F209" i="212"/>
  <c r="N208" i="212"/>
  <c r="M208" i="212"/>
  <c r="K208" i="212"/>
  <c r="I208" i="212"/>
  <c r="N206" i="212"/>
  <c r="M206" i="212"/>
  <c r="L206" i="212"/>
  <c r="K206" i="212"/>
  <c r="I206" i="212"/>
  <c r="H206" i="212"/>
  <c r="G206" i="212"/>
  <c r="F206" i="212"/>
  <c r="N205" i="212"/>
  <c r="M205" i="212"/>
  <c r="K205" i="212"/>
  <c r="I205" i="212"/>
  <c r="N204" i="212"/>
  <c r="M204" i="212"/>
  <c r="L204" i="212"/>
  <c r="K204" i="212"/>
  <c r="I204" i="212"/>
  <c r="N203" i="212"/>
  <c r="M203" i="212"/>
  <c r="L203" i="212"/>
  <c r="I203" i="212"/>
  <c r="N201" i="212"/>
  <c r="M201" i="212"/>
  <c r="I201" i="212"/>
  <c r="N194" i="212"/>
  <c r="M194" i="212"/>
  <c r="L194" i="212"/>
  <c r="I194" i="212"/>
  <c r="H194" i="212"/>
  <c r="G194" i="212"/>
  <c r="F194" i="212"/>
  <c r="N192" i="212"/>
  <c r="M192" i="212"/>
  <c r="L192" i="212"/>
  <c r="I192" i="212"/>
  <c r="H192" i="212"/>
  <c r="G192" i="212"/>
  <c r="F192" i="212"/>
  <c r="N188" i="212"/>
  <c r="M188" i="212"/>
  <c r="L188" i="212"/>
  <c r="K188" i="212"/>
  <c r="I188" i="212"/>
  <c r="H188" i="212"/>
  <c r="G188" i="212"/>
  <c r="F188" i="212"/>
  <c r="N187" i="212"/>
  <c r="M187" i="212"/>
  <c r="L187" i="212"/>
  <c r="I187" i="212"/>
  <c r="H187" i="212"/>
  <c r="G187" i="212"/>
  <c r="F187" i="212"/>
  <c r="N184" i="212"/>
  <c r="M184" i="212"/>
  <c r="L184" i="212"/>
  <c r="I184" i="212"/>
  <c r="H184" i="212"/>
  <c r="G184" i="212"/>
  <c r="M183" i="212"/>
  <c r="I183" i="212"/>
  <c r="N181" i="212"/>
  <c r="M181" i="212"/>
  <c r="L181" i="212"/>
  <c r="I181" i="212"/>
  <c r="H181" i="212"/>
  <c r="G181" i="212"/>
  <c r="P180" i="212"/>
  <c r="O180" i="212"/>
  <c r="N180" i="212"/>
  <c r="M180" i="212"/>
  <c r="L180" i="212"/>
  <c r="K180" i="212"/>
  <c r="J180" i="212"/>
  <c r="I180" i="212"/>
  <c r="H180" i="212"/>
  <c r="G180" i="212"/>
  <c r="F180" i="212"/>
  <c r="E180" i="212"/>
  <c r="P179" i="212"/>
  <c r="O179" i="212"/>
  <c r="N179" i="212"/>
  <c r="M179" i="212"/>
  <c r="L179" i="212"/>
  <c r="K179" i="212"/>
  <c r="J179" i="212"/>
  <c r="I179" i="212"/>
  <c r="H179" i="212"/>
  <c r="G179" i="212"/>
  <c r="F179" i="212"/>
  <c r="E179" i="212"/>
  <c r="N178" i="212"/>
  <c r="M178" i="212"/>
  <c r="L178" i="212"/>
  <c r="K178" i="212"/>
  <c r="I178" i="212"/>
  <c r="H178" i="212"/>
  <c r="G178" i="212"/>
  <c r="F178" i="212"/>
  <c r="P177" i="212"/>
  <c r="O177" i="212"/>
  <c r="N177" i="212"/>
  <c r="M177" i="212"/>
  <c r="L177" i="212"/>
  <c r="K177" i="212"/>
  <c r="J177" i="212"/>
  <c r="I177" i="212"/>
  <c r="H177" i="212"/>
  <c r="G177" i="212"/>
  <c r="F177" i="212"/>
  <c r="P176" i="212"/>
  <c r="O176" i="212"/>
  <c r="N176" i="212"/>
  <c r="M176" i="212"/>
  <c r="L176" i="212"/>
  <c r="K176" i="212"/>
  <c r="J176" i="212"/>
  <c r="I176" i="212"/>
  <c r="H176" i="212"/>
  <c r="G176" i="212"/>
  <c r="F176" i="212"/>
  <c r="N175" i="212"/>
  <c r="M175" i="212"/>
  <c r="L175" i="212"/>
  <c r="I175" i="212"/>
  <c r="H175" i="212"/>
  <c r="G175" i="212"/>
  <c r="F175" i="212"/>
  <c r="P174" i="212"/>
  <c r="O174" i="212"/>
  <c r="N174" i="212"/>
  <c r="M174" i="212"/>
  <c r="L174" i="212"/>
  <c r="K174" i="212"/>
  <c r="J174" i="212"/>
  <c r="I174" i="212"/>
  <c r="H174" i="212"/>
  <c r="G174" i="212"/>
  <c r="F174" i="212"/>
  <c r="P173" i="212"/>
  <c r="O173" i="212"/>
  <c r="N173" i="212"/>
  <c r="M173" i="212"/>
  <c r="L173" i="212"/>
  <c r="K173" i="212"/>
  <c r="J173" i="212"/>
  <c r="I173" i="212"/>
  <c r="H173" i="212"/>
  <c r="G173" i="212"/>
  <c r="F173" i="212"/>
  <c r="P172" i="212"/>
  <c r="O172" i="212"/>
  <c r="N172" i="212"/>
  <c r="M172" i="212"/>
  <c r="L172" i="212"/>
  <c r="K172" i="212"/>
  <c r="J172" i="212"/>
  <c r="I172" i="212"/>
  <c r="H172" i="212"/>
  <c r="G172" i="212"/>
  <c r="F172" i="212"/>
  <c r="N171" i="212"/>
  <c r="M171" i="212"/>
  <c r="L171" i="212"/>
  <c r="I171" i="212"/>
  <c r="H171" i="212"/>
  <c r="G171" i="212"/>
  <c r="F171" i="212"/>
  <c r="P170" i="212"/>
  <c r="O170" i="212"/>
  <c r="N170" i="212"/>
  <c r="M170" i="212"/>
  <c r="L170" i="212"/>
  <c r="K170" i="212"/>
  <c r="J170" i="212"/>
  <c r="I170" i="212"/>
  <c r="H170" i="212"/>
  <c r="G170" i="212"/>
  <c r="F170" i="212"/>
  <c r="P169" i="212"/>
  <c r="O169" i="212"/>
  <c r="N169" i="212"/>
  <c r="M169" i="212"/>
  <c r="L169" i="212"/>
  <c r="K169" i="212"/>
  <c r="J169" i="212"/>
  <c r="I169" i="212"/>
  <c r="H169" i="212"/>
  <c r="G169" i="212"/>
  <c r="F169" i="212"/>
  <c r="P168" i="212"/>
  <c r="O168" i="212"/>
  <c r="N168" i="212"/>
  <c r="M168" i="212"/>
  <c r="L168" i="212"/>
  <c r="K168" i="212"/>
  <c r="J168" i="212"/>
  <c r="I168" i="212"/>
  <c r="H168" i="212"/>
  <c r="G168" i="212"/>
  <c r="F168" i="212"/>
  <c r="N167" i="212"/>
  <c r="M167" i="212"/>
  <c r="L167" i="212"/>
  <c r="I167" i="212"/>
  <c r="H167" i="212"/>
  <c r="G167" i="212"/>
  <c r="F167" i="212"/>
  <c r="N165" i="212"/>
  <c r="M165" i="212"/>
  <c r="L165" i="212"/>
  <c r="K165" i="212"/>
  <c r="I165" i="212"/>
  <c r="H165" i="212"/>
  <c r="G165" i="212"/>
  <c r="F165" i="212"/>
  <c r="N164" i="212"/>
  <c r="M164" i="212"/>
  <c r="L164" i="212"/>
  <c r="K164" i="212"/>
  <c r="I164" i="212"/>
  <c r="H164" i="212"/>
  <c r="G164" i="212"/>
  <c r="F164" i="212"/>
  <c r="N162" i="212"/>
  <c r="M162" i="212"/>
  <c r="L162" i="212"/>
  <c r="K162" i="212"/>
  <c r="I162" i="212"/>
  <c r="H162" i="212"/>
  <c r="G162" i="212"/>
  <c r="F162" i="212"/>
  <c r="N161" i="212"/>
  <c r="M161" i="212"/>
  <c r="L161" i="212"/>
  <c r="K161" i="212"/>
  <c r="I161" i="212"/>
  <c r="H161" i="212"/>
  <c r="G161" i="212"/>
  <c r="F161" i="212"/>
  <c r="N159" i="212"/>
  <c r="M159" i="212"/>
  <c r="L159" i="212"/>
  <c r="K159" i="212"/>
  <c r="I159" i="212"/>
  <c r="H159" i="212"/>
  <c r="G159" i="212"/>
  <c r="N158" i="212"/>
  <c r="M158" i="212"/>
  <c r="L158" i="212"/>
  <c r="K158" i="212"/>
  <c r="I158" i="212"/>
  <c r="H158" i="212"/>
  <c r="G158" i="212"/>
  <c r="N157" i="212"/>
  <c r="M157" i="212"/>
  <c r="L157" i="212"/>
  <c r="K157" i="212"/>
  <c r="I157" i="212"/>
  <c r="N155" i="212"/>
  <c r="M155" i="212"/>
  <c r="L155" i="212"/>
  <c r="I155" i="212"/>
  <c r="M154" i="212"/>
  <c r="L154" i="212"/>
  <c r="I154" i="212"/>
  <c r="N152" i="212"/>
  <c r="M152" i="212"/>
  <c r="L152" i="212"/>
  <c r="K152" i="212"/>
  <c r="I152" i="212"/>
  <c r="H152" i="212"/>
  <c r="G152" i="212"/>
  <c r="F152" i="212"/>
  <c r="N151" i="212"/>
  <c r="M151" i="212"/>
  <c r="L151" i="212"/>
  <c r="K151" i="212"/>
  <c r="I151" i="212"/>
  <c r="H151" i="212"/>
  <c r="G151" i="212"/>
  <c r="N150" i="212"/>
  <c r="M150" i="212"/>
  <c r="L150" i="212"/>
  <c r="K150" i="212"/>
  <c r="I150" i="212"/>
  <c r="H150" i="212"/>
  <c r="G150" i="212"/>
  <c r="F150" i="212"/>
  <c r="N149" i="212"/>
  <c r="M149" i="212"/>
  <c r="L149" i="212"/>
  <c r="K149" i="212"/>
  <c r="I149" i="212"/>
  <c r="H149" i="212"/>
  <c r="G149" i="212"/>
  <c r="N148" i="212"/>
  <c r="M148" i="212"/>
  <c r="L148" i="212"/>
  <c r="K148" i="212"/>
  <c r="I148" i="212"/>
  <c r="H148" i="212"/>
  <c r="G148" i="212"/>
  <c r="F148" i="212"/>
  <c r="N147" i="212"/>
  <c r="M147" i="212"/>
  <c r="L147" i="212"/>
  <c r="K147" i="212"/>
  <c r="I147" i="212"/>
  <c r="H147" i="212"/>
  <c r="G147" i="212"/>
  <c r="N146" i="212"/>
  <c r="M146" i="212"/>
  <c r="L146" i="212"/>
  <c r="K146" i="212"/>
  <c r="I146" i="212"/>
  <c r="H146" i="212"/>
  <c r="G146" i="212"/>
  <c r="F146" i="212"/>
  <c r="N145" i="212"/>
  <c r="M145" i="212"/>
  <c r="L145" i="212"/>
  <c r="K145" i="212"/>
  <c r="I145" i="212"/>
  <c r="H145" i="212"/>
  <c r="G145" i="212"/>
  <c r="O142" i="212"/>
  <c r="N142" i="212"/>
  <c r="M142" i="212"/>
  <c r="L142" i="212"/>
  <c r="K142" i="212"/>
  <c r="I142" i="212"/>
  <c r="H142" i="212"/>
  <c r="G142" i="212"/>
  <c r="F142" i="212"/>
  <c r="N141" i="212"/>
  <c r="M141" i="212"/>
  <c r="L141" i="212"/>
  <c r="K141" i="212"/>
  <c r="I141" i="212"/>
  <c r="H141" i="212"/>
  <c r="G141" i="212"/>
  <c r="F141" i="212"/>
  <c r="N140" i="212"/>
  <c r="M140" i="212"/>
  <c r="L140" i="212"/>
  <c r="I140" i="212"/>
  <c r="N130" i="212"/>
  <c r="M130" i="212"/>
  <c r="L130" i="212"/>
  <c r="I130" i="212"/>
  <c r="H130" i="212"/>
  <c r="G130" i="212"/>
  <c r="F130" i="212"/>
  <c r="N126" i="212"/>
  <c r="M126" i="212"/>
  <c r="L126" i="212"/>
  <c r="K126" i="212"/>
  <c r="I126" i="212"/>
  <c r="H126" i="212"/>
  <c r="G126" i="212"/>
  <c r="F126" i="212"/>
  <c r="N124" i="212"/>
  <c r="M124" i="212"/>
  <c r="L124" i="212"/>
  <c r="I124" i="212"/>
  <c r="H124" i="212"/>
  <c r="G124" i="212"/>
  <c r="F124" i="212"/>
  <c r="N122" i="212"/>
  <c r="M122" i="212"/>
  <c r="L122" i="212"/>
  <c r="K122" i="212"/>
  <c r="I122" i="212"/>
  <c r="H122" i="212"/>
  <c r="G122" i="212"/>
  <c r="N121" i="212"/>
  <c r="M121" i="212"/>
  <c r="L121" i="212"/>
  <c r="K121" i="212"/>
  <c r="I121" i="212"/>
  <c r="H121" i="212"/>
  <c r="N119" i="212"/>
  <c r="M119" i="212"/>
  <c r="L119" i="212"/>
  <c r="K119" i="212"/>
  <c r="I119" i="212"/>
  <c r="H119" i="212"/>
  <c r="G119" i="212"/>
  <c r="F119" i="212"/>
  <c r="N117" i="212"/>
  <c r="M117" i="212"/>
  <c r="L117" i="212"/>
  <c r="I117" i="212"/>
  <c r="H117" i="212"/>
  <c r="G117" i="212"/>
  <c r="N115" i="212"/>
  <c r="M115" i="212"/>
  <c r="L115" i="212"/>
  <c r="I115" i="212"/>
  <c r="H115" i="212"/>
  <c r="G115" i="212"/>
  <c r="N114" i="212"/>
  <c r="M114" i="212"/>
  <c r="L114" i="212"/>
  <c r="I114" i="212"/>
  <c r="H114" i="212"/>
  <c r="G114" i="212"/>
  <c r="N113" i="212"/>
  <c r="M113" i="212"/>
  <c r="L113" i="212"/>
  <c r="I113" i="212"/>
  <c r="H113" i="212"/>
  <c r="G113" i="212"/>
  <c r="N112" i="212"/>
  <c r="M112" i="212"/>
  <c r="L112" i="212"/>
  <c r="K112" i="212"/>
  <c r="I112" i="212"/>
  <c r="H112" i="212"/>
  <c r="G112" i="212"/>
  <c r="N111" i="212"/>
  <c r="M111" i="212"/>
  <c r="L111" i="212"/>
  <c r="I111" i="212"/>
  <c r="H111" i="212"/>
  <c r="G111" i="212"/>
  <c r="N109" i="212"/>
  <c r="M109" i="212"/>
  <c r="L109" i="212"/>
  <c r="K109" i="212"/>
  <c r="I109" i="212"/>
  <c r="H109" i="212"/>
  <c r="G109" i="212"/>
  <c r="F109" i="212"/>
  <c r="N108" i="212"/>
  <c r="M108" i="212"/>
  <c r="L108" i="212"/>
  <c r="K108" i="212"/>
  <c r="I108" i="212"/>
  <c r="H108" i="212"/>
  <c r="F52" i="165"/>
  <c r="N98" i="212"/>
  <c r="M98" i="212"/>
  <c r="L98" i="212"/>
  <c r="I98" i="212"/>
  <c r="H98" i="212"/>
  <c r="G98" i="212"/>
  <c r="F98" i="212"/>
  <c r="N96" i="212"/>
  <c r="M96" i="212"/>
  <c r="L96" i="212"/>
  <c r="I96" i="212"/>
  <c r="H96" i="212"/>
  <c r="G96" i="212"/>
  <c r="F96" i="212"/>
  <c r="N92" i="212"/>
  <c r="M92" i="212"/>
  <c r="L92" i="212"/>
  <c r="K92" i="212"/>
  <c r="I92" i="212"/>
  <c r="G92" i="212"/>
  <c r="N91" i="212"/>
  <c r="M91" i="212"/>
  <c r="L91" i="212"/>
  <c r="K91" i="212"/>
  <c r="I91" i="212"/>
  <c r="H91" i="212"/>
  <c r="G91" i="212"/>
  <c r="F91" i="212"/>
  <c r="N89" i="212"/>
  <c r="M89" i="212"/>
  <c r="L89" i="212"/>
  <c r="K89" i="212"/>
  <c r="I89" i="212"/>
  <c r="H89" i="212"/>
  <c r="G89" i="212"/>
  <c r="N87" i="212"/>
  <c r="M87" i="212"/>
  <c r="K87" i="212"/>
  <c r="I87" i="212"/>
  <c r="H87" i="212"/>
  <c r="G87" i="212"/>
  <c r="F87" i="212"/>
  <c r="N86" i="212"/>
  <c r="M86" i="212"/>
  <c r="L86" i="212"/>
  <c r="I86" i="212"/>
  <c r="H86" i="212"/>
  <c r="G86" i="212"/>
  <c r="N84" i="212"/>
  <c r="M84" i="212"/>
  <c r="L84" i="212"/>
  <c r="K84" i="212"/>
  <c r="I84" i="212"/>
  <c r="H84" i="212"/>
  <c r="G84" i="212"/>
  <c r="F84" i="212"/>
  <c r="N83" i="212"/>
  <c r="M83" i="212"/>
  <c r="L83" i="212"/>
  <c r="K83" i="212"/>
  <c r="I83" i="212"/>
  <c r="H83" i="212"/>
  <c r="G83" i="212"/>
  <c r="F83" i="212"/>
  <c r="N81" i="212"/>
  <c r="M81" i="212"/>
  <c r="L81" i="212"/>
  <c r="K81" i="212"/>
  <c r="I81" i="212"/>
  <c r="H81" i="212"/>
  <c r="G81" i="212"/>
  <c r="F81" i="212"/>
  <c r="N80" i="212"/>
  <c r="M80" i="212"/>
  <c r="L80" i="212"/>
  <c r="I80" i="212"/>
  <c r="H80" i="212"/>
  <c r="G80" i="212"/>
  <c r="F80" i="212"/>
  <c r="N78" i="212"/>
  <c r="M78" i="212"/>
  <c r="L78" i="212"/>
  <c r="K78" i="212"/>
  <c r="I78" i="212"/>
  <c r="H78" i="212"/>
  <c r="G78" i="212"/>
  <c r="N77" i="212"/>
  <c r="M77" i="212"/>
  <c r="L77" i="212"/>
  <c r="K77" i="212"/>
  <c r="I77" i="212"/>
  <c r="H77" i="212"/>
  <c r="G77" i="212"/>
  <c r="F77" i="212"/>
  <c r="N75" i="212"/>
  <c r="M75" i="212"/>
  <c r="L75" i="212"/>
  <c r="K75" i="212"/>
  <c r="I75" i="212"/>
  <c r="H75" i="212"/>
  <c r="G75" i="212"/>
  <c r="F75" i="212"/>
  <c r="N74" i="212"/>
  <c r="M74" i="212"/>
  <c r="L74" i="212"/>
  <c r="K74" i="212"/>
  <c r="I74" i="212"/>
  <c r="H74" i="212"/>
  <c r="N73" i="212"/>
  <c r="M73" i="212"/>
  <c r="L73" i="212"/>
  <c r="I73" i="212"/>
  <c r="H73" i="212"/>
  <c r="G73" i="212"/>
  <c r="F73" i="212"/>
  <c r="N72" i="212"/>
  <c r="M72" i="212"/>
  <c r="L72" i="212"/>
  <c r="K72" i="212"/>
  <c r="I72" i="212"/>
  <c r="H72" i="212"/>
  <c r="G72" i="212"/>
  <c r="F72" i="212"/>
  <c r="N70" i="212"/>
  <c r="M70" i="212"/>
  <c r="L70" i="212"/>
  <c r="K70" i="212"/>
  <c r="I70" i="212"/>
  <c r="N69" i="212"/>
  <c r="M69" i="212"/>
  <c r="L69" i="212"/>
  <c r="K69" i="212"/>
  <c r="I69" i="212"/>
  <c r="H69" i="212"/>
  <c r="G69" i="212"/>
  <c r="N68" i="212"/>
  <c r="M68" i="212"/>
  <c r="L68" i="212"/>
  <c r="I68" i="212"/>
  <c r="N66" i="212"/>
  <c r="M66" i="212"/>
  <c r="L66" i="212"/>
  <c r="K66" i="212"/>
  <c r="I66" i="212"/>
  <c r="H66" i="212"/>
  <c r="G66" i="212"/>
  <c r="N65" i="212"/>
  <c r="M65" i="212"/>
  <c r="L65" i="212"/>
  <c r="I65" i="212"/>
  <c r="O63" i="212"/>
  <c r="N63" i="212"/>
  <c r="M63" i="212"/>
  <c r="L63" i="212"/>
  <c r="K63" i="212"/>
  <c r="I63" i="212"/>
  <c r="H63" i="212"/>
  <c r="I62" i="212"/>
  <c r="G62" i="212"/>
  <c r="N60" i="212"/>
  <c r="M60" i="212"/>
  <c r="L60" i="212"/>
  <c r="I60" i="212"/>
  <c r="N59" i="212"/>
  <c r="M59" i="212"/>
  <c r="L59" i="212"/>
  <c r="K59" i="212"/>
  <c r="I59" i="212"/>
  <c r="H59" i="212"/>
  <c r="G59" i="212"/>
  <c r="F59" i="212"/>
  <c r="O57" i="212"/>
  <c r="N57" i="212"/>
  <c r="M57" i="212"/>
  <c r="L57" i="212"/>
  <c r="K57" i="212"/>
  <c r="I57" i="212"/>
  <c r="H57" i="212"/>
  <c r="N56" i="212"/>
  <c r="M56" i="212"/>
  <c r="L56" i="212"/>
  <c r="K56" i="212"/>
  <c r="I56" i="212"/>
  <c r="H56" i="212"/>
  <c r="N54" i="212"/>
  <c r="M54" i="212"/>
  <c r="L54" i="212"/>
  <c r="I54" i="212"/>
  <c r="G54" i="212"/>
  <c r="N53" i="212"/>
  <c r="M53" i="212"/>
  <c r="L53" i="212"/>
  <c r="I53" i="212"/>
  <c r="I52" i="212"/>
  <c r="I50" i="212"/>
  <c r="N46" i="212"/>
  <c r="M46" i="212"/>
  <c r="L46" i="212"/>
  <c r="I46" i="212"/>
  <c r="H46" i="212"/>
  <c r="G46" i="212"/>
  <c r="N45" i="212"/>
  <c r="M45" i="212"/>
  <c r="L45" i="212"/>
  <c r="I45" i="212"/>
  <c r="H45" i="212"/>
  <c r="G45" i="212"/>
  <c r="F45" i="212"/>
  <c r="N44" i="212"/>
  <c r="M44" i="212"/>
  <c r="L44" i="212"/>
  <c r="K44" i="212"/>
  <c r="I44" i="212"/>
  <c r="H44" i="212"/>
  <c r="G44" i="212"/>
  <c r="F44" i="212"/>
  <c r="N41" i="212"/>
  <c r="M41" i="212"/>
  <c r="L41" i="212"/>
  <c r="K41" i="212"/>
  <c r="I41" i="212"/>
  <c r="H41" i="212"/>
  <c r="G41" i="212"/>
  <c r="N39" i="212"/>
  <c r="M39" i="212"/>
  <c r="L39" i="212"/>
  <c r="I39" i="212"/>
  <c r="H39" i="212"/>
  <c r="G39" i="212"/>
  <c r="N38" i="212"/>
  <c r="M38" i="212"/>
  <c r="L38" i="212"/>
  <c r="I38" i="212"/>
  <c r="H38" i="212"/>
  <c r="G38" i="212"/>
  <c r="O35" i="212"/>
  <c r="N35" i="212"/>
  <c r="M35" i="212"/>
  <c r="L35" i="212"/>
  <c r="K35" i="212"/>
  <c r="I35" i="212"/>
  <c r="H35" i="212"/>
  <c r="G35" i="212"/>
  <c r="F35" i="212"/>
  <c r="P34" i="212"/>
  <c r="O34" i="212"/>
  <c r="N34" i="212"/>
  <c r="M34" i="212"/>
  <c r="L34" i="212"/>
  <c r="K34" i="212"/>
  <c r="J34" i="212"/>
  <c r="I34" i="212"/>
  <c r="H34" i="212"/>
  <c r="G34" i="212"/>
  <c r="F34" i="212"/>
  <c r="N33" i="212"/>
  <c r="M33" i="212"/>
  <c r="K33" i="212"/>
  <c r="I33" i="212"/>
  <c r="H33" i="212"/>
  <c r="G33" i="212"/>
  <c r="F33" i="212"/>
  <c r="N31" i="212"/>
  <c r="M31" i="212"/>
  <c r="L31" i="212"/>
  <c r="K31" i="212"/>
  <c r="I31" i="212"/>
  <c r="H31" i="212"/>
  <c r="G31" i="212"/>
  <c r="F31" i="212"/>
  <c r="N30" i="212"/>
  <c r="M30" i="212"/>
  <c r="L30" i="212"/>
  <c r="K30" i="212"/>
  <c r="I30" i="212"/>
  <c r="H30" i="212"/>
  <c r="G30" i="212"/>
  <c r="F30" i="212"/>
  <c r="O28" i="212"/>
  <c r="N28" i="212"/>
  <c r="M28" i="212"/>
  <c r="L28" i="212"/>
  <c r="K28" i="212"/>
  <c r="I28" i="212"/>
  <c r="H28" i="212"/>
  <c r="G28" i="212"/>
  <c r="F28" i="212"/>
  <c r="N27" i="212"/>
  <c r="M27" i="212"/>
  <c r="L27" i="212"/>
  <c r="K27" i="212"/>
  <c r="I27" i="212"/>
  <c r="H27" i="212"/>
  <c r="G27" i="212"/>
  <c r="N24" i="212"/>
  <c r="M24" i="212"/>
  <c r="L24" i="212"/>
  <c r="K24" i="212"/>
  <c r="I24" i="212"/>
  <c r="H24" i="212"/>
  <c r="G24" i="212"/>
  <c r="N21" i="212"/>
  <c r="M21" i="212"/>
  <c r="L21" i="212"/>
  <c r="K21" i="212"/>
  <c r="I21" i="212"/>
  <c r="H21" i="212"/>
  <c r="G21" i="212"/>
  <c r="N20" i="212"/>
  <c r="M20" i="212"/>
  <c r="L20" i="212"/>
  <c r="K20" i="212"/>
  <c r="I20" i="212"/>
  <c r="H20" i="212"/>
  <c r="G20" i="212"/>
  <c r="F20" i="212"/>
  <c r="N19" i="212"/>
  <c r="M19" i="212"/>
  <c r="L19" i="212"/>
  <c r="K19" i="212"/>
  <c r="I19" i="212"/>
  <c r="H19" i="212"/>
  <c r="G19" i="212"/>
  <c r="F19" i="212"/>
  <c r="N18" i="212"/>
  <c r="M18" i="212"/>
  <c r="L18" i="212"/>
  <c r="I18" i="212"/>
  <c r="J436" i="212"/>
  <c r="O428" i="212"/>
  <c r="E428" i="212"/>
  <c r="N427" i="212"/>
  <c r="M427" i="212"/>
  <c r="M426" i="212" s="1"/>
  <c r="L427" i="212"/>
  <c r="L426" i="212" s="1"/>
  <c r="K427" i="212"/>
  <c r="K426" i="212" s="1"/>
  <c r="I427" i="212"/>
  <c r="I426" i="212" s="1"/>
  <c r="H427" i="212"/>
  <c r="H426" i="212" s="1"/>
  <c r="G427" i="212"/>
  <c r="G426" i="212" s="1"/>
  <c r="F427" i="212"/>
  <c r="F426" i="212" s="1"/>
  <c r="N426" i="212"/>
  <c r="O425" i="212"/>
  <c r="J425" i="212" s="1"/>
  <c r="F425" i="212"/>
  <c r="N424" i="212"/>
  <c r="N423" i="212" s="1"/>
  <c r="M424" i="212"/>
  <c r="M423" i="212" s="1"/>
  <c r="L424" i="212"/>
  <c r="L423" i="212" s="1"/>
  <c r="K424" i="212"/>
  <c r="I424" i="212"/>
  <c r="I423" i="212" s="1"/>
  <c r="H424" i="212"/>
  <c r="H423" i="212" s="1"/>
  <c r="G424" i="212"/>
  <c r="G423" i="212" s="1"/>
  <c r="K423" i="212"/>
  <c r="O401" i="212"/>
  <c r="J401" i="212" s="1"/>
  <c r="J400" i="212" s="1"/>
  <c r="E401" i="212"/>
  <c r="E400" i="212" s="1"/>
  <c r="O400" i="212"/>
  <c r="N400" i="212"/>
  <c r="M400" i="212"/>
  <c r="L400" i="212"/>
  <c r="K400" i="212"/>
  <c r="I400" i="212"/>
  <c r="H400" i="212"/>
  <c r="G400" i="212"/>
  <c r="F400" i="212"/>
  <c r="O391" i="212"/>
  <c r="J391" i="212" s="1"/>
  <c r="J390" i="212" s="1"/>
  <c r="J389" i="212" s="1"/>
  <c r="E391" i="212"/>
  <c r="E390" i="212" s="1"/>
  <c r="E389" i="212" s="1"/>
  <c r="N390" i="212"/>
  <c r="N389" i="212" s="1"/>
  <c r="M390" i="212"/>
  <c r="M389" i="212" s="1"/>
  <c r="L390" i="212"/>
  <c r="L389" i="212" s="1"/>
  <c r="K390" i="212"/>
  <c r="I390" i="212"/>
  <c r="I389" i="212" s="1"/>
  <c r="H390" i="212"/>
  <c r="G390" i="212"/>
  <c r="G389" i="212" s="1"/>
  <c r="F390" i="212"/>
  <c r="F389" i="212" s="1"/>
  <c r="K389" i="212"/>
  <c r="H389" i="212"/>
  <c r="O371" i="212"/>
  <c r="E371" i="212"/>
  <c r="E370" i="212" s="1"/>
  <c r="N370" i="212"/>
  <c r="M370" i="212"/>
  <c r="L370" i="212"/>
  <c r="K370" i="212"/>
  <c r="I370" i="212"/>
  <c r="H370" i="212"/>
  <c r="G370" i="212"/>
  <c r="F370" i="212"/>
  <c r="O352" i="212"/>
  <c r="E352" i="212"/>
  <c r="E351" i="212" s="1"/>
  <c r="E350" i="212" s="1"/>
  <c r="N351" i="212"/>
  <c r="N350" i="212" s="1"/>
  <c r="M351" i="212"/>
  <c r="M350" i="212" s="1"/>
  <c r="L351" i="212"/>
  <c r="L350" i="212" s="1"/>
  <c r="K351" i="212"/>
  <c r="K350" i="212" s="1"/>
  <c r="I351" i="212"/>
  <c r="H351" i="212"/>
  <c r="H350" i="212" s="1"/>
  <c r="G351" i="212"/>
  <c r="G350" i="212" s="1"/>
  <c r="F351" i="212"/>
  <c r="F350" i="212" s="1"/>
  <c r="I350" i="212"/>
  <c r="O343" i="212"/>
  <c r="J343" i="212" s="1"/>
  <c r="E343" i="212"/>
  <c r="E340" i="212" s="1"/>
  <c r="E339" i="212" s="1"/>
  <c r="O341" i="212"/>
  <c r="E341" i="212"/>
  <c r="N340" i="212"/>
  <c r="N339" i="212" s="1"/>
  <c r="M340" i="212"/>
  <c r="M339" i="212" s="1"/>
  <c r="L340" i="212"/>
  <c r="L339" i="212" s="1"/>
  <c r="K340" i="212"/>
  <c r="K339" i="212" s="1"/>
  <c r="I340" i="212"/>
  <c r="I339" i="212" s="1"/>
  <c r="H340" i="212"/>
  <c r="H339" i="212" s="1"/>
  <c r="G340" i="212"/>
  <c r="G339" i="212" s="1"/>
  <c r="F340" i="212"/>
  <c r="F339" i="212"/>
  <c r="O338" i="212"/>
  <c r="J338" i="212" s="1"/>
  <c r="P338" i="212" s="1"/>
  <c r="E338" i="212"/>
  <c r="O283" i="212"/>
  <c r="E283" i="212"/>
  <c r="N282" i="212"/>
  <c r="M282" i="212"/>
  <c r="L282" i="212"/>
  <c r="K282" i="212"/>
  <c r="I282" i="212"/>
  <c r="H282" i="212"/>
  <c r="G282" i="212"/>
  <c r="F282" i="212"/>
  <c r="E282" i="212"/>
  <c r="O218" i="212"/>
  <c r="E218" i="212"/>
  <c r="N217" i="212"/>
  <c r="M217" i="212"/>
  <c r="M216" i="212" s="1"/>
  <c r="L217" i="212"/>
  <c r="L216" i="212" s="1"/>
  <c r="K217" i="212"/>
  <c r="I217" i="212"/>
  <c r="I216" i="212" s="1"/>
  <c r="H217" i="212"/>
  <c r="H216" i="212" s="1"/>
  <c r="G217" i="212"/>
  <c r="G216" i="212" s="1"/>
  <c r="F217" i="212"/>
  <c r="F216" i="212" s="1"/>
  <c r="N216" i="212"/>
  <c r="K216" i="212"/>
  <c r="O196" i="212"/>
  <c r="E196" i="212"/>
  <c r="E195" i="212" s="1"/>
  <c r="N195" i="212"/>
  <c r="M195" i="212"/>
  <c r="L195" i="212"/>
  <c r="K195" i="212"/>
  <c r="I195" i="212"/>
  <c r="H195" i="212"/>
  <c r="G195" i="212"/>
  <c r="F195" i="212"/>
  <c r="O136" i="212"/>
  <c r="J136" i="212"/>
  <c r="E136" i="212"/>
  <c r="O135" i="212"/>
  <c r="J135" i="212"/>
  <c r="E135" i="212"/>
  <c r="K134" i="212"/>
  <c r="E134" i="212"/>
  <c r="N133" i="212"/>
  <c r="M133" i="212"/>
  <c r="L133" i="212"/>
  <c r="I133" i="212"/>
  <c r="H133" i="212"/>
  <c r="G133" i="212"/>
  <c r="F133" i="212"/>
  <c r="E133" i="212"/>
  <c r="O132" i="212"/>
  <c r="E132" i="212"/>
  <c r="N131" i="212"/>
  <c r="M131" i="212"/>
  <c r="L131" i="212"/>
  <c r="K131" i="212"/>
  <c r="I131" i="212"/>
  <c r="H131" i="212"/>
  <c r="G131" i="212"/>
  <c r="F131" i="212"/>
  <c r="E131" i="212"/>
  <c r="O104" i="212"/>
  <c r="O103" i="212" s="1"/>
  <c r="O102" i="212" s="1"/>
  <c r="J104" i="212"/>
  <c r="E104" i="212"/>
  <c r="E103" i="212" s="1"/>
  <c r="E102" i="212" s="1"/>
  <c r="N103" i="212"/>
  <c r="N102" i="212" s="1"/>
  <c r="M103" i="212"/>
  <c r="L103" i="212"/>
  <c r="L102" i="212" s="1"/>
  <c r="K103" i="212"/>
  <c r="K102" i="212" s="1"/>
  <c r="I103" i="212"/>
  <c r="H103" i="212"/>
  <c r="H102" i="212" s="1"/>
  <c r="G103" i="212"/>
  <c r="G102" i="212" s="1"/>
  <c r="F103" i="212"/>
  <c r="F102" i="212" s="1"/>
  <c r="M102" i="212"/>
  <c r="I102" i="212"/>
  <c r="O101" i="212"/>
  <c r="J101" i="212" s="1"/>
  <c r="E101" i="212"/>
  <c r="E100" i="212" s="1"/>
  <c r="E99" i="212" s="1"/>
  <c r="N100" i="212"/>
  <c r="N99" i="212" s="1"/>
  <c r="M100" i="212"/>
  <c r="M99" i="212" s="1"/>
  <c r="L100" i="212"/>
  <c r="K100" i="212"/>
  <c r="K99" i="212" s="1"/>
  <c r="I100" i="212"/>
  <c r="H100" i="212"/>
  <c r="H99" i="212" s="1"/>
  <c r="G100" i="212"/>
  <c r="G99" i="212" s="1"/>
  <c r="F100" i="212"/>
  <c r="F99" i="212" s="1"/>
  <c r="L99" i="212"/>
  <c r="I99" i="212"/>
  <c r="C152" i="211"/>
  <c r="C151" i="211"/>
  <c r="C150" i="211"/>
  <c r="C149" i="211"/>
  <c r="C148" i="211"/>
  <c r="C147" i="211"/>
  <c r="C146" i="211"/>
  <c r="C145" i="211"/>
  <c r="F144" i="211"/>
  <c r="F130" i="211" s="1"/>
  <c r="E144" i="211"/>
  <c r="D144" i="211"/>
  <c r="C144" i="211" s="1"/>
  <c r="C143" i="211"/>
  <c r="C142" i="211"/>
  <c r="C141" i="211"/>
  <c r="D140" i="211"/>
  <c r="C140" i="211"/>
  <c r="C139" i="211"/>
  <c r="D138" i="211"/>
  <c r="C138" i="211" s="1"/>
  <c r="C137" i="211"/>
  <c r="E136" i="211"/>
  <c r="C135" i="211"/>
  <c r="C134" i="211"/>
  <c r="D133" i="211"/>
  <c r="D132" i="211"/>
  <c r="C132" i="211"/>
  <c r="D131" i="211"/>
  <c r="C129" i="211"/>
  <c r="C128" i="211"/>
  <c r="C127" i="211"/>
  <c r="C126" i="211"/>
  <c r="D125" i="211"/>
  <c r="C125" i="211"/>
  <c r="D124" i="211"/>
  <c r="C124" i="211"/>
  <c r="C123" i="211"/>
  <c r="C122" i="211"/>
  <c r="F121" i="211"/>
  <c r="E121" i="211"/>
  <c r="D121" i="211"/>
  <c r="F120" i="211"/>
  <c r="F114" i="211" s="1"/>
  <c r="D119" i="211"/>
  <c r="C119" i="211"/>
  <c r="C118" i="211"/>
  <c r="C116" i="211"/>
  <c r="D115" i="211"/>
  <c r="C115" i="211"/>
  <c r="E112" i="211"/>
  <c r="C112" i="211" s="1"/>
  <c r="F111" i="211"/>
  <c r="E111" i="211"/>
  <c r="D111" i="211"/>
  <c r="C110" i="211"/>
  <c r="C109" i="211"/>
  <c r="C108" i="211"/>
  <c r="F107" i="211"/>
  <c r="F106" i="211" s="1"/>
  <c r="E107" i="211"/>
  <c r="D107" i="211"/>
  <c r="E106" i="211"/>
  <c r="E101" i="211" s="1"/>
  <c r="F105" i="211"/>
  <c r="F102" i="211" s="1"/>
  <c r="E105" i="211"/>
  <c r="C105" i="211" s="1"/>
  <c r="C104" i="211"/>
  <c r="D103" i="211"/>
  <c r="C103" i="211" s="1"/>
  <c r="E102" i="211"/>
  <c r="E100" i="211"/>
  <c r="C100" i="211"/>
  <c r="E99" i="211"/>
  <c r="C99" i="211" s="1"/>
  <c r="E98" i="211"/>
  <c r="C98" i="211" s="1"/>
  <c r="E97" i="211"/>
  <c r="C97" i="211" s="1"/>
  <c r="D95" i="211"/>
  <c r="F94" i="211"/>
  <c r="F90" i="211" s="1"/>
  <c r="F66" i="211" s="1"/>
  <c r="E94" i="211"/>
  <c r="C94" i="211" s="1"/>
  <c r="C93" i="211"/>
  <c r="D92" i="211"/>
  <c r="D90" i="211" s="1"/>
  <c r="C92" i="211"/>
  <c r="D91" i="211"/>
  <c r="C91" i="211" s="1"/>
  <c r="E90" i="211"/>
  <c r="C89" i="211"/>
  <c r="C88" i="211"/>
  <c r="C87" i="211"/>
  <c r="D86" i="211"/>
  <c r="C86" i="211"/>
  <c r="C85" i="211"/>
  <c r="D84" i="211"/>
  <c r="C84" i="211" s="1"/>
  <c r="C83" i="211"/>
  <c r="D82" i="211"/>
  <c r="C82" i="211" s="1"/>
  <c r="C81" i="211"/>
  <c r="D80" i="211"/>
  <c r="D78" i="211" s="1"/>
  <c r="C80" i="211"/>
  <c r="C79" i="211"/>
  <c r="C76" i="211"/>
  <c r="C75" i="211"/>
  <c r="C74" i="211"/>
  <c r="C73" i="211"/>
  <c r="C72" i="211"/>
  <c r="D71" i="211"/>
  <c r="C71" i="211"/>
  <c r="C70" i="211"/>
  <c r="C69" i="211"/>
  <c r="D68" i="211"/>
  <c r="D67" i="211" s="1"/>
  <c r="C68" i="211"/>
  <c r="C65" i="211"/>
  <c r="C64" i="211"/>
  <c r="C63" i="211"/>
  <c r="E62" i="211"/>
  <c r="C62" i="211" s="1"/>
  <c r="D62" i="211"/>
  <c r="E61" i="211"/>
  <c r="C60" i="211"/>
  <c r="D59" i="211"/>
  <c r="C59" i="211" s="1"/>
  <c r="C58" i="211"/>
  <c r="C56" i="211"/>
  <c r="C55" i="211"/>
  <c r="D54" i="211"/>
  <c r="C54" i="211"/>
  <c r="C53" i="211"/>
  <c r="D52" i="211"/>
  <c r="C52" i="211" s="1"/>
  <c r="C51" i="211"/>
  <c r="C50" i="211"/>
  <c r="C49" i="211"/>
  <c r="C48" i="211"/>
  <c r="C47" i="211"/>
  <c r="C46" i="211"/>
  <c r="D45" i="211"/>
  <c r="C45" i="211" s="1"/>
  <c r="D44" i="211"/>
  <c r="C44" i="211" s="1"/>
  <c r="D43" i="211"/>
  <c r="C43" i="211" s="1"/>
  <c r="C42" i="211"/>
  <c r="C39" i="211"/>
  <c r="C38" i="211"/>
  <c r="C37" i="211" s="1"/>
  <c r="D37" i="211"/>
  <c r="C36" i="211"/>
  <c r="D35" i="211"/>
  <c r="C35" i="211"/>
  <c r="C34" i="211"/>
  <c r="D33" i="211"/>
  <c r="C33" i="211" s="1"/>
  <c r="D32" i="211"/>
  <c r="C32" i="211"/>
  <c r="C31" i="211"/>
  <c r="D30" i="211"/>
  <c r="C30" i="211"/>
  <c r="C29" i="211"/>
  <c r="C28" i="211"/>
  <c r="D27" i="211"/>
  <c r="C27" i="211"/>
  <c r="D26" i="211"/>
  <c r="C26" i="211" s="1"/>
  <c r="C25" i="211"/>
  <c r="D24" i="211"/>
  <c r="C24" i="211"/>
  <c r="C23" i="211"/>
  <c r="C22" i="211"/>
  <c r="D21" i="211"/>
  <c r="C21" i="211"/>
  <c r="C20" i="211"/>
  <c r="C19" i="211"/>
  <c r="C18" i="211"/>
  <c r="D17" i="211"/>
  <c r="C17" i="211" s="1"/>
  <c r="F15" i="211"/>
  <c r="P431" i="210"/>
  <c r="O431" i="210"/>
  <c r="N431" i="210"/>
  <c r="M431" i="210"/>
  <c r="L431" i="210"/>
  <c r="K431" i="210"/>
  <c r="J431" i="210"/>
  <c r="H431" i="210"/>
  <c r="G431" i="210"/>
  <c r="F431" i="210"/>
  <c r="O428" i="210"/>
  <c r="E428" i="210"/>
  <c r="N427" i="210"/>
  <c r="M427" i="210"/>
  <c r="M426" i="210" s="1"/>
  <c r="L427" i="210"/>
  <c r="K427" i="210"/>
  <c r="I427" i="210"/>
  <c r="I426" i="210" s="1"/>
  <c r="H427" i="210"/>
  <c r="H426" i="210" s="1"/>
  <c r="G427" i="210"/>
  <c r="F427" i="210"/>
  <c r="N426" i="210"/>
  <c r="L426" i="210"/>
  <c r="K426" i="210"/>
  <c r="G426" i="210"/>
  <c r="F426" i="210"/>
  <c r="O425" i="210"/>
  <c r="J425" i="210" s="1"/>
  <c r="F425" i="210"/>
  <c r="N424" i="210"/>
  <c r="N423" i="210" s="1"/>
  <c r="M424" i="210"/>
  <c r="M423" i="210" s="1"/>
  <c r="M419" i="210" s="1"/>
  <c r="L424" i="210"/>
  <c r="K424" i="210"/>
  <c r="I424" i="210"/>
  <c r="I423" i="210" s="1"/>
  <c r="I419" i="210" s="1"/>
  <c r="H424" i="210"/>
  <c r="H423" i="210" s="1"/>
  <c r="G424" i="210"/>
  <c r="L423" i="210"/>
  <c r="K423" i="210"/>
  <c r="G423" i="210"/>
  <c r="G419" i="210" s="1"/>
  <c r="O422" i="210"/>
  <c r="J422" i="210"/>
  <c r="J421" i="210" s="1"/>
  <c r="F422" i="210"/>
  <c r="O421" i="210"/>
  <c r="N421" i="210"/>
  <c r="M421" i="210"/>
  <c r="L421" i="210"/>
  <c r="K421" i="210"/>
  <c r="I421" i="210"/>
  <c r="H421" i="210"/>
  <c r="G421" i="210"/>
  <c r="O420" i="210"/>
  <c r="J420" i="210" s="1"/>
  <c r="F420" i="210"/>
  <c r="E420" i="210" s="1"/>
  <c r="L419" i="210"/>
  <c r="K419" i="210"/>
  <c r="O418" i="210"/>
  <c r="J418" i="210" s="1"/>
  <c r="J417" i="210" s="1"/>
  <c r="J416" i="210" s="1"/>
  <c r="E418" i="210"/>
  <c r="E417" i="210" s="1"/>
  <c r="E416" i="210" s="1"/>
  <c r="N417" i="210"/>
  <c r="N416" i="210" s="1"/>
  <c r="M417" i="210"/>
  <c r="L417" i="210"/>
  <c r="L416" i="210" s="1"/>
  <c r="K417" i="210"/>
  <c r="K416" i="210" s="1"/>
  <c r="I417" i="210"/>
  <c r="H417" i="210"/>
  <c r="H416" i="210" s="1"/>
  <c r="G417" i="210"/>
  <c r="G416" i="210" s="1"/>
  <c r="F417" i="210"/>
  <c r="M416" i="210"/>
  <c r="I416" i="210"/>
  <c r="F416" i="210"/>
  <c r="O415" i="210"/>
  <c r="J415" i="210" s="1"/>
  <c r="P415" i="210" s="1"/>
  <c r="E415" i="210"/>
  <c r="O414" i="210"/>
  <c r="G414" i="210"/>
  <c r="F414" i="210"/>
  <c r="N413" i="210"/>
  <c r="M413" i="210"/>
  <c r="L413" i="210"/>
  <c r="K413" i="210"/>
  <c r="I413" i="210"/>
  <c r="H413" i="210"/>
  <c r="G413" i="210"/>
  <c r="K410" i="210"/>
  <c r="E410" i="210"/>
  <c r="E409" i="210" s="1"/>
  <c r="N409" i="210"/>
  <c r="M409" i="210"/>
  <c r="L409" i="210"/>
  <c r="I409" i="210"/>
  <c r="H409" i="210"/>
  <c r="H406" i="210" s="1"/>
  <c r="G409" i="210"/>
  <c r="G406" i="210" s="1"/>
  <c r="G403" i="210" s="1"/>
  <c r="G402" i="210" s="1"/>
  <c r="F409" i="210"/>
  <c r="K408" i="210"/>
  <c r="F408" i="210"/>
  <c r="N407" i="210"/>
  <c r="N406" i="210" s="1"/>
  <c r="M407" i="210"/>
  <c r="L407" i="210"/>
  <c r="I407" i="210"/>
  <c r="H407" i="210"/>
  <c r="G407" i="210"/>
  <c r="I406" i="210"/>
  <c r="K405" i="210"/>
  <c r="G405" i="210"/>
  <c r="F405" i="210"/>
  <c r="E405" i="210" s="1"/>
  <c r="N404" i="210"/>
  <c r="M404" i="210"/>
  <c r="L404" i="210"/>
  <c r="I404" i="210"/>
  <c r="H404" i="210"/>
  <c r="G404" i="210"/>
  <c r="F404" i="210"/>
  <c r="O401" i="210"/>
  <c r="J401" i="210"/>
  <c r="J400" i="210" s="1"/>
  <c r="E401" i="210"/>
  <c r="O400" i="210"/>
  <c r="N400" i="210"/>
  <c r="M400" i="210"/>
  <c r="L400" i="210"/>
  <c r="K400" i="210"/>
  <c r="I400" i="210"/>
  <c r="H400" i="210"/>
  <c r="G400" i="210"/>
  <c r="F400" i="210"/>
  <c r="O399" i="210"/>
  <c r="O398" i="210" s="1"/>
  <c r="L399" i="210"/>
  <c r="N398" i="210"/>
  <c r="N397" i="210" s="1"/>
  <c r="M398" i="210"/>
  <c r="K398" i="210"/>
  <c r="I398" i="210"/>
  <c r="H398" i="210"/>
  <c r="G398" i="210"/>
  <c r="F398" i="210"/>
  <c r="E398" i="210"/>
  <c r="O397" i="210"/>
  <c r="M397" i="210"/>
  <c r="K397" i="210"/>
  <c r="I397" i="210"/>
  <c r="H397" i="210"/>
  <c r="G397" i="210"/>
  <c r="F397" i="210"/>
  <c r="E397" i="210"/>
  <c r="O396" i="210"/>
  <c r="J396" i="210" s="1"/>
  <c r="P396" i="210" s="1"/>
  <c r="E396" i="210"/>
  <c r="O395" i="210"/>
  <c r="J395" i="210"/>
  <c r="H395" i="210"/>
  <c r="G395" i="210"/>
  <c r="F395" i="210"/>
  <c r="F394" i="210" s="1"/>
  <c r="E395" i="210"/>
  <c r="P395" i="210" s="1"/>
  <c r="N394" i="210"/>
  <c r="M394" i="210"/>
  <c r="L394" i="210"/>
  <c r="K394" i="210"/>
  <c r="I394" i="210"/>
  <c r="H394" i="210"/>
  <c r="G394" i="210"/>
  <c r="E394" i="210"/>
  <c r="K393" i="210"/>
  <c r="K392" i="210" s="1"/>
  <c r="O391" i="210"/>
  <c r="J391" i="210"/>
  <c r="J390" i="210" s="1"/>
  <c r="J389" i="210" s="1"/>
  <c r="E391" i="210"/>
  <c r="O390" i="210"/>
  <c r="O389" i="210" s="1"/>
  <c r="N390" i="210"/>
  <c r="M390" i="210"/>
  <c r="L390" i="210"/>
  <c r="K390" i="210"/>
  <c r="K389" i="210" s="1"/>
  <c r="I390" i="210"/>
  <c r="H390" i="210"/>
  <c r="H389" i="210" s="1"/>
  <c r="G390" i="210"/>
  <c r="G389" i="210" s="1"/>
  <c r="F390" i="210"/>
  <c r="N389" i="210"/>
  <c r="M389" i="210"/>
  <c r="L389" i="210"/>
  <c r="I389" i="210"/>
  <c r="F389" i="210"/>
  <c r="K388" i="210"/>
  <c r="F388" i="210"/>
  <c r="E388" i="210"/>
  <c r="N387" i="210"/>
  <c r="M387" i="210"/>
  <c r="M386" i="210" s="1"/>
  <c r="L387" i="210"/>
  <c r="I387" i="210"/>
  <c r="I386" i="210" s="1"/>
  <c r="H387" i="210"/>
  <c r="G387" i="210"/>
  <c r="G386" i="210" s="1"/>
  <c r="F387" i="210"/>
  <c r="E387" i="210"/>
  <c r="N386" i="210"/>
  <c r="L386" i="210"/>
  <c r="H386" i="210"/>
  <c r="F386" i="210"/>
  <c r="E386" i="210"/>
  <c r="O385" i="210"/>
  <c r="J385" i="210" s="1"/>
  <c r="J384" i="210" s="1"/>
  <c r="E385" i="210"/>
  <c r="O384" i="210"/>
  <c r="N384" i="210"/>
  <c r="M384" i="210"/>
  <c r="L384" i="210"/>
  <c r="L380" i="210" s="1"/>
  <c r="L377" i="210" s="1"/>
  <c r="K384" i="210"/>
  <c r="K380" i="210" s="1"/>
  <c r="I384" i="210"/>
  <c r="H384" i="210"/>
  <c r="G384" i="210"/>
  <c r="F384" i="210"/>
  <c r="K383" i="210"/>
  <c r="O383" i="210" s="1"/>
  <c r="J383" i="210"/>
  <c r="F383" i="210"/>
  <c r="E383" i="210" s="1"/>
  <c r="O382" i="210"/>
  <c r="J382" i="210"/>
  <c r="F382" i="210"/>
  <c r="E382" i="210" s="1"/>
  <c r="O381" i="210"/>
  <c r="F381" i="210"/>
  <c r="E381" i="210"/>
  <c r="N380" i="210"/>
  <c r="M380" i="210"/>
  <c r="M377" i="210" s="1"/>
  <c r="I380" i="210"/>
  <c r="H380" i="210"/>
  <c r="G380" i="210"/>
  <c r="O379" i="210"/>
  <c r="J379" i="210" s="1"/>
  <c r="J378" i="210" s="1"/>
  <c r="K379" i="210"/>
  <c r="F379" i="210"/>
  <c r="O378" i="210"/>
  <c r="N378" i="210"/>
  <c r="M378" i="210"/>
  <c r="L378" i="210"/>
  <c r="K378" i="210"/>
  <c r="I378" i="210"/>
  <c r="H378" i="210"/>
  <c r="G378" i="210"/>
  <c r="N377" i="210"/>
  <c r="K376" i="210"/>
  <c r="O376" i="210" s="1"/>
  <c r="F376" i="210"/>
  <c r="E376" i="210"/>
  <c r="K375" i="210"/>
  <c r="O375" i="210" s="1"/>
  <c r="J375" i="210" s="1"/>
  <c r="F375" i="210"/>
  <c r="N374" i="210"/>
  <c r="M374" i="210"/>
  <c r="L374" i="210"/>
  <c r="K374" i="210"/>
  <c r="I374" i="210"/>
  <c r="H374" i="210"/>
  <c r="G374" i="210"/>
  <c r="O371" i="210"/>
  <c r="E371" i="210"/>
  <c r="N370" i="210"/>
  <c r="M370" i="210"/>
  <c r="L370" i="210"/>
  <c r="K370" i="210"/>
  <c r="I370" i="210"/>
  <c r="H370" i="210"/>
  <c r="G370" i="210"/>
  <c r="F370" i="210"/>
  <c r="E370" i="210"/>
  <c r="O369" i="210"/>
  <c r="F369" i="210"/>
  <c r="N368" i="210"/>
  <c r="M368" i="210"/>
  <c r="M367" i="210" s="1"/>
  <c r="L368" i="210"/>
  <c r="L367" i="210" s="1"/>
  <c r="K368" i="210"/>
  <c r="I368" i="210"/>
  <c r="H368" i="210"/>
  <c r="H367" i="210" s="1"/>
  <c r="G368" i="210"/>
  <c r="G367" i="210" s="1"/>
  <c r="N367" i="210"/>
  <c r="K367" i="210"/>
  <c r="I367" i="210"/>
  <c r="O366" i="210"/>
  <c r="K366" i="210"/>
  <c r="E366" i="210"/>
  <c r="N365" i="210"/>
  <c r="M365" i="210"/>
  <c r="L365" i="210"/>
  <c r="K365" i="210"/>
  <c r="I365" i="210"/>
  <c r="I358" i="210" s="1"/>
  <c r="H365" i="210"/>
  <c r="G365" i="210"/>
  <c r="F365" i="210"/>
  <c r="E365" i="210"/>
  <c r="O364" i="210"/>
  <c r="J364" i="210"/>
  <c r="E364" i="210"/>
  <c r="O363" i="210"/>
  <c r="F363" i="210"/>
  <c r="N362" i="210"/>
  <c r="N359" i="210" s="1"/>
  <c r="M362" i="210"/>
  <c r="L362" i="210"/>
  <c r="K362" i="210"/>
  <c r="I362" i="210"/>
  <c r="I359" i="210" s="1"/>
  <c r="H362" i="210"/>
  <c r="G362" i="210"/>
  <c r="O361" i="210"/>
  <c r="O360" i="210" s="1"/>
  <c r="J361" i="210"/>
  <c r="J360" i="210" s="1"/>
  <c r="F361" i="210"/>
  <c r="E361" i="210" s="1"/>
  <c r="N360" i="210"/>
  <c r="M360" i="210"/>
  <c r="M359" i="210" s="1"/>
  <c r="L360" i="210"/>
  <c r="K360" i="210"/>
  <c r="I360" i="210"/>
  <c r="H360" i="210"/>
  <c r="G360" i="210"/>
  <c r="F360" i="210"/>
  <c r="L359" i="210"/>
  <c r="L358" i="210" s="1"/>
  <c r="L354" i="210" s="1"/>
  <c r="L353" i="210" s="1"/>
  <c r="H359" i="210"/>
  <c r="H358" i="210" s="1"/>
  <c r="G359" i="210"/>
  <c r="O357" i="210"/>
  <c r="J357" i="210" s="1"/>
  <c r="E357" i="210"/>
  <c r="O356" i="210"/>
  <c r="G356" i="210"/>
  <c r="F356" i="210"/>
  <c r="N355" i="210"/>
  <c r="M355" i="210"/>
  <c r="L355" i="210"/>
  <c r="K355" i="210"/>
  <c r="I355" i="210"/>
  <c r="I354" i="210" s="1"/>
  <c r="I353" i="210" s="1"/>
  <c r="H355" i="210"/>
  <c r="G355" i="210"/>
  <c r="O352" i="210"/>
  <c r="J352" i="210" s="1"/>
  <c r="E352" i="210"/>
  <c r="E351" i="210" s="1"/>
  <c r="E350" i="210" s="1"/>
  <c r="O351" i="210"/>
  <c r="O350" i="210" s="1"/>
  <c r="N351" i="210"/>
  <c r="N350" i="210" s="1"/>
  <c r="M351" i="210"/>
  <c r="L351" i="210"/>
  <c r="L350" i="210" s="1"/>
  <c r="L345" i="210" s="1"/>
  <c r="L344" i="210" s="1"/>
  <c r="K351" i="210"/>
  <c r="K350" i="210" s="1"/>
  <c r="I351" i="210"/>
  <c r="H351" i="210"/>
  <c r="G351" i="210"/>
  <c r="G350" i="210" s="1"/>
  <c r="F351" i="210"/>
  <c r="M350" i="210"/>
  <c r="I350" i="210"/>
  <c r="H350" i="210"/>
  <c r="F350" i="210"/>
  <c r="O349" i="210"/>
  <c r="J349" i="210" s="1"/>
  <c r="F349" i="210"/>
  <c r="E349" i="210" s="1"/>
  <c r="P349" i="210" s="1"/>
  <c r="O348" i="210"/>
  <c r="E348" i="210"/>
  <c r="O347" i="210"/>
  <c r="J347" i="210" s="1"/>
  <c r="H347" i="210"/>
  <c r="G347" i="210"/>
  <c r="G346" i="210" s="1"/>
  <c r="F347" i="210"/>
  <c r="N346" i="210"/>
  <c r="M346" i="210"/>
  <c r="M345" i="210" s="1"/>
  <c r="M344" i="210" s="1"/>
  <c r="L346" i="210"/>
  <c r="K346" i="210"/>
  <c r="I346" i="210"/>
  <c r="H346" i="210"/>
  <c r="H345" i="210" s="1"/>
  <c r="H344" i="210" s="1"/>
  <c r="I345" i="210"/>
  <c r="I344" i="210" s="1"/>
  <c r="O343" i="210"/>
  <c r="J343" i="210" s="1"/>
  <c r="E343" i="210"/>
  <c r="E340" i="210" s="1"/>
  <c r="E339" i="210" s="1"/>
  <c r="O341" i="210"/>
  <c r="J341" i="210" s="1"/>
  <c r="E341" i="210"/>
  <c r="N340" i="210"/>
  <c r="M340" i="210"/>
  <c r="M339" i="210" s="1"/>
  <c r="L340" i="210"/>
  <c r="L339" i="210" s="1"/>
  <c r="K340" i="210"/>
  <c r="I340" i="210"/>
  <c r="H340" i="210"/>
  <c r="H339" i="210" s="1"/>
  <c r="G340" i="210"/>
  <c r="G339" i="210" s="1"/>
  <c r="F340" i="210"/>
  <c r="N339" i="210"/>
  <c r="K339" i="210"/>
  <c r="I339" i="210"/>
  <c r="F339" i="210"/>
  <c r="O338" i="210"/>
  <c r="J338" i="210" s="1"/>
  <c r="E338" i="210"/>
  <c r="O337" i="210"/>
  <c r="J337" i="210" s="1"/>
  <c r="K337" i="210"/>
  <c r="E337" i="210"/>
  <c r="O336" i="210"/>
  <c r="J336" i="210" s="1"/>
  <c r="E336" i="210"/>
  <c r="P336" i="210" s="1"/>
  <c r="K335" i="210"/>
  <c r="O335" i="210" s="1"/>
  <c r="J335" i="210"/>
  <c r="E335" i="210"/>
  <c r="K334" i="210"/>
  <c r="E334" i="210"/>
  <c r="N333" i="210"/>
  <c r="N331" i="210" s="1"/>
  <c r="N330" i="210" s="1"/>
  <c r="M333" i="210"/>
  <c r="M331" i="210" s="1"/>
  <c r="L333" i="210"/>
  <c r="I333" i="210"/>
  <c r="H333" i="210"/>
  <c r="G333" i="210"/>
  <c r="G331" i="210" s="1"/>
  <c r="G330" i="210" s="1"/>
  <c r="F333" i="210"/>
  <c r="F331" i="210" s="1"/>
  <c r="O332" i="210"/>
  <c r="J332" i="210"/>
  <c r="E332" i="210"/>
  <c r="L331" i="210"/>
  <c r="I331" i="210"/>
  <c r="H331" i="210"/>
  <c r="L330" i="210"/>
  <c r="I330" i="210"/>
  <c r="O329" i="210"/>
  <c r="J329" i="210" s="1"/>
  <c r="J328" i="210" s="1"/>
  <c r="J327" i="210" s="1"/>
  <c r="E329" i="210"/>
  <c r="E328" i="210" s="1"/>
  <c r="E327" i="210" s="1"/>
  <c r="N328" i="210"/>
  <c r="N327" i="210" s="1"/>
  <c r="M328" i="210"/>
  <c r="L328" i="210"/>
  <c r="K328" i="210"/>
  <c r="I328" i="210"/>
  <c r="I327" i="210" s="1"/>
  <c r="H328" i="210"/>
  <c r="H327" i="210" s="1"/>
  <c r="G328" i="210"/>
  <c r="F328" i="210"/>
  <c r="F327" i="210" s="1"/>
  <c r="M327" i="210"/>
  <c r="L327" i="210"/>
  <c r="L320" i="210" s="1"/>
  <c r="K327" i="210"/>
  <c r="G327" i="210"/>
  <c r="O326" i="210"/>
  <c r="K326" i="210"/>
  <c r="E326" i="210"/>
  <c r="E325" i="210" s="1"/>
  <c r="N325" i="210"/>
  <c r="M325" i="210"/>
  <c r="L325" i="210"/>
  <c r="K325" i="210"/>
  <c r="I325" i="210"/>
  <c r="H325" i="210"/>
  <c r="G325" i="210"/>
  <c r="F325" i="210"/>
  <c r="O324" i="210"/>
  <c r="J324" i="210" s="1"/>
  <c r="E324" i="210"/>
  <c r="O323" i="210"/>
  <c r="J323" i="210" s="1"/>
  <c r="E323" i="210"/>
  <c r="O322" i="210"/>
  <c r="J322" i="210" s="1"/>
  <c r="J321" i="210" s="1"/>
  <c r="G322" i="210"/>
  <c r="G321" i="210" s="1"/>
  <c r="F322" i="210"/>
  <c r="O321" i="210"/>
  <c r="N321" i="210"/>
  <c r="M321" i="210"/>
  <c r="L321" i="210"/>
  <c r="K321" i="210"/>
  <c r="I321" i="210"/>
  <c r="H321" i="210"/>
  <c r="O318" i="210"/>
  <c r="F318" i="210"/>
  <c r="N317" i="210"/>
  <c r="M317" i="210"/>
  <c r="L317" i="210"/>
  <c r="L316" i="210" s="1"/>
  <c r="K317" i="210"/>
  <c r="K316" i="210" s="1"/>
  <c r="I317" i="210"/>
  <c r="I316" i="210" s="1"/>
  <c r="H317" i="210"/>
  <c r="G317" i="210"/>
  <c r="N316" i="210"/>
  <c r="M316" i="210"/>
  <c r="H316" i="210"/>
  <c r="G316" i="210"/>
  <c r="O315" i="210"/>
  <c r="J315" i="210"/>
  <c r="H315" i="210"/>
  <c r="H312" i="210" s="1"/>
  <c r="H311" i="210" s="1"/>
  <c r="G315" i="210"/>
  <c r="G312" i="210" s="1"/>
  <c r="G311" i="210" s="1"/>
  <c r="F315" i="210"/>
  <c r="E315" i="210"/>
  <c r="P315" i="210" s="1"/>
  <c r="O314" i="210"/>
  <c r="H314" i="210"/>
  <c r="F314" i="210"/>
  <c r="E314" i="210"/>
  <c r="O313" i="210"/>
  <c r="J313" i="210" s="1"/>
  <c r="F313" i="210"/>
  <c r="N312" i="210"/>
  <c r="N311" i="210" s="1"/>
  <c r="M312" i="210"/>
  <c r="L312" i="210"/>
  <c r="K312" i="210"/>
  <c r="K311" i="210" s="1"/>
  <c r="I312" i="210"/>
  <c r="I311" i="210" s="1"/>
  <c r="M311" i="210"/>
  <c r="L311" i="210"/>
  <c r="O310" i="210"/>
  <c r="E310" i="210"/>
  <c r="J308" i="210"/>
  <c r="N307" i="210"/>
  <c r="N304" i="210" s="1"/>
  <c r="M307" i="210"/>
  <c r="M304" i="210" s="1"/>
  <c r="L307" i="210"/>
  <c r="L304" i="210" s="1"/>
  <c r="K307" i="210"/>
  <c r="I307" i="210"/>
  <c r="I304" i="210" s="1"/>
  <c r="H307" i="210"/>
  <c r="H304" i="210" s="1"/>
  <c r="G307" i="210"/>
  <c r="F307" i="210"/>
  <c r="E307" i="210"/>
  <c r="K306" i="210"/>
  <c r="E306" i="210"/>
  <c r="K305" i="210"/>
  <c r="O305" i="210" s="1"/>
  <c r="J305" i="210"/>
  <c r="E305" i="210"/>
  <c r="G304" i="210"/>
  <c r="G298" i="210" s="1"/>
  <c r="F304" i="210"/>
  <c r="K303" i="210"/>
  <c r="K302" i="210" s="1"/>
  <c r="K301" i="210" s="1"/>
  <c r="F303" i="210"/>
  <c r="E303" i="210"/>
  <c r="N302" i="210"/>
  <c r="M302" i="210"/>
  <c r="L302" i="210"/>
  <c r="I302" i="210"/>
  <c r="H302" i="210"/>
  <c r="H301" i="210" s="1"/>
  <c r="G302" i="210"/>
  <c r="F302" i="210"/>
  <c r="E302" i="210"/>
  <c r="E301" i="210" s="1"/>
  <c r="N301" i="210"/>
  <c r="M301" i="210"/>
  <c r="L301" i="210"/>
  <c r="I301" i="210"/>
  <c r="G301" i="210"/>
  <c r="F301" i="210"/>
  <c r="K300" i="210"/>
  <c r="E300" i="210"/>
  <c r="N299" i="210"/>
  <c r="M299" i="210"/>
  <c r="M298" i="210" s="1"/>
  <c r="L299" i="210"/>
  <c r="I299" i="210"/>
  <c r="H299" i="210"/>
  <c r="G299" i="210"/>
  <c r="F299" i="210"/>
  <c r="F298" i="210"/>
  <c r="O297" i="210"/>
  <c r="J297" i="210" s="1"/>
  <c r="E297" i="210"/>
  <c r="P297" i="210" s="1"/>
  <c r="O296" i="210"/>
  <c r="J296" i="210" s="1"/>
  <c r="F296" i="210"/>
  <c r="E296" i="210" s="1"/>
  <c r="O295" i="210"/>
  <c r="J295" i="210" s="1"/>
  <c r="F295" i="210"/>
  <c r="E295" i="210" s="1"/>
  <c r="O294" i="210"/>
  <c r="J294" i="210" s="1"/>
  <c r="E294" i="210"/>
  <c r="K293" i="210"/>
  <c r="O293" i="210" s="1"/>
  <c r="F293" i="210"/>
  <c r="E293" i="210" s="1"/>
  <c r="O292" i="210"/>
  <c r="J292" i="210"/>
  <c r="F292" i="210"/>
  <c r="E292" i="210" s="1"/>
  <c r="N291" i="210"/>
  <c r="N290" i="210" s="1"/>
  <c r="M291" i="210"/>
  <c r="L291" i="210"/>
  <c r="K291" i="210"/>
  <c r="K290" i="210" s="1"/>
  <c r="I291" i="210"/>
  <c r="I290" i="210" s="1"/>
  <c r="H291" i="210"/>
  <c r="G291" i="210"/>
  <c r="F291" i="210"/>
  <c r="F290" i="210" s="1"/>
  <c r="M290" i="210"/>
  <c r="L290" i="210"/>
  <c r="H290" i="210"/>
  <c r="G290" i="210"/>
  <c r="O289" i="210"/>
  <c r="J289" i="210"/>
  <c r="E289" i="210"/>
  <c r="O288" i="210"/>
  <c r="J288" i="210" s="1"/>
  <c r="E288" i="210"/>
  <c r="O287" i="210"/>
  <c r="G287" i="210"/>
  <c r="F287" i="210"/>
  <c r="E287" i="210"/>
  <c r="E286" i="210" s="1"/>
  <c r="N286" i="210"/>
  <c r="M286" i="210"/>
  <c r="L286" i="210"/>
  <c r="K286" i="210"/>
  <c r="I286" i="210"/>
  <c r="H286" i="210"/>
  <c r="G286" i="210"/>
  <c r="F286" i="210"/>
  <c r="O283" i="210"/>
  <c r="J283" i="210"/>
  <c r="E283" i="210"/>
  <c r="P283" i="210" s="1"/>
  <c r="P282" i="210" s="1"/>
  <c r="O282" i="210"/>
  <c r="N282" i="210"/>
  <c r="M282" i="210"/>
  <c r="L282" i="210"/>
  <c r="L280" i="210" s="1"/>
  <c r="K282" i="210"/>
  <c r="J282" i="210"/>
  <c r="I282" i="210"/>
  <c r="H282" i="210"/>
  <c r="G282" i="210"/>
  <c r="G280" i="210" s="1"/>
  <c r="G279" i="210" s="1"/>
  <c r="F282" i="210"/>
  <c r="O281" i="210"/>
  <c r="J281" i="210"/>
  <c r="F281" i="210"/>
  <c r="E281" i="210" s="1"/>
  <c r="K280" i="210"/>
  <c r="K279" i="210" s="1"/>
  <c r="O277" i="210"/>
  <c r="J277" i="210"/>
  <c r="J276" i="210" s="1"/>
  <c r="E277" i="210"/>
  <c r="O276" i="210"/>
  <c r="N276" i="210"/>
  <c r="N273" i="210" s="1"/>
  <c r="M276" i="210"/>
  <c r="L276" i="210"/>
  <c r="L273" i="210" s="1"/>
  <c r="L270" i="210" s="1"/>
  <c r="K276" i="210"/>
  <c r="I276" i="210"/>
  <c r="H276" i="210"/>
  <c r="G276" i="210"/>
  <c r="G273" i="210" s="1"/>
  <c r="G270" i="210" s="1"/>
  <c r="F276" i="210"/>
  <c r="K275" i="210"/>
  <c r="O275" i="210" s="1"/>
  <c r="J275" i="210" s="1"/>
  <c r="E275" i="210"/>
  <c r="O274" i="210"/>
  <c r="F274" i="210"/>
  <c r="E274" i="210"/>
  <c r="M273" i="210"/>
  <c r="M270" i="210" s="1"/>
  <c r="I273" i="210"/>
  <c r="H273" i="210"/>
  <c r="H270" i="210" s="1"/>
  <c r="K272" i="210"/>
  <c r="O272" i="210" s="1"/>
  <c r="O271" i="210" s="1"/>
  <c r="J272" i="210"/>
  <c r="J271" i="210" s="1"/>
  <c r="E272" i="210"/>
  <c r="E271" i="210" s="1"/>
  <c r="N271" i="210"/>
  <c r="M271" i="210"/>
  <c r="L271" i="210"/>
  <c r="K271" i="210"/>
  <c r="I271" i="210"/>
  <c r="H271" i="210"/>
  <c r="G271" i="210"/>
  <c r="F271" i="210"/>
  <c r="N270" i="210"/>
  <c r="I270" i="210"/>
  <c r="O269" i="210"/>
  <c r="J269" i="210" s="1"/>
  <c r="F269" i="210"/>
  <c r="E269" i="210" s="1"/>
  <c r="K268" i="210"/>
  <c r="O268" i="210" s="1"/>
  <c r="J268" i="210" s="1"/>
  <c r="F268" i="210"/>
  <c r="E268" i="210"/>
  <c r="O267" i="210"/>
  <c r="J267" i="210"/>
  <c r="F267" i="210"/>
  <c r="E267" i="210" s="1"/>
  <c r="O266" i="210"/>
  <c r="J266" i="210"/>
  <c r="F266" i="210"/>
  <c r="K265" i="210"/>
  <c r="E265" i="210"/>
  <c r="P264" i="210"/>
  <c r="O264" i="210"/>
  <c r="J264" i="210" s="1"/>
  <c r="E264" i="210"/>
  <c r="O263" i="210"/>
  <c r="K263" i="210"/>
  <c r="F263" i="210"/>
  <c r="E263" i="210" s="1"/>
  <c r="N262" i="210"/>
  <c r="N261" i="210" s="1"/>
  <c r="M262" i="210"/>
  <c r="M261" i="210" s="1"/>
  <c r="L262" i="210"/>
  <c r="I262" i="210"/>
  <c r="H262" i="210"/>
  <c r="G262" i="210"/>
  <c r="L261" i="210"/>
  <c r="I261" i="210"/>
  <c r="H261" i="210"/>
  <c r="G261" i="210"/>
  <c r="J260" i="210"/>
  <c r="E260" i="210"/>
  <c r="O259" i="210"/>
  <c r="J259" i="210" s="1"/>
  <c r="P259" i="210" s="1"/>
  <c r="E259" i="210"/>
  <c r="O258" i="210"/>
  <c r="H258" i="210"/>
  <c r="G258" i="210"/>
  <c r="G257" i="210" s="1"/>
  <c r="F258" i="210"/>
  <c r="N257" i="210"/>
  <c r="M257" i="210"/>
  <c r="L257" i="210"/>
  <c r="K257" i="210"/>
  <c r="I257" i="210"/>
  <c r="H257" i="210"/>
  <c r="O254" i="210"/>
  <c r="J254" i="210" s="1"/>
  <c r="J253" i="210" s="1"/>
  <c r="J252" i="210" s="1"/>
  <c r="E254" i="210"/>
  <c r="O253" i="210"/>
  <c r="O252" i="210" s="1"/>
  <c r="N253" i="210"/>
  <c r="N252" i="210" s="1"/>
  <c r="M253" i="210"/>
  <c r="M252" i="210" s="1"/>
  <c r="L253" i="210"/>
  <c r="K253" i="210"/>
  <c r="K252" i="210" s="1"/>
  <c r="I253" i="210"/>
  <c r="I252" i="210" s="1"/>
  <c r="H253" i="210"/>
  <c r="H252" i="210" s="1"/>
  <c r="G253" i="210"/>
  <c r="F253" i="210"/>
  <c r="F252" i="210" s="1"/>
  <c r="E253" i="210"/>
  <c r="E252" i="210" s="1"/>
  <c r="L252" i="210"/>
  <c r="G252" i="210"/>
  <c r="O251" i="210"/>
  <c r="J251" i="210" s="1"/>
  <c r="J249" i="210" s="1"/>
  <c r="E251" i="210"/>
  <c r="P250" i="210"/>
  <c r="O250" i="210"/>
  <c r="J250" i="210" s="1"/>
  <c r="E250" i="210"/>
  <c r="O249" i="210"/>
  <c r="N249" i="210"/>
  <c r="M249" i="210"/>
  <c r="L249" i="210"/>
  <c r="K249" i="210"/>
  <c r="I249" i="210"/>
  <c r="H249" i="210"/>
  <c r="H245" i="210" s="1"/>
  <c r="G249" i="210"/>
  <c r="F249" i="210"/>
  <c r="E249" i="210"/>
  <c r="K248" i="210"/>
  <c r="O248" i="210" s="1"/>
  <c r="E248" i="210"/>
  <c r="E247" i="210" s="1"/>
  <c r="E246" i="210" s="1"/>
  <c r="E245" i="210" s="1"/>
  <c r="N247" i="210"/>
  <c r="N246" i="210" s="1"/>
  <c r="N245" i="210" s="1"/>
  <c r="M247" i="210"/>
  <c r="M246" i="210" s="1"/>
  <c r="L247" i="210"/>
  <c r="L246" i="210" s="1"/>
  <c r="I247" i="210"/>
  <c r="I246" i="210" s="1"/>
  <c r="H247" i="210"/>
  <c r="G247" i="210"/>
  <c r="G246" i="210" s="1"/>
  <c r="F247" i="210"/>
  <c r="F246" i="210" s="1"/>
  <c r="F245" i="210" s="1"/>
  <c r="H246" i="210"/>
  <c r="M245" i="210"/>
  <c r="I245" i="210"/>
  <c r="O244" i="210"/>
  <c r="J244" i="210"/>
  <c r="J243" i="210" s="1"/>
  <c r="J242" i="210" s="1"/>
  <c r="E244" i="210"/>
  <c r="E243" i="210" s="1"/>
  <c r="E242" i="210" s="1"/>
  <c r="O243" i="210"/>
  <c r="N243" i="210"/>
  <c r="N242" i="210" s="1"/>
  <c r="M243" i="210"/>
  <c r="M242" i="210" s="1"/>
  <c r="L243" i="210"/>
  <c r="K243" i="210"/>
  <c r="I243" i="210"/>
  <c r="I242" i="210" s="1"/>
  <c r="H243" i="210"/>
  <c r="H242" i="210" s="1"/>
  <c r="G243" i="210"/>
  <c r="F243" i="210"/>
  <c r="F242" i="210" s="1"/>
  <c r="O242" i="210"/>
  <c r="L242" i="210"/>
  <c r="K242" i="210"/>
  <c r="G242" i="210"/>
  <c r="O241" i="210"/>
  <c r="J241" i="210" s="1"/>
  <c r="F241" i="210"/>
  <c r="O240" i="210"/>
  <c r="J240" i="210" s="1"/>
  <c r="F240" i="210"/>
  <c r="E240" i="210" s="1"/>
  <c r="O239" i="210"/>
  <c r="F239" i="210"/>
  <c r="E239" i="210" s="1"/>
  <c r="N238" i="210"/>
  <c r="M238" i="210"/>
  <c r="L238" i="210"/>
  <c r="K238" i="210"/>
  <c r="I238" i="210"/>
  <c r="H238" i="210"/>
  <c r="G238" i="210"/>
  <c r="O237" i="210"/>
  <c r="J237" i="210" s="1"/>
  <c r="E237" i="210"/>
  <c r="N236" i="210"/>
  <c r="M236" i="210"/>
  <c r="L236" i="210"/>
  <c r="K236" i="210"/>
  <c r="J236" i="210"/>
  <c r="I236" i="210"/>
  <c r="H236" i="210"/>
  <c r="G236" i="210"/>
  <c r="F236" i="210"/>
  <c r="E236" i="210"/>
  <c r="O235" i="210"/>
  <c r="J235" i="210"/>
  <c r="E235" i="210"/>
  <c r="P235" i="210" s="1"/>
  <c r="L234" i="210"/>
  <c r="K234" i="210"/>
  <c r="H234" i="210"/>
  <c r="G234" i="210"/>
  <c r="G233" i="210" s="1"/>
  <c r="F234" i="210"/>
  <c r="E234" i="210" s="1"/>
  <c r="N233" i="210"/>
  <c r="M233" i="210"/>
  <c r="L233" i="210"/>
  <c r="I233" i="210"/>
  <c r="H233" i="210"/>
  <c r="F233" i="210"/>
  <c r="O232" i="210"/>
  <c r="J232" i="210"/>
  <c r="J231" i="210" s="1"/>
  <c r="E232" i="210"/>
  <c r="O231" i="210"/>
  <c r="N231" i="210"/>
  <c r="M231" i="210"/>
  <c r="L231" i="210"/>
  <c r="K231" i="210"/>
  <c r="I231" i="210"/>
  <c r="H231" i="210"/>
  <c r="G231" i="210"/>
  <c r="F231" i="210"/>
  <c r="O230" i="210"/>
  <c r="J230" i="210"/>
  <c r="F230" i="210"/>
  <c r="O229" i="210"/>
  <c r="J229" i="210" s="1"/>
  <c r="F229" i="210"/>
  <c r="E229" i="210" s="1"/>
  <c r="O228" i="210"/>
  <c r="N228" i="210"/>
  <c r="M228" i="210"/>
  <c r="L228" i="210"/>
  <c r="K228" i="210"/>
  <c r="I228" i="210"/>
  <c r="H228" i="210"/>
  <c r="G228" i="210"/>
  <c r="L227" i="210"/>
  <c r="O226" i="210"/>
  <c r="J226" i="210" s="1"/>
  <c r="H226" i="210"/>
  <c r="G226" i="210"/>
  <c r="G224" i="210" s="1"/>
  <c r="F226" i="210"/>
  <c r="K225" i="210"/>
  <c r="K224" i="210" s="1"/>
  <c r="H225" i="210"/>
  <c r="H224" i="210" s="1"/>
  <c r="H221" i="210" s="1"/>
  <c r="E225" i="210"/>
  <c r="N224" i="210"/>
  <c r="M224" i="210"/>
  <c r="L224" i="210"/>
  <c r="I224" i="210"/>
  <c r="O223" i="210"/>
  <c r="H223" i="210"/>
  <c r="G223" i="210"/>
  <c r="F223" i="210"/>
  <c r="N222" i="210"/>
  <c r="N221" i="210" s="1"/>
  <c r="M222" i="210"/>
  <c r="L222" i="210"/>
  <c r="K222" i="210"/>
  <c r="I222" i="210"/>
  <c r="H222" i="210"/>
  <c r="G222" i="210"/>
  <c r="K221" i="210"/>
  <c r="O218" i="210"/>
  <c r="J218" i="210" s="1"/>
  <c r="J217" i="210" s="1"/>
  <c r="J216" i="210" s="1"/>
  <c r="E218" i="210"/>
  <c r="O217" i="210"/>
  <c r="O216" i="210" s="1"/>
  <c r="N217" i="210"/>
  <c r="N216" i="210" s="1"/>
  <c r="M217" i="210"/>
  <c r="L217" i="210"/>
  <c r="K217" i="210"/>
  <c r="K216" i="210" s="1"/>
  <c r="I217" i="210"/>
  <c r="H217" i="210"/>
  <c r="G217" i="210"/>
  <c r="G216" i="210" s="1"/>
  <c r="F217" i="210"/>
  <c r="F216" i="210" s="1"/>
  <c r="M216" i="210"/>
  <c r="L216" i="210"/>
  <c r="I216" i="210"/>
  <c r="H216" i="210"/>
  <c r="K215" i="210"/>
  <c r="O215" i="210" s="1"/>
  <c r="J215" i="210" s="1"/>
  <c r="E215" i="210"/>
  <c r="O214" i="210"/>
  <c r="J214" i="210" s="1"/>
  <c r="E214" i="210"/>
  <c r="E211" i="210" s="1"/>
  <c r="O213" i="210"/>
  <c r="J213" i="210" s="1"/>
  <c r="E213" i="210"/>
  <c r="N212" i="210"/>
  <c r="N211" i="210" s="1"/>
  <c r="N210" i="210" s="1"/>
  <c r="M212" i="210"/>
  <c r="L212" i="210"/>
  <c r="K212" i="210"/>
  <c r="I212" i="210"/>
  <c r="H212" i="210"/>
  <c r="H211" i="210" s="1"/>
  <c r="H210" i="210" s="1"/>
  <c r="G212" i="210"/>
  <c r="G211" i="210" s="1"/>
  <c r="G210" i="210" s="1"/>
  <c r="F212" i="210"/>
  <c r="F211" i="210" s="1"/>
  <c r="F210" i="210" s="1"/>
  <c r="E212" i="210"/>
  <c r="M211" i="210"/>
  <c r="L211" i="210"/>
  <c r="L210" i="210" s="1"/>
  <c r="I211" i="210"/>
  <c r="I210" i="210" s="1"/>
  <c r="M210" i="210"/>
  <c r="E210" i="210"/>
  <c r="O209" i="210"/>
  <c r="J209" i="210" s="1"/>
  <c r="P209" i="210" s="1"/>
  <c r="E209" i="210"/>
  <c r="O208" i="210"/>
  <c r="L208" i="210"/>
  <c r="H208" i="210"/>
  <c r="G208" i="210"/>
  <c r="F208" i="210"/>
  <c r="E208" i="210" s="1"/>
  <c r="O207" i="210"/>
  <c r="N207" i="210"/>
  <c r="M207" i="210"/>
  <c r="K207" i="210"/>
  <c r="I207" i="210"/>
  <c r="I202" i="210" s="1"/>
  <c r="H207" i="210"/>
  <c r="G207" i="210"/>
  <c r="F207" i="210"/>
  <c r="O206" i="210"/>
  <c r="J206" i="210" s="1"/>
  <c r="P206" i="210" s="1"/>
  <c r="E206" i="210"/>
  <c r="O205" i="210"/>
  <c r="L205" i="210"/>
  <c r="H205" i="210"/>
  <c r="G205" i="210"/>
  <c r="F205" i="210"/>
  <c r="E205" i="210" s="1"/>
  <c r="O204" i="210"/>
  <c r="J204" i="210" s="1"/>
  <c r="H204" i="210"/>
  <c r="G204" i="210"/>
  <c r="F204" i="210"/>
  <c r="E204" i="210" s="1"/>
  <c r="K203" i="210"/>
  <c r="O203" i="210" s="1"/>
  <c r="J203" i="210"/>
  <c r="H203" i="210"/>
  <c r="G203" i="210"/>
  <c r="F203" i="210"/>
  <c r="E203" i="210"/>
  <c r="P203" i="210" s="1"/>
  <c r="N202" i="210"/>
  <c r="M202" i="210"/>
  <c r="L201" i="210"/>
  <c r="K201" i="210"/>
  <c r="O201" i="210" s="1"/>
  <c r="H201" i="210"/>
  <c r="G201" i="210"/>
  <c r="G200" i="210" s="1"/>
  <c r="F201" i="210"/>
  <c r="O200" i="210"/>
  <c r="N200" i="210"/>
  <c r="M200" i="210"/>
  <c r="I200" i="210"/>
  <c r="H200" i="210"/>
  <c r="O196" i="210"/>
  <c r="E196" i="210"/>
  <c r="N195" i="210"/>
  <c r="M195" i="210"/>
  <c r="L195" i="210"/>
  <c r="L193" i="210" s="1"/>
  <c r="K195" i="210"/>
  <c r="I195" i="210"/>
  <c r="I193" i="210" s="1"/>
  <c r="H195" i="210"/>
  <c r="H193" i="210" s="1"/>
  <c r="G195" i="210"/>
  <c r="G193" i="210" s="1"/>
  <c r="F195" i="210"/>
  <c r="E195" i="210"/>
  <c r="E193" i="210" s="1"/>
  <c r="O194" i="210"/>
  <c r="J194" i="210" s="1"/>
  <c r="P194" i="210" s="1"/>
  <c r="K194" i="210"/>
  <c r="E194" i="210"/>
  <c r="N193" i="210"/>
  <c r="M193" i="210"/>
  <c r="F193" i="210"/>
  <c r="K192" i="210"/>
  <c r="O192" i="210" s="1"/>
  <c r="O191" i="210" s="1"/>
  <c r="O190" i="210" s="1"/>
  <c r="E192" i="210"/>
  <c r="N191" i="210"/>
  <c r="N190" i="210" s="1"/>
  <c r="N189" i="210" s="1"/>
  <c r="M191" i="210"/>
  <c r="M190" i="210" s="1"/>
  <c r="L191" i="210"/>
  <c r="I191" i="210"/>
  <c r="I190" i="210" s="1"/>
  <c r="H191" i="210"/>
  <c r="H190" i="210" s="1"/>
  <c r="G191" i="210"/>
  <c r="F191" i="210"/>
  <c r="F190" i="210" s="1"/>
  <c r="E191" i="210"/>
  <c r="E190" i="210" s="1"/>
  <c r="L190" i="210"/>
  <c r="G190" i="210"/>
  <c r="O188" i="210"/>
  <c r="J188" i="210" s="1"/>
  <c r="E188" i="210"/>
  <c r="K187" i="210"/>
  <c r="O187" i="210" s="1"/>
  <c r="J187" i="210" s="1"/>
  <c r="J186" i="210" s="1"/>
  <c r="J185" i="210" s="1"/>
  <c r="E187" i="210"/>
  <c r="N186" i="210"/>
  <c r="N185" i="210" s="1"/>
  <c r="M186" i="210"/>
  <c r="L186" i="210"/>
  <c r="L185" i="210" s="1"/>
  <c r="I186" i="210"/>
  <c r="I185" i="210" s="1"/>
  <c r="H186" i="210"/>
  <c r="G186" i="210"/>
  <c r="G185" i="210" s="1"/>
  <c r="F186" i="210"/>
  <c r="F185" i="210" s="1"/>
  <c r="M185" i="210"/>
  <c r="H185" i="210"/>
  <c r="K184" i="210"/>
  <c r="K182" i="210" s="1"/>
  <c r="F184" i="210"/>
  <c r="E184" i="210" s="1"/>
  <c r="N183" i="210"/>
  <c r="N182" i="210" s="1"/>
  <c r="L183" i="210"/>
  <c r="K183" i="210"/>
  <c r="O183" i="210" s="1"/>
  <c r="H183" i="210"/>
  <c r="H183" i="212" s="1"/>
  <c r="G183" i="210"/>
  <c r="G182" i="210" s="1"/>
  <c r="F183" i="210"/>
  <c r="M182" i="210"/>
  <c r="I182" i="210"/>
  <c r="H182" i="210"/>
  <c r="K181" i="210"/>
  <c r="O181" i="210" s="1"/>
  <c r="J181" i="210" s="1"/>
  <c r="F181" i="210"/>
  <c r="E181" i="210"/>
  <c r="O178" i="210"/>
  <c r="J178" i="210"/>
  <c r="E178" i="210"/>
  <c r="P178" i="210" s="1"/>
  <c r="K175" i="210"/>
  <c r="O175" i="210" s="1"/>
  <c r="J175" i="210" s="1"/>
  <c r="P175" i="210" s="1"/>
  <c r="E175" i="210"/>
  <c r="K171" i="210"/>
  <c r="O171" i="210" s="1"/>
  <c r="J171" i="210"/>
  <c r="E171" i="210"/>
  <c r="K167" i="210"/>
  <c r="O167" i="210" s="1"/>
  <c r="E167" i="210"/>
  <c r="N166" i="210"/>
  <c r="M166" i="210"/>
  <c r="L166" i="210"/>
  <c r="I166" i="210"/>
  <c r="H166" i="210"/>
  <c r="G166" i="210"/>
  <c r="F166" i="210"/>
  <c r="O165" i="210"/>
  <c r="J165" i="210" s="1"/>
  <c r="E165" i="210"/>
  <c r="O164" i="210"/>
  <c r="J164" i="210" s="1"/>
  <c r="J163" i="210" s="1"/>
  <c r="E164" i="210"/>
  <c r="N163" i="210"/>
  <c r="M163" i="210"/>
  <c r="M143" i="210" s="1"/>
  <c r="L163" i="210"/>
  <c r="K163" i="210"/>
  <c r="I163" i="210"/>
  <c r="H163" i="210"/>
  <c r="G163" i="210"/>
  <c r="F163" i="210"/>
  <c r="E163" i="210"/>
  <c r="P162" i="210"/>
  <c r="O162" i="210"/>
  <c r="J162" i="210" s="1"/>
  <c r="E162" i="210"/>
  <c r="O161" i="210"/>
  <c r="J161" i="210" s="1"/>
  <c r="E161" i="210"/>
  <c r="N160" i="210"/>
  <c r="M160" i="210"/>
  <c r="L160" i="210"/>
  <c r="K160" i="210"/>
  <c r="O160" i="210" s="1"/>
  <c r="I160" i="210"/>
  <c r="H160" i="210"/>
  <c r="G160" i="210"/>
  <c r="F160" i="210"/>
  <c r="E160" i="210" s="1"/>
  <c r="O159" i="210"/>
  <c r="J159" i="210" s="1"/>
  <c r="F159" i="210"/>
  <c r="E159" i="210"/>
  <c r="P159" i="210" s="1"/>
  <c r="O158" i="210"/>
  <c r="J158" i="210" s="1"/>
  <c r="F158" i="210"/>
  <c r="O157" i="210"/>
  <c r="O156" i="210" s="1"/>
  <c r="J157" i="210"/>
  <c r="H157" i="210"/>
  <c r="H156" i="210" s="1"/>
  <c r="G157" i="210"/>
  <c r="F157" i="210"/>
  <c r="E157" i="210"/>
  <c r="N156" i="210"/>
  <c r="M156" i="210"/>
  <c r="L156" i="210"/>
  <c r="K156" i="210"/>
  <c r="I156" i="210"/>
  <c r="G156" i="210"/>
  <c r="K155" i="210"/>
  <c r="O155" i="210" s="1"/>
  <c r="J155" i="210"/>
  <c r="H155" i="210"/>
  <c r="G155" i="210"/>
  <c r="F155" i="210"/>
  <c r="E155" i="210"/>
  <c r="P155" i="210" s="1"/>
  <c r="N154" i="210"/>
  <c r="K154" i="210"/>
  <c r="H154" i="210"/>
  <c r="G154" i="210"/>
  <c r="G153" i="210" s="1"/>
  <c r="F154" i="210"/>
  <c r="E154" i="210" s="1"/>
  <c r="N153" i="210"/>
  <c r="M153" i="210"/>
  <c r="L153" i="210"/>
  <c r="I153" i="210"/>
  <c r="F153" i="210"/>
  <c r="O152" i="210"/>
  <c r="J152" i="210"/>
  <c r="E152" i="210"/>
  <c r="O151" i="210"/>
  <c r="J151" i="210" s="1"/>
  <c r="F151" i="210"/>
  <c r="E151" i="210" s="1"/>
  <c r="O150" i="210"/>
  <c r="J150" i="210" s="1"/>
  <c r="P150" i="210" s="1"/>
  <c r="E150" i="210"/>
  <c r="O149" i="210"/>
  <c r="J149" i="210" s="1"/>
  <c r="F149" i="210"/>
  <c r="E149" i="210" s="1"/>
  <c r="O148" i="210"/>
  <c r="J148" i="210" s="1"/>
  <c r="E148" i="210"/>
  <c r="P148" i="210" s="1"/>
  <c r="O147" i="210"/>
  <c r="F147" i="210"/>
  <c r="E147" i="210"/>
  <c r="P146" i="210"/>
  <c r="O146" i="210"/>
  <c r="J146" i="210"/>
  <c r="E146" i="210"/>
  <c r="O145" i="210"/>
  <c r="J145" i="210" s="1"/>
  <c r="F145" i="210"/>
  <c r="E145" i="210"/>
  <c r="E144" i="210" s="1"/>
  <c r="N144" i="210"/>
  <c r="M144" i="210"/>
  <c r="L144" i="210"/>
  <c r="K144" i="210"/>
  <c r="I144" i="210"/>
  <c r="H144" i="210"/>
  <c r="G144" i="210"/>
  <c r="J142" i="210"/>
  <c r="E142" i="210"/>
  <c r="O141" i="210"/>
  <c r="J141" i="210"/>
  <c r="E141" i="210"/>
  <c r="K140" i="210"/>
  <c r="O140" i="210" s="1"/>
  <c r="J140" i="210" s="1"/>
  <c r="F140" i="210"/>
  <c r="E140" i="210" s="1"/>
  <c r="E139" i="210" s="1"/>
  <c r="N139" i="210"/>
  <c r="M139" i="210"/>
  <c r="L139" i="210"/>
  <c r="K139" i="210"/>
  <c r="I139" i="210"/>
  <c r="H139" i="210"/>
  <c r="G139" i="210"/>
  <c r="F139" i="210"/>
  <c r="P136" i="210"/>
  <c r="O136" i="210"/>
  <c r="J136" i="210" s="1"/>
  <c r="E136" i="210"/>
  <c r="O135" i="210"/>
  <c r="J135" i="210" s="1"/>
  <c r="P135" i="210" s="1"/>
  <c r="E135" i="210"/>
  <c r="K134" i="210"/>
  <c r="O134" i="210" s="1"/>
  <c r="E134" i="210"/>
  <c r="E133" i="210" s="1"/>
  <c r="N133" i="210"/>
  <c r="M133" i="210"/>
  <c r="L133" i="210"/>
  <c r="I133" i="210"/>
  <c r="H133" i="210"/>
  <c r="G133" i="210"/>
  <c r="G127" i="210" s="1"/>
  <c r="F133" i="210"/>
  <c r="O132" i="210"/>
  <c r="J132" i="210"/>
  <c r="J131" i="210" s="1"/>
  <c r="E132" i="210"/>
  <c r="P132" i="210" s="1"/>
  <c r="P131" i="210" s="1"/>
  <c r="O131" i="210"/>
  <c r="N131" i="210"/>
  <c r="M131" i="210"/>
  <c r="L131" i="210"/>
  <c r="L128" i="210" s="1"/>
  <c r="L127" i="210" s="1"/>
  <c r="K131" i="210"/>
  <c r="I131" i="210"/>
  <c r="I128" i="210" s="1"/>
  <c r="I127" i="210" s="1"/>
  <c r="H131" i="210"/>
  <c r="G131" i="210"/>
  <c r="F131" i="210"/>
  <c r="E131" i="210"/>
  <c r="K130" i="210"/>
  <c r="E130" i="210"/>
  <c r="N129" i="210"/>
  <c r="M129" i="210"/>
  <c r="M128" i="210" s="1"/>
  <c r="M127" i="210" s="1"/>
  <c r="L129" i="210"/>
  <c r="I129" i="210"/>
  <c r="H129" i="210"/>
  <c r="G129" i="210"/>
  <c r="F129" i="210"/>
  <c r="N128" i="210"/>
  <c r="G128" i="210"/>
  <c r="F128" i="210"/>
  <c r="N127" i="210"/>
  <c r="F127" i="210"/>
  <c r="O126" i="210"/>
  <c r="J126" i="210"/>
  <c r="J125" i="210" s="1"/>
  <c r="E126" i="210"/>
  <c r="E125" i="210" s="1"/>
  <c r="O125" i="210"/>
  <c r="N125" i="210"/>
  <c r="M125" i="210"/>
  <c r="L125" i="210"/>
  <c r="K125" i="210"/>
  <c r="I125" i="210"/>
  <c r="H125" i="210"/>
  <c r="G125" i="210"/>
  <c r="F125" i="210"/>
  <c r="K124" i="210"/>
  <c r="O124" i="210" s="1"/>
  <c r="J124" i="210" s="1"/>
  <c r="J123" i="210" s="1"/>
  <c r="E124" i="210"/>
  <c r="E123" i="210" s="1"/>
  <c r="O123" i="210"/>
  <c r="N123" i="210"/>
  <c r="M123" i="210"/>
  <c r="L123" i="210"/>
  <c r="K123" i="210"/>
  <c r="I123" i="210"/>
  <c r="H123" i="210"/>
  <c r="G123" i="210"/>
  <c r="F123" i="210"/>
  <c r="O122" i="210"/>
  <c r="O120" i="210" s="1"/>
  <c r="J122" i="210"/>
  <c r="E122" i="210"/>
  <c r="O121" i="210"/>
  <c r="J121" i="210"/>
  <c r="E121" i="210"/>
  <c r="N120" i="210"/>
  <c r="M120" i="210"/>
  <c r="L120" i="210"/>
  <c r="K120" i="210"/>
  <c r="I120" i="210"/>
  <c r="H120" i="210"/>
  <c r="G120" i="210"/>
  <c r="F120" i="210"/>
  <c r="E120" i="210"/>
  <c r="O119" i="210"/>
  <c r="J119" i="210" s="1"/>
  <c r="E119" i="210"/>
  <c r="N118" i="210"/>
  <c r="M118" i="210"/>
  <c r="L118" i="210"/>
  <c r="K118" i="210"/>
  <c r="I118" i="210"/>
  <c r="H118" i="210"/>
  <c r="G118" i="210"/>
  <c r="F118" i="210"/>
  <c r="E118" i="210"/>
  <c r="K117" i="210"/>
  <c r="K116" i="210" s="1"/>
  <c r="F117" i="210"/>
  <c r="E117" i="210"/>
  <c r="E116" i="210" s="1"/>
  <c r="N116" i="210"/>
  <c r="M116" i="210"/>
  <c r="M110" i="210" s="1"/>
  <c r="L116" i="210"/>
  <c r="I116" i="210"/>
  <c r="H116" i="210"/>
  <c r="G116" i="210"/>
  <c r="F116" i="210"/>
  <c r="K115" i="210"/>
  <c r="O115" i="210" s="1"/>
  <c r="J115" i="210" s="1"/>
  <c r="F115" i="210"/>
  <c r="E115" i="210" s="1"/>
  <c r="K114" i="210"/>
  <c r="O114" i="210" s="1"/>
  <c r="J114" i="210" s="1"/>
  <c r="F114" i="210"/>
  <c r="E114" i="210"/>
  <c r="K113" i="210"/>
  <c r="O113" i="210" s="1"/>
  <c r="J113" i="210" s="1"/>
  <c r="F113" i="210"/>
  <c r="E113" i="210" s="1"/>
  <c r="O112" i="210"/>
  <c r="J112" i="210"/>
  <c r="F112" i="210"/>
  <c r="E112" i="210"/>
  <c r="K111" i="210"/>
  <c r="O111" i="210" s="1"/>
  <c r="J111" i="210" s="1"/>
  <c r="F111" i="210"/>
  <c r="O109" i="210"/>
  <c r="J109" i="210" s="1"/>
  <c r="E109" i="210"/>
  <c r="O108" i="210"/>
  <c r="J108" i="210"/>
  <c r="J107" i="210" s="1"/>
  <c r="G108" i="210"/>
  <c r="F108" i="210"/>
  <c r="E108" i="210" s="1"/>
  <c r="O107" i="210"/>
  <c r="N107" i="210"/>
  <c r="M107" i="210"/>
  <c r="L107" i="210"/>
  <c r="K107" i="210"/>
  <c r="I107" i="210"/>
  <c r="H107" i="210"/>
  <c r="G107" i="210"/>
  <c r="F107" i="210"/>
  <c r="O104" i="210"/>
  <c r="E104" i="210"/>
  <c r="N103" i="210"/>
  <c r="N102" i="210" s="1"/>
  <c r="M103" i="210"/>
  <c r="M102" i="210" s="1"/>
  <c r="L103" i="210"/>
  <c r="K103" i="210"/>
  <c r="I103" i="210"/>
  <c r="I102" i="210" s="1"/>
  <c r="H103" i="210"/>
  <c r="H102" i="210" s="1"/>
  <c r="G103" i="210"/>
  <c r="F103" i="210"/>
  <c r="E103" i="210"/>
  <c r="E102" i="210" s="1"/>
  <c r="L102" i="210"/>
  <c r="K102" i="210"/>
  <c r="G102" i="210"/>
  <c r="F102" i="210"/>
  <c r="O101" i="210"/>
  <c r="J101" i="210" s="1"/>
  <c r="E101" i="210"/>
  <c r="E100" i="210" s="1"/>
  <c r="E99" i="210" s="1"/>
  <c r="O100" i="210"/>
  <c r="O99" i="210" s="1"/>
  <c r="N100" i="210"/>
  <c r="M100" i="210"/>
  <c r="L100" i="210"/>
  <c r="L99" i="210" s="1"/>
  <c r="K100" i="210"/>
  <c r="K99" i="210" s="1"/>
  <c r="I100" i="210"/>
  <c r="H100" i="210"/>
  <c r="G100" i="210"/>
  <c r="G99" i="210" s="1"/>
  <c r="F100" i="210"/>
  <c r="F99" i="210" s="1"/>
  <c r="N99" i="210"/>
  <c r="M99" i="210"/>
  <c r="I99" i="210"/>
  <c r="H99" i="210"/>
  <c r="O98" i="210"/>
  <c r="K98" i="210"/>
  <c r="E98" i="210"/>
  <c r="E97" i="210" s="1"/>
  <c r="E93" i="210" s="1"/>
  <c r="N97" i="210"/>
  <c r="M97" i="210"/>
  <c r="L97" i="210"/>
  <c r="K97" i="210"/>
  <c r="I97" i="210"/>
  <c r="I93" i="210" s="1"/>
  <c r="H97" i="210"/>
  <c r="G97" i="210"/>
  <c r="F97" i="210"/>
  <c r="K96" i="210"/>
  <c r="O96" i="210" s="1"/>
  <c r="E96" i="210"/>
  <c r="N95" i="210"/>
  <c r="M95" i="210"/>
  <c r="L95" i="210"/>
  <c r="I95" i="210"/>
  <c r="H95" i="210"/>
  <c r="G95" i="210"/>
  <c r="F95" i="210"/>
  <c r="E95" i="210"/>
  <c r="N94" i="210"/>
  <c r="M94" i="210"/>
  <c r="L94" i="210"/>
  <c r="I94" i="210"/>
  <c r="H94" i="210"/>
  <c r="H93" i="210" s="1"/>
  <c r="G94" i="210"/>
  <c r="G93" i="210" s="1"/>
  <c r="F94" i="210"/>
  <c r="E94" i="210"/>
  <c r="N93" i="210"/>
  <c r="L93" i="210"/>
  <c r="F93" i="210"/>
  <c r="O92" i="210"/>
  <c r="H92" i="210"/>
  <c r="F92" i="210"/>
  <c r="E92" i="210"/>
  <c r="O91" i="210"/>
  <c r="J91" i="210"/>
  <c r="E91" i="210"/>
  <c r="N90" i="210"/>
  <c r="M90" i="210"/>
  <c r="L90" i="210"/>
  <c r="K90" i="210"/>
  <c r="I90" i="210"/>
  <c r="H90" i="210"/>
  <c r="G90" i="210"/>
  <c r="F90" i="210"/>
  <c r="O89" i="210"/>
  <c r="E89" i="210"/>
  <c r="N88" i="210"/>
  <c r="M88" i="210"/>
  <c r="L88" i="210"/>
  <c r="K88" i="210"/>
  <c r="I88" i="210"/>
  <c r="H88" i="210"/>
  <c r="G88" i="210"/>
  <c r="F88" i="210"/>
  <c r="E88" i="210"/>
  <c r="O87" i="210"/>
  <c r="L87" i="210"/>
  <c r="J87" i="210"/>
  <c r="E87" i="210"/>
  <c r="K86" i="210"/>
  <c r="O86" i="210" s="1"/>
  <c r="F86" i="210"/>
  <c r="E86" i="210"/>
  <c r="N85" i="210"/>
  <c r="M85" i="210"/>
  <c r="L85" i="210"/>
  <c r="K85" i="210"/>
  <c r="I85" i="210"/>
  <c r="H85" i="210"/>
  <c r="G85" i="210"/>
  <c r="F85" i="210"/>
  <c r="O84" i="210"/>
  <c r="J84" i="210" s="1"/>
  <c r="P84" i="210" s="1"/>
  <c r="E84" i="210"/>
  <c r="O83" i="210"/>
  <c r="E83" i="210"/>
  <c r="E82" i="210" s="1"/>
  <c r="N82" i="210"/>
  <c r="M82" i="210"/>
  <c r="L82" i="210"/>
  <c r="K82" i="210"/>
  <c r="I82" i="210"/>
  <c r="H82" i="210"/>
  <c r="G82" i="210"/>
  <c r="F82" i="210"/>
  <c r="O81" i="210"/>
  <c r="J81" i="210" s="1"/>
  <c r="E81" i="210"/>
  <c r="O80" i="210"/>
  <c r="K80" i="210"/>
  <c r="E80" i="210"/>
  <c r="N79" i="210"/>
  <c r="M79" i="210"/>
  <c r="L79" i="210"/>
  <c r="K79" i="210"/>
  <c r="I79" i="210"/>
  <c r="H79" i="210"/>
  <c r="G79" i="210"/>
  <c r="F79" i="210"/>
  <c r="E79" i="210"/>
  <c r="O78" i="210"/>
  <c r="J78" i="210" s="1"/>
  <c r="F78" i="210"/>
  <c r="O77" i="210"/>
  <c r="J77" i="210" s="1"/>
  <c r="E77" i="210"/>
  <c r="O76" i="210"/>
  <c r="N76" i="210"/>
  <c r="M76" i="210"/>
  <c r="L76" i="210"/>
  <c r="K76" i="210"/>
  <c r="I76" i="210"/>
  <c r="H76" i="210"/>
  <c r="G76" i="210"/>
  <c r="O75" i="210"/>
  <c r="J75" i="210" s="1"/>
  <c r="E75" i="210"/>
  <c r="O74" i="210"/>
  <c r="J74" i="210"/>
  <c r="E74" i="210"/>
  <c r="K73" i="210"/>
  <c r="O73" i="210" s="1"/>
  <c r="E73" i="210"/>
  <c r="O72" i="210"/>
  <c r="J72" i="210" s="1"/>
  <c r="P72" i="210" s="1"/>
  <c r="E72" i="210"/>
  <c r="N71" i="210"/>
  <c r="M71" i="210"/>
  <c r="L71" i="210"/>
  <c r="K71" i="210"/>
  <c r="I71" i="210"/>
  <c r="H71" i="210"/>
  <c r="G71" i="210"/>
  <c r="F71" i="210"/>
  <c r="E71" i="210" s="1"/>
  <c r="O70" i="210"/>
  <c r="J70" i="210"/>
  <c r="H70" i="210"/>
  <c r="G70" i="210"/>
  <c r="F70" i="210"/>
  <c r="E70" i="210"/>
  <c r="P70" i="210" s="1"/>
  <c r="O69" i="210"/>
  <c r="J69" i="210" s="1"/>
  <c r="F69" i="210"/>
  <c r="E69" i="210" s="1"/>
  <c r="K68" i="210"/>
  <c r="K67" i="210" s="1"/>
  <c r="H68" i="210"/>
  <c r="H67" i="210" s="1"/>
  <c r="G68" i="210"/>
  <c r="F68" i="210"/>
  <c r="E68" i="210" s="1"/>
  <c r="N67" i="210"/>
  <c r="M67" i="210"/>
  <c r="L67" i="210"/>
  <c r="I67" i="210"/>
  <c r="G67" i="210"/>
  <c r="O66" i="210"/>
  <c r="J66" i="210"/>
  <c r="F66" i="210"/>
  <c r="E66" i="210" s="1"/>
  <c r="K65" i="210"/>
  <c r="O65" i="210" s="1"/>
  <c r="J65" i="210" s="1"/>
  <c r="J64" i="210" s="1"/>
  <c r="H65" i="210"/>
  <c r="H64" i="210" s="1"/>
  <c r="G65" i="210"/>
  <c r="F65" i="210"/>
  <c r="E65" i="210" s="1"/>
  <c r="O64" i="210"/>
  <c r="N64" i="210"/>
  <c r="M64" i="210"/>
  <c r="L64" i="210"/>
  <c r="K64" i="210"/>
  <c r="I64" i="210"/>
  <c r="G64" i="210"/>
  <c r="F64" i="210"/>
  <c r="J63" i="210"/>
  <c r="G63" i="210"/>
  <c r="F63" i="210"/>
  <c r="E63" i="210"/>
  <c r="N62" i="210"/>
  <c r="N61" i="210" s="1"/>
  <c r="N49" i="210" s="1"/>
  <c r="N48" i="210" s="1"/>
  <c r="N47" i="210" s="1"/>
  <c r="M62" i="210"/>
  <c r="M61" i="210" s="1"/>
  <c r="L62" i="210"/>
  <c r="K62" i="210"/>
  <c r="O62" i="210" s="1"/>
  <c r="O61" i="210" s="1"/>
  <c r="H62" i="210"/>
  <c r="F62" i="210"/>
  <c r="E62" i="210" s="1"/>
  <c r="K61" i="210"/>
  <c r="I61" i="210"/>
  <c r="G61" i="210"/>
  <c r="F61" i="210"/>
  <c r="K60" i="210"/>
  <c r="O60" i="210" s="1"/>
  <c r="J60" i="210" s="1"/>
  <c r="H60" i="210"/>
  <c r="G60" i="210"/>
  <c r="F60" i="210"/>
  <c r="E60" i="210" s="1"/>
  <c r="O59" i="210"/>
  <c r="O58" i="210" s="1"/>
  <c r="E59" i="210"/>
  <c r="N58" i="210"/>
  <c r="M58" i="210"/>
  <c r="L58" i="210"/>
  <c r="K58" i="210"/>
  <c r="I58" i="210"/>
  <c r="H58" i="210"/>
  <c r="G58" i="210"/>
  <c r="F58" i="210"/>
  <c r="E58" i="210"/>
  <c r="J57" i="210"/>
  <c r="G57" i="210"/>
  <c r="F57" i="210"/>
  <c r="E57" i="210"/>
  <c r="O56" i="210"/>
  <c r="G56" i="210"/>
  <c r="F56" i="210"/>
  <c r="E56" i="210"/>
  <c r="N55" i="210"/>
  <c r="M55" i="210"/>
  <c r="L55" i="210"/>
  <c r="K55" i="210"/>
  <c r="I55" i="210"/>
  <c r="I49" i="210" s="1"/>
  <c r="I48" i="210" s="1"/>
  <c r="I47" i="210" s="1"/>
  <c r="H55" i="210"/>
  <c r="F55" i="210"/>
  <c r="E55" i="210"/>
  <c r="K54" i="210"/>
  <c r="O54" i="210" s="1"/>
  <c r="J54" i="210" s="1"/>
  <c r="H54" i="210"/>
  <c r="F54" i="210"/>
  <c r="E54" i="210"/>
  <c r="K53" i="210"/>
  <c r="O53" i="210" s="1"/>
  <c r="J53" i="210" s="1"/>
  <c r="H53" i="210"/>
  <c r="G53" i="210"/>
  <c r="F53" i="210"/>
  <c r="E53" i="210"/>
  <c r="N52" i="210"/>
  <c r="M52" i="210"/>
  <c r="M51" i="210" s="1"/>
  <c r="L52" i="210"/>
  <c r="K52" i="210"/>
  <c r="O52" i="210" s="1"/>
  <c r="H52" i="210"/>
  <c r="G52" i="210"/>
  <c r="F52" i="210"/>
  <c r="E52" i="210" s="1"/>
  <c r="N51" i="210"/>
  <c r="I51" i="210"/>
  <c r="G51" i="210"/>
  <c r="F51" i="210"/>
  <c r="N50" i="210"/>
  <c r="M50" i="210"/>
  <c r="L50" i="210"/>
  <c r="K50" i="210"/>
  <c r="H50" i="210"/>
  <c r="G50" i="210"/>
  <c r="F50" i="210"/>
  <c r="E50" i="210" s="1"/>
  <c r="O46" i="210"/>
  <c r="J46" i="210" s="1"/>
  <c r="K46" i="210"/>
  <c r="F46" i="210"/>
  <c r="E46" i="210"/>
  <c r="K45" i="210"/>
  <c r="E45" i="210"/>
  <c r="O44" i="210"/>
  <c r="J44" i="210"/>
  <c r="E44" i="210"/>
  <c r="N43" i="210"/>
  <c r="N42" i="210" s="1"/>
  <c r="M43" i="210"/>
  <c r="L43" i="210"/>
  <c r="I43" i="210"/>
  <c r="H43" i="210"/>
  <c r="G43" i="210"/>
  <c r="F43" i="210"/>
  <c r="F42" i="210" s="1"/>
  <c r="E43" i="210"/>
  <c r="M42" i="210"/>
  <c r="L42" i="210"/>
  <c r="I42" i="210"/>
  <c r="H42" i="210"/>
  <c r="G42" i="210"/>
  <c r="O41" i="210"/>
  <c r="J41" i="210"/>
  <c r="J40" i="210" s="1"/>
  <c r="F41" i="210"/>
  <c r="E41" i="210" s="1"/>
  <c r="O40" i="210"/>
  <c r="N40" i="210"/>
  <c r="M40" i="210"/>
  <c r="M36" i="210" s="1"/>
  <c r="L40" i="210"/>
  <c r="K40" i="210"/>
  <c r="I40" i="210"/>
  <c r="H40" i="210"/>
  <c r="H36" i="210" s="1"/>
  <c r="G40" i="210"/>
  <c r="F40" i="210"/>
  <c r="K39" i="210"/>
  <c r="O39" i="210" s="1"/>
  <c r="J39" i="210" s="1"/>
  <c r="F39" i="210"/>
  <c r="E39" i="210"/>
  <c r="K38" i="210"/>
  <c r="O38" i="210" s="1"/>
  <c r="J38" i="210"/>
  <c r="J37" i="210" s="1"/>
  <c r="F38" i="210"/>
  <c r="E38" i="210" s="1"/>
  <c r="N37" i="210"/>
  <c r="N36" i="210" s="1"/>
  <c r="M37" i="210"/>
  <c r="L37" i="210"/>
  <c r="L36" i="210" s="1"/>
  <c r="I37" i="210"/>
  <c r="I36" i="210" s="1"/>
  <c r="H37" i="210"/>
  <c r="G37" i="210"/>
  <c r="G36" i="210" s="1"/>
  <c r="J35" i="210"/>
  <c r="P35" i="210" s="1"/>
  <c r="E35" i="210"/>
  <c r="O33" i="210"/>
  <c r="O32" i="210" s="1"/>
  <c r="O29" i="210" s="1"/>
  <c r="L33" i="210"/>
  <c r="E33" i="210"/>
  <c r="N32" i="210"/>
  <c r="M32" i="210"/>
  <c r="K32" i="210"/>
  <c r="K29" i="210" s="1"/>
  <c r="I32" i="210"/>
  <c r="H32" i="210"/>
  <c r="G32" i="210"/>
  <c r="F32" i="210"/>
  <c r="F29" i="210" s="1"/>
  <c r="O31" i="210"/>
  <c r="J31" i="210" s="1"/>
  <c r="E31" i="210"/>
  <c r="O30" i="210"/>
  <c r="J30" i="210" s="1"/>
  <c r="E30" i="210"/>
  <c r="N29" i="210"/>
  <c r="N25" i="210" s="1"/>
  <c r="M29" i="210"/>
  <c r="I29" i="210"/>
  <c r="H29" i="210"/>
  <c r="G29" i="210"/>
  <c r="J28" i="210"/>
  <c r="E28" i="210"/>
  <c r="O27" i="210"/>
  <c r="J27" i="210"/>
  <c r="F27" i="210"/>
  <c r="E27" i="210" s="1"/>
  <c r="O26" i="210"/>
  <c r="N26" i="210"/>
  <c r="M26" i="210"/>
  <c r="L26" i="210"/>
  <c r="K26" i="210"/>
  <c r="I26" i="210"/>
  <c r="H26" i="210"/>
  <c r="H25" i="210" s="1"/>
  <c r="G26" i="210"/>
  <c r="F26" i="210"/>
  <c r="M25" i="210"/>
  <c r="I25" i="210"/>
  <c r="G25" i="210"/>
  <c r="G16" i="210" s="1"/>
  <c r="O24" i="210"/>
  <c r="F24" i="210"/>
  <c r="E24" i="210"/>
  <c r="E23" i="210" s="1"/>
  <c r="E22" i="210" s="1"/>
  <c r="N23" i="210"/>
  <c r="M23" i="210"/>
  <c r="M22" i="210" s="1"/>
  <c r="L23" i="210"/>
  <c r="L22" i="210" s="1"/>
  <c r="K23" i="210"/>
  <c r="I23" i="210"/>
  <c r="H23" i="210"/>
  <c r="G23" i="210"/>
  <c r="F23" i="210"/>
  <c r="N22" i="210"/>
  <c r="K22" i="210"/>
  <c r="I22" i="210"/>
  <c r="H22" i="210"/>
  <c r="G22" i="210"/>
  <c r="F22" i="210"/>
  <c r="O21" i="210"/>
  <c r="J21" i="210" s="1"/>
  <c r="F21" i="210"/>
  <c r="E21" i="210" s="1"/>
  <c r="P21" i="210" s="1"/>
  <c r="O20" i="210"/>
  <c r="J20" i="210" s="1"/>
  <c r="E20" i="210"/>
  <c r="O19" i="210"/>
  <c r="J19" i="210"/>
  <c r="P19" i="210" s="1"/>
  <c r="E19" i="210"/>
  <c r="K18" i="210"/>
  <c r="O18" i="210" s="1"/>
  <c r="H18" i="210"/>
  <c r="G18" i="210"/>
  <c r="F18" i="210"/>
  <c r="E18" i="210" s="1"/>
  <c r="N17" i="210"/>
  <c r="M17" i="210"/>
  <c r="L17" i="210"/>
  <c r="I17" i="210"/>
  <c r="H17" i="210"/>
  <c r="G17" i="210"/>
  <c r="K25" i="210" l="1"/>
  <c r="P277" i="210"/>
  <c r="P276" i="210" s="1"/>
  <c r="E276" i="210"/>
  <c r="E273" i="210" s="1"/>
  <c r="E270" i="210" s="1"/>
  <c r="J428" i="212"/>
  <c r="J427" i="212" s="1"/>
  <c r="J426" i="212" s="1"/>
  <c r="O427" i="212"/>
  <c r="O426" i="212" s="1"/>
  <c r="E17" i="210"/>
  <c r="P20" i="210"/>
  <c r="J89" i="210"/>
  <c r="J88" i="210" s="1"/>
  <c r="O88" i="210"/>
  <c r="O222" i="210"/>
  <c r="J223" i="210"/>
  <c r="E313" i="210"/>
  <c r="F312" i="210"/>
  <c r="F311" i="210" s="1"/>
  <c r="F285" i="210" s="1"/>
  <c r="F284" i="210" s="1"/>
  <c r="P401" i="210"/>
  <c r="P400" i="210" s="1"/>
  <c r="E400" i="210"/>
  <c r="O17" i="210"/>
  <c r="J18" i="210"/>
  <c r="P18" i="210" s="1"/>
  <c r="P17" i="210" s="1"/>
  <c r="O97" i="210"/>
  <c r="J98" i="210"/>
  <c r="J97" i="210" s="1"/>
  <c r="F17" i="210"/>
  <c r="N16" i="210"/>
  <c r="J104" i="210"/>
  <c r="O103" i="210"/>
  <c r="O102" i="210" s="1"/>
  <c r="E111" i="210"/>
  <c r="P111" i="210" s="1"/>
  <c r="F110" i="210"/>
  <c r="F106" i="210" s="1"/>
  <c r="F105" i="210" s="1"/>
  <c r="J196" i="210"/>
  <c r="J195" i="210" s="1"/>
  <c r="O195" i="210"/>
  <c r="E223" i="210"/>
  <c r="E222" i="210" s="1"/>
  <c r="F222" i="210"/>
  <c r="H279" i="210"/>
  <c r="H256" i="210" s="1"/>
  <c r="H255" i="210" s="1"/>
  <c r="H280" i="210"/>
  <c r="E369" i="210"/>
  <c r="F368" i="210"/>
  <c r="F367" i="210" s="1"/>
  <c r="J371" i="210"/>
  <c r="J370" i="210" s="1"/>
  <c r="O370" i="210"/>
  <c r="D131" i="213"/>
  <c r="C131" i="211"/>
  <c r="F25" i="210"/>
  <c r="E201" i="210"/>
  <c r="E200" i="210" s="1"/>
  <c r="F200" i="210"/>
  <c r="J363" i="210"/>
  <c r="J362" i="210" s="1"/>
  <c r="O362" i="210"/>
  <c r="H61" i="210"/>
  <c r="H62" i="212"/>
  <c r="F76" i="210"/>
  <c r="E76" i="210" s="1"/>
  <c r="E78" i="210"/>
  <c r="P78" i="210" s="1"/>
  <c r="I199" i="210"/>
  <c r="I198" i="210" s="1"/>
  <c r="E258" i="210"/>
  <c r="F257" i="210"/>
  <c r="L279" i="210"/>
  <c r="L256" i="210" s="1"/>
  <c r="L255" i="210" s="1"/>
  <c r="H330" i="210"/>
  <c r="H320" i="210" s="1"/>
  <c r="H319" i="210" s="1"/>
  <c r="J366" i="210"/>
  <c r="J365" i="210" s="1"/>
  <c r="O365" i="210"/>
  <c r="K407" i="210"/>
  <c r="O408" i="210"/>
  <c r="J408" i="210" s="1"/>
  <c r="M16" i="210"/>
  <c r="P30" i="210"/>
  <c r="O37" i="210"/>
  <c r="O36" i="210" s="1"/>
  <c r="F16" i="210"/>
  <c r="O45" i="210"/>
  <c r="K43" i="210"/>
  <c r="K42" i="210" s="1"/>
  <c r="K51" i="210"/>
  <c r="H51" i="210"/>
  <c r="H49" i="210" s="1"/>
  <c r="H48" i="210" s="1"/>
  <c r="H47" i="210" s="1"/>
  <c r="G55" i="210"/>
  <c r="J59" i="210"/>
  <c r="J58" i="210" s="1"/>
  <c r="P63" i="210"/>
  <c r="P66" i="210"/>
  <c r="J76" i="210"/>
  <c r="P77" i="210"/>
  <c r="J83" i="210"/>
  <c r="O82" i="210"/>
  <c r="P91" i="210"/>
  <c r="E90" i="210"/>
  <c r="K133" i="210"/>
  <c r="E189" i="210"/>
  <c r="H189" i="210"/>
  <c r="F202" i="210"/>
  <c r="I221" i="210"/>
  <c r="G227" i="210"/>
  <c r="K247" i="210"/>
  <c r="K246" i="210" s="1"/>
  <c r="K245" i="210" s="1"/>
  <c r="G245" i="210"/>
  <c r="L245" i="210"/>
  <c r="P288" i="210"/>
  <c r="P294" i="210"/>
  <c r="N298" i="210"/>
  <c r="N285" i="210" s="1"/>
  <c r="N284" i="210" s="1"/>
  <c r="H298" i="210"/>
  <c r="H285" i="210" s="1"/>
  <c r="H284" i="210" s="1"/>
  <c r="I320" i="210"/>
  <c r="I319" i="210" s="1"/>
  <c r="P343" i="210"/>
  <c r="J348" i="210"/>
  <c r="P348" i="210" s="1"/>
  <c r="O346" i="210"/>
  <c r="O345" i="210" s="1"/>
  <c r="M373" i="210"/>
  <c r="M372" i="210" s="1"/>
  <c r="P383" i="210"/>
  <c r="L373" i="210"/>
  <c r="L372" i="210" s="1"/>
  <c r="P385" i="210"/>
  <c r="P384" i="210" s="1"/>
  <c r="E384" i="210"/>
  <c r="E380" i="210" s="1"/>
  <c r="P391" i="210"/>
  <c r="P390" i="210" s="1"/>
  <c r="P389" i="210" s="1"/>
  <c r="E390" i="210"/>
  <c r="E389" i="210" s="1"/>
  <c r="J394" i="210"/>
  <c r="L406" i="210"/>
  <c r="L403" i="210" s="1"/>
  <c r="L402" i="210" s="1"/>
  <c r="O410" i="210"/>
  <c r="K409" i="210"/>
  <c r="K406" i="210" s="1"/>
  <c r="H419" i="210"/>
  <c r="H412" i="210" s="1"/>
  <c r="H411" i="210" s="1"/>
  <c r="J428" i="210"/>
  <c r="J427" i="210" s="1"/>
  <c r="J426" i="210" s="1"/>
  <c r="O427" i="210"/>
  <c r="O426" i="210" s="1"/>
  <c r="C107" i="211"/>
  <c r="D106" i="211"/>
  <c r="C106" i="211" s="1"/>
  <c r="H16" i="210"/>
  <c r="P53" i="210"/>
  <c r="N106" i="210"/>
  <c r="N105" i="210" s="1"/>
  <c r="E183" i="210"/>
  <c r="E182" i="210" s="1"/>
  <c r="F183" i="212"/>
  <c r="I298" i="210"/>
  <c r="I285" i="210" s="1"/>
  <c r="I284" i="210" s="1"/>
  <c r="N358" i="210"/>
  <c r="N354" i="210" s="1"/>
  <c r="N353" i="210" s="1"/>
  <c r="N373" i="210"/>
  <c r="N372" i="210" s="1"/>
  <c r="K377" i="210"/>
  <c r="K412" i="210"/>
  <c r="K411" i="210" s="1"/>
  <c r="C136" i="211"/>
  <c r="E130" i="211"/>
  <c r="O25" i="210"/>
  <c r="P89" i="210"/>
  <c r="P88" i="210" s="1"/>
  <c r="P98" i="210"/>
  <c r="P97" i="210" s="1"/>
  <c r="M106" i="210"/>
  <c r="M105" i="210" s="1"/>
  <c r="N143" i="210"/>
  <c r="I16" i="210"/>
  <c r="I15" i="210" s="1"/>
  <c r="E26" i="210"/>
  <c r="P28" i="210"/>
  <c r="P31" i="210"/>
  <c r="E32" i="210"/>
  <c r="K37" i="210"/>
  <c r="K36" i="210" s="1"/>
  <c r="F37" i="210"/>
  <c r="F36" i="210" s="1"/>
  <c r="P74" i="210"/>
  <c r="P81" i="210"/>
  <c r="O90" i="210"/>
  <c r="J92" i="210"/>
  <c r="J90" i="210" s="1"/>
  <c r="P113" i="210"/>
  <c r="H110" i="210"/>
  <c r="N110" i="210"/>
  <c r="I110" i="210"/>
  <c r="I106" i="210" s="1"/>
  <c r="I105" i="210" s="1"/>
  <c r="P122" i="210"/>
  <c r="O130" i="210"/>
  <c r="K129" i="210"/>
  <c r="K128" i="210" s="1"/>
  <c r="H128" i="210"/>
  <c r="H127" i="210" s="1"/>
  <c r="P141" i="210"/>
  <c r="E153" i="210"/>
  <c r="M189" i="210"/>
  <c r="P196" i="210"/>
  <c r="P195" i="210" s="1"/>
  <c r="O236" i="210"/>
  <c r="P251" i="210"/>
  <c r="P249" i="210" s="1"/>
  <c r="J258" i="210"/>
  <c r="O257" i="210"/>
  <c r="O280" i="210"/>
  <c r="O279" i="210" s="1"/>
  <c r="P289" i="210"/>
  <c r="O300" i="210"/>
  <c r="K299" i="210"/>
  <c r="K298" i="210" s="1"/>
  <c r="K285" i="210" s="1"/>
  <c r="K284" i="210" s="1"/>
  <c r="O306" i="210"/>
  <c r="J306" i="210" s="1"/>
  <c r="P306" i="210" s="1"/>
  <c r="K304" i="210"/>
  <c r="E318" i="210"/>
  <c r="E317" i="210" s="1"/>
  <c r="E316" i="210" s="1"/>
  <c r="F317" i="210"/>
  <c r="F316" i="210" s="1"/>
  <c r="N320" i="210"/>
  <c r="N319" i="210" s="1"/>
  <c r="P324" i="210"/>
  <c r="P332" i="210"/>
  <c r="M330" i="210"/>
  <c r="E333" i="210"/>
  <c r="P335" i="210"/>
  <c r="H354" i="210"/>
  <c r="H353" i="210" s="1"/>
  <c r="O359" i="210"/>
  <c r="O358" i="210" s="1"/>
  <c r="E408" i="210"/>
  <c r="E407" i="210" s="1"/>
  <c r="E406" i="210" s="1"/>
  <c r="F407" i="210"/>
  <c r="F406" i="210" s="1"/>
  <c r="F403" i="210" s="1"/>
  <c r="F402" i="210" s="1"/>
  <c r="C111" i="211"/>
  <c r="D133" i="213"/>
  <c r="C133" i="211"/>
  <c r="O282" i="212"/>
  <c r="J283" i="212"/>
  <c r="P283" i="212" s="1"/>
  <c r="P282" i="212" s="1"/>
  <c r="G49" i="210"/>
  <c r="G48" i="210" s="1"/>
  <c r="G47" i="210" s="1"/>
  <c r="E51" i="210"/>
  <c r="P57" i="210"/>
  <c r="P69" i="210"/>
  <c r="P109" i="210"/>
  <c r="P115" i="210"/>
  <c r="E110" i="210"/>
  <c r="P121" i="210"/>
  <c r="F144" i="210"/>
  <c r="I143" i="210"/>
  <c r="F156" i="210"/>
  <c r="P161" i="210"/>
  <c r="P165" i="210"/>
  <c r="F189" i="210"/>
  <c r="K191" i="210"/>
  <c r="K190" i="210" s="1"/>
  <c r="K193" i="210"/>
  <c r="K189" i="210" s="1"/>
  <c r="P214" i="210"/>
  <c r="P218" i="210"/>
  <c r="P217" i="210" s="1"/>
  <c r="P216" i="210" s="1"/>
  <c r="G221" i="210"/>
  <c r="M221" i="210"/>
  <c r="M220" i="210" s="1"/>
  <c r="M219" i="210" s="1"/>
  <c r="P237" i="210"/>
  <c r="P236" i="210" s="1"/>
  <c r="E257" i="210"/>
  <c r="K262" i="210"/>
  <c r="K261" i="210" s="1"/>
  <c r="P268" i="210"/>
  <c r="P269" i="210"/>
  <c r="P292" i="210"/>
  <c r="P296" i="210"/>
  <c r="L298" i="210"/>
  <c r="L285" i="210" s="1"/>
  <c r="L284" i="210" s="1"/>
  <c r="P323" i="210"/>
  <c r="P337" i="210"/>
  <c r="P338" i="210"/>
  <c r="J346" i="210"/>
  <c r="P366" i="210"/>
  <c r="P365" i="210" s="1"/>
  <c r="H377" i="210"/>
  <c r="H373" i="210" s="1"/>
  <c r="H372" i="210" s="1"/>
  <c r="M406" i="210"/>
  <c r="M403" i="210" s="1"/>
  <c r="M402" i="210" s="1"/>
  <c r="C61" i="211"/>
  <c r="E15" i="211"/>
  <c r="C90" i="211"/>
  <c r="C121" i="211"/>
  <c r="E120" i="211"/>
  <c r="E114" i="211" s="1"/>
  <c r="F52" i="212"/>
  <c r="F62" i="212"/>
  <c r="P44" i="210"/>
  <c r="M49" i="210"/>
  <c r="M48" i="210" s="1"/>
  <c r="M47" i="210" s="1"/>
  <c r="F67" i="210"/>
  <c r="P75" i="210"/>
  <c r="O79" i="210"/>
  <c r="E85" i="210"/>
  <c r="M93" i="210"/>
  <c r="L110" i="210"/>
  <c r="L106" i="210" s="1"/>
  <c r="L105" i="210" s="1"/>
  <c r="P142" i="210"/>
  <c r="H153" i="210"/>
  <c r="E166" i="210"/>
  <c r="G189" i="210"/>
  <c r="L189" i="210"/>
  <c r="H202" i="210"/>
  <c r="H199" i="210" s="1"/>
  <c r="H198" i="210" s="1"/>
  <c r="K211" i="210"/>
  <c r="K210" i="210" s="1"/>
  <c r="P215" i="210"/>
  <c r="L221" i="210"/>
  <c r="L220" i="210" s="1"/>
  <c r="L219" i="210" s="1"/>
  <c r="O265" i="210"/>
  <c r="J265" i="210" s="1"/>
  <c r="P265" i="210" s="1"/>
  <c r="P267" i="210"/>
  <c r="F273" i="210"/>
  <c r="F270" i="210" s="1"/>
  <c r="K273" i="210"/>
  <c r="K270" i="210" s="1"/>
  <c r="K256" i="210" s="1"/>
  <c r="K255" i="210" s="1"/>
  <c r="G285" i="210"/>
  <c r="G284" i="210" s="1"/>
  <c r="G320" i="210"/>
  <c r="G319" i="210" s="1"/>
  <c r="M320" i="210"/>
  <c r="M319" i="210" s="1"/>
  <c r="F330" i="210"/>
  <c r="M354" i="210"/>
  <c r="M353" i="210" s="1"/>
  <c r="G358" i="210"/>
  <c r="G354" i="210" s="1"/>
  <c r="G353" i="210" s="1"/>
  <c r="K359" i="210"/>
  <c r="K358" i="210" s="1"/>
  <c r="K354" i="210" s="1"/>
  <c r="K353" i="210" s="1"/>
  <c r="I377" i="210"/>
  <c r="I373" i="210" s="1"/>
  <c r="I372" i="210" s="1"/>
  <c r="H393" i="210"/>
  <c r="H392" i="210" s="1"/>
  <c r="M393" i="210"/>
  <c r="M392" i="210" s="1"/>
  <c r="N403" i="210"/>
  <c r="N402" i="210" s="1"/>
  <c r="D119" i="213"/>
  <c r="D117" i="211"/>
  <c r="C117" i="211" s="1"/>
  <c r="P352" i="210"/>
  <c r="P351" i="210" s="1"/>
  <c r="P350" i="210" s="1"/>
  <c r="P357" i="210"/>
  <c r="M358" i="210"/>
  <c r="G377" i="210"/>
  <c r="G373" i="210" s="1"/>
  <c r="G372" i="210" s="1"/>
  <c r="G393" i="210"/>
  <c r="G392" i="210" s="1"/>
  <c r="I412" i="210"/>
  <c r="I411" i="210" s="1"/>
  <c r="D80" i="213"/>
  <c r="D59" i="213"/>
  <c r="J441" i="210"/>
  <c r="O134" i="212"/>
  <c r="K133" i="212"/>
  <c r="P104" i="212"/>
  <c r="P103" i="212" s="1"/>
  <c r="P102" i="212" s="1"/>
  <c r="P136" i="212"/>
  <c r="J218" i="212"/>
  <c r="J217" i="212" s="1"/>
  <c r="J216" i="212" s="1"/>
  <c r="O217" i="212"/>
  <c r="O216" i="212" s="1"/>
  <c r="J132" i="212"/>
  <c r="O131" i="212"/>
  <c r="J282" i="212"/>
  <c r="J196" i="212"/>
  <c r="J195" i="212" s="1"/>
  <c r="O195" i="212"/>
  <c r="O370" i="212"/>
  <c r="J371" i="212"/>
  <c r="J370" i="212" s="1"/>
  <c r="P135" i="212"/>
  <c r="P343" i="212"/>
  <c r="O390" i="212"/>
  <c r="O389" i="212" s="1"/>
  <c r="P101" i="212"/>
  <c r="P100" i="212" s="1"/>
  <c r="P99" i="212" s="1"/>
  <c r="J100" i="212"/>
  <c r="J99" i="212" s="1"/>
  <c r="O100" i="212"/>
  <c r="O99" i="212" s="1"/>
  <c r="J103" i="212"/>
  <c r="J102" i="212" s="1"/>
  <c r="J341" i="212"/>
  <c r="O340" i="212"/>
  <c r="O339" i="212" s="1"/>
  <c r="J131" i="212"/>
  <c r="P132" i="212"/>
  <c r="P131" i="212" s="1"/>
  <c r="E217" i="212"/>
  <c r="E216" i="212" s="1"/>
  <c r="J352" i="212"/>
  <c r="O351" i="212"/>
  <c r="O350" i="212" s="1"/>
  <c r="E425" i="212"/>
  <c r="E424" i="212" s="1"/>
  <c r="E423" i="212" s="1"/>
  <c r="F424" i="212"/>
  <c r="F423" i="212" s="1"/>
  <c r="J424" i="212"/>
  <c r="J423" i="212" s="1"/>
  <c r="P401" i="212"/>
  <c r="P400" i="212" s="1"/>
  <c r="P428" i="212"/>
  <c r="P427" i="212" s="1"/>
  <c r="P426" i="212" s="1"/>
  <c r="E427" i="212"/>
  <c r="E426" i="212" s="1"/>
  <c r="P371" i="212"/>
  <c r="P370" i="212" s="1"/>
  <c r="P391" i="212"/>
  <c r="P390" i="212" s="1"/>
  <c r="P389" i="212" s="1"/>
  <c r="O424" i="212"/>
  <c r="O423" i="212" s="1"/>
  <c r="C67" i="211"/>
  <c r="D77" i="211"/>
  <c r="C77" i="211" s="1"/>
  <c r="C78" i="211"/>
  <c r="F101" i="211"/>
  <c r="F113" i="211" s="1"/>
  <c r="F153" i="211" s="1"/>
  <c r="J153" i="211" s="1"/>
  <c r="D57" i="211"/>
  <c r="C57" i="211" s="1"/>
  <c r="D130" i="211"/>
  <c r="D16" i="211"/>
  <c r="E96" i="211"/>
  <c r="D102" i="211"/>
  <c r="D41" i="211"/>
  <c r="F15" i="210"/>
  <c r="N15" i="210"/>
  <c r="G15" i="210"/>
  <c r="O51" i="210"/>
  <c r="P58" i="210"/>
  <c r="J82" i="210"/>
  <c r="P83" i="210"/>
  <c r="P82" i="210" s="1"/>
  <c r="J26" i="210"/>
  <c r="P27" i="210"/>
  <c r="P26" i="210" s="1"/>
  <c r="P39" i="210"/>
  <c r="L51" i="210"/>
  <c r="J52" i="210"/>
  <c r="P60" i="210"/>
  <c r="J62" i="210"/>
  <c r="J61" i="210" s="1"/>
  <c r="E64" i="210"/>
  <c r="P64" i="210" s="1"/>
  <c r="P65" i="210"/>
  <c r="E67" i="210"/>
  <c r="J86" i="210"/>
  <c r="J85" i="210" s="1"/>
  <c r="O85" i="210"/>
  <c r="J100" i="210"/>
  <c r="J99" i="210" s="1"/>
  <c r="P101" i="210"/>
  <c r="P100" i="210" s="1"/>
  <c r="P99" i="210" s="1"/>
  <c r="G106" i="210"/>
  <c r="G105" i="210" s="1"/>
  <c r="P108" i="210"/>
  <c r="E107" i="210"/>
  <c r="P140" i="210"/>
  <c r="J139" i="210"/>
  <c r="P204" i="210"/>
  <c r="G256" i="210"/>
  <c r="G255" i="210" s="1"/>
  <c r="H15" i="210"/>
  <c r="J36" i="210"/>
  <c r="P54" i="210"/>
  <c r="J56" i="210"/>
  <c r="J55" i="210" s="1"/>
  <c r="O55" i="210"/>
  <c r="J103" i="210"/>
  <c r="J102" i="210" s="1"/>
  <c r="P104" i="210"/>
  <c r="P103" i="210" s="1"/>
  <c r="P102" i="210" s="1"/>
  <c r="P213" i="210"/>
  <c r="P212" i="210" s="1"/>
  <c r="P211" i="210" s="1"/>
  <c r="P210" i="210" s="1"/>
  <c r="J212" i="210"/>
  <c r="J211" i="210" s="1"/>
  <c r="J210" i="210" s="1"/>
  <c r="E29" i="210"/>
  <c r="E25" i="210" s="1"/>
  <c r="F49" i="210"/>
  <c r="F48" i="210" s="1"/>
  <c r="F47" i="210" s="1"/>
  <c r="M15" i="210"/>
  <c r="J24" i="210"/>
  <c r="J23" i="210" s="1"/>
  <c r="J22" i="210" s="1"/>
  <c r="O23" i="210"/>
  <c r="O22" i="210" s="1"/>
  <c r="J33" i="210"/>
  <c r="J32" i="210" s="1"/>
  <c r="J29" i="210" s="1"/>
  <c r="L32" i="210"/>
  <c r="L29" i="210" s="1"/>
  <c r="L25" i="210" s="1"/>
  <c r="L16" i="210" s="1"/>
  <c r="P38" i="210"/>
  <c r="E37" i="210"/>
  <c r="P41" i="210"/>
  <c r="P40" i="210" s="1"/>
  <c r="E40" i="210"/>
  <c r="E42" i="210"/>
  <c r="P46" i="210"/>
  <c r="K49" i="210"/>
  <c r="O50" i="210"/>
  <c r="P59" i="210"/>
  <c r="E61" i="210"/>
  <c r="O71" i="210"/>
  <c r="J71" i="210" s="1"/>
  <c r="P71" i="210" s="1"/>
  <c r="J73" i="210"/>
  <c r="P73" i="210" s="1"/>
  <c r="O95" i="210"/>
  <c r="O94" i="210" s="1"/>
  <c r="O93" i="210" s="1"/>
  <c r="J96" i="210"/>
  <c r="J95" i="210" s="1"/>
  <c r="J94" i="210" s="1"/>
  <c r="J93" i="210" s="1"/>
  <c r="P119" i="210"/>
  <c r="P118" i="210" s="1"/>
  <c r="J118" i="210"/>
  <c r="J167" i="210"/>
  <c r="J166" i="210" s="1"/>
  <c r="O166" i="210"/>
  <c r="I189" i="210"/>
  <c r="I138" i="210" s="1"/>
  <c r="P193" i="210"/>
  <c r="P87" i="210"/>
  <c r="O133" i="210"/>
  <c r="J134" i="210"/>
  <c r="N138" i="210"/>
  <c r="N137" i="210" s="1"/>
  <c r="M138" i="210"/>
  <c r="M137" i="210" s="1"/>
  <c r="P145" i="210"/>
  <c r="P149" i="210"/>
  <c r="H143" i="210"/>
  <c r="H138" i="210" s="1"/>
  <c r="H137" i="210" s="1"/>
  <c r="P167" i="210"/>
  <c r="F199" i="210"/>
  <c r="F198" i="210" s="1"/>
  <c r="O202" i="210"/>
  <c r="J208" i="210"/>
  <c r="J207" i="210" s="1"/>
  <c r="L207" i="210"/>
  <c r="L202" i="210" s="1"/>
  <c r="E266" i="210"/>
  <c r="E262" i="210" s="1"/>
  <c r="E261" i="210" s="1"/>
  <c r="F262" i="210"/>
  <c r="F261" i="210" s="1"/>
  <c r="P272" i="210"/>
  <c r="P271" i="210" s="1"/>
  <c r="J274" i="210"/>
  <c r="O273" i="210"/>
  <c r="O270" i="210" s="1"/>
  <c r="N280" i="210"/>
  <c r="N279" i="210" s="1"/>
  <c r="N256" i="210" s="1"/>
  <c r="N255" i="210" s="1"/>
  <c r="E356" i="210"/>
  <c r="F355" i="210"/>
  <c r="E375" i="210"/>
  <c r="F374" i="210"/>
  <c r="J376" i="210"/>
  <c r="O374" i="210"/>
  <c r="O68" i="210"/>
  <c r="K95" i="210"/>
  <c r="K94" i="210" s="1"/>
  <c r="K93" i="210" s="1"/>
  <c r="K110" i="210"/>
  <c r="P120" i="210"/>
  <c r="P124" i="210"/>
  <c r="P123" i="210" s="1"/>
  <c r="O186" i="210"/>
  <c r="O185" i="210" s="1"/>
  <c r="G202" i="210"/>
  <c r="G199" i="210" s="1"/>
  <c r="G198" i="210" s="1"/>
  <c r="E207" i="210"/>
  <c r="E202" i="210" s="1"/>
  <c r="P208" i="210"/>
  <c r="P207" i="210" s="1"/>
  <c r="J263" i="210"/>
  <c r="O262" i="210"/>
  <c r="O261" i="210" s="1"/>
  <c r="P281" i="210"/>
  <c r="P280" i="210" s="1"/>
  <c r="O303" i="210"/>
  <c r="L319" i="210"/>
  <c r="E363" i="210"/>
  <c r="F362" i="210"/>
  <c r="F359" i="210" s="1"/>
  <c r="F358" i="210" s="1"/>
  <c r="K17" i="210"/>
  <c r="K16" i="210" s="1"/>
  <c r="L61" i="210"/>
  <c r="L49" i="210" s="1"/>
  <c r="L48" i="210" s="1"/>
  <c r="J80" i="210"/>
  <c r="J79" i="210" s="1"/>
  <c r="P112" i="210"/>
  <c r="P114" i="210"/>
  <c r="O117" i="210"/>
  <c r="J120" i="210"/>
  <c r="E129" i="210"/>
  <c r="E128" i="210" s="1"/>
  <c r="E127" i="210" s="1"/>
  <c r="P152" i="210"/>
  <c r="O154" i="210"/>
  <c r="K153" i="210"/>
  <c r="J160" i="210"/>
  <c r="P160" i="210" s="1"/>
  <c r="O163" i="210"/>
  <c r="P164" i="210"/>
  <c r="P163" i="210" s="1"/>
  <c r="K166" i="210"/>
  <c r="P181" i="210"/>
  <c r="F182" i="210"/>
  <c r="F143" i="210" s="1"/>
  <c r="F138" i="210" s="1"/>
  <c r="F137" i="210" s="1"/>
  <c r="P187" i="210"/>
  <c r="J193" i="210"/>
  <c r="M199" i="210"/>
  <c r="M198" i="210" s="1"/>
  <c r="E217" i="210"/>
  <c r="E216" i="210" s="1"/>
  <c r="H227" i="210"/>
  <c r="J228" i="210"/>
  <c r="O247" i="210"/>
  <c r="O246" i="210" s="1"/>
  <c r="O245" i="210" s="1"/>
  <c r="J248" i="210"/>
  <c r="J280" i="210"/>
  <c r="J279" i="210" s="1"/>
  <c r="M285" i="210"/>
  <c r="M284" i="210" s="1"/>
  <c r="E299" i="210"/>
  <c r="J318" i="210"/>
  <c r="O317" i="210"/>
  <c r="O316" i="210" s="1"/>
  <c r="E322" i="210"/>
  <c r="F321" i="210"/>
  <c r="F320" i="210" s="1"/>
  <c r="F319" i="210" s="1"/>
  <c r="O325" i="210"/>
  <c r="J326" i="210"/>
  <c r="O334" i="210"/>
  <c r="K333" i="210"/>
  <c r="K331" i="210" s="1"/>
  <c r="K330" i="210" s="1"/>
  <c r="J359" i="210"/>
  <c r="J358" i="210" s="1"/>
  <c r="H220" i="210"/>
  <c r="H219" i="210" s="1"/>
  <c r="P232" i="210"/>
  <c r="P231" i="210" s="1"/>
  <c r="E231" i="210"/>
  <c r="J293" i="210"/>
  <c r="O291" i="210"/>
  <c r="O290" i="210" s="1"/>
  <c r="G110" i="210"/>
  <c r="O118" i="210"/>
  <c r="O139" i="210"/>
  <c r="P157" i="210"/>
  <c r="J156" i="210"/>
  <c r="O184" i="210"/>
  <c r="K186" i="210"/>
  <c r="K185" i="210" s="1"/>
  <c r="P188" i="210"/>
  <c r="E186" i="210"/>
  <c r="E185" i="210" s="1"/>
  <c r="K200" i="210"/>
  <c r="J201" i="210"/>
  <c r="J200" i="210" s="1"/>
  <c r="L200" i="210"/>
  <c r="K202" i="210"/>
  <c r="O212" i="210"/>
  <c r="O211" i="210" s="1"/>
  <c r="O210" i="210" s="1"/>
  <c r="E226" i="210"/>
  <c r="F224" i="210"/>
  <c r="F221" i="210" s="1"/>
  <c r="P229" i="210"/>
  <c r="O307" i="210"/>
  <c r="O304" i="210" s="1"/>
  <c r="J310" i="210"/>
  <c r="P310" i="210" s="1"/>
  <c r="O407" i="210"/>
  <c r="P126" i="210"/>
  <c r="P125" i="210" s="1"/>
  <c r="J147" i="210"/>
  <c r="O144" i="210"/>
  <c r="P151" i="210"/>
  <c r="E158" i="210"/>
  <c r="G143" i="210"/>
  <c r="G138" i="210" s="1"/>
  <c r="G137" i="210" s="1"/>
  <c r="L143" i="210"/>
  <c r="P171" i="210"/>
  <c r="J183" i="210"/>
  <c r="L182" i="210"/>
  <c r="J192" i="210"/>
  <c r="O193" i="210"/>
  <c r="O189" i="210" s="1"/>
  <c r="N199" i="210"/>
  <c r="N198" i="210" s="1"/>
  <c r="J205" i="210"/>
  <c r="P205" i="210" s="1"/>
  <c r="E233" i="210"/>
  <c r="J239" i="210"/>
  <c r="O238" i="210"/>
  <c r="P254" i="210"/>
  <c r="P253" i="210" s="1"/>
  <c r="P252" i="210" s="1"/>
  <c r="F280" i="210"/>
  <c r="F279" i="210" s="1"/>
  <c r="O286" i="210"/>
  <c r="J287" i="210"/>
  <c r="P305" i="210"/>
  <c r="P308" i="210"/>
  <c r="P307" i="210" s="1"/>
  <c r="P304" i="210" s="1"/>
  <c r="J307" i="210"/>
  <c r="J304" i="210" s="1"/>
  <c r="J314" i="210"/>
  <c r="J312" i="210" s="1"/>
  <c r="J311" i="210" s="1"/>
  <c r="O312" i="210"/>
  <c r="O311" i="210" s="1"/>
  <c r="K320" i="210"/>
  <c r="K319" i="210" s="1"/>
  <c r="I227" i="210"/>
  <c r="I220" i="210" s="1"/>
  <c r="I219" i="210" s="1"/>
  <c r="M227" i="210"/>
  <c r="O234" i="210"/>
  <c r="K233" i="210"/>
  <c r="K227" i="210" s="1"/>
  <c r="P240" i="210"/>
  <c r="E241" i="210"/>
  <c r="F238" i="210"/>
  <c r="P279" i="210"/>
  <c r="P295" i="210"/>
  <c r="E331" i="210"/>
  <c r="E330" i="210" s="1"/>
  <c r="K345" i="210"/>
  <c r="K344" i="210" s="1"/>
  <c r="E368" i="210"/>
  <c r="E367" i="210" s="1"/>
  <c r="E379" i="210"/>
  <c r="F378" i="210"/>
  <c r="K404" i="210"/>
  <c r="K403" i="210" s="1"/>
  <c r="K402" i="210" s="1"/>
  <c r="O405" i="210"/>
  <c r="E414" i="210"/>
  <c r="F413" i="210"/>
  <c r="G412" i="210"/>
  <c r="G411" i="210" s="1"/>
  <c r="E425" i="210"/>
  <c r="E424" i="210" s="1"/>
  <c r="E423" i="210" s="1"/>
  <c r="F424" i="210"/>
  <c r="F423" i="210" s="1"/>
  <c r="O225" i="210"/>
  <c r="E230" i="210"/>
  <c r="P230" i="210" s="1"/>
  <c r="F228" i="210"/>
  <c r="F227" i="210" s="1"/>
  <c r="N227" i="210"/>
  <c r="N220" i="210" s="1"/>
  <c r="N219" i="210" s="1"/>
  <c r="P244" i="210"/>
  <c r="P243" i="210" s="1"/>
  <c r="P242" i="210" s="1"/>
  <c r="P260" i="210"/>
  <c r="P275" i="210"/>
  <c r="E282" i="210"/>
  <c r="E280" i="210" s="1"/>
  <c r="I280" i="210"/>
  <c r="I279" i="210" s="1"/>
  <c r="I256" i="210" s="1"/>
  <c r="I255" i="210" s="1"/>
  <c r="M280" i="210"/>
  <c r="M279" i="210" s="1"/>
  <c r="M256" i="210" s="1"/>
  <c r="M255" i="210" s="1"/>
  <c r="E291" i="210"/>
  <c r="E290" i="210" s="1"/>
  <c r="E304" i="210"/>
  <c r="P313" i="210"/>
  <c r="E312" i="210"/>
  <c r="E311" i="210" s="1"/>
  <c r="O328" i="210"/>
  <c r="O327" i="210" s="1"/>
  <c r="P329" i="210"/>
  <c r="P328" i="210" s="1"/>
  <c r="P327" i="210" s="1"/>
  <c r="G345" i="210"/>
  <c r="G344" i="210" s="1"/>
  <c r="E347" i="210"/>
  <c r="F346" i="210"/>
  <c r="F345" i="210" s="1"/>
  <c r="F344" i="210" s="1"/>
  <c r="J351" i="210"/>
  <c r="J350" i="210" s="1"/>
  <c r="E404" i="210"/>
  <c r="E403" i="210" s="1"/>
  <c r="J424" i="210"/>
  <c r="J423" i="210" s="1"/>
  <c r="J419" i="210" s="1"/>
  <c r="J340" i="210"/>
  <c r="J339" i="210" s="1"/>
  <c r="J356" i="210"/>
  <c r="J355" i="210" s="1"/>
  <c r="O355" i="210"/>
  <c r="J374" i="210"/>
  <c r="P376" i="210"/>
  <c r="E393" i="210"/>
  <c r="E392" i="210" s="1"/>
  <c r="I393" i="210"/>
  <c r="I392" i="210" s="1"/>
  <c r="E422" i="210"/>
  <c r="F421" i="210"/>
  <c r="F419" i="210" s="1"/>
  <c r="O340" i="210"/>
  <c r="O339" i="210" s="1"/>
  <c r="P341" i="210"/>
  <c r="P340" i="210" s="1"/>
  <c r="P339" i="210" s="1"/>
  <c r="N345" i="210"/>
  <c r="N344" i="210" s="1"/>
  <c r="P361" i="210"/>
  <c r="P360" i="210" s="1"/>
  <c r="E360" i="210"/>
  <c r="P364" i="210"/>
  <c r="P371" i="210"/>
  <c r="P370" i="210" s="1"/>
  <c r="J381" i="210"/>
  <c r="P381" i="210" s="1"/>
  <c r="O380" i="210"/>
  <c r="O377" i="210" s="1"/>
  <c r="K387" i="210"/>
  <c r="K386" i="210" s="1"/>
  <c r="K373" i="210" s="1"/>
  <c r="K372" i="210" s="1"/>
  <c r="O388" i="210"/>
  <c r="F393" i="210"/>
  <c r="F392" i="210" s="1"/>
  <c r="N393" i="210"/>
  <c r="N392" i="210" s="1"/>
  <c r="I403" i="210"/>
  <c r="I402" i="210" s="1"/>
  <c r="M412" i="210"/>
  <c r="M411" i="210" s="1"/>
  <c r="P428" i="210"/>
  <c r="P427" i="210" s="1"/>
  <c r="P426" i="210" s="1"/>
  <c r="E427" i="210"/>
  <c r="E426" i="210" s="1"/>
  <c r="J369" i="210"/>
  <c r="J368" i="210" s="1"/>
  <c r="J367" i="210" s="1"/>
  <c r="O368" i="210"/>
  <c r="O367" i="210" s="1"/>
  <c r="P394" i="210"/>
  <c r="J414" i="210"/>
  <c r="J413" i="210" s="1"/>
  <c r="O413" i="210"/>
  <c r="P420" i="210"/>
  <c r="N419" i="210"/>
  <c r="N412" i="210" s="1"/>
  <c r="N411" i="210" s="1"/>
  <c r="P382" i="210"/>
  <c r="J380" i="210"/>
  <c r="J377" i="210" s="1"/>
  <c r="O394" i="210"/>
  <c r="O393" i="210" s="1"/>
  <c r="O392" i="210" s="1"/>
  <c r="J399" i="210"/>
  <c r="L398" i="210"/>
  <c r="L397" i="210" s="1"/>
  <c r="L393" i="210" s="1"/>
  <c r="L392" i="210" s="1"/>
  <c r="H403" i="210"/>
  <c r="H402" i="210" s="1"/>
  <c r="O417" i="210"/>
  <c r="O416" i="210" s="1"/>
  <c r="P418" i="210"/>
  <c r="P417" i="210" s="1"/>
  <c r="P416" i="210" s="1"/>
  <c r="L412" i="210"/>
  <c r="L411" i="210" s="1"/>
  <c r="F380" i="210"/>
  <c r="F377" i="210" s="1"/>
  <c r="O424" i="210"/>
  <c r="O423" i="210" s="1"/>
  <c r="O419" i="210" s="1"/>
  <c r="E431" i="210"/>
  <c r="J407" i="210" l="1"/>
  <c r="P408" i="210"/>
  <c r="P407" i="210" s="1"/>
  <c r="O344" i="210"/>
  <c r="J345" i="210"/>
  <c r="J344" i="210" s="1"/>
  <c r="P266" i="210"/>
  <c r="P62" i="210"/>
  <c r="J17" i="210"/>
  <c r="P139" i="210"/>
  <c r="G220" i="210"/>
  <c r="G219" i="210" s="1"/>
  <c r="O299" i="210"/>
  <c r="J300" i="210"/>
  <c r="P92" i="210"/>
  <c r="P90" i="210" s="1"/>
  <c r="O406" i="210"/>
  <c r="K220" i="210"/>
  <c r="K219" i="210" s="1"/>
  <c r="L138" i="210"/>
  <c r="P380" i="210"/>
  <c r="E228" i="210"/>
  <c r="P61" i="210"/>
  <c r="J257" i="210"/>
  <c r="P258" i="210"/>
  <c r="K127" i="210"/>
  <c r="K106" i="210" s="1"/>
  <c r="K105" i="210" s="1"/>
  <c r="J410" i="210"/>
  <c r="O409" i="210"/>
  <c r="P76" i="210"/>
  <c r="P257" i="210"/>
  <c r="O256" i="210"/>
  <c r="J256" i="210" s="1"/>
  <c r="J255" i="210" s="1"/>
  <c r="O412" i="210"/>
  <c r="O411" i="210" s="1"/>
  <c r="O199" i="210"/>
  <c r="O198" i="210" s="1"/>
  <c r="P37" i="210"/>
  <c r="P36" i="210" s="1"/>
  <c r="P107" i="210"/>
  <c r="P56" i="210"/>
  <c r="P55" i="210" s="1"/>
  <c r="D66" i="211"/>
  <c r="P218" i="212"/>
  <c r="P217" i="212" s="1"/>
  <c r="P216" i="212" s="1"/>
  <c r="O129" i="210"/>
  <c r="O128" i="210" s="1"/>
  <c r="O127" i="210" s="1"/>
  <c r="J130" i="210"/>
  <c r="H106" i="210"/>
  <c r="H105" i="210" s="1"/>
  <c r="O43" i="210"/>
  <c r="O42" i="210" s="1"/>
  <c r="O16" i="210" s="1"/>
  <c r="O15" i="210" s="1"/>
  <c r="J45" i="210"/>
  <c r="P223" i="210"/>
  <c r="P222" i="210" s="1"/>
  <c r="J222" i="210"/>
  <c r="P425" i="212"/>
  <c r="P424" i="212" s="1"/>
  <c r="P423" i="212" s="1"/>
  <c r="J134" i="212"/>
  <c r="O133" i="212"/>
  <c r="P196" i="212"/>
  <c r="P195" i="212" s="1"/>
  <c r="P352" i="212"/>
  <c r="P351" i="212" s="1"/>
  <c r="P350" i="212" s="1"/>
  <c r="J351" i="212"/>
  <c r="J350" i="212" s="1"/>
  <c r="J340" i="212"/>
  <c r="J339" i="212" s="1"/>
  <c r="P341" i="212"/>
  <c r="P340" i="212" s="1"/>
  <c r="P339" i="212" s="1"/>
  <c r="C96" i="211"/>
  <c r="E95" i="211"/>
  <c r="C16" i="211"/>
  <c r="C41" i="211"/>
  <c r="D40" i="211"/>
  <c r="C40" i="211" s="1"/>
  <c r="D120" i="211"/>
  <c r="C130" i="211"/>
  <c r="C102" i="211"/>
  <c r="D101" i="211"/>
  <c r="L47" i="210"/>
  <c r="I137" i="210"/>
  <c r="I429" i="210"/>
  <c r="I440" i="210" s="1"/>
  <c r="L15" i="210"/>
  <c r="J16" i="210"/>
  <c r="E16" i="210"/>
  <c r="O233" i="210"/>
  <c r="O227" i="210" s="1"/>
  <c r="J234" i="210"/>
  <c r="L137" i="210"/>
  <c r="J325" i="210"/>
  <c r="P326" i="210"/>
  <c r="P325" i="210" s="1"/>
  <c r="O153" i="210"/>
  <c r="J154" i="210"/>
  <c r="P201" i="210"/>
  <c r="P200" i="210" s="1"/>
  <c r="F256" i="210"/>
  <c r="F255" i="210" s="1"/>
  <c r="Q431" i="210"/>
  <c r="J412" i="210"/>
  <c r="J411" i="210" s="1"/>
  <c r="O354" i="210"/>
  <c r="O353" i="210" s="1"/>
  <c r="P369" i="210"/>
  <c r="P368" i="210" s="1"/>
  <c r="P367" i="210" s="1"/>
  <c r="P241" i="210"/>
  <c r="E238" i="210"/>
  <c r="J144" i="210"/>
  <c r="P147" i="210"/>
  <c r="P144" i="210" s="1"/>
  <c r="P228" i="210"/>
  <c r="K199" i="210"/>
  <c r="K198" i="210" s="1"/>
  <c r="J184" i="210"/>
  <c r="P184" i="210" s="1"/>
  <c r="O182" i="210"/>
  <c r="O143" i="210" s="1"/>
  <c r="O138" i="210" s="1"/>
  <c r="J317" i="210"/>
  <c r="J316" i="210" s="1"/>
  <c r="P318" i="210"/>
  <c r="P317" i="210" s="1"/>
  <c r="P316" i="210" s="1"/>
  <c r="P263" i="210"/>
  <c r="P262" i="210" s="1"/>
  <c r="P261" i="210" s="1"/>
  <c r="J262" i="210"/>
  <c r="J261" i="210" s="1"/>
  <c r="E374" i="210"/>
  <c r="P375" i="210"/>
  <c r="P374" i="210" s="1"/>
  <c r="P314" i="210"/>
  <c r="J202" i="210"/>
  <c r="P166" i="210"/>
  <c r="E36" i="210"/>
  <c r="P32" i="210"/>
  <c r="P29" i="210" s="1"/>
  <c r="E49" i="210"/>
  <c r="E48" i="210" s="1"/>
  <c r="J51" i="210"/>
  <c r="P51" i="210" s="1"/>
  <c r="P52" i="210"/>
  <c r="P33" i="210"/>
  <c r="N429" i="210"/>
  <c r="N440" i="210" s="1"/>
  <c r="P312" i="210"/>
  <c r="P311" i="210" s="1"/>
  <c r="P414" i="210"/>
  <c r="P413" i="210" s="1"/>
  <c r="E413" i="210"/>
  <c r="P287" i="210"/>
  <c r="P286" i="210" s="1"/>
  <c r="J286" i="210"/>
  <c r="P293" i="210"/>
  <c r="P291" i="210" s="1"/>
  <c r="P290" i="210" s="1"/>
  <c r="J291" i="210"/>
  <c r="J290" i="210" s="1"/>
  <c r="K15" i="210"/>
  <c r="P202" i="210"/>
  <c r="P24" i="210"/>
  <c r="P23" i="210" s="1"/>
  <c r="P22" i="210" s="1"/>
  <c r="H429" i="210"/>
  <c r="J354" i="210"/>
  <c r="J353" i="210" s="1"/>
  <c r="P425" i="210"/>
  <c r="P424" i="210" s="1"/>
  <c r="P423" i="210" s="1"/>
  <c r="J225" i="210"/>
  <c r="O224" i="210"/>
  <c r="O221" i="210" s="1"/>
  <c r="O220" i="210" s="1"/>
  <c r="O404" i="210"/>
  <c r="O403" i="210" s="1"/>
  <c r="J405" i="210"/>
  <c r="P183" i="210"/>
  <c r="P182" i="210" s="1"/>
  <c r="P158" i="210"/>
  <c r="P156" i="210" s="1"/>
  <c r="E156" i="210"/>
  <c r="E143" i="210" s="1"/>
  <c r="E138" i="210" s="1"/>
  <c r="F220" i="210"/>
  <c r="F219" i="210" s="1"/>
  <c r="E298" i="210"/>
  <c r="E285" i="210" s="1"/>
  <c r="J117" i="210"/>
  <c r="O116" i="210"/>
  <c r="O110" i="210" s="1"/>
  <c r="O106" i="210" s="1"/>
  <c r="O105" i="210" s="1"/>
  <c r="P363" i="210"/>
  <c r="P362" i="210" s="1"/>
  <c r="P359" i="210" s="1"/>
  <c r="P358" i="210" s="1"/>
  <c r="E362" i="210"/>
  <c r="E359" i="210" s="1"/>
  <c r="E358" i="210" s="1"/>
  <c r="J68" i="210"/>
  <c r="O67" i="210"/>
  <c r="O49" i="210" s="1"/>
  <c r="O48" i="210" s="1"/>
  <c r="O47" i="210" s="1"/>
  <c r="F354" i="210"/>
  <c r="F353" i="210" s="1"/>
  <c r="J273" i="210"/>
  <c r="J270" i="210" s="1"/>
  <c r="P274" i="210"/>
  <c r="P273" i="210" s="1"/>
  <c r="P270" i="210" s="1"/>
  <c r="K48" i="210"/>
  <c r="K47" i="210" s="1"/>
  <c r="M429" i="210"/>
  <c r="M440" i="210" s="1"/>
  <c r="E106" i="210"/>
  <c r="E105" i="210" s="1"/>
  <c r="P25" i="210"/>
  <c r="P80" i="210"/>
  <c r="P79" i="210" s="1"/>
  <c r="J388" i="210"/>
  <c r="O387" i="210"/>
  <c r="O386" i="210" s="1"/>
  <c r="O373" i="210" s="1"/>
  <c r="P192" i="210"/>
  <c r="P191" i="210" s="1"/>
  <c r="P190" i="210" s="1"/>
  <c r="P189" i="210" s="1"/>
  <c r="J191" i="210"/>
  <c r="J190" i="210" s="1"/>
  <c r="J189" i="210" s="1"/>
  <c r="J303" i="210"/>
  <c r="O302" i="210"/>
  <c r="O301" i="210" s="1"/>
  <c r="J133" i="210"/>
  <c r="P134" i="210"/>
  <c r="P133" i="210" s="1"/>
  <c r="Q399" i="210"/>
  <c r="P399" i="210"/>
  <c r="P398" i="210" s="1"/>
  <c r="P397" i="210" s="1"/>
  <c r="P393" i="210" s="1"/>
  <c r="J398" i="210"/>
  <c r="J397" i="210" s="1"/>
  <c r="J393" i="210" s="1"/>
  <c r="J392" i="210" s="1"/>
  <c r="F373" i="210"/>
  <c r="F372" i="210" s="1"/>
  <c r="P422" i="210"/>
  <c r="P421" i="210" s="1"/>
  <c r="P419" i="210" s="1"/>
  <c r="E421" i="210"/>
  <c r="E419" i="210" s="1"/>
  <c r="E402" i="210"/>
  <c r="E346" i="210"/>
  <c r="E345" i="210" s="1"/>
  <c r="P347" i="210"/>
  <c r="P346" i="210" s="1"/>
  <c r="E279" i="210"/>
  <c r="E256" i="210" s="1"/>
  <c r="F412" i="210"/>
  <c r="F411" i="210" s="1"/>
  <c r="E378" i="210"/>
  <c r="E377" i="210" s="1"/>
  <c r="P379" i="210"/>
  <c r="P378" i="210" s="1"/>
  <c r="P377" i="210" s="1"/>
  <c r="J238" i="210"/>
  <c r="P239" i="210"/>
  <c r="E224" i="210"/>
  <c r="E221" i="210" s="1"/>
  <c r="P226" i="210"/>
  <c r="L199" i="210"/>
  <c r="J334" i="210"/>
  <c r="O333" i="210"/>
  <c r="O331" i="210" s="1"/>
  <c r="O330" i="210" s="1"/>
  <c r="O320" i="210" s="1"/>
  <c r="E321" i="210"/>
  <c r="E320" i="210" s="1"/>
  <c r="P322" i="210"/>
  <c r="P321" i="210" s="1"/>
  <c r="P248" i="210"/>
  <c r="P247" i="210" s="1"/>
  <c r="P246" i="210" s="1"/>
  <c r="P245" i="210" s="1"/>
  <c r="J247" i="210"/>
  <c r="J246" i="210" s="1"/>
  <c r="J245" i="210" s="1"/>
  <c r="P186" i="210"/>
  <c r="P185" i="210" s="1"/>
  <c r="K143" i="210"/>
  <c r="K138" i="210" s="1"/>
  <c r="K137" i="210" s="1"/>
  <c r="E199" i="210"/>
  <c r="P356" i="210"/>
  <c r="P355" i="210" s="1"/>
  <c r="E355" i="210"/>
  <c r="E354" i="210" s="1"/>
  <c r="J50" i="210"/>
  <c r="P96" i="210"/>
  <c r="P95" i="210" s="1"/>
  <c r="P94" i="210" s="1"/>
  <c r="P93" i="210" s="1"/>
  <c r="J25" i="210"/>
  <c r="G429" i="210"/>
  <c r="G440" i="210" s="1"/>
  <c r="P86" i="210"/>
  <c r="P85" i="210" s="1"/>
  <c r="J43" i="210" l="1"/>
  <c r="J42" i="210" s="1"/>
  <c r="P45" i="210"/>
  <c r="P43" i="210" s="1"/>
  <c r="P42" i="210" s="1"/>
  <c r="O298" i="210"/>
  <c r="O285" i="210" s="1"/>
  <c r="E373" i="210"/>
  <c r="O255" i="210"/>
  <c r="J406" i="210"/>
  <c r="J409" i="210"/>
  <c r="P410" i="210"/>
  <c r="P409" i="210" s="1"/>
  <c r="P406" i="210" s="1"/>
  <c r="P238" i="210"/>
  <c r="E227" i="210"/>
  <c r="J129" i="210"/>
  <c r="J128" i="210" s="1"/>
  <c r="J127" i="210" s="1"/>
  <c r="P130" i="210"/>
  <c r="P129" i="210" s="1"/>
  <c r="P128" i="210" s="1"/>
  <c r="P127" i="210" s="1"/>
  <c r="J299" i="210"/>
  <c r="P300" i="210"/>
  <c r="P299" i="210" s="1"/>
  <c r="J133" i="212"/>
  <c r="P134" i="212"/>
  <c r="P133" i="212" s="1"/>
  <c r="D114" i="211"/>
  <c r="C114" i="211" s="1"/>
  <c r="C120" i="211"/>
  <c r="C101" i="211"/>
  <c r="D113" i="211"/>
  <c r="D15" i="211"/>
  <c r="C15" i="211" s="1"/>
  <c r="E66" i="211"/>
  <c r="C95" i="211"/>
  <c r="O319" i="210"/>
  <c r="J320" i="210"/>
  <c r="J319" i="210" s="1"/>
  <c r="O137" i="210"/>
  <c r="J138" i="210"/>
  <c r="J137" i="210" s="1"/>
  <c r="O284" i="210"/>
  <c r="J285" i="210"/>
  <c r="J284" i="210" s="1"/>
  <c r="P285" i="210"/>
  <c r="E284" i="210"/>
  <c r="E255" i="210"/>
  <c r="P256" i="210"/>
  <c r="O372" i="210"/>
  <c r="J373" i="210"/>
  <c r="J372" i="210" s="1"/>
  <c r="P50" i="210"/>
  <c r="J333" i="210"/>
  <c r="J331" i="210" s="1"/>
  <c r="J330" i="210" s="1"/>
  <c r="P334" i="210"/>
  <c r="P333" i="210" s="1"/>
  <c r="P331" i="210" s="1"/>
  <c r="P330" i="210" s="1"/>
  <c r="Q393" i="210"/>
  <c r="P392" i="210"/>
  <c r="O219" i="210"/>
  <c r="J220" i="210"/>
  <c r="J219" i="210" s="1"/>
  <c r="E47" i="210"/>
  <c r="J153" i="210"/>
  <c r="P154" i="210"/>
  <c r="P153" i="210" s="1"/>
  <c r="P143" i="210" s="1"/>
  <c r="E15" i="210"/>
  <c r="P16" i="210"/>
  <c r="F429" i="210"/>
  <c r="F440" i="210" s="1"/>
  <c r="E319" i="210"/>
  <c r="P320" i="210"/>
  <c r="J199" i="210"/>
  <c r="J198" i="210" s="1"/>
  <c r="L198" i="210"/>
  <c r="P303" i="210"/>
  <c r="P302" i="210" s="1"/>
  <c r="P301" i="210" s="1"/>
  <c r="P298" i="210" s="1"/>
  <c r="J302" i="210"/>
  <c r="J301" i="210" s="1"/>
  <c r="J298" i="210" s="1"/>
  <c r="J182" i="210"/>
  <c r="J143" i="210" s="1"/>
  <c r="J224" i="210"/>
  <c r="J221" i="210" s="1"/>
  <c r="P225" i="210"/>
  <c r="P224" i="210" s="1"/>
  <c r="P221" i="210" s="1"/>
  <c r="E412" i="210"/>
  <c r="E411" i="210" s="1"/>
  <c r="J15" i="210"/>
  <c r="J48" i="210"/>
  <c r="J47" i="210" s="1"/>
  <c r="E220" i="210"/>
  <c r="E353" i="210"/>
  <c r="P354" i="210"/>
  <c r="E198" i="210"/>
  <c r="J387" i="210"/>
  <c r="J386" i="210" s="1"/>
  <c r="P388" i="210"/>
  <c r="P387" i="210" s="1"/>
  <c r="P386" i="210" s="1"/>
  <c r="J67" i="210"/>
  <c r="P67" i="210" s="1"/>
  <c r="P68" i="210"/>
  <c r="J116" i="210"/>
  <c r="J110" i="210" s="1"/>
  <c r="P117" i="210"/>
  <c r="P116" i="210" s="1"/>
  <c r="P110" i="210" s="1"/>
  <c r="E137" i="210"/>
  <c r="J404" i="210"/>
  <c r="P405" i="210"/>
  <c r="P404" i="210" s="1"/>
  <c r="H442" i="210"/>
  <c r="H440" i="210"/>
  <c r="K429" i="210"/>
  <c r="P412" i="210"/>
  <c r="J233" i="210"/>
  <c r="J227" i="210" s="1"/>
  <c r="P234" i="210"/>
  <c r="P233" i="210" s="1"/>
  <c r="P227" i="210" s="1"/>
  <c r="E372" i="210"/>
  <c r="E344" i="210"/>
  <c r="P345" i="210"/>
  <c r="O402" i="210"/>
  <c r="J403" i="210"/>
  <c r="O429" i="210"/>
  <c r="L429" i="210"/>
  <c r="L440" i="210" s="1"/>
  <c r="P138" i="210" l="1"/>
  <c r="P199" i="210"/>
  <c r="P106" i="210"/>
  <c r="J106" i="210"/>
  <c r="J105" i="210" s="1"/>
  <c r="P373" i="210"/>
  <c r="D153" i="211"/>
  <c r="E113" i="211"/>
  <c r="E153" i="211" s="1"/>
  <c r="I153" i="211" s="1"/>
  <c r="C66" i="211"/>
  <c r="O443" i="210"/>
  <c r="O440" i="210"/>
  <c r="P220" i="210"/>
  <c r="E219" i="210"/>
  <c r="Q320" i="210"/>
  <c r="P319" i="210"/>
  <c r="J402" i="210"/>
  <c r="P403" i="210"/>
  <c r="Q373" i="210"/>
  <c r="P372" i="210"/>
  <c r="P48" i="210"/>
  <c r="P429" i="210" s="1"/>
  <c r="Q256" i="210"/>
  <c r="P255" i="210"/>
  <c r="Q412" i="210"/>
  <c r="P411" i="210"/>
  <c r="Q106" i="210"/>
  <c r="P105" i="210"/>
  <c r="Q354" i="210"/>
  <c r="P353" i="210"/>
  <c r="J49" i="210"/>
  <c r="Q138" i="210"/>
  <c r="P137" i="210"/>
  <c r="Q199" i="210"/>
  <c r="P198" i="210"/>
  <c r="P284" i="210"/>
  <c r="Q285" i="210"/>
  <c r="E429" i="210"/>
  <c r="P49" i="210"/>
  <c r="Q345" i="210"/>
  <c r="P344" i="210"/>
  <c r="K443" i="210"/>
  <c r="K440" i="210"/>
  <c r="J429" i="210"/>
  <c r="Q16" i="210"/>
  <c r="P15" i="210"/>
  <c r="C113" i="211" l="1"/>
  <c r="C153" i="211"/>
  <c r="H153" i="211"/>
  <c r="Q429" i="210"/>
  <c r="P440" i="210"/>
  <c r="P402" i="210"/>
  <c r="Q403" i="210"/>
  <c r="P219" i="210"/>
  <c r="Q220" i="210"/>
  <c r="E443" i="210"/>
  <c r="E441" i="210"/>
  <c r="F443" i="210"/>
  <c r="P441" i="210"/>
  <c r="F441" i="210"/>
  <c r="E440" i="210"/>
  <c r="P47" i="210"/>
  <c r="Q48" i="210"/>
  <c r="J443" i="210"/>
  <c r="J440" i="210"/>
  <c r="G154" i="211" l="1"/>
  <c r="G153" i="211"/>
  <c r="F53" i="165" l="1"/>
  <c r="F53" i="212" s="1"/>
  <c r="K52" i="165"/>
  <c r="K52" i="212" s="1"/>
  <c r="K50" i="165"/>
  <c r="K50" i="212" s="1"/>
  <c r="F50" i="165"/>
  <c r="F50" i="212" s="1"/>
  <c r="O87" i="165"/>
  <c r="O87" i="212" s="1"/>
  <c r="L87" i="165"/>
  <c r="L87" i="212" s="1"/>
  <c r="K86" i="165"/>
  <c r="K86" i="212" s="1"/>
  <c r="F86" i="165"/>
  <c r="F86" i="212" s="1"/>
  <c r="K98" i="165"/>
  <c r="K98" i="212" s="1"/>
  <c r="K62" i="165"/>
  <c r="K62" i="212" s="1"/>
  <c r="G314" i="165"/>
  <c r="G314" i="212" s="1"/>
  <c r="F54" i="165"/>
  <c r="F54" i="212" s="1"/>
  <c r="J24" i="184"/>
  <c r="J26" i="184"/>
  <c r="J102" i="167"/>
  <c r="I102" i="167"/>
  <c r="K96" i="165"/>
  <c r="K96" i="212" s="1"/>
  <c r="F89" i="165"/>
  <c r="F89" i="212" s="1"/>
  <c r="H65" i="165"/>
  <c r="H65" i="212" s="1"/>
  <c r="F65" i="165"/>
  <c r="F65" i="212" s="1"/>
  <c r="H60" i="165"/>
  <c r="H60" i="212" s="1"/>
  <c r="F60" i="165"/>
  <c r="F60" i="212" s="1"/>
  <c r="H52" i="165"/>
  <c r="H52" i="212" s="1"/>
  <c r="H50" i="165"/>
  <c r="H50" i="212" s="1"/>
  <c r="G74" i="165"/>
  <c r="G74" i="212" s="1"/>
  <c r="F74" i="165"/>
  <c r="F74" i="212" s="1"/>
  <c r="G57" i="165"/>
  <c r="G57" i="212" s="1"/>
  <c r="F57" i="165"/>
  <c r="F57" i="212" s="1"/>
  <c r="G56" i="165"/>
  <c r="G56" i="212" s="1"/>
  <c r="F56" i="165"/>
  <c r="F56" i="212" s="1"/>
  <c r="G70" i="165"/>
  <c r="G70" i="212" s="1"/>
  <c r="F70" i="165"/>
  <c r="F70" i="212" s="1"/>
  <c r="G68" i="165"/>
  <c r="G68" i="212" s="1"/>
  <c r="F68" i="165"/>
  <c r="F68" i="212" s="1"/>
  <c r="H38" i="184"/>
  <c r="I41" i="184"/>
  <c r="K41" i="184" s="1"/>
  <c r="J164" i="167" l="1"/>
  <c r="I164" i="167"/>
  <c r="H164" i="167"/>
  <c r="H167" i="167"/>
  <c r="H169" i="167"/>
  <c r="K184" i="165"/>
  <c r="K184" i="212" s="1"/>
  <c r="F184" i="212"/>
  <c r="K171" i="165"/>
  <c r="K171" i="212" s="1"/>
  <c r="K167" i="165"/>
  <c r="K167" i="212" s="1"/>
  <c r="K187" i="165"/>
  <c r="K187" i="212" s="1"/>
  <c r="K181" i="212"/>
  <c r="K183" i="165"/>
  <c r="K183" i="212" s="1"/>
  <c r="G183" i="165"/>
  <c r="G183" i="212" s="1"/>
  <c r="F158" i="165"/>
  <c r="F158" i="212" s="1"/>
  <c r="K155" i="165"/>
  <c r="K155" i="212" s="1"/>
  <c r="F155" i="165"/>
  <c r="F155" i="212" s="1"/>
  <c r="H155" i="165"/>
  <c r="H155" i="212" s="1"/>
  <c r="F159" i="165"/>
  <c r="F159" i="212" s="1"/>
  <c r="J119" i="184"/>
  <c r="J122" i="184"/>
  <c r="J121" i="184"/>
  <c r="J305" i="167"/>
  <c r="I305" i="167"/>
  <c r="K337" i="165"/>
  <c r="K337" i="212" s="1"/>
  <c r="J113" i="184"/>
  <c r="K335" i="165"/>
  <c r="K335" i="212" s="1"/>
  <c r="J110" i="184"/>
  <c r="J109" i="184"/>
  <c r="J298" i="167"/>
  <c r="I298" i="167"/>
  <c r="K334" i="165"/>
  <c r="K334" i="212" s="1"/>
  <c r="K326" i="165"/>
  <c r="K326" i="212" s="1"/>
  <c r="J272" i="167"/>
  <c r="I272" i="167"/>
  <c r="K306" i="165"/>
  <c r="K306" i="212" s="1"/>
  <c r="K303" i="165"/>
  <c r="K303" i="212" s="1"/>
  <c r="F296" i="165"/>
  <c r="F296" i="212" s="1"/>
  <c r="H258" i="167"/>
  <c r="F295" i="165"/>
  <c r="F295" i="212" s="1"/>
  <c r="H255" i="167"/>
  <c r="F293" i="165"/>
  <c r="F293" i="212" s="1"/>
  <c r="F292" i="165"/>
  <c r="F292" i="212" s="1"/>
  <c r="J224" i="167"/>
  <c r="I224" i="167"/>
  <c r="K263" i="165"/>
  <c r="K263" i="212" s="1"/>
  <c r="H241" i="167"/>
  <c r="F274" i="165"/>
  <c r="F274" i="212" s="1"/>
  <c r="J234" i="167"/>
  <c r="G235" i="167"/>
  <c r="F269" i="165"/>
  <c r="F269" i="212" s="1"/>
  <c r="F268" i="165"/>
  <c r="F268" i="212" s="1"/>
  <c r="F267" i="165"/>
  <c r="F267" i="212" s="1"/>
  <c r="H224" i="167"/>
  <c r="F263" i="165"/>
  <c r="F263" i="212" s="1"/>
  <c r="F241" i="165"/>
  <c r="F241" i="212" s="1"/>
  <c r="F230" i="165"/>
  <c r="F230" i="212" s="1"/>
  <c r="F229" i="165"/>
  <c r="F229" i="212" s="1"/>
  <c r="F240" i="165"/>
  <c r="F240" i="212" s="1"/>
  <c r="F226" i="165"/>
  <c r="F226" i="212" s="1"/>
  <c r="H226" i="165"/>
  <c r="H226" i="212" s="1"/>
  <c r="K234" i="165"/>
  <c r="K234" i="212" s="1"/>
  <c r="F234" i="165"/>
  <c r="F234" i="212" s="1"/>
  <c r="H234" i="165"/>
  <c r="H234" i="212" s="1"/>
  <c r="K414" i="165"/>
  <c r="K414" i="212" s="1"/>
  <c r="H414" i="212"/>
  <c r="F414" i="165"/>
  <c r="F414" i="212" s="1"/>
  <c r="G414" i="165"/>
  <c r="G414" i="212" s="1"/>
  <c r="H405" i="165"/>
  <c r="H405" i="212" s="1"/>
  <c r="F405" i="165"/>
  <c r="F405" i="212" s="1"/>
  <c r="H140" i="165"/>
  <c r="H140" i="212" s="1"/>
  <c r="G140" i="165"/>
  <c r="G140" i="212" s="1"/>
  <c r="F140" i="165"/>
  <c r="F140" i="212" s="1"/>
  <c r="K140" i="165"/>
  <c r="K140" i="212" s="1"/>
  <c r="F122" i="165"/>
  <c r="F122" i="212" s="1"/>
  <c r="H26" i="167"/>
  <c r="F21" i="165"/>
  <c r="F21" i="212" s="1"/>
  <c r="K113" i="165" l="1"/>
  <c r="K113" i="212" s="1"/>
  <c r="G121" i="165"/>
  <c r="G121" i="212" s="1"/>
  <c r="F121" i="165"/>
  <c r="F121" i="212" s="1"/>
  <c r="F114" i="165"/>
  <c r="F114" i="212" s="1"/>
  <c r="F113" i="165"/>
  <c r="F113" i="212" s="1"/>
  <c r="F111" i="165"/>
  <c r="F111" i="212" s="1"/>
  <c r="H46" i="167" l="1"/>
  <c r="K46" i="212"/>
  <c r="F46" i="212"/>
  <c r="H356" i="167"/>
  <c r="H355" i="167"/>
  <c r="H24" i="167"/>
  <c r="J37" i="167"/>
  <c r="I37" i="167"/>
  <c r="K38" i="165"/>
  <c r="K38" i="212" s="1"/>
  <c r="F38" i="165"/>
  <c r="F38" i="212" s="1"/>
  <c r="H41" i="167"/>
  <c r="F39" i="165"/>
  <c r="F39" i="212" s="1"/>
  <c r="F408" i="165"/>
  <c r="F408" i="212" s="1"/>
  <c r="K410" i="165"/>
  <c r="K410" i="212" s="1"/>
  <c r="J17" i="167"/>
  <c r="I17" i="167"/>
  <c r="K18" i="165"/>
  <c r="K18" i="212" s="1"/>
  <c r="G18" i="165"/>
  <c r="G18" i="212" s="1"/>
  <c r="F18" i="165"/>
  <c r="F18" i="212" s="1"/>
  <c r="F369" i="165"/>
  <c r="F369" i="212" s="1"/>
  <c r="F363" i="165"/>
  <c r="F363" i="212" s="1"/>
  <c r="J326" i="167"/>
  <c r="I326" i="167"/>
  <c r="K366" i="165"/>
  <c r="K366" i="212" s="1"/>
  <c r="L431" i="165"/>
  <c r="D34" i="170"/>
  <c r="D132" i="188"/>
  <c r="D132" i="213" s="1"/>
  <c r="K175" i="165"/>
  <c r="K175" i="212" s="1"/>
  <c r="J39" i="184"/>
  <c r="K192" i="165" l="1"/>
  <c r="K192" i="212" s="1"/>
  <c r="F422" i="165"/>
  <c r="F422" i="212" s="1"/>
  <c r="L28" i="107" l="1"/>
  <c r="K28" i="107"/>
  <c r="H26" i="107"/>
  <c r="G26" i="107"/>
  <c r="K60" i="165" l="1"/>
  <c r="K60" i="212" s="1"/>
  <c r="J22" i="184"/>
  <c r="K80" i="165"/>
  <c r="K80" i="212" s="1"/>
  <c r="J33" i="184"/>
  <c r="K111" i="165"/>
  <c r="K111" i="212" s="1"/>
  <c r="F112" i="165"/>
  <c r="F112" i="212" s="1"/>
  <c r="D83" i="170" l="1"/>
  <c r="H335" i="167"/>
  <c r="F381" i="165"/>
  <c r="F381" i="212" s="1"/>
  <c r="H321" i="167"/>
  <c r="F361" i="165"/>
  <c r="F361" i="212" s="1"/>
  <c r="F318" i="165"/>
  <c r="F318" i="212" s="1"/>
  <c r="K265" i="165"/>
  <c r="K265" i="212" s="1"/>
  <c r="G321" i="167" l="1"/>
  <c r="J288" i="167" l="1"/>
  <c r="C123" i="188"/>
  <c r="C123" i="213" s="1"/>
  <c r="K275" i="165"/>
  <c r="K275" i="212" s="1"/>
  <c r="J98" i="167"/>
  <c r="H98" i="167"/>
  <c r="F88" i="165"/>
  <c r="F88" i="212" s="1"/>
  <c r="G88" i="165"/>
  <c r="G88" i="212" s="1"/>
  <c r="H88" i="165"/>
  <c r="H88" i="212" s="1"/>
  <c r="I88" i="165"/>
  <c r="I88" i="212" s="1"/>
  <c r="K88" i="165"/>
  <c r="K88" i="212" s="1"/>
  <c r="L88" i="165"/>
  <c r="L88" i="212" s="1"/>
  <c r="M88" i="165"/>
  <c r="M88" i="212" s="1"/>
  <c r="N88" i="165"/>
  <c r="N88" i="212" s="1"/>
  <c r="O89" i="165"/>
  <c r="O89" i="212" s="1"/>
  <c r="E89" i="165"/>
  <c r="D80" i="170"/>
  <c r="E88" i="165" l="1"/>
  <c r="E88" i="212" s="1"/>
  <c r="E89" i="212"/>
  <c r="O88" i="165"/>
  <c r="O88" i="212" s="1"/>
  <c r="J89" i="165"/>
  <c r="G226" i="165"/>
  <c r="G226" i="212" s="1"/>
  <c r="G234" i="165"/>
  <c r="G234" i="212" s="1"/>
  <c r="G208" i="165"/>
  <c r="G208" i="212" s="1"/>
  <c r="F208" i="165"/>
  <c r="F208" i="212" s="1"/>
  <c r="K215" i="165"/>
  <c r="K215" i="212" s="1"/>
  <c r="G205" i="165"/>
  <c r="G205" i="212" s="1"/>
  <c r="F205" i="165"/>
  <c r="F205" i="212" s="1"/>
  <c r="G204" i="165"/>
  <c r="G204" i="212" s="1"/>
  <c r="F204" i="165"/>
  <c r="F204" i="212" s="1"/>
  <c r="K203" i="165"/>
  <c r="K203" i="212" s="1"/>
  <c r="G203" i="165"/>
  <c r="G203" i="212" s="1"/>
  <c r="F203" i="165"/>
  <c r="F203" i="212" s="1"/>
  <c r="K201" i="165"/>
  <c r="K201" i="212" s="1"/>
  <c r="G201" i="165"/>
  <c r="G201" i="212" s="1"/>
  <c r="F201" i="165"/>
  <c r="F201" i="212" s="1"/>
  <c r="J101" i="184"/>
  <c r="J270" i="167"/>
  <c r="I270" i="167"/>
  <c r="J85" i="184"/>
  <c r="J76" i="184"/>
  <c r="J66" i="184"/>
  <c r="K305" i="165"/>
  <c r="K305" i="212" s="1"/>
  <c r="J64" i="184"/>
  <c r="K300" i="165"/>
  <c r="K300" i="212" s="1"/>
  <c r="D98" i="170"/>
  <c r="F313" i="165"/>
  <c r="F313" i="212" s="1"/>
  <c r="H261" i="167"/>
  <c r="H260" i="167" s="1"/>
  <c r="H257" i="167"/>
  <c r="J111" i="184"/>
  <c r="K272" i="165"/>
  <c r="K272" i="212" s="1"/>
  <c r="J226" i="167"/>
  <c r="O264" i="165"/>
  <c r="E264" i="165"/>
  <c r="H18" i="165"/>
  <c r="H18" i="212" s="1"/>
  <c r="H231" i="167"/>
  <c r="H223" i="167"/>
  <c r="H226" i="167" l="1"/>
  <c r="E264" i="212"/>
  <c r="J264" i="165"/>
  <c r="O264" i="212"/>
  <c r="J89" i="212"/>
  <c r="J88" i="165"/>
  <c r="J88" i="212" s="1"/>
  <c r="I98" i="167"/>
  <c r="G98" i="167" s="1"/>
  <c r="P89" i="165"/>
  <c r="P264" i="165"/>
  <c r="P264" i="212" s="1"/>
  <c r="J264" i="212" l="1"/>
  <c r="I226" i="167"/>
  <c r="G226" i="167" s="1"/>
  <c r="P88" i="165"/>
  <c r="P88" i="212" s="1"/>
  <c r="P89" i="212"/>
  <c r="F41" i="165"/>
  <c r="F41" i="212" s="1"/>
  <c r="J169" i="167" l="1"/>
  <c r="I169" i="167"/>
  <c r="H157" i="165"/>
  <c r="H157" i="212" s="1"/>
  <c r="G157" i="165"/>
  <c r="G157" i="212" s="1"/>
  <c r="F157" i="165"/>
  <c r="F157" i="212" s="1"/>
  <c r="G154" i="165" l="1"/>
  <c r="G154" i="212" s="1"/>
  <c r="F154" i="165"/>
  <c r="F154" i="212" s="1"/>
  <c r="F149" i="165"/>
  <c r="F149" i="212" s="1"/>
  <c r="F147" i="165"/>
  <c r="F147" i="212" s="1"/>
  <c r="H338" i="167"/>
  <c r="F382" i="165"/>
  <c r="F382" i="212" s="1"/>
  <c r="H333" i="167"/>
  <c r="F379" i="165"/>
  <c r="F379" i="212" s="1"/>
  <c r="D61" i="170"/>
  <c r="E136" i="188" l="1"/>
  <c r="E136" i="213" s="1"/>
  <c r="H92" i="165"/>
  <c r="H92" i="212" s="1"/>
  <c r="F92" i="165"/>
  <c r="F92" i="212" s="1"/>
  <c r="K68" i="165"/>
  <c r="K68" i="212" s="1"/>
  <c r="L50" i="165"/>
  <c r="L50" i="212" s="1"/>
  <c r="O50" i="165"/>
  <c r="O50" i="212" s="1"/>
  <c r="J61" i="167"/>
  <c r="I61" i="167"/>
  <c r="H61" i="167"/>
  <c r="K65" i="165"/>
  <c r="K65" i="212" s="1"/>
  <c r="K53" i="165"/>
  <c r="K53" i="212" s="1"/>
  <c r="J25" i="184"/>
  <c r="J27" i="184"/>
  <c r="H70" i="165"/>
  <c r="H70" i="212" s="1"/>
  <c r="H68" i="165"/>
  <c r="H68" i="212" s="1"/>
  <c r="H54" i="165"/>
  <c r="H54" i="212" s="1"/>
  <c r="H53" i="165"/>
  <c r="H53" i="212" s="1"/>
  <c r="G63" i="165"/>
  <c r="G63" i="212" s="1"/>
  <c r="F63" i="165"/>
  <c r="F63" i="212" s="1"/>
  <c r="G60" i="165"/>
  <c r="G60" i="212" s="1"/>
  <c r="G53" i="165"/>
  <c r="G53" i="212" s="1"/>
  <c r="G52" i="165"/>
  <c r="G52" i="212" s="1"/>
  <c r="G50" i="165"/>
  <c r="G50" i="212" s="1"/>
  <c r="G405" i="212"/>
  <c r="K405" i="165"/>
  <c r="K405" i="212" s="1"/>
  <c r="G395" i="165"/>
  <c r="G395" i="212" s="1"/>
  <c r="F395" i="165"/>
  <c r="F395" i="212" s="1"/>
  <c r="G356" i="165"/>
  <c r="G356" i="212" s="1"/>
  <c r="F356" i="165"/>
  <c r="F356" i="212" s="1"/>
  <c r="H347" i="165"/>
  <c r="H347" i="212" s="1"/>
  <c r="G347" i="165"/>
  <c r="G347" i="212" s="1"/>
  <c r="F347" i="165"/>
  <c r="F347" i="212" s="1"/>
  <c r="G322" i="165"/>
  <c r="G322" i="212" s="1"/>
  <c r="F322" i="165"/>
  <c r="F322" i="212" s="1"/>
  <c r="G287" i="165"/>
  <c r="G287" i="212" s="1"/>
  <c r="F287" i="165"/>
  <c r="F287" i="212" s="1"/>
  <c r="H258" i="165" l="1"/>
  <c r="H258" i="212" s="1"/>
  <c r="G258" i="165"/>
  <c r="G258" i="212" s="1"/>
  <c r="F258" i="165"/>
  <c r="F258" i="212" s="1"/>
  <c r="G108" i="165"/>
  <c r="G108" i="212" s="1"/>
  <c r="F108" i="165"/>
  <c r="F108" i="212" s="1"/>
  <c r="J49" i="167"/>
  <c r="I49" i="167"/>
  <c r="J41" i="167"/>
  <c r="I41" i="167"/>
  <c r="K39" i="165"/>
  <c r="K39" i="212" s="1"/>
  <c r="F27" i="165"/>
  <c r="F27" i="212" s="1"/>
  <c r="F24" i="165"/>
  <c r="F24" i="212" s="1"/>
  <c r="H40" i="167"/>
  <c r="K114" i="165"/>
  <c r="K114" i="212" s="1"/>
  <c r="K130" i="165"/>
  <c r="K130" i="212" s="1"/>
  <c r="J34" i="184"/>
  <c r="J64" i="167" l="1"/>
  <c r="I64" i="167"/>
  <c r="H64" i="167"/>
  <c r="H154" i="165" l="1"/>
  <c r="H154" i="212" s="1"/>
  <c r="K73" i="165"/>
  <c r="K73" i="212" s="1"/>
  <c r="D138" i="188"/>
  <c r="D138" i="213" s="1"/>
  <c r="E97" i="188"/>
  <c r="E97" i="213" s="1"/>
  <c r="E98" i="188"/>
  <c r="E98" i="213" s="1"/>
  <c r="E99" i="188"/>
  <c r="E99" i="213" s="1"/>
  <c r="J31" i="184" l="1"/>
  <c r="H31" i="184"/>
  <c r="K134" i="165"/>
  <c r="I33" i="184"/>
  <c r="K33" i="184" s="1"/>
  <c r="F33" i="172" l="1"/>
  <c r="F46" i="172" s="1"/>
  <c r="F32" i="172"/>
  <c r="F41" i="172" s="1"/>
  <c r="F40" i="172" s="1"/>
  <c r="E32" i="172"/>
  <c r="E41" i="172"/>
  <c r="J47" i="167" l="1"/>
  <c r="I47" i="167"/>
  <c r="H47" i="167"/>
  <c r="H37" i="167" l="1"/>
  <c r="F117" i="165" l="1"/>
  <c r="F117" i="212" s="1"/>
  <c r="E33" i="172" l="1"/>
  <c r="E46" i="172" s="1"/>
  <c r="F420" i="165"/>
  <c r="F420" i="212" s="1"/>
  <c r="D16" i="108"/>
  <c r="D15" i="108"/>
  <c r="D30" i="108"/>
  <c r="D35" i="108"/>
  <c r="O33" i="165"/>
  <c r="O33" i="212" s="1"/>
  <c r="L33" i="165"/>
  <c r="L33" i="212" s="1"/>
  <c r="H28" i="167"/>
  <c r="J153" i="167" l="1"/>
  <c r="H166" i="167"/>
  <c r="F181" i="165" l="1"/>
  <c r="F181" i="212" s="1"/>
  <c r="N156" i="165"/>
  <c r="N156" i="212" s="1"/>
  <c r="M156" i="165"/>
  <c r="M156" i="212" s="1"/>
  <c r="L156" i="165"/>
  <c r="L156" i="212" s="1"/>
  <c r="K156" i="165"/>
  <c r="K156" i="212" s="1"/>
  <c r="I156" i="165"/>
  <c r="I156" i="212" s="1"/>
  <c r="G156" i="165"/>
  <c r="G156" i="212" s="1"/>
  <c r="O158" i="165"/>
  <c r="O158" i="212" s="1"/>
  <c r="E158" i="165"/>
  <c r="E158" i="212" s="1"/>
  <c r="K194" i="165"/>
  <c r="K194" i="212" s="1"/>
  <c r="H148" i="167"/>
  <c r="G148" i="167" s="1"/>
  <c r="K154" i="165"/>
  <c r="K154" i="212" s="1"/>
  <c r="J136" i="167"/>
  <c r="I136" i="167"/>
  <c r="J147" i="167" l="1"/>
  <c r="M147" i="167" s="1"/>
  <c r="H153" i="167"/>
  <c r="J158" i="165"/>
  <c r="F156" i="165"/>
  <c r="F156" i="212" s="1"/>
  <c r="G265" i="167"/>
  <c r="P158" i="165" l="1"/>
  <c r="P158" i="212" s="1"/>
  <c r="J158" i="212"/>
  <c r="I153" i="167"/>
  <c r="J65" i="184" l="1"/>
  <c r="F314" i="165"/>
  <c r="F314" i="212" s="1"/>
  <c r="J334" i="167"/>
  <c r="I334" i="167"/>
  <c r="K379" i="165"/>
  <c r="K379" i="212" s="1"/>
  <c r="H336" i="167"/>
  <c r="H207" i="167"/>
  <c r="J264" i="167" l="1"/>
  <c r="M264" i="167" s="1"/>
  <c r="J181" i="167"/>
  <c r="I181" i="167"/>
  <c r="H181" i="167"/>
  <c r="K117" i="165"/>
  <c r="K117" i="212" s="1"/>
  <c r="J116" i="167"/>
  <c r="I116" i="167"/>
  <c r="K124" i="165"/>
  <c r="K124" i="212" s="1"/>
  <c r="J112" i="167"/>
  <c r="I112" i="167"/>
  <c r="H395" i="165"/>
  <c r="H395" i="212" s="1"/>
  <c r="N62" i="165"/>
  <c r="N62" i="212" s="1"/>
  <c r="N52" i="165"/>
  <c r="N52" i="212" s="1"/>
  <c r="M52" i="165"/>
  <c r="M52" i="212" s="1"/>
  <c r="L52" i="165"/>
  <c r="L52" i="212" s="1"/>
  <c r="N50" i="165"/>
  <c r="M50" i="165"/>
  <c r="F66" i="165"/>
  <c r="F66" i="212" s="1"/>
  <c r="G77" i="167"/>
  <c r="H74" i="167"/>
  <c r="G74" i="167" s="1"/>
  <c r="I28" i="184"/>
  <c r="H20" i="184"/>
  <c r="J101" i="167"/>
  <c r="I101" i="167"/>
  <c r="N50" i="212" l="1"/>
  <c r="M50" i="212"/>
  <c r="O52" i="165"/>
  <c r="O52" i="212" s="1"/>
  <c r="J73" i="167"/>
  <c r="M73" i="167" s="1"/>
  <c r="J76" i="167"/>
  <c r="M76" i="167" s="1"/>
  <c r="N431" i="165"/>
  <c r="M431" i="165"/>
  <c r="E112" i="188" l="1"/>
  <c r="E112" i="213" s="1"/>
  <c r="E111" i="213" s="1"/>
  <c r="C111" i="213" s="1"/>
  <c r="F105" i="188"/>
  <c r="F105" i="213" s="1"/>
  <c r="E105" i="188"/>
  <c r="E105" i="213" s="1"/>
  <c r="D92" i="188"/>
  <c r="D92" i="213" s="1"/>
  <c r="D91" i="188"/>
  <c r="D91" i="213" s="1"/>
  <c r="C83" i="188"/>
  <c r="C83" i="213" s="1"/>
  <c r="D82" i="188"/>
  <c r="D82" i="213" s="1"/>
  <c r="D21" i="188"/>
  <c r="D21" i="213" s="1"/>
  <c r="C82" i="188" l="1"/>
  <c r="C82" i="213" s="1"/>
  <c r="J53" i="167" l="1"/>
  <c r="I53" i="167"/>
  <c r="H51" i="167"/>
  <c r="J29" i="167"/>
  <c r="O24" i="165"/>
  <c r="O24" i="212" s="1"/>
  <c r="N23" i="165"/>
  <c r="N23" i="212" s="1"/>
  <c r="M23" i="165"/>
  <c r="M23" i="212" s="1"/>
  <c r="L23" i="165"/>
  <c r="L23" i="212" s="1"/>
  <c r="K23" i="165"/>
  <c r="K23" i="212" s="1"/>
  <c r="I23" i="165"/>
  <c r="I23" i="212" s="1"/>
  <c r="H23" i="165"/>
  <c r="H23" i="212" s="1"/>
  <c r="G23" i="165"/>
  <c r="G23" i="212" s="1"/>
  <c r="F23" i="165"/>
  <c r="F23" i="212" s="1"/>
  <c r="E24" i="165"/>
  <c r="E24" i="212" s="1"/>
  <c r="J42" i="184"/>
  <c r="J38" i="184" s="1"/>
  <c r="G38" i="167"/>
  <c r="N22" i="165" l="1"/>
  <c r="N22" i="212" s="1"/>
  <c r="M22" i="165"/>
  <c r="M22" i="212" s="1"/>
  <c r="I22" i="165"/>
  <c r="I22" i="212" s="1"/>
  <c r="E23" i="165"/>
  <c r="E23" i="212" s="1"/>
  <c r="G22" i="165"/>
  <c r="G22" i="212" s="1"/>
  <c r="K22" i="165"/>
  <c r="K22" i="212" s="1"/>
  <c r="F22" i="165"/>
  <c r="F22" i="212" s="1"/>
  <c r="O23" i="165"/>
  <c r="O23" i="212" s="1"/>
  <c r="H22" i="165"/>
  <c r="H22" i="212" s="1"/>
  <c r="L22" i="165"/>
  <c r="L22" i="212" s="1"/>
  <c r="H29" i="167"/>
  <c r="J24" i="165"/>
  <c r="J24" i="212" s="1"/>
  <c r="O22" i="165" l="1"/>
  <c r="O22" i="212" s="1"/>
  <c r="J23" i="165"/>
  <c r="J23" i="212" s="1"/>
  <c r="I29" i="167"/>
  <c r="G29" i="167" s="1"/>
  <c r="E22" i="165"/>
  <c r="E22" i="212" s="1"/>
  <c r="P24" i="165"/>
  <c r="P24" i="212" s="1"/>
  <c r="J22" i="165" l="1"/>
  <c r="J22" i="212" s="1"/>
  <c r="P23" i="165"/>
  <c r="P23" i="212" s="1"/>
  <c r="D124" i="188"/>
  <c r="D124" i="213" s="1"/>
  <c r="E100" i="188"/>
  <c r="E100" i="213" s="1"/>
  <c r="F94" i="188"/>
  <c r="F94" i="213" s="1"/>
  <c r="E94" i="188"/>
  <c r="E94" i="213" s="1"/>
  <c r="D45" i="188"/>
  <c r="D45" i="213" s="1"/>
  <c r="D44" i="188"/>
  <c r="D44" i="213" s="1"/>
  <c r="D43" i="188"/>
  <c r="D43" i="213" s="1"/>
  <c r="P22" i="165" l="1"/>
  <c r="P22" i="212" s="1"/>
  <c r="K388" i="165"/>
  <c r="K388" i="212" s="1"/>
  <c r="F388" i="165"/>
  <c r="F388" i="212" s="1"/>
  <c r="K375" i="165"/>
  <c r="K375" i="212" s="1"/>
  <c r="F375" i="165"/>
  <c r="F375" i="212" s="1"/>
  <c r="K376" i="165"/>
  <c r="K376" i="212" s="1"/>
  <c r="F376" i="165"/>
  <c r="F376" i="212" s="1"/>
  <c r="N374" i="165"/>
  <c r="N374" i="212" s="1"/>
  <c r="M374" i="165"/>
  <c r="M374" i="212" s="1"/>
  <c r="L374" i="165"/>
  <c r="L374" i="212" s="1"/>
  <c r="I374" i="165"/>
  <c r="I374" i="212" s="1"/>
  <c r="H374" i="165"/>
  <c r="H374" i="212" s="1"/>
  <c r="G374" i="165"/>
  <c r="G374" i="212" s="1"/>
  <c r="K383" i="165"/>
  <c r="K383" i="212" s="1"/>
  <c r="F383" i="165"/>
  <c r="F383" i="212" s="1"/>
  <c r="G334" i="167"/>
  <c r="M333" i="167"/>
  <c r="K225" i="165"/>
  <c r="K225" i="212" s="1"/>
  <c r="D62" i="170"/>
  <c r="D48" i="170"/>
  <c r="D42" i="170"/>
  <c r="D21" i="170"/>
  <c r="D17" i="170" s="1"/>
  <c r="J332" i="167" l="1"/>
  <c r="F374" i="165"/>
  <c r="F374" i="212" s="1"/>
  <c r="E376" i="165"/>
  <c r="E376" i="212" s="1"/>
  <c r="H332" i="167"/>
  <c r="K374" i="165"/>
  <c r="K374" i="212" s="1"/>
  <c r="O376" i="165"/>
  <c r="O376" i="212" s="1"/>
  <c r="F151" i="165"/>
  <c r="F151" i="212" s="1"/>
  <c r="J376" i="165" l="1"/>
  <c r="J376" i="212" s="1"/>
  <c r="I42" i="184"/>
  <c r="K42" i="184" s="1"/>
  <c r="E192" i="165"/>
  <c r="E192" i="212" s="1"/>
  <c r="F349" i="165"/>
  <c r="F349" i="212" s="1"/>
  <c r="F15" i="197"/>
  <c r="F19" i="197"/>
  <c r="F16" i="197"/>
  <c r="I119" i="184"/>
  <c r="H103" i="184"/>
  <c r="L113" i="184"/>
  <c r="I113" i="184"/>
  <c r="J112" i="184"/>
  <c r="J223" i="167"/>
  <c r="I223" i="167"/>
  <c r="F281" i="165"/>
  <c r="F281" i="212" s="1"/>
  <c r="G231" i="167"/>
  <c r="J230" i="167"/>
  <c r="I64" i="184"/>
  <c r="K64" i="184" s="1"/>
  <c r="H57" i="184"/>
  <c r="I101" i="184"/>
  <c r="K101" i="184" s="1"/>
  <c r="I97" i="184"/>
  <c r="F303" i="165"/>
  <c r="F303" i="212" s="1"/>
  <c r="J123" i="167"/>
  <c r="N123" i="165"/>
  <c r="N123" i="212" s="1"/>
  <c r="M123" i="165"/>
  <c r="M123" i="212" s="1"/>
  <c r="L123" i="165"/>
  <c r="L123" i="212" s="1"/>
  <c r="K123" i="165"/>
  <c r="K123" i="212" s="1"/>
  <c r="I123" i="165"/>
  <c r="I123" i="212" s="1"/>
  <c r="H123" i="165"/>
  <c r="H123" i="212" s="1"/>
  <c r="G123" i="165"/>
  <c r="G123" i="212" s="1"/>
  <c r="F123" i="165"/>
  <c r="F123" i="212" s="1"/>
  <c r="O124" i="165"/>
  <c r="O124" i="212" s="1"/>
  <c r="E124" i="165"/>
  <c r="E124" i="212" s="1"/>
  <c r="L62" i="165"/>
  <c r="L62" i="212" s="1"/>
  <c r="M62" i="165"/>
  <c r="M62" i="212" s="1"/>
  <c r="J63" i="167"/>
  <c r="H48" i="167"/>
  <c r="H54" i="167"/>
  <c r="G54" i="167" s="1"/>
  <c r="C136" i="188"/>
  <c r="C136" i="213" s="1"/>
  <c r="D125" i="188"/>
  <c r="D125" i="213" s="1"/>
  <c r="M37" i="167" l="1"/>
  <c r="O123" i="165"/>
  <c r="O123" i="212" s="1"/>
  <c r="I332" i="167"/>
  <c r="G332" i="167" s="1"/>
  <c r="P376" i="165"/>
  <c r="P376" i="212" s="1"/>
  <c r="E123" i="165"/>
  <c r="E123" i="212" s="1"/>
  <c r="H123" i="167"/>
  <c r="J124" i="165"/>
  <c r="J124" i="212" s="1"/>
  <c r="J21" i="184"/>
  <c r="J20" i="184" s="1"/>
  <c r="J123" i="165" l="1"/>
  <c r="J123" i="212" s="1"/>
  <c r="I123" i="167"/>
  <c r="G123" i="167" s="1"/>
  <c r="P124" i="165"/>
  <c r="P124" i="212" s="1"/>
  <c r="C18" i="188"/>
  <c r="C18" i="213" s="1"/>
  <c r="P123" i="165" l="1"/>
  <c r="P123" i="212" s="1"/>
  <c r="F26" i="172"/>
  <c r="J27" i="107" l="1"/>
  <c r="I27" i="107"/>
  <c r="H27" i="107"/>
  <c r="G27" i="107"/>
  <c r="F27" i="107"/>
  <c r="F25" i="107"/>
  <c r="N28" i="107"/>
  <c r="N27" i="107" s="1"/>
  <c r="P28" i="107"/>
  <c r="P27" i="107" s="1"/>
  <c r="M28" i="107"/>
  <c r="Q28" i="107" s="1"/>
  <c r="Q27" i="107" s="1"/>
  <c r="P26" i="107"/>
  <c r="J48" i="167"/>
  <c r="M45" i="167" s="1"/>
  <c r="I48" i="167"/>
  <c r="I86" i="184"/>
  <c r="I85" i="184"/>
  <c r="I84" i="184"/>
  <c r="I83" i="184"/>
  <c r="I76" i="184"/>
  <c r="K27" i="107" l="1"/>
  <c r="L27" i="107"/>
  <c r="M27" i="107"/>
  <c r="F24" i="107"/>
  <c r="O28" i="107"/>
  <c r="O27" i="107" s="1"/>
  <c r="J57" i="184"/>
  <c r="I50" i="184"/>
  <c r="K50" i="184" s="1"/>
  <c r="K293" i="165"/>
  <c r="K293" i="212" s="1"/>
  <c r="J239" i="167"/>
  <c r="I239" i="167"/>
  <c r="K268" i="165"/>
  <c r="K268" i="212" s="1"/>
  <c r="I66" i="184" l="1"/>
  <c r="I65" i="184"/>
  <c r="I26" i="184"/>
  <c r="I27" i="184"/>
  <c r="K27" i="184" s="1"/>
  <c r="I57" i="184" l="1"/>
  <c r="I22" i="184"/>
  <c r="I25" i="184"/>
  <c r="K25" i="184" s="1"/>
  <c r="I24" i="184"/>
  <c r="I21" i="184"/>
  <c r="K21" i="184" s="1"/>
  <c r="I20" i="184" l="1"/>
  <c r="J97" i="167"/>
  <c r="J96" i="167"/>
  <c r="E87" i="165"/>
  <c r="E87" i="212" s="1"/>
  <c r="O86" i="165"/>
  <c r="O86" i="212" s="1"/>
  <c r="E86" i="165"/>
  <c r="E86" i="212" s="1"/>
  <c r="N85" i="165"/>
  <c r="N85" i="212" s="1"/>
  <c r="M85" i="165"/>
  <c r="M85" i="212" s="1"/>
  <c r="L85" i="165"/>
  <c r="K85" i="165"/>
  <c r="K85" i="212" s="1"/>
  <c r="I85" i="165"/>
  <c r="I85" i="212" s="1"/>
  <c r="H85" i="165"/>
  <c r="H85" i="212" s="1"/>
  <c r="G85" i="165"/>
  <c r="G85" i="212" s="1"/>
  <c r="F85" i="165"/>
  <c r="F85" i="212" s="1"/>
  <c r="G65" i="165"/>
  <c r="G65" i="212" s="1"/>
  <c r="L85" i="212" l="1"/>
  <c r="H97" i="167"/>
  <c r="H96" i="167"/>
  <c r="J87" i="165"/>
  <c r="J87" i="212" s="1"/>
  <c r="O85" i="165"/>
  <c r="O85" i="212" s="1"/>
  <c r="J86" i="165"/>
  <c r="J86" i="212" s="1"/>
  <c r="E85" i="165"/>
  <c r="E85" i="212" s="1"/>
  <c r="I34" i="184"/>
  <c r="I31" i="184" s="1"/>
  <c r="I97" i="167" l="1"/>
  <c r="G97" i="167" s="1"/>
  <c r="P87" i="165"/>
  <c r="P87" i="212" s="1"/>
  <c r="P86" i="165"/>
  <c r="I96" i="167"/>
  <c r="G96" i="167" s="1"/>
  <c r="J85" i="165"/>
  <c r="J85" i="212" s="1"/>
  <c r="F239" i="165"/>
  <c r="F239" i="212" s="1"/>
  <c r="P85" i="165" l="1"/>
  <c r="P85" i="212" s="1"/>
  <c r="P86" i="212"/>
  <c r="F145" i="165"/>
  <c r="F145" i="212" s="1"/>
  <c r="I40" i="184" l="1"/>
  <c r="I38" i="184" s="1"/>
  <c r="I39" i="184"/>
  <c r="K39" i="184" l="1"/>
  <c r="I122" i="184"/>
  <c r="I112" i="184"/>
  <c r="I111" i="184"/>
  <c r="I110" i="184"/>
  <c r="K408" i="165"/>
  <c r="K408" i="212" s="1"/>
  <c r="H156" i="165" l="1"/>
  <c r="H156" i="212" s="1"/>
  <c r="J103" i="184"/>
  <c r="I109" i="184"/>
  <c r="M336" i="167"/>
  <c r="G335" i="167"/>
  <c r="H25" i="167"/>
  <c r="G28" i="167" l="1"/>
  <c r="D30" i="170" l="1"/>
  <c r="D14" i="170"/>
  <c r="D71" i="188"/>
  <c r="D71" i="213" s="1"/>
  <c r="C89" i="188"/>
  <c r="C89" i="213" s="1"/>
  <c r="C76" i="188"/>
  <c r="C76" i="213" s="1"/>
  <c r="C75" i="188"/>
  <c r="C75" i="213" s="1"/>
  <c r="C28" i="188"/>
  <c r="C28" i="213" s="1"/>
  <c r="D27" i="188"/>
  <c r="D27" i="213" s="1"/>
  <c r="D17" i="188"/>
  <c r="D17" i="213" s="1"/>
  <c r="C23" i="188"/>
  <c r="C23" i="213" s="1"/>
  <c r="C22" i="188"/>
  <c r="C22" i="213" s="1"/>
  <c r="C71" i="188" l="1"/>
  <c r="C71" i="213" s="1"/>
  <c r="O208" i="165"/>
  <c r="O208" i="212" s="1"/>
  <c r="L208" i="165"/>
  <c r="L208" i="212" s="1"/>
  <c r="O201" i="165"/>
  <c r="O201" i="212" s="1"/>
  <c r="L201" i="165"/>
  <c r="L201" i="212" s="1"/>
  <c r="O205" i="165"/>
  <c r="O205" i="212" s="1"/>
  <c r="L205" i="165"/>
  <c r="L205" i="212" s="1"/>
  <c r="H208" i="165"/>
  <c r="H208" i="212" s="1"/>
  <c r="H205" i="165"/>
  <c r="H205" i="212" s="1"/>
  <c r="H204" i="165"/>
  <c r="H204" i="212" s="1"/>
  <c r="H203" i="165"/>
  <c r="H203" i="212" s="1"/>
  <c r="H201" i="165"/>
  <c r="H201" i="212" s="1"/>
  <c r="J48" i="184"/>
  <c r="H48" i="184"/>
  <c r="I48" i="184"/>
  <c r="O234" i="165"/>
  <c r="O234" i="212" s="1"/>
  <c r="L234" i="165"/>
  <c r="L234" i="212" s="1"/>
  <c r="H225" i="165"/>
  <c r="H225" i="212" s="1"/>
  <c r="D108" i="170"/>
  <c r="O84" i="165"/>
  <c r="O84" i="212" s="1"/>
  <c r="O60" i="165"/>
  <c r="O60" i="212" s="1"/>
  <c r="K54" i="165"/>
  <c r="K54" i="212" s="1"/>
  <c r="F69" i="165"/>
  <c r="F69" i="212" s="1"/>
  <c r="L183" i="165"/>
  <c r="L183" i="212" s="1"/>
  <c r="O62" i="165" l="1"/>
  <c r="O62" i="212" s="1"/>
  <c r="O154" i="165"/>
  <c r="O154" i="212" s="1"/>
  <c r="N154" i="165"/>
  <c r="N154" i="212" s="1"/>
  <c r="O183" i="165"/>
  <c r="O183" i="212" s="1"/>
  <c r="N183" i="165"/>
  <c r="N183" i="212" s="1"/>
  <c r="G155" i="165" l="1"/>
  <c r="G155" i="212" s="1"/>
  <c r="D21" i="172"/>
  <c r="J362" i="167"/>
  <c r="I26" i="107"/>
  <c r="I25" i="107" s="1"/>
  <c r="I24" i="107" s="1"/>
  <c r="G136" i="167"/>
  <c r="O408" i="165" l="1"/>
  <c r="O408" i="212" s="1"/>
  <c r="O399" i="165" l="1"/>
  <c r="O399" i="212" s="1"/>
  <c r="L399" i="165"/>
  <c r="L399" i="212" s="1"/>
  <c r="M260" i="167"/>
  <c r="I121" i="184"/>
  <c r="I103" i="184" s="1"/>
  <c r="K121" i="184" l="1"/>
  <c r="J286" i="167"/>
  <c r="H314" i="165" l="1"/>
  <c r="H314" i="212" s="1"/>
  <c r="J242" i="167"/>
  <c r="J238" i="167"/>
  <c r="G239" i="167"/>
  <c r="J246" i="167"/>
  <c r="O281" i="165"/>
  <c r="O281" i="212" s="1"/>
  <c r="E281" i="165"/>
  <c r="E281" i="212" s="1"/>
  <c r="M241" i="167"/>
  <c r="G236" i="167"/>
  <c r="H246" i="167" l="1"/>
  <c r="J281" i="165"/>
  <c r="J281" i="212" s="1"/>
  <c r="I246" i="167" l="1"/>
  <c r="G246" i="167" s="1"/>
  <c r="P281" i="165"/>
  <c r="P281" i="212" s="1"/>
  <c r="K65" i="184" l="1"/>
  <c r="G109" i="167" l="1"/>
  <c r="K26" i="184" l="1"/>
  <c r="K112" i="184" l="1"/>
  <c r="K111" i="184"/>
  <c r="K110" i="184"/>
  <c r="K109" i="184"/>
  <c r="J58" i="184"/>
  <c r="G240" i="167"/>
  <c r="H337" i="167"/>
  <c r="J87" i="184" l="1"/>
  <c r="O318" i="165" l="1"/>
  <c r="O318" i="212" s="1"/>
  <c r="E318" i="165"/>
  <c r="E318" i="212" s="1"/>
  <c r="N317" i="165"/>
  <c r="N317" i="212" s="1"/>
  <c r="M317" i="165"/>
  <c r="M317" i="212" s="1"/>
  <c r="L317" i="165"/>
  <c r="L317" i="212" s="1"/>
  <c r="K317" i="165"/>
  <c r="K317" i="212" s="1"/>
  <c r="I317" i="165"/>
  <c r="I317" i="212" s="1"/>
  <c r="H317" i="165"/>
  <c r="H317" i="212" s="1"/>
  <c r="G317" i="165"/>
  <c r="G317" i="212" s="1"/>
  <c r="F317" i="165"/>
  <c r="F317" i="212" s="1"/>
  <c r="F111" i="188"/>
  <c r="D111" i="188"/>
  <c r="D107" i="188"/>
  <c r="D107" i="213" s="1"/>
  <c r="H316" i="165" l="1"/>
  <c r="H316" i="212" s="1"/>
  <c r="M316" i="165"/>
  <c r="M316" i="212" s="1"/>
  <c r="F316" i="165"/>
  <c r="F316" i="212" s="1"/>
  <c r="K316" i="165"/>
  <c r="K316" i="212" s="1"/>
  <c r="H288" i="167"/>
  <c r="N316" i="165"/>
  <c r="N316" i="212" s="1"/>
  <c r="I316" i="165"/>
  <c r="I316" i="212" s="1"/>
  <c r="G316" i="165"/>
  <c r="G316" i="212" s="1"/>
  <c r="L316" i="165"/>
  <c r="L316" i="212" s="1"/>
  <c r="J318" i="165"/>
  <c r="D106" i="188"/>
  <c r="D106" i="213" s="1"/>
  <c r="O317" i="165"/>
  <c r="O317" i="212" s="1"/>
  <c r="E317" i="165"/>
  <c r="E317" i="212" s="1"/>
  <c r="J318" i="212" l="1"/>
  <c r="I288" i="167"/>
  <c r="G288" i="167"/>
  <c r="P318" i="165"/>
  <c r="P318" i="212" s="1"/>
  <c r="E106" i="170"/>
  <c r="O316" i="165"/>
  <c r="O316" i="212" s="1"/>
  <c r="P317" i="165"/>
  <c r="P317" i="212" s="1"/>
  <c r="E316" i="165"/>
  <c r="E316" i="212" s="1"/>
  <c r="J317" i="165"/>
  <c r="J317" i="212" s="1"/>
  <c r="C53" i="172"/>
  <c r="C52" i="172" s="1"/>
  <c r="C51" i="172"/>
  <c r="C50" i="172" s="1"/>
  <c r="F52" i="172"/>
  <c r="E52" i="172"/>
  <c r="F50" i="172"/>
  <c r="E50" i="172"/>
  <c r="D50" i="172"/>
  <c r="D23" i="172"/>
  <c r="F21" i="172"/>
  <c r="E21" i="172"/>
  <c r="F23" i="172"/>
  <c r="E23" i="172"/>
  <c r="J316" i="165" l="1"/>
  <c r="J316" i="212" s="1"/>
  <c r="P316" i="165"/>
  <c r="P316" i="212" s="1"/>
  <c r="F20" i="172"/>
  <c r="E49" i="172"/>
  <c r="D20" i="172"/>
  <c r="C22" i="172"/>
  <c r="C21" i="172" s="1"/>
  <c r="F49" i="172"/>
  <c r="D52" i="172"/>
  <c r="D49" i="172" s="1"/>
  <c r="C49" i="172"/>
  <c r="E20" i="172"/>
  <c r="C24" i="172"/>
  <c r="C23" i="172" s="1"/>
  <c r="J115" i="184"/>
  <c r="J117" i="184"/>
  <c r="J104" i="184"/>
  <c r="I104" i="184" s="1"/>
  <c r="H106" i="184"/>
  <c r="J106" i="184"/>
  <c r="I106" i="184" s="1"/>
  <c r="G304" i="167"/>
  <c r="J95" i="167"/>
  <c r="F82" i="165"/>
  <c r="F82" i="212" s="1"/>
  <c r="G82" i="165"/>
  <c r="G82" i="212" s="1"/>
  <c r="H82" i="165"/>
  <c r="H82" i="212" s="1"/>
  <c r="I82" i="165"/>
  <c r="I82" i="212" s="1"/>
  <c r="L82" i="165"/>
  <c r="L82" i="212" s="1"/>
  <c r="M82" i="165"/>
  <c r="M82" i="212" s="1"/>
  <c r="N82" i="165"/>
  <c r="N82" i="212" s="1"/>
  <c r="E84" i="165"/>
  <c r="E84" i="212" s="1"/>
  <c r="O83" i="165"/>
  <c r="O83" i="212" s="1"/>
  <c r="E83" i="165"/>
  <c r="E83" i="212" s="1"/>
  <c r="I23" i="184"/>
  <c r="C20" i="172" l="1"/>
  <c r="K23" i="184"/>
  <c r="K22" i="184"/>
  <c r="O82" i="165"/>
  <c r="O82" i="212" s="1"/>
  <c r="H95" i="167"/>
  <c r="K82" i="165"/>
  <c r="K82" i="212" s="1"/>
  <c r="E82" i="165"/>
  <c r="E82" i="212" s="1"/>
  <c r="H94" i="167"/>
  <c r="J83" i="165"/>
  <c r="J83" i="212" s="1"/>
  <c r="J84" i="165"/>
  <c r="J84" i="212" s="1"/>
  <c r="J94" i="167"/>
  <c r="P83" i="165" l="1"/>
  <c r="P83" i="212" s="1"/>
  <c r="P84" i="165"/>
  <c r="P84" i="212" s="1"/>
  <c r="J82" i="165"/>
  <c r="J82" i="212" s="1"/>
  <c r="I95" i="167"/>
  <c r="G95" i="167" s="1"/>
  <c r="I94" i="167"/>
  <c r="G94" i="167" s="1"/>
  <c r="K40" i="184"/>
  <c r="G225" i="167"/>
  <c r="J98" i="184"/>
  <c r="J96" i="184"/>
  <c r="J95" i="184"/>
  <c r="J94" i="184"/>
  <c r="H77" i="184"/>
  <c r="J77" i="184"/>
  <c r="J75" i="184"/>
  <c r="J71" i="184"/>
  <c r="P82" i="165" l="1"/>
  <c r="P82" i="212" s="1"/>
  <c r="G270" i="167"/>
  <c r="G269" i="167"/>
  <c r="E213" i="165" l="1"/>
  <c r="E213" i="212" s="1"/>
  <c r="G258" i="167" l="1"/>
  <c r="J319" i="167" l="1"/>
  <c r="G291" i="167"/>
  <c r="G57" i="167"/>
  <c r="G37" i="167" l="1"/>
  <c r="J228" i="167" l="1"/>
  <c r="I228" i="167"/>
  <c r="H228" i="167"/>
  <c r="F266" i="165"/>
  <c r="F266" i="212" s="1"/>
  <c r="G237" i="167" l="1"/>
  <c r="E55" i="172"/>
  <c r="J35" i="184"/>
  <c r="J151" i="167" l="1"/>
  <c r="G152" i="167"/>
  <c r="H363" i="167"/>
  <c r="J363" i="167"/>
  <c r="J359" i="167" s="1"/>
  <c r="I363" i="167"/>
  <c r="K98" i="184"/>
  <c r="K97" i="184"/>
  <c r="K96" i="184"/>
  <c r="K95" i="184"/>
  <c r="K94" i="184"/>
  <c r="J93" i="184"/>
  <c r="J80" i="184"/>
  <c r="J79" i="184"/>
  <c r="J78" i="184"/>
  <c r="I58" i="184"/>
  <c r="K58" i="184" s="1"/>
  <c r="G278" i="167"/>
  <c r="O294" i="165"/>
  <c r="O294" i="212" s="1"/>
  <c r="E294" i="165"/>
  <c r="E294" i="212" s="1"/>
  <c r="N291" i="165"/>
  <c r="N291" i="212" s="1"/>
  <c r="M291" i="165"/>
  <c r="M291" i="212" s="1"/>
  <c r="L291" i="165"/>
  <c r="L291" i="212" s="1"/>
  <c r="K291" i="165"/>
  <c r="K291" i="212" s="1"/>
  <c r="I291" i="165"/>
  <c r="I291" i="212" s="1"/>
  <c r="H291" i="165"/>
  <c r="H291" i="212" s="1"/>
  <c r="G291" i="165"/>
  <c r="G291" i="212" s="1"/>
  <c r="F291" i="165"/>
  <c r="F291" i="212" s="1"/>
  <c r="G243" i="167"/>
  <c r="G232" i="167"/>
  <c r="J229" i="167"/>
  <c r="G228" i="167"/>
  <c r="I71" i="184"/>
  <c r="K71" i="184" s="1"/>
  <c r="G52" i="167"/>
  <c r="D93" i="170"/>
  <c r="G27" i="167"/>
  <c r="M32" i="167"/>
  <c r="G32" i="167"/>
  <c r="O30" i="165"/>
  <c r="O30" i="212" s="1"/>
  <c r="E30" i="165"/>
  <c r="E30" i="212" s="1"/>
  <c r="J294" i="165" l="1"/>
  <c r="J294" i="212" s="1"/>
  <c r="H256" i="167"/>
  <c r="G256" i="167" s="1"/>
  <c r="K32" i="167"/>
  <c r="J30" i="165"/>
  <c r="J30" i="212" s="1"/>
  <c r="G363" i="167"/>
  <c r="P294" i="165" l="1"/>
  <c r="P294" i="212" s="1"/>
  <c r="P30" i="165"/>
  <c r="P30" i="212" s="1"/>
  <c r="L32" i="167"/>
  <c r="G21" i="167"/>
  <c r="J93" i="167" l="1"/>
  <c r="J92" i="167"/>
  <c r="C152" i="188" l="1"/>
  <c r="D117" i="188"/>
  <c r="D117" i="213" s="1"/>
  <c r="C110" i="188"/>
  <c r="F107" i="188"/>
  <c r="F107" i="213" s="1"/>
  <c r="E107" i="188"/>
  <c r="E107" i="213" s="1"/>
  <c r="C117" i="188" l="1"/>
  <c r="C117" i="213" s="1"/>
  <c r="G303" i="167" l="1"/>
  <c r="G298" i="167"/>
  <c r="J120" i="184"/>
  <c r="H108" i="184"/>
  <c r="H107" i="184"/>
  <c r="J116" i="184"/>
  <c r="J105" i="184"/>
  <c r="J108" i="184"/>
  <c r="I108" i="184" s="1"/>
  <c r="J107" i="184"/>
  <c r="I107" i="184" s="1"/>
  <c r="G299" i="167" l="1"/>
  <c r="N79" i="165" l="1"/>
  <c r="N79" i="212" s="1"/>
  <c r="M79" i="165"/>
  <c r="M79" i="212" s="1"/>
  <c r="L79" i="165"/>
  <c r="L79" i="212" s="1"/>
  <c r="K79" i="165"/>
  <c r="K79" i="212" s="1"/>
  <c r="I79" i="165"/>
  <c r="I79" i="212" s="1"/>
  <c r="H79" i="165"/>
  <c r="H79" i="212" s="1"/>
  <c r="G79" i="165"/>
  <c r="G79" i="212" s="1"/>
  <c r="F79" i="165"/>
  <c r="F79" i="212" s="1"/>
  <c r="O81" i="165"/>
  <c r="O81" i="212" s="1"/>
  <c r="E81" i="165"/>
  <c r="E81" i="212" s="1"/>
  <c r="O80" i="165"/>
  <c r="O80" i="212" s="1"/>
  <c r="E80" i="165"/>
  <c r="E80" i="212" s="1"/>
  <c r="H93" i="167" l="1"/>
  <c r="H92" i="167"/>
  <c r="E79" i="165"/>
  <c r="E79" i="212" s="1"/>
  <c r="J81" i="165"/>
  <c r="J81" i="212" s="1"/>
  <c r="J80" i="165"/>
  <c r="J80" i="212" s="1"/>
  <c r="O79" i="165"/>
  <c r="O79" i="212" s="1"/>
  <c r="P81" i="165" l="1"/>
  <c r="P81" i="212" s="1"/>
  <c r="P80" i="165"/>
  <c r="P80" i="212" s="1"/>
  <c r="J79" i="165"/>
  <c r="J79" i="212" s="1"/>
  <c r="I92" i="167"/>
  <c r="G92" i="167" s="1"/>
  <c r="I93" i="167"/>
  <c r="G93" i="167" s="1"/>
  <c r="J327" i="167"/>
  <c r="J183" i="167"/>
  <c r="G201" i="167"/>
  <c r="G184" i="167"/>
  <c r="G179" i="167"/>
  <c r="J178" i="167"/>
  <c r="G150" i="167"/>
  <c r="G165" i="167"/>
  <c r="J115" i="167"/>
  <c r="G116" i="167"/>
  <c r="G112" i="167"/>
  <c r="P79" i="165" l="1"/>
  <c r="P79" i="212" s="1"/>
  <c r="D87" i="170"/>
  <c r="J149" i="167"/>
  <c r="J200" i="167"/>
  <c r="D94" i="170" l="1"/>
  <c r="G65" i="167"/>
  <c r="J111" i="167" l="1"/>
  <c r="J209" i="167"/>
  <c r="O237" i="165"/>
  <c r="O237" i="212" s="1"/>
  <c r="E237" i="165"/>
  <c r="E237" i="212" s="1"/>
  <c r="N236" i="165"/>
  <c r="N236" i="212" s="1"/>
  <c r="M236" i="165"/>
  <c r="M236" i="212" s="1"/>
  <c r="L236" i="165"/>
  <c r="L236" i="212" s="1"/>
  <c r="K236" i="165"/>
  <c r="K236" i="212" s="1"/>
  <c r="I236" i="165"/>
  <c r="I236" i="212" s="1"/>
  <c r="H236" i="165"/>
  <c r="H236" i="212" s="1"/>
  <c r="G236" i="165"/>
  <c r="G236" i="212" s="1"/>
  <c r="F236" i="165"/>
  <c r="F236" i="212" s="1"/>
  <c r="O236" i="165" l="1"/>
  <c r="O236" i="212" s="1"/>
  <c r="J237" i="165"/>
  <c r="J237" i="212" s="1"/>
  <c r="H209" i="167"/>
  <c r="E236" i="165"/>
  <c r="E236" i="212" s="1"/>
  <c r="J161" i="184"/>
  <c r="J133" i="197"/>
  <c r="I161" i="184"/>
  <c r="I133" i="197"/>
  <c r="H161" i="184"/>
  <c r="H133" i="197"/>
  <c r="G161" i="184"/>
  <c r="G142" i="108"/>
  <c r="G133" i="197"/>
  <c r="C151" i="188"/>
  <c r="C151" i="213" s="1"/>
  <c r="D140" i="184"/>
  <c r="D121" i="108"/>
  <c r="D112" i="197"/>
  <c r="J89" i="184"/>
  <c r="I89" i="184" s="1"/>
  <c r="P237" i="165" l="1"/>
  <c r="P237" i="212" s="1"/>
  <c r="J236" i="165"/>
  <c r="J236" i="212" s="1"/>
  <c r="I209" i="167"/>
  <c r="G209" i="167" s="1"/>
  <c r="P236" i="165" l="1"/>
  <c r="P236" i="212" s="1"/>
  <c r="O26" i="107"/>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J280" i="167"/>
  <c r="I280" i="167"/>
  <c r="J275" i="167"/>
  <c r="I275"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M279" i="167"/>
  <c r="I20" i="107"/>
  <c r="G268" i="167"/>
  <c r="J156" i="167" l="1"/>
  <c r="M156" i="167" s="1"/>
  <c r="G158" i="167"/>
  <c r="G169" i="167" l="1"/>
  <c r="I120" i="184" l="1"/>
  <c r="I118" i="184"/>
  <c r="I116" i="184"/>
  <c r="L120" i="184"/>
  <c r="L118" i="184"/>
  <c r="L116" i="184"/>
  <c r="L108" i="184"/>
  <c r="L107" i="184"/>
  <c r="K108" i="184" l="1"/>
  <c r="K107" i="184"/>
  <c r="L106" i="184" l="1"/>
  <c r="L115" i="184"/>
  <c r="I115" i="184"/>
  <c r="D16" i="170" l="1"/>
  <c r="D115" i="188"/>
  <c r="C116" i="188"/>
  <c r="C115" i="188" l="1"/>
  <c r="I93" i="184"/>
  <c r="K93" i="184" s="1"/>
  <c r="I92" i="184"/>
  <c r="G168" i="167"/>
  <c r="J215" i="167" l="1"/>
  <c r="O250" i="165"/>
  <c r="O250" i="212" s="1"/>
  <c r="E250" i="165"/>
  <c r="E250" i="212" s="1"/>
  <c r="N249" i="165"/>
  <c r="N249" i="212" s="1"/>
  <c r="M249" i="165"/>
  <c r="M249" i="212" s="1"/>
  <c r="L249" i="165"/>
  <c r="L249" i="212" s="1"/>
  <c r="K249" i="165"/>
  <c r="K249" i="212" s="1"/>
  <c r="I249" i="165"/>
  <c r="I249" i="212" s="1"/>
  <c r="H249" i="165"/>
  <c r="H249" i="212" s="1"/>
  <c r="G249" i="165"/>
  <c r="G249" i="212" s="1"/>
  <c r="F249" i="165"/>
  <c r="F249" i="212" s="1"/>
  <c r="K248" i="165"/>
  <c r="K248" i="212" s="1"/>
  <c r="G328" i="167"/>
  <c r="O371" i="165"/>
  <c r="E371" i="165"/>
  <c r="N370" i="165"/>
  <c r="M370" i="165"/>
  <c r="L370" i="165"/>
  <c r="K370" i="165"/>
  <c r="I370" i="165"/>
  <c r="H370" i="165"/>
  <c r="G370" i="165"/>
  <c r="F370" i="165"/>
  <c r="H215" i="167" l="1"/>
  <c r="J250" i="165"/>
  <c r="J250" i="212" s="1"/>
  <c r="E85" i="170"/>
  <c r="E370" i="165"/>
  <c r="O370" i="165"/>
  <c r="J371" i="165"/>
  <c r="G55" i="167"/>
  <c r="P250" i="165" l="1"/>
  <c r="P250" i="212" s="1"/>
  <c r="J370" i="165"/>
  <c r="I215" i="167"/>
  <c r="G215" i="167" s="1"/>
  <c r="P371" i="165"/>
  <c r="P370" i="165" l="1"/>
  <c r="G271" i="167" l="1"/>
  <c r="G280" i="167"/>
  <c r="G279" i="167"/>
  <c r="G277" i="167"/>
  <c r="G276" i="167"/>
  <c r="G275" i="167"/>
  <c r="G255" i="167"/>
  <c r="G274" i="167"/>
  <c r="G273" i="167"/>
  <c r="G272" i="167"/>
  <c r="I69" i="184"/>
  <c r="K69" i="184" s="1"/>
  <c r="I73" i="184"/>
  <c r="K89" i="184"/>
  <c r="I88" i="184"/>
  <c r="K88" i="184" s="1"/>
  <c r="I87" i="184"/>
  <c r="K87" i="184" s="1"/>
  <c r="J82" i="184"/>
  <c r="J81" i="184"/>
  <c r="M223" i="167"/>
  <c r="G53" i="167"/>
  <c r="I75" i="184" l="1"/>
  <c r="K73" i="184"/>
  <c r="J173" i="167" l="1"/>
  <c r="E194" i="165"/>
  <c r="E194" i="212" s="1"/>
  <c r="H173" i="167" l="1"/>
  <c r="M164" i="167"/>
  <c r="O194" i="165"/>
  <c r="O194" i="212" s="1"/>
  <c r="J194" i="165" l="1"/>
  <c r="J194" i="212" s="1"/>
  <c r="M325" i="167"/>
  <c r="I173" i="167" l="1"/>
  <c r="G173" i="167" s="1"/>
  <c r="P194" i="165"/>
  <c r="P194" i="212" s="1"/>
  <c r="J187" i="167"/>
  <c r="J351" i="167" l="1"/>
  <c r="F20" i="197"/>
  <c r="K161" i="197" l="1"/>
  <c r="D103" i="170" l="1"/>
  <c r="O401" i="165"/>
  <c r="J331" i="167"/>
  <c r="O375" i="165"/>
  <c r="O375" i="212" s="1"/>
  <c r="E375" i="165"/>
  <c r="E375" i="212" s="1"/>
  <c r="J343" i="167"/>
  <c r="O388" i="165"/>
  <c r="O388" i="212" s="1"/>
  <c r="E388" i="165"/>
  <c r="E388" i="212" s="1"/>
  <c r="N387" i="165"/>
  <c r="N387" i="212" s="1"/>
  <c r="M387" i="165"/>
  <c r="M387" i="212" s="1"/>
  <c r="L387" i="165"/>
  <c r="L387" i="212" s="1"/>
  <c r="K387" i="165"/>
  <c r="K387" i="212" s="1"/>
  <c r="I387" i="165"/>
  <c r="I387" i="212" s="1"/>
  <c r="H387" i="165"/>
  <c r="H387" i="212" s="1"/>
  <c r="G387" i="165"/>
  <c r="G387" i="212" s="1"/>
  <c r="F387" i="165"/>
  <c r="F387" i="212" s="1"/>
  <c r="N386" i="165"/>
  <c r="N386" i="212" s="1"/>
  <c r="J339" i="167"/>
  <c r="O383" i="165"/>
  <c r="O383" i="212" s="1"/>
  <c r="E383" i="165"/>
  <c r="E383" i="212" s="1"/>
  <c r="O374" i="165" l="1"/>
  <c r="O374" i="212" s="1"/>
  <c r="E374" i="165"/>
  <c r="E374" i="212" s="1"/>
  <c r="M386" i="165"/>
  <c r="M386" i="212" s="1"/>
  <c r="L386" i="165"/>
  <c r="L386" i="212" s="1"/>
  <c r="F386" i="165"/>
  <c r="F386" i="212" s="1"/>
  <c r="G386" i="165"/>
  <c r="G386" i="212" s="1"/>
  <c r="H386" i="165"/>
  <c r="H386" i="212" s="1"/>
  <c r="I386" i="165"/>
  <c r="I386" i="212" s="1"/>
  <c r="J375" i="165"/>
  <c r="J375" i="212" s="1"/>
  <c r="H331" i="167"/>
  <c r="K386" i="165"/>
  <c r="K386" i="212" s="1"/>
  <c r="J388" i="165"/>
  <c r="J388" i="212" s="1"/>
  <c r="E387" i="165"/>
  <c r="E387" i="212" s="1"/>
  <c r="J383" i="165"/>
  <c r="J383" i="212" s="1"/>
  <c r="H339" i="167"/>
  <c r="H343" i="167"/>
  <c r="O387" i="165"/>
  <c r="O387" i="212" s="1"/>
  <c r="J374" i="165" l="1"/>
  <c r="J374" i="212" s="1"/>
  <c r="P375" i="165"/>
  <c r="P375" i="212" s="1"/>
  <c r="I343" i="167"/>
  <c r="G343" i="167" s="1"/>
  <c r="P383" i="165"/>
  <c r="P383" i="212" s="1"/>
  <c r="I331" i="167"/>
  <c r="G331" i="167" s="1"/>
  <c r="O386" i="165"/>
  <c r="O386" i="212" s="1"/>
  <c r="J387" i="165"/>
  <c r="J387" i="212" s="1"/>
  <c r="P388" i="165"/>
  <c r="P388" i="212" s="1"/>
  <c r="E386" i="165"/>
  <c r="E386" i="212" s="1"/>
  <c r="I339" i="167"/>
  <c r="G339" i="167" s="1"/>
  <c r="P374" i="165" l="1"/>
  <c r="P374" i="212" s="1"/>
  <c r="P387" i="165"/>
  <c r="P387" i="212" s="1"/>
  <c r="J386" i="165"/>
  <c r="J386" i="212" s="1"/>
  <c r="P386" i="165" l="1"/>
  <c r="P386" i="212" s="1"/>
  <c r="K120" i="184"/>
  <c r="L119" i="184"/>
  <c r="K118" i="184"/>
  <c r="K116" i="184"/>
  <c r="K115" i="184"/>
  <c r="J114" i="184"/>
  <c r="L117" i="184" l="1"/>
  <c r="I117" i="184"/>
  <c r="K117" i="184" s="1"/>
  <c r="K113" i="184"/>
  <c r="I114" i="184"/>
  <c r="K114" i="184" s="1"/>
  <c r="L114" i="184"/>
  <c r="K122" i="184"/>
  <c r="L122" i="184"/>
  <c r="L105" i="184"/>
  <c r="I105" i="184"/>
  <c r="K119" i="184"/>
  <c r="K106" i="184"/>
  <c r="K105" i="184" l="1"/>
  <c r="I82" i="184"/>
  <c r="K82" i="184" s="1"/>
  <c r="I81" i="184"/>
  <c r="K81" i="184" s="1"/>
  <c r="I80" i="184"/>
  <c r="I79" i="184"/>
  <c r="I78" i="184"/>
  <c r="I77" i="184"/>
  <c r="L50" i="184"/>
  <c r="I49" i="184"/>
  <c r="K49" i="184" s="1"/>
  <c r="I35" i="184"/>
  <c r="D88" i="170" l="1"/>
  <c r="D92" i="170"/>
  <c r="D110" i="170" s="1"/>
  <c r="C137" i="188" l="1"/>
  <c r="C137" i="213" s="1"/>
  <c r="D144" i="188" l="1"/>
  <c r="D144" i="213" s="1"/>
  <c r="G108" i="167" l="1"/>
  <c r="J194" i="167" l="1"/>
  <c r="O214" i="165"/>
  <c r="O214" i="212" s="1"/>
  <c r="E214" i="165"/>
  <c r="E214" i="212" s="1"/>
  <c r="E263" i="165"/>
  <c r="E263" i="212" s="1"/>
  <c r="O269" i="165"/>
  <c r="O269" i="212" s="1"/>
  <c r="E269" i="165"/>
  <c r="J314" i="167"/>
  <c r="N346" i="165"/>
  <c r="N346" i="212" s="1"/>
  <c r="N345" i="212" s="1"/>
  <c r="N344" i="212" s="1"/>
  <c r="M346" i="165"/>
  <c r="M346" i="212" s="1"/>
  <c r="M345" i="212" s="1"/>
  <c r="M344" i="212" s="1"/>
  <c r="L346" i="165"/>
  <c r="L346" i="212" s="1"/>
  <c r="L345" i="212" s="1"/>
  <c r="K346" i="165"/>
  <c r="K346" i="212" s="1"/>
  <c r="K345" i="212" s="1"/>
  <c r="K344" i="212" s="1"/>
  <c r="I346" i="165"/>
  <c r="I346" i="212" s="1"/>
  <c r="I345" i="212" s="1"/>
  <c r="I344" i="212" s="1"/>
  <c r="G346" i="165"/>
  <c r="G346" i="212" s="1"/>
  <c r="G345" i="212" s="1"/>
  <c r="G344" i="212" s="1"/>
  <c r="F346" i="165"/>
  <c r="F346" i="212" s="1"/>
  <c r="F345" i="212" s="1"/>
  <c r="F344" i="212" s="1"/>
  <c r="O349" i="165"/>
  <c r="O349" i="212" s="1"/>
  <c r="E349" i="165"/>
  <c r="E349" i="212" s="1"/>
  <c r="L344" i="212" l="1"/>
  <c r="H234" i="167"/>
  <c r="E269" i="212"/>
  <c r="K223" i="167"/>
  <c r="J214" i="165"/>
  <c r="J214" i="212" s="1"/>
  <c r="J349" i="165"/>
  <c r="J349" i="212" s="1"/>
  <c r="J269" i="165"/>
  <c r="H194" i="167"/>
  <c r="H314" i="167"/>
  <c r="J269" i="212" l="1"/>
  <c r="I234" i="167"/>
  <c r="G234" i="167" s="1"/>
  <c r="P349" i="165"/>
  <c r="P349" i="212" s="1"/>
  <c r="P269" i="165"/>
  <c r="P269" i="212" s="1"/>
  <c r="P214" i="165"/>
  <c r="P214" i="212" s="1"/>
  <c r="I314" i="167"/>
  <c r="G314" i="167" s="1"/>
  <c r="I194" i="167"/>
  <c r="G194" i="167" s="1"/>
  <c r="J110" i="167"/>
  <c r="O109" i="165"/>
  <c r="O109" i="212" s="1"/>
  <c r="E109" i="165"/>
  <c r="E109" i="212" s="1"/>
  <c r="N107" i="165"/>
  <c r="N107" i="212" s="1"/>
  <c r="M107" i="165"/>
  <c r="M107" i="212" s="1"/>
  <c r="L107" i="165"/>
  <c r="L107" i="212" s="1"/>
  <c r="K107" i="165"/>
  <c r="K107" i="212" s="1"/>
  <c r="I107" i="165"/>
  <c r="I107" i="212" s="1"/>
  <c r="G107" i="165"/>
  <c r="G107" i="212" s="1"/>
  <c r="F107" i="165"/>
  <c r="F107" i="212" s="1"/>
  <c r="J127" i="167"/>
  <c r="N133" i="165"/>
  <c r="M133" i="165"/>
  <c r="L133" i="165"/>
  <c r="I133" i="165"/>
  <c r="H133" i="165"/>
  <c r="G133" i="165"/>
  <c r="F133" i="165"/>
  <c r="O134" i="165"/>
  <c r="E134" i="165"/>
  <c r="H107" i="165" l="1"/>
  <c r="H107" i="212" s="1"/>
  <c r="H110" i="167"/>
  <c r="J109" i="165"/>
  <c r="J109" i="212" s="1"/>
  <c r="J134" i="165"/>
  <c r="K133" i="165"/>
  <c r="O133" i="165"/>
  <c r="E133" i="165"/>
  <c r="H127" i="167"/>
  <c r="I110" i="167" l="1"/>
  <c r="G110" i="167" s="1"/>
  <c r="I127" i="167"/>
  <c r="G127" i="167" s="1"/>
  <c r="J133" i="165"/>
  <c r="P109" i="165"/>
  <c r="P109" i="212" s="1"/>
  <c r="P134" i="165"/>
  <c r="G78" i="167"/>
  <c r="G75" i="167"/>
  <c r="G66" i="167"/>
  <c r="G62" i="167"/>
  <c r="P133" i="165" l="1"/>
  <c r="M102" i="167"/>
  <c r="G101" i="167"/>
  <c r="G22" i="167"/>
  <c r="F51" i="165" l="1"/>
  <c r="F51" i="212" s="1"/>
  <c r="G350" i="167" l="1"/>
  <c r="O400" i="165" l="1"/>
  <c r="N400" i="165"/>
  <c r="M400" i="165"/>
  <c r="L400" i="165"/>
  <c r="K400" i="165"/>
  <c r="I400" i="165"/>
  <c r="H400" i="165"/>
  <c r="G400" i="165"/>
  <c r="F400" i="165"/>
  <c r="E401" i="165"/>
  <c r="E86" i="170" l="1"/>
  <c r="E400" i="165"/>
  <c r="H351" i="167"/>
  <c r="J401" i="165"/>
  <c r="I351" i="167" s="1"/>
  <c r="I346" i="167" l="1"/>
  <c r="E102" i="170"/>
  <c r="J400" i="165"/>
  <c r="P401" i="165"/>
  <c r="D21" i="108"/>
  <c r="G351" i="167" l="1"/>
  <c r="P400" i="165"/>
  <c r="E101" i="170"/>
  <c r="H346" i="165"/>
  <c r="H346" i="212" s="1"/>
  <c r="H345" i="212" s="1"/>
  <c r="H344" i="212" s="1"/>
  <c r="J294" i="167"/>
  <c r="O326" i="165"/>
  <c r="O326" i="212" s="1"/>
  <c r="E326" i="165"/>
  <c r="E326" i="212" s="1"/>
  <c r="N325" i="165"/>
  <c r="N325" i="212" s="1"/>
  <c r="M325" i="165"/>
  <c r="M325" i="212" s="1"/>
  <c r="L325" i="165"/>
  <c r="L325" i="212" s="1"/>
  <c r="K325" i="165"/>
  <c r="K325" i="212" s="1"/>
  <c r="I325" i="165"/>
  <c r="I325" i="212" s="1"/>
  <c r="H325" i="165"/>
  <c r="H325" i="212" s="1"/>
  <c r="G325" i="165"/>
  <c r="G325" i="212" s="1"/>
  <c r="G326" i="167"/>
  <c r="H294" i="167" l="1"/>
  <c r="J326" i="165"/>
  <c r="J326" i="212" s="1"/>
  <c r="O325" i="165"/>
  <c r="O325" i="212" s="1"/>
  <c r="E325" i="165"/>
  <c r="E325" i="212" s="1"/>
  <c r="F325" i="165"/>
  <c r="F325" i="212" s="1"/>
  <c r="P326" i="165" l="1"/>
  <c r="P326" i="212" s="1"/>
  <c r="J325" i="165"/>
  <c r="J325" i="212" s="1"/>
  <c r="I294" i="167"/>
  <c r="G294" i="167" s="1"/>
  <c r="K115" i="165"/>
  <c r="K115" i="212" s="1"/>
  <c r="F115" i="165"/>
  <c r="F115" i="212" s="1"/>
  <c r="P325" i="165" l="1"/>
  <c r="P325" i="212" s="1"/>
  <c r="J100" i="167"/>
  <c r="N90" i="165"/>
  <c r="N90" i="212" s="1"/>
  <c r="M90" i="165"/>
  <c r="M90" i="212" s="1"/>
  <c r="L90" i="165"/>
  <c r="L90" i="212" s="1"/>
  <c r="K90" i="165"/>
  <c r="K90" i="212" s="1"/>
  <c r="I90" i="165"/>
  <c r="I90" i="212" s="1"/>
  <c r="H90" i="165"/>
  <c r="H90" i="212" s="1"/>
  <c r="G90" i="165"/>
  <c r="G90" i="212" s="1"/>
  <c r="F90" i="165"/>
  <c r="F90" i="212" s="1"/>
  <c r="O92" i="165"/>
  <c r="O92" i="212" s="1"/>
  <c r="E92" i="165"/>
  <c r="E92" i="212" s="1"/>
  <c r="H100" i="167" l="1"/>
  <c r="J92" i="165"/>
  <c r="J92" i="212" s="1"/>
  <c r="P92" i="165" l="1"/>
  <c r="P92" i="212" s="1"/>
  <c r="I100" i="167"/>
  <c r="G100" i="167" s="1"/>
  <c r="J247" i="167"/>
  <c r="O283" i="165"/>
  <c r="J283" i="165" s="1"/>
  <c r="J282" i="165" s="1"/>
  <c r="J280" i="165" s="1"/>
  <c r="J280" i="212" s="1"/>
  <c r="E283" i="165"/>
  <c r="H247" i="167" s="1"/>
  <c r="N282" i="165"/>
  <c r="M282" i="165"/>
  <c r="L282" i="165"/>
  <c r="K282" i="165"/>
  <c r="K280" i="165" s="1"/>
  <c r="K280" i="212" s="1"/>
  <c r="I282" i="165"/>
  <c r="H282" i="165"/>
  <c r="G282" i="165"/>
  <c r="F282" i="165"/>
  <c r="D33" i="108"/>
  <c r="J279" i="165" l="1"/>
  <c r="J279" i="212" s="1"/>
  <c r="K279" i="165"/>
  <c r="K279" i="212" s="1"/>
  <c r="F280" i="165"/>
  <c r="F280" i="212" s="1"/>
  <c r="G280" i="165"/>
  <c r="G280" i="212" s="1"/>
  <c r="L280" i="165"/>
  <c r="L280" i="212" s="1"/>
  <c r="H280" i="165"/>
  <c r="H280" i="212" s="1"/>
  <c r="M280" i="165"/>
  <c r="M280" i="212" s="1"/>
  <c r="I280" i="165"/>
  <c r="I280" i="212" s="1"/>
  <c r="N280" i="165"/>
  <c r="N280" i="212" s="1"/>
  <c r="I247" i="167"/>
  <c r="G247" i="167" s="1"/>
  <c r="P283" i="165"/>
  <c r="P282" i="165" s="1"/>
  <c r="P280" i="165" s="1"/>
  <c r="P280" i="212" s="1"/>
  <c r="E282" i="165"/>
  <c r="E280" i="165" s="1"/>
  <c r="E280" i="212" s="1"/>
  <c r="O282" i="165"/>
  <c r="O280" i="165" s="1"/>
  <c r="O280" i="212" s="1"/>
  <c r="I54" i="184"/>
  <c r="H54" i="184"/>
  <c r="O279" i="165" l="1"/>
  <c r="O279" i="212" s="1"/>
  <c r="H279" i="165"/>
  <c r="H279" i="212" s="1"/>
  <c r="E279" i="165"/>
  <c r="E279" i="212" s="1"/>
  <c r="I279" i="165"/>
  <c r="I279" i="212" s="1"/>
  <c r="L279" i="165"/>
  <c r="L279" i="212" s="1"/>
  <c r="N279" i="165"/>
  <c r="N279" i="212" s="1"/>
  <c r="G279" i="165"/>
  <c r="G279" i="212" s="1"/>
  <c r="P279" i="165"/>
  <c r="P279" i="212" s="1"/>
  <c r="M279" i="165"/>
  <c r="M279" i="212" s="1"/>
  <c r="F279" i="165"/>
  <c r="F279" i="212" s="1"/>
  <c r="O277" i="165"/>
  <c r="O277" i="212" s="1"/>
  <c r="G25" i="167" l="1"/>
  <c r="M40" i="167" l="1"/>
  <c r="G41" i="167" l="1"/>
  <c r="J29" i="184"/>
  <c r="J45" i="184" l="1"/>
  <c r="J104" i="167" l="1"/>
  <c r="N100" i="165"/>
  <c r="M100" i="165"/>
  <c r="L100" i="165"/>
  <c r="K100" i="165"/>
  <c r="I100" i="165"/>
  <c r="H100" i="165"/>
  <c r="G100" i="165"/>
  <c r="F100" i="165"/>
  <c r="O101" i="165"/>
  <c r="E101" i="165"/>
  <c r="N99" i="165" l="1"/>
  <c r="G99" i="165"/>
  <c r="K99" i="165"/>
  <c r="L99" i="165"/>
  <c r="F99" i="165"/>
  <c r="E100" i="165"/>
  <c r="H99" i="165"/>
  <c r="O100" i="165"/>
  <c r="I99" i="165"/>
  <c r="M99" i="165"/>
  <c r="H104" i="167"/>
  <c r="J101" i="165"/>
  <c r="E99" i="165" l="1"/>
  <c r="O99" i="165"/>
  <c r="J100" i="165"/>
  <c r="I104" i="167"/>
  <c r="G104" i="167" s="1"/>
  <c r="P101" i="165"/>
  <c r="P100" i="165" l="1"/>
  <c r="J99" i="165"/>
  <c r="N368" i="165"/>
  <c r="N368" i="212" s="1"/>
  <c r="M368" i="165"/>
  <c r="M368" i="212" s="1"/>
  <c r="L368" i="165"/>
  <c r="L368" i="212" s="1"/>
  <c r="K368" i="165"/>
  <c r="K368" i="212" s="1"/>
  <c r="I368" i="165"/>
  <c r="I368" i="212" s="1"/>
  <c r="H368" i="165"/>
  <c r="H368" i="212" s="1"/>
  <c r="G368" i="165"/>
  <c r="G368" i="212" s="1"/>
  <c r="F368" i="165"/>
  <c r="F368" i="212" s="1"/>
  <c r="O369" i="165"/>
  <c r="O369" i="212" s="1"/>
  <c r="E369" i="165"/>
  <c r="E369" i="212" s="1"/>
  <c r="H327" i="167" l="1"/>
  <c r="J369" i="165"/>
  <c r="J369" i="212" s="1"/>
  <c r="L367" i="165"/>
  <c r="L367" i="212" s="1"/>
  <c r="I367" i="165"/>
  <c r="I367" i="212" s="1"/>
  <c r="N367" i="165"/>
  <c r="N367" i="212" s="1"/>
  <c r="F367" i="165"/>
  <c r="F367" i="212" s="1"/>
  <c r="K367" i="165"/>
  <c r="K367" i="212" s="1"/>
  <c r="G367" i="165"/>
  <c r="G367" i="212" s="1"/>
  <c r="E368" i="165"/>
  <c r="E368" i="212" s="1"/>
  <c r="H367" i="165"/>
  <c r="H367" i="212" s="1"/>
  <c r="M367" i="165"/>
  <c r="M367" i="212" s="1"/>
  <c r="P99" i="165"/>
  <c r="O368" i="165"/>
  <c r="O368" i="212" s="1"/>
  <c r="P369" i="165"/>
  <c r="P369" i="212" s="1"/>
  <c r="D27" i="170"/>
  <c r="C119" i="188"/>
  <c r="C119" i="213" s="1"/>
  <c r="I327" i="167" l="1"/>
  <c r="G327" i="167" s="1"/>
  <c r="P368" i="165"/>
  <c r="P368" i="212" s="1"/>
  <c r="O367" i="165"/>
  <c r="O367" i="212" s="1"/>
  <c r="E367" i="165"/>
  <c r="E367" i="212" s="1"/>
  <c r="J368" i="165"/>
  <c r="J368" i="212" s="1"/>
  <c r="J90" i="184"/>
  <c r="J99" i="184"/>
  <c r="J91" i="184"/>
  <c r="J59" i="184"/>
  <c r="J54" i="184"/>
  <c r="J367" i="165" l="1"/>
  <c r="J367" i="212" s="1"/>
  <c r="P367" i="165"/>
  <c r="P367" i="212" s="1"/>
  <c r="H223" i="165"/>
  <c r="H223" i="212" s="1"/>
  <c r="G223" i="165"/>
  <c r="G223" i="212" s="1"/>
  <c r="F223" i="165"/>
  <c r="F223" i="212" s="1"/>
  <c r="E157" i="165"/>
  <c r="E157" i="212" s="1"/>
  <c r="O157" i="165"/>
  <c r="O157" i="212" s="1"/>
  <c r="G50" i="167"/>
  <c r="G318" i="167"/>
  <c r="F37" i="165"/>
  <c r="F37" i="212" s="1"/>
  <c r="N37" i="165"/>
  <c r="N37" i="212" s="1"/>
  <c r="M37" i="165"/>
  <c r="M37" i="212" s="1"/>
  <c r="L37" i="165"/>
  <c r="L37" i="212" s="1"/>
  <c r="K37" i="165"/>
  <c r="K37" i="212" s="1"/>
  <c r="I37" i="165"/>
  <c r="I37" i="212" s="1"/>
  <c r="H37" i="165"/>
  <c r="H37" i="212" s="1"/>
  <c r="G37" i="165"/>
  <c r="G37" i="212" s="1"/>
  <c r="O38" i="165"/>
  <c r="O38" i="212" s="1"/>
  <c r="E38" i="165"/>
  <c r="E38" i="212" s="1"/>
  <c r="O156" i="165" l="1"/>
  <c r="O156" i="212" s="1"/>
  <c r="E156" i="165"/>
  <c r="E156" i="212" s="1"/>
  <c r="K37" i="167"/>
  <c r="H151" i="167"/>
  <c r="J157" i="165"/>
  <c r="J157" i="212" s="1"/>
  <c r="J38" i="165"/>
  <c r="J38" i="212" s="1"/>
  <c r="G39" i="167"/>
  <c r="J156" i="165" l="1"/>
  <c r="J156" i="212" s="1"/>
  <c r="L37" i="167"/>
  <c r="I151" i="167"/>
  <c r="G151" i="167" s="1"/>
  <c r="P38" i="165"/>
  <c r="P38" i="212" s="1"/>
  <c r="P157" i="165"/>
  <c r="P157" i="212" s="1"/>
  <c r="P156" i="165" l="1"/>
  <c r="P156" i="212" s="1"/>
  <c r="D37" i="188"/>
  <c r="D37" i="213" s="1"/>
  <c r="C39" i="188"/>
  <c r="C39" i="213" s="1"/>
  <c r="D55" i="172" l="1"/>
  <c r="G356" i="167" l="1"/>
  <c r="F425" i="165" l="1"/>
  <c r="N417" i="165"/>
  <c r="N417" i="212" s="1"/>
  <c r="M417" i="165"/>
  <c r="M417" i="212" s="1"/>
  <c r="L417" i="165"/>
  <c r="L417" i="212" s="1"/>
  <c r="K417" i="165"/>
  <c r="K417" i="212" s="1"/>
  <c r="I417" i="165"/>
  <c r="I417" i="212" s="1"/>
  <c r="H417" i="165"/>
  <c r="H417" i="212" s="1"/>
  <c r="G417" i="165"/>
  <c r="G417" i="212" s="1"/>
  <c r="F417" i="165"/>
  <c r="F417" i="212" s="1"/>
  <c r="O418" i="165"/>
  <c r="O418" i="212" s="1"/>
  <c r="E418" i="165"/>
  <c r="E418" i="212" s="1"/>
  <c r="G416" i="165" l="1"/>
  <c r="G416" i="212" s="1"/>
  <c r="H416" i="165"/>
  <c r="H416" i="212" s="1"/>
  <c r="M416" i="165"/>
  <c r="M416" i="212" s="1"/>
  <c r="E417" i="165"/>
  <c r="E417" i="212" s="1"/>
  <c r="I416" i="165"/>
  <c r="I416" i="212" s="1"/>
  <c r="N416" i="165"/>
  <c r="N416" i="212" s="1"/>
  <c r="J418" i="165"/>
  <c r="J418" i="212" s="1"/>
  <c r="F416" i="165"/>
  <c r="F416" i="212" s="1"/>
  <c r="K416" i="165"/>
  <c r="K416" i="212" s="1"/>
  <c r="L416" i="165"/>
  <c r="L416" i="212" s="1"/>
  <c r="O417" i="165"/>
  <c r="O417" i="212" s="1"/>
  <c r="O416" i="165" l="1"/>
  <c r="O416" i="212" s="1"/>
  <c r="J417" i="165"/>
  <c r="J417" i="212" s="1"/>
  <c r="E416" i="165"/>
  <c r="E416" i="212" s="1"/>
  <c r="P418" i="165"/>
  <c r="P418" i="212" s="1"/>
  <c r="P417" i="165" l="1"/>
  <c r="P417" i="212" s="1"/>
  <c r="J416" i="165"/>
  <c r="J416" i="212" s="1"/>
  <c r="J161" i="167"/>
  <c r="O181" i="165"/>
  <c r="O181" i="212" s="1"/>
  <c r="E181" i="165"/>
  <c r="E181" i="212" s="1"/>
  <c r="J124" i="167"/>
  <c r="F125" i="165"/>
  <c r="F125" i="212" s="1"/>
  <c r="G125" i="165"/>
  <c r="G125" i="212" s="1"/>
  <c r="H125" i="165"/>
  <c r="H125" i="212" s="1"/>
  <c r="I125" i="165"/>
  <c r="I125" i="212" s="1"/>
  <c r="K125" i="165"/>
  <c r="K125" i="212" s="1"/>
  <c r="L125" i="165"/>
  <c r="L125" i="212" s="1"/>
  <c r="M125" i="165"/>
  <c r="M125" i="212" s="1"/>
  <c r="N125" i="165"/>
  <c r="N125" i="212" s="1"/>
  <c r="O126" i="165"/>
  <c r="O126" i="212" s="1"/>
  <c r="E126" i="165"/>
  <c r="E126" i="212" s="1"/>
  <c r="H161" i="167" l="1"/>
  <c r="E125" i="165"/>
  <c r="E125" i="212" s="1"/>
  <c r="J181" i="165"/>
  <c r="J181" i="212" s="1"/>
  <c r="J126" i="165"/>
  <c r="J126" i="212" s="1"/>
  <c r="P416" i="165"/>
  <c r="P416" i="212" s="1"/>
  <c r="H124" i="167"/>
  <c r="O125" i="165"/>
  <c r="O125" i="212" s="1"/>
  <c r="P126" i="165" l="1"/>
  <c r="P126" i="212" s="1"/>
  <c r="P181" i="165"/>
  <c r="P181" i="212" s="1"/>
  <c r="J125" i="165"/>
  <c r="J125" i="212" s="1"/>
  <c r="I124" i="167"/>
  <c r="G124" i="167" s="1"/>
  <c r="I161" i="167"/>
  <c r="G161" i="167" s="1"/>
  <c r="P125" i="165" l="1"/>
  <c r="P125" i="212" s="1"/>
  <c r="O206" i="165"/>
  <c r="O206" i="212" s="1"/>
  <c r="E206" i="165"/>
  <c r="E206" i="212" s="1"/>
  <c r="H187" i="167" l="1"/>
  <c r="J206" i="165"/>
  <c r="J206" i="212" s="1"/>
  <c r="P206" i="165" l="1"/>
  <c r="P206" i="212" s="1"/>
  <c r="I187" i="167"/>
  <c r="G187" i="167" s="1"/>
  <c r="G309" i="167"/>
  <c r="G308" i="167"/>
  <c r="G305" i="167"/>
  <c r="N340" i="165" l="1"/>
  <c r="M340" i="165"/>
  <c r="L340" i="165"/>
  <c r="K340" i="165"/>
  <c r="I340" i="165"/>
  <c r="H340" i="165"/>
  <c r="G340" i="165"/>
  <c r="F340" i="165"/>
  <c r="O343" i="165"/>
  <c r="E343" i="165"/>
  <c r="O364" i="165"/>
  <c r="O364" i="212" s="1"/>
  <c r="E364" i="165"/>
  <c r="E364" i="212" s="1"/>
  <c r="J364" i="165" l="1"/>
  <c r="J364" i="212" s="1"/>
  <c r="J343" i="165"/>
  <c r="P343" i="165" s="1"/>
  <c r="G284" i="167"/>
  <c r="P364" i="165" l="1"/>
  <c r="P364" i="212" s="1"/>
  <c r="O39" i="165" l="1"/>
  <c r="O39" i="212" s="1"/>
  <c r="E39" i="165"/>
  <c r="E39" i="212" s="1"/>
  <c r="N307" i="165"/>
  <c r="N307" i="212" s="1"/>
  <c r="M307" i="165"/>
  <c r="M307" i="212" s="1"/>
  <c r="L307" i="165"/>
  <c r="L307" i="212" s="1"/>
  <c r="K307" i="165"/>
  <c r="K307" i="212" s="1"/>
  <c r="I307" i="165"/>
  <c r="I307" i="212" s="1"/>
  <c r="H307" i="165"/>
  <c r="H307" i="212" s="1"/>
  <c r="G307" i="165"/>
  <c r="G307" i="212" s="1"/>
  <c r="F307" i="165"/>
  <c r="F307" i="212" s="1"/>
  <c r="O310" i="165"/>
  <c r="O310" i="212" s="1"/>
  <c r="E310" i="165"/>
  <c r="E310" i="212" s="1"/>
  <c r="J125" i="167"/>
  <c r="K36" i="184"/>
  <c r="O37" i="165" l="1"/>
  <c r="O37" i="212" s="1"/>
  <c r="E37" i="165"/>
  <c r="E37" i="212" s="1"/>
  <c r="K40" i="167"/>
  <c r="J310" i="165"/>
  <c r="J310" i="212" s="1"/>
  <c r="I304" i="165"/>
  <c r="I304" i="212" s="1"/>
  <c r="N304" i="165"/>
  <c r="N304" i="212" s="1"/>
  <c r="F304" i="165"/>
  <c r="F304" i="212" s="1"/>
  <c r="K304" i="165"/>
  <c r="K304" i="212" s="1"/>
  <c r="O307" i="165"/>
  <c r="O307" i="212" s="1"/>
  <c r="M304" i="165"/>
  <c r="M304" i="212" s="1"/>
  <c r="E307" i="165"/>
  <c r="E307" i="212" s="1"/>
  <c r="G304" i="165"/>
  <c r="G304" i="212" s="1"/>
  <c r="L304" i="165"/>
  <c r="L304" i="212" s="1"/>
  <c r="H304" i="165"/>
  <c r="H304" i="212" s="1"/>
  <c r="J39" i="165"/>
  <c r="J39" i="212" s="1"/>
  <c r="L40" i="167" l="1"/>
  <c r="P310" i="165"/>
  <c r="P310" i="212" s="1"/>
  <c r="P39" i="165"/>
  <c r="P39" i="212" s="1"/>
  <c r="J37" i="165"/>
  <c r="J37" i="212" s="1"/>
  <c r="G40" i="167"/>
  <c r="N129" i="165"/>
  <c r="N129" i="212" s="1"/>
  <c r="M129" i="165"/>
  <c r="M129" i="212" s="1"/>
  <c r="L129" i="165"/>
  <c r="L129" i="212" s="1"/>
  <c r="K129" i="165"/>
  <c r="K129" i="212" s="1"/>
  <c r="I129" i="165"/>
  <c r="I129" i="212" s="1"/>
  <c r="H129" i="165"/>
  <c r="H129" i="212" s="1"/>
  <c r="G129" i="165"/>
  <c r="G129" i="212" s="1"/>
  <c r="F129" i="165"/>
  <c r="F129" i="212" s="1"/>
  <c r="O130" i="165"/>
  <c r="O130" i="212" s="1"/>
  <c r="E130" i="165"/>
  <c r="E130" i="212" s="1"/>
  <c r="O129" i="165" l="1"/>
  <c r="O129" i="212" s="1"/>
  <c r="E129" i="165"/>
  <c r="E129" i="212" s="1"/>
  <c r="P37" i="165"/>
  <c r="P37" i="212" s="1"/>
  <c r="J130" i="165"/>
  <c r="J130" i="212" s="1"/>
  <c r="H125" i="167"/>
  <c r="F55" i="172"/>
  <c r="P130" i="165" l="1"/>
  <c r="P130" i="212" s="1"/>
  <c r="J129" i="165"/>
  <c r="J129" i="212" s="1"/>
  <c r="I125" i="167"/>
  <c r="P129" i="165" l="1"/>
  <c r="P129" i="212" s="1"/>
  <c r="G125" i="167"/>
  <c r="K45" i="165"/>
  <c r="K45" i="212" s="1"/>
  <c r="G224" i="167" l="1"/>
  <c r="N365" i="165" l="1"/>
  <c r="N365" i="212" s="1"/>
  <c r="M365" i="165"/>
  <c r="M365" i="212" s="1"/>
  <c r="L365" i="165"/>
  <c r="L365" i="212" s="1"/>
  <c r="K365" i="165"/>
  <c r="K365" i="212" s="1"/>
  <c r="I365" i="165"/>
  <c r="I365" i="212" s="1"/>
  <c r="H365" i="165"/>
  <c r="H365" i="212" s="1"/>
  <c r="G365" i="165"/>
  <c r="G365" i="212" s="1"/>
  <c r="F365" i="165"/>
  <c r="F365" i="212" s="1"/>
  <c r="I63" i="184" l="1"/>
  <c r="K63" i="184" l="1"/>
  <c r="C53" i="188" l="1"/>
  <c r="C53" i="213" s="1"/>
  <c r="D52" i="188"/>
  <c r="D52" i="213" s="1"/>
  <c r="C52" i="188" l="1"/>
  <c r="C52" i="213" s="1"/>
  <c r="D41" i="188"/>
  <c r="D41" i="213" s="1"/>
  <c r="E111" i="188"/>
  <c r="D103" i="188"/>
  <c r="D103" i="213" s="1"/>
  <c r="E61" i="188" l="1"/>
  <c r="E61" i="213" s="1"/>
  <c r="E15" i="213" s="1"/>
  <c r="H44" i="184" l="1"/>
  <c r="G340" i="167"/>
  <c r="M342" i="167"/>
  <c r="O410" i="165"/>
  <c r="O410" i="212" s="1"/>
  <c r="C46" i="172"/>
  <c r="C47" i="172"/>
  <c r="O425" i="165" l="1"/>
  <c r="E425" i="165"/>
  <c r="N424" i="165"/>
  <c r="N423" i="165" s="1"/>
  <c r="M424" i="165"/>
  <c r="L424" i="165"/>
  <c r="K424" i="165"/>
  <c r="I424" i="165"/>
  <c r="H424" i="165"/>
  <c r="G424" i="165"/>
  <c r="F424" i="165"/>
  <c r="F13" i="107"/>
  <c r="H13" i="107"/>
  <c r="J13" i="107"/>
  <c r="K13" i="107"/>
  <c r="L13" i="107"/>
  <c r="H423" i="165" l="1"/>
  <c r="O225" i="165"/>
  <c r="O225" i="212" s="1"/>
  <c r="I423" i="165"/>
  <c r="F423" i="165"/>
  <c r="K423" i="165"/>
  <c r="E424" i="165"/>
  <c r="M423" i="165"/>
  <c r="G423" i="165"/>
  <c r="L423" i="165"/>
  <c r="J425" i="165"/>
  <c r="O424" i="165"/>
  <c r="E423" i="165" l="1"/>
  <c r="O423" i="165"/>
  <c r="J424" i="165"/>
  <c r="P425" i="165"/>
  <c r="P424" i="165" l="1"/>
  <c r="J423" i="165"/>
  <c r="J53" i="184"/>
  <c r="I53" i="184"/>
  <c r="H53" i="184"/>
  <c r="K55" i="184"/>
  <c r="P423" i="165" l="1"/>
  <c r="G20" i="167"/>
  <c r="O303" i="165"/>
  <c r="O303" i="212" s="1"/>
  <c r="J262" i="167" l="1"/>
  <c r="F290" i="165"/>
  <c r="F290" i="212" s="1"/>
  <c r="O297" i="165"/>
  <c r="O297" i="212" s="1"/>
  <c r="E297" i="165"/>
  <c r="E297" i="212" s="1"/>
  <c r="O272" i="165"/>
  <c r="O272" i="212" s="1"/>
  <c r="E272" i="165"/>
  <c r="E272" i="212" s="1"/>
  <c r="N271" i="165"/>
  <c r="N271" i="212" s="1"/>
  <c r="M271" i="165"/>
  <c r="M271" i="212" s="1"/>
  <c r="L271" i="165"/>
  <c r="L271" i="212" s="1"/>
  <c r="K271" i="165"/>
  <c r="K271" i="212" s="1"/>
  <c r="I271" i="165"/>
  <c r="I271" i="212" s="1"/>
  <c r="H271" i="165"/>
  <c r="H271" i="212" s="1"/>
  <c r="G271" i="165"/>
  <c r="G271" i="212" s="1"/>
  <c r="F271" i="165"/>
  <c r="F271" i="212" s="1"/>
  <c r="H238" i="167" l="1"/>
  <c r="E271" i="165"/>
  <c r="E271" i="212" s="1"/>
  <c r="J297" i="165"/>
  <c r="J297" i="212" s="1"/>
  <c r="J272" i="165"/>
  <c r="J272" i="212" s="1"/>
  <c r="H262" i="167"/>
  <c r="O271" i="165"/>
  <c r="O271" i="212" s="1"/>
  <c r="O341" i="165"/>
  <c r="J260" i="165"/>
  <c r="J260" i="212" s="1"/>
  <c r="E260" i="165"/>
  <c r="E260" i="212" s="1"/>
  <c r="N257" i="165"/>
  <c r="N257" i="212" s="1"/>
  <c r="M257" i="165"/>
  <c r="M257" i="212" s="1"/>
  <c r="L257" i="165"/>
  <c r="L257" i="212" s="1"/>
  <c r="K257" i="165"/>
  <c r="K257" i="212" s="1"/>
  <c r="I257" i="165"/>
  <c r="I257" i="212" s="1"/>
  <c r="G257" i="165"/>
  <c r="G257" i="212" s="1"/>
  <c r="F257" i="165"/>
  <c r="F257" i="212" s="1"/>
  <c r="K60" i="184"/>
  <c r="K61" i="184"/>
  <c r="K62" i="184"/>
  <c r="K90" i="184"/>
  <c r="K91" i="184"/>
  <c r="K99" i="184"/>
  <c r="I68" i="184"/>
  <c r="I238" i="167" l="1"/>
  <c r="G238" i="167" s="1"/>
  <c r="J341" i="165"/>
  <c r="O340" i="165"/>
  <c r="J271" i="165"/>
  <c r="J271" i="212" s="1"/>
  <c r="P297" i="165"/>
  <c r="P297" i="212" s="1"/>
  <c r="P272" i="165"/>
  <c r="P272" i="212" s="1"/>
  <c r="I262" i="167"/>
  <c r="G262" i="167" s="1"/>
  <c r="K59" i="184"/>
  <c r="P260" i="165"/>
  <c r="P260" i="212" s="1"/>
  <c r="K68" i="184"/>
  <c r="H43" i="184"/>
  <c r="I45" i="184"/>
  <c r="K45" i="184" s="1"/>
  <c r="I56" i="184"/>
  <c r="H56" i="184"/>
  <c r="H47" i="184"/>
  <c r="H30" i="184"/>
  <c r="H19" i="184"/>
  <c r="J340" i="165" l="1"/>
  <c r="P271" i="165"/>
  <c r="P271" i="212" s="1"/>
  <c r="I44" i="184"/>
  <c r="J71" i="167" l="1"/>
  <c r="J19" i="184" l="1"/>
  <c r="I29" i="184"/>
  <c r="K29" i="184" s="1"/>
  <c r="O65" i="165" l="1"/>
  <c r="O65" i="212" s="1"/>
  <c r="I19" i="184"/>
  <c r="E57" i="165" l="1"/>
  <c r="E57" i="212" s="1"/>
  <c r="J57" i="165"/>
  <c r="J57" i="212" s="1"/>
  <c r="K55" i="165"/>
  <c r="K55" i="212" s="1"/>
  <c r="L55" i="165"/>
  <c r="L55" i="212" s="1"/>
  <c r="M55" i="165"/>
  <c r="M55" i="212" s="1"/>
  <c r="N55" i="165"/>
  <c r="N55" i="212" s="1"/>
  <c r="I55" i="165"/>
  <c r="I55" i="212" s="1"/>
  <c r="H55" i="165"/>
  <c r="H55" i="212" s="1"/>
  <c r="G55" i="165"/>
  <c r="G55" i="212" s="1"/>
  <c r="F55" i="165"/>
  <c r="F55" i="212" s="1"/>
  <c r="N398" i="165"/>
  <c r="N398" i="212" s="1"/>
  <c r="M398" i="165"/>
  <c r="M398" i="212" s="1"/>
  <c r="L398" i="165"/>
  <c r="L398" i="212" s="1"/>
  <c r="K398" i="165"/>
  <c r="K398" i="212" s="1"/>
  <c r="I398" i="165"/>
  <c r="I398" i="212" s="1"/>
  <c r="H398" i="165"/>
  <c r="H398" i="212" s="1"/>
  <c r="G398" i="165"/>
  <c r="G398" i="212" s="1"/>
  <c r="F398" i="165"/>
  <c r="F398" i="212" s="1"/>
  <c r="E398" i="165"/>
  <c r="E398" i="212" s="1"/>
  <c r="I71" i="167" l="1"/>
  <c r="H71" i="167"/>
  <c r="P57" i="165"/>
  <c r="P57" i="212" s="1"/>
  <c r="G71" i="167" l="1"/>
  <c r="O398" i="165"/>
  <c r="O398" i="212" s="1"/>
  <c r="H102" i="184"/>
  <c r="O112" i="165" l="1"/>
  <c r="O112" i="212" s="1"/>
  <c r="I30" i="184"/>
  <c r="H257" i="165" l="1"/>
  <c r="H257" i="212" s="1"/>
  <c r="J218" i="167"/>
  <c r="O254" i="165"/>
  <c r="E254" i="165"/>
  <c r="N253" i="165"/>
  <c r="M253" i="165"/>
  <c r="L253" i="165"/>
  <c r="K253" i="165"/>
  <c r="I253" i="165"/>
  <c r="H253" i="165"/>
  <c r="G253" i="165"/>
  <c r="F253" i="165"/>
  <c r="K252" i="165" l="1"/>
  <c r="K252" i="212" s="1"/>
  <c r="K253" i="212"/>
  <c r="G252" i="165"/>
  <c r="G252" i="212" s="1"/>
  <c r="G253" i="212"/>
  <c r="J254" i="165"/>
  <c r="O254" i="212"/>
  <c r="H252" i="165"/>
  <c r="H252" i="212" s="1"/>
  <c r="H253" i="212"/>
  <c r="M252" i="165"/>
  <c r="M252" i="212" s="1"/>
  <c r="M253" i="212"/>
  <c r="F252" i="165"/>
  <c r="F252" i="212" s="1"/>
  <c r="F253" i="212"/>
  <c r="E80" i="170"/>
  <c r="E254" i="212"/>
  <c r="L252" i="165"/>
  <c r="L252" i="212" s="1"/>
  <c r="L253" i="212"/>
  <c r="I252" i="165"/>
  <c r="I252" i="212" s="1"/>
  <c r="I253" i="212"/>
  <c r="N252" i="165"/>
  <c r="N252" i="212" s="1"/>
  <c r="N253" i="212"/>
  <c r="E253" i="165"/>
  <c r="E90" i="170"/>
  <c r="H218" i="167"/>
  <c r="I218" i="167"/>
  <c r="O253" i="165"/>
  <c r="J253" i="165"/>
  <c r="P254" i="165"/>
  <c r="P253" i="165" l="1"/>
  <c r="P254" i="212"/>
  <c r="J252" i="165"/>
  <c r="J252" i="212" s="1"/>
  <c r="J253" i="212"/>
  <c r="O252" i="165"/>
  <c r="O252" i="212" s="1"/>
  <c r="O253" i="212"/>
  <c r="E252" i="165"/>
  <c r="E252" i="212" s="1"/>
  <c r="E253" i="212"/>
  <c r="E105" i="170"/>
  <c r="J254" i="212"/>
  <c r="G218" i="167"/>
  <c r="J30" i="184"/>
  <c r="D121" i="188"/>
  <c r="D121" i="213" s="1"/>
  <c r="P252" i="165" l="1"/>
  <c r="P252" i="212" s="1"/>
  <c r="P253" i="212"/>
  <c r="D26" i="170"/>
  <c r="F78" i="165" l="1"/>
  <c r="F78" i="212" s="1"/>
  <c r="D64" i="170" l="1"/>
  <c r="J214" i="167" l="1"/>
  <c r="O248" i="165"/>
  <c r="O248" i="212" s="1"/>
  <c r="E248" i="165"/>
  <c r="E248" i="212" s="1"/>
  <c r="N247" i="165"/>
  <c r="N247" i="212" s="1"/>
  <c r="M247" i="165"/>
  <c r="M247" i="212" s="1"/>
  <c r="L247" i="165"/>
  <c r="L247" i="212" s="1"/>
  <c r="K247" i="165"/>
  <c r="K247" i="212" s="1"/>
  <c r="I247" i="165"/>
  <c r="I247" i="212" s="1"/>
  <c r="H247" i="165"/>
  <c r="H247" i="212" s="1"/>
  <c r="G247" i="165"/>
  <c r="G247" i="212" s="1"/>
  <c r="F247" i="165"/>
  <c r="F247" i="212" s="1"/>
  <c r="J44" i="184"/>
  <c r="H214" i="167" l="1"/>
  <c r="E247" i="165"/>
  <c r="E247" i="212" s="1"/>
  <c r="I246" i="165"/>
  <c r="I246" i="212" s="1"/>
  <c r="K246" i="165"/>
  <c r="K246" i="212" s="1"/>
  <c r="M246" i="165"/>
  <c r="M246" i="212" s="1"/>
  <c r="F246" i="165"/>
  <c r="F246" i="212" s="1"/>
  <c r="G246" i="165"/>
  <c r="G246" i="212" s="1"/>
  <c r="J248" i="165"/>
  <c r="J248" i="212" s="1"/>
  <c r="L246" i="165"/>
  <c r="L246" i="212" s="1"/>
  <c r="H246" i="165"/>
  <c r="H246" i="212" s="1"/>
  <c r="N246" i="165"/>
  <c r="N246" i="212" s="1"/>
  <c r="O247" i="165"/>
  <c r="O247" i="212" s="1"/>
  <c r="O366" i="165"/>
  <c r="O366" i="212" s="1"/>
  <c r="E366" i="165"/>
  <c r="E366" i="212" s="1"/>
  <c r="H325" i="167" l="1"/>
  <c r="K325" i="167" s="1"/>
  <c r="E246" i="165"/>
  <c r="E246" i="212" s="1"/>
  <c r="O365" i="165"/>
  <c r="O365" i="212" s="1"/>
  <c r="E365" i="165"/>
  <c r="E365" i="212" s="1"/>
  <c r="P248" i="165"/>
  <c r="P248" i="212" s="1"/>
  <c r="O246" i="165"/>
  <c r="O246" i="212" s="1"/>
  <c r="J247" i="165"/>
  <c r="J247" i="212" s="1"/>
  <c r="I214" i="167"/>
  <c r="G214" i="167" s="1"/>
  <c r="J366" i="165"/>
  <c r="J366" i="212" s="1"/>
  <c r="L325" i="167" l="1"/>
  <c r="P247" i="165"/>
  <c r="P247" i="212" s="1"/>
  <c r="J365" i="165"/>
  <c r="J365" i="212" s="1"/>
  <c r="P366" i="165"/>
  <c r="P366" i="212" s="1"/>
  <c r="G323" i="167"/>
  <c r="J246" i="165"/>
  <c r="J246" i="212" s="1"/>
  <c r="P246" i="165" l="1"/>
  <c r="P246" i="212" s="1"/>
  <c r="G325" i="167"/>
  <c r="P365" i="165"/>
  <c r="P365" i="212" s="1"/>
  <c r="G18" i="167"/>
  <c r="J103" i="167"/>
  <c r="N97" i="165"/>
  <c r="N97" i="212" s="1"/>
  <c r="M97" i="165"/>
  <c r="M97" i="212" s="1"/>
  <c r="L97" i="165"/>
  <c r="L97" i="212" s="1"/>
  <c r="K97" i="165"/>
  <c r="K97" i="212" s="1"/>
  <c r="I97" i="165"/>
  <c r="I97" i="212" s="1"/>
  <c r="H97" i="165"/>
  <c r="H97" i="212" s="1"/>
  <c r="G97" i="165"/>
  <c r="G97" i="212" s="1"/>
  <c r="O98" i="165"/>
  <c r="O98" i="212" s="1"/>
  <c r="F95" i="165"/>
  <c r="F95" i="212" s="1"/>
  <c r="G95" i="165"/>
  <c r="G95" i="212" s="1"/>
  <c r="H95" i="165"/>
  <c r="H95" i="212" s="1"/>
  <c r="I95" i="165"/>
  <c r="I95" i="212" s="1"/>
  <c r="K95" i="165"/>
  <c r="K95" i="212" s="1"/>
  <c r="L95" i="165"/>
  <c r="L95" i="212" s="1"/>
  <c r="M95" i="165"/>
  <c r="M95" i="212" s="1"/>
  <c r="N95" i="165"/>
  <c r="N95" i="212" s="1"/>
  <c r="O96" i="165"/>
  <c r="O96" i="212" s="1"/>
  <c r="E96" i="165"/>
  <c r="E96" i="212" s="1"/>
  <c r="K102" i="167" l="1"/>
  <c r="N94" i="165"/>
  <c r="N94" i="212" s="1"/>
  <c r="K94" i="165"/>
  <c r="K94" i="212" s="1"/>
  <c r="I94" i="165"/>
  <c r="I94" i="212" s="1"/>
  <c r="H94" i="165"/>
  <c r="H94" i="212" s="1"/>
  <c r="M94" i="165"/>
  <c r="M94" i="212" s="1"/>
  <c r="G94" i="165"/>
  <c r="G94" i="212" s="1"/>
  <c r="J98" i="165"/>
  <c r="J98" i="212" s="1"/>
  <c r="L94" i="165"/>
  <c r="L94" i="212" s="1"/>
  <c r="J96" i="165"/>
  <c r="J96" i="212" s="1"/>
  <c r="F94" i="165"/>
  <c r="F94" i="212" s="1"/>
  <c r="E98" i="165"/>
  <c r="E98" i="212" s="1"/>
  <c r="E95" i="165"/>
  <c r="E95" i="212" s="1"/>
  <c r="F97" i="165"/>
  <c r="F97" i="212" s="1"/>
  <c r="O97" i="165"/>
  <c r="O97" i="212" s="1"/>
  <c r="O95" i="165"/>
  <c r="O95" i="212" s="1"/>
  <c r="L102" i="167" l="1"/>
  <c r="J95" i="165"/>
  <c r="J95" i="212" s="1"/>
  <c r="P98" i="165"/>
  <c r="P98" i="212" s="1"/>
  <c r="H103" i="167"/>
  <c r="J97" i="165"/>
  <c r="J97" i="212" s="1"/>
  <c r="P96" i="165"/>
  <c r="P96" i="212" s="1"/>
  <c r="G102" i="167"/>
  <c r="M93" i="165"/>
  <c r="M93" i="212" s="1"/>
  <c r="G93" i="165"/>
  <c r="G93" i="212" s="1"/>
  <c r="E94" i="165"/>
  <c r="E94" i="212" s="1"/>
  <c r="E97" i="165"/>
  <c r="E97" i="212" s="1"/>
  <c r="I103" i="167"/>
  <c r="I93" i="165"/>
  <c r="I93" i="212" s="1"/>
  <c r="K93" i="165"/>
  <c r="K93" i="212" s="1"/>
  <c r="F93" i="165"/>
  <c r="F93" i="212" s="1"/>
  <c r="O94" i="165"/>
  <c r="O94" i="212" s="1"/>
  <c r="L93" i="165"/>
  <c r="L93" i="212" s="1"/>
  <c r="H93" i="165"/>
  <c r="H93" i="212" s="1"/>
  <c r="N93" i="165"/>
  <c r="N93" i="212" s="1"/>
  <c r="F144" i="188"/>
  <c r="F144" i="213" s="1"/>
  <c r="C150" i="188"/>
  <c r="C150" i="213" s="1"/>
  <c r="C149" i="188"/>
  <c r="C149" i="213" s="1"/>
  <c r="D84" i="188"/>
  <c r="D84" i="213" s="1"/>
  <c r="E93" i="165" l="1"/>
  <c r="E93" i="212" s="1"/>
  <c r="G103" i="167"/>
  <c r="J94" i="165"/>
  <c r="J94" i="212" s="1"/>
  <c r="P97" i="165"/>
  <c r="P97" i="212" s="1"/>
  <c r="D57" i="188"/>
  <c r="D57" i="213" s="1"/>
  <c r="D78" i="188"/>
  <c r="D78" i="213" s="1"/>
  <c r="E144" i="188"/>
  <c r="E144" i="213" s="1"/>
  <c r="O93" i="165"/>
  <c r="O93" i="212" s="1"/>
  <c r="P95" i="165"/>
  <c r="P95" i="212" s="1"/>
  <c r="E130" i="188" l="1"/>
  <c r="E130" i="213" s="1"/>
  <c r="J93" i="165"/>
  <c r="J93" i="212" s="1"/>
  <c r="P94" i="165"/>
  <c r="P94" i="212" s="1"/>
  <c r="P93" i="165" l="1"/>
  <c r="P93" i="212" s="1"/>
  <c r="D54" i="170" l="1"/>
  <c r="D56" i="170" s="1"/>
  <c r="D67" i="170" s="1"/>
  <c r="J171" i="167" l="1"/>
  <c r="O188" i="165"/>
  <c r="O188" i="212" s="1"/>
  <c r="E188" i="165"/>
  <c r="E188" i="212" s="1"/>
  <c r="N186" i="165"/>
  <c r="N186" i="212" s="1"/>
  <c r="M186" i="165"/>
  <c r="M186" i="212" s="1"/>
  <c r="L186" i="165"/>
  <c r="L186" i="212" s="1"/>
  <c r="K186" i="165"/>
  <c r="K186" i="212" s="1"/>
  <c r="I186" i="165"/>
  <c r="I186" i="212" s="1"/>
  <c r="H186" i="165"/>
  <c r="H186" i="212" s="1"/>
  <c r="G186" i="165"/>
  <c r="G186" i="212" s="1"/>
  <c r="F186" i="165"/>
  <c r="F186" i="212" s="1"/>
  <c r="J188" i="165" l="1"/>
  <c r="J188" i="212" s="1"/>
  <c r="H171" i="167"/>
  <c r="N166" i="165"/>
  <c r="N166" i="212" s="1"/>
  <c r="M166" i="165"/>
  <c r="M166" i="212" s="1"/>
  <c r="L166" i="165"/>
  <c r="L166" i="212" s="1"/>
  <c r="K166" i="165"/>
  <c r="K166" i="212" s="1"/>
  <c r="I166" i="165"/>
  <c r="I166" i="212" s="1"/>
  <c r="H166" i="165"/>
  <c r="H166" i="212" s="1"/>
  <c r="G166" i="165"/>
  <c r="G166" i="212" s="1"/>
  <c r="F166" i="165"/>
  <c r="F166" i="212" s="1"/>
  <c r="I171" i="167" l="1"/>
  <c r="G171" i="167" s="1"/>
  <c r="P188" i="165"/>
  <c r="P188" i="212" s="1"/>
  <c r="O178" i="165"/>
  <c r="O178" i="212" s="1"/>
  <c r="E178" i="165"/>
  <c r="E178" i="212" s="1"/>
  <c r="O175" i="165"/>
  <c r="O175" i="212" s="1"/>
  <c r="E175" i="165"/>
  <c r="E175" i="212" s="1"/>
  <c r="O171" i="165"/>
  <c r="O171" i="212" s="1"/>
  <c r="E171" i="165"/>
  <c r="E171" i="212" s="1"/>
  <c r="O167" i="165"/>
  <c r="O167" i="212" s="1"/>
  <c r="E167" i="165"/>
  <c r="E167" i="212" s="1"/>
  <c r="J171" i="165" l="1"/>
  <c r="J171" i="212" s="1"/>
  <c r="J178" i="165"/>
  <c r="J178" i="212" s="1"/>
  <c r="J175" i="165"/>
  <c r="J175" i="212" s="1"/>
  <c r="E166" i="165"/>
  <c r="E166" i="212" s="1"/>
  <c r="O166" i="165"/>
  <c r="O166" i="212" s="1"/>
  <c r="J167" i="165"/>
  <c r="J167" i="212" s="1"/>
  <c r="J126" i="167"/>
  <c r="P171" i="165" l="1"/>
  <c r="P171" i="212" s="1"/>
  <c r="P178" i="165"/>
  <c r="P178" i="212" s="1"/>
  <c r="P175" i="165"/>
  <c r="P175" i="212" s="1"/>
  <c r="P167" i="165"/>
  <c r="P167" i="212" s="1"/>
  <c r="J166" i="165"/>
  <c r="J166" i="212" s="1"/>
  <c r="O132" i="165"/>
  <c r="E132" i="165"/>
  <c r="N131" i="165"/>
  <c r="M131" i="165"/>
  <c r="L131" i="165"/>
  <c r="K131" i="165"/>
  <c r="I131" i="165"/>
  <c r="H131" i="165"/>
  <c r="G131" i="165"/>
  <c r="F131" i="165"/>
  <c r="F128" i="165" l="1"/>
  <c r="F128" i="212" s="1"/>
  <c r="K128" i="165"/>
  <c r="K128" i="212" s="1"/>
  <c r="G128" i="165"/>
  <c r="G128" i="212" s="1"/>
  <c r="I128" i="165"/>
  <c r="I128" i="212" s="1"/>
  <c r="N128" i="165"/>
  <c r="N128" i="212" s="1"/>
  <c r="L128" i="165"/>
  <c r="L128" i="212" s="1"/>
  <c r="J132" i="165"/>
  <c r="H128" i="165"/>
  <c r="H128" i="212" s="1"/>
  <c r="M128" i="165"/>
  <c r="M128" i="212" s="1"/>
  <c r="P166" i="165"/>
  <c r="P166" i="212" s="1"/>
  <c r="E131" i="165"/>
  <c r="H126" i="167"/>
  <c r="O131" i="165"/>
  <c r="P132" i="165" l="1"/>
  <c r="J131" i="165"/>
  <c r="I126" i="167"/>
  <c r="G126" i="167" s="1"/>
  <c r="O128" i="165"/>
  <c r="O128" i="212" s="1"/>
  <c r="E128" i="165"/>
  <c r="E128" i="212" s="1"/>
  <c r="P131" i="165" l="1"/>
  <c r="J128" i="165"/>
  <c r="J128" i="212" s="1"/>
  <c r="P128" i="165"/>
  <c r="P128" i="212" s="1"/>
  <c r="E127" i="165"/>
  <c r="E127" i="212" s="1"/>
  <c r="J91" i="167"/>
  <c r="O78" i="165"/>
  <c r="O78" i="212" s="1"/>
  <c r="E78" i="165"/>
  <c r="E78" i="212" s="1"/>
  <c r="N76" i="165"/>
  <c r="N76" i="212" s="1"/>
  <c r="M76" i="165"/>
  <c r="M76" i="212" s="1"/>
  <c r="L76" i="165"/>
  <c r="L76" i="212" s="1"/>
  <c r="I76" i="165"/>
  <c r="I76" i="212" s="1"/>
  <c r="H76" i="165"/>
  <c r="H76" i="212" s="1"/>
  <c r="G76" i="165"/>
  <c r="G76" i="212" s="1"/>
  <c r="F76" i="165"/>
  <c r="F76" i="212" s="1"/>
  <c r="C143" i="188"/>
  <c r="C143" i="213" s="1"/>
  <c r="C134" i="188"/>
  <c r="C134" i="213" s="1"/>
  <c r="C133" i="188"/>
  <c r="C133" i="213" s="1"/>
  <c r="C132" i="188"/>
  <c r="C132" i="213" s="1"/>
  <c r="C131" i="188"/>
  <c r="C131" i="213" s="1"/>
  <c r="C135" i="188"/>
  <c r="C135" i="213" s="1"/>
  <c r="F121" i="188"/>
  <c r="F121" i="213" s="1"/>
  <c r="E121" i="188"/>
  <c r="E121" i="213" s="1"/>
  <c r="C126" i="188"/>
  <c r="C126" i="213" s="1"/>
  <c r="C124" i="188"/>
  <c r="C124" i="213" s="1"/>
  <c r="E120" i="188" l="1"/>
  <c r="E120" i="213" s="1"/>
  <c r="E114" i="213" s="1"/>
  <c r="H91" i="167"/>
  <c r="J78" i="165"/>
  <c r="J78" i="212" s="1"/>
  <c r="C145" i="188"/>
  <c r="C145" i="213" s="1"/>
  <c r="C93" i="188"/>
  <c r="C93" i="213" s="1"/>
  <c r="C20" i="188"/>
  <c r="C20" i="213" s="1"/>
  <c r="C19" i="188"/>
  <c r="C19" i="213" s="1"/>
  <c r="P78" i="165" l="1"/>
  <c r="P78" i="212" s="1"/>
  <c r="I91" i="167"/>
  <c r="G91" i="167" s="1"/>
  <c r="C118" i="188"/>
  <c r="C118" i="213" s="1"/>
  <c r="C138" i="188"/>
  <c r="C138" i="213" s="1"/>
  <c r="F130" i="188"/>
  <c r="F130" i="213" s="1"/>
  <c r="C144" i="188"/>
  <c r="C144" i="213" s="1"/>
  <c r="F102" i="188"/>
  <c r="F102" i="213" s="1"/>
  <c r="E102" i="188"/>
  <c r="E102" i="213" s="1"/>
  <c r="C112" i="188"/>
  <c r="C112" i="213" s="1"/>
  <c r="C122" i="188"/>
  <c r="C122" i="213" s="1"/>
  <c r="C125" i="188"/>
  <c r="C125" i="213" s="1"/>
  <c r="C127" i="188"/>
  <c r="C127" i="213" s="1"/>
  <c r="C128" i="188"/>
  <c r="C128" i="213" s="1"/>
  <c r="C129" i="188"/>
  <c r="C129" i="213" s="1"/>
  <c r="C139" i="188"/>
  <c r="C139" i="213" s="1"/>
  <c r="C141" i="188"/>
  <c r="C141" i="213" s="1"/>
  <c r="C142" i="188"/>
  <c r="C142" i="213" s="1"/>
  <c r="C146" i="188"/>
  <c r="C146" i="213" s="1"/>
  <c r="C147" i="188"/>
  <c r="C147" i="213" s="1"/>
  <c r="C148" i="188"/>
  <c r="C148" i="213" s="1"/>
  <c r="C109" i="188"/>
  <c r="C109" i="213" s="1"/>
  <c r="C97" i="188"/>
  <c r="C97" i="213" s="1"/>
  <c r="C98" i="188"/>
  <c r="C98" i="213" s="1"/>
  <c r="C99" i="188"/>
  <c r="C99" i="213" s="1"/>
  <c r="C100" i="188"/>
  <c r="C100" i="213" s="1"/>
  <c r="E96" i="188"/>
  <c r="E96" i="213" s="1"/>
  <c r="D90" i="188"/>
  <c r="D90" i="213" s="1"/>
  <c r="F90" i="188"/>
  <c r="F90" i="213" s="1"/>
  <c r="F66" i="213" s="1"/>
  <c r="E90" i="188"/>
  <c r="E90" i="213" s="1"/>
  <c r="C78" i="188"/>
  <c r="C78" i="213" s="1"/>
  <c r="D68" i="188"/>
  <c r="D68" i="213" s="1"/>
  <c r="F15" i="188"/>
  <c r="C65" i="188"/>
  <c r="C65" i="213" s="1"/>
  <c r="C64" i="188"/>
  <c r="C64" i="213" s="1"/>
  <c r="C63" i="188"/>
  <c r="C63" i="213" s="1"/>
  <c r="E62" i="188"/>
  <c r="E62" i="213" s="1"/>
  <c r="C57" i="188"/>
  <c r="C57" i="213" s="1"/>
  <c r="D54" i="188"/>
  <c r="D54" i="213" s="1"/>
  <c r="C41" i="188"/>
  <c r="C41" i="213" s="1"/>
  <c r="C56" i="188"/>
  <c r="C56" i="213" s="1"/>
  <c r="C55" i="188"/>
  <c r="C55" i="213" s="1"/>
  <c r="D30" i="188"/>
  <c r="D30" i="213" s="1"/>
  <c r="D24" i="188"/>
  <c r="D24" i="213" s="1"/>
  <c r="C25" i="188"/>
  <c r="C25" i="213" s="1"/>
  <c r="F66" i="188" l="1"/>
  <c r="C24" i="188"/>
  <c r="C24" i="213" s="1"/>
  <c r="D16" i="188"/>
  <c r="D16" i="213" s="1"/>
  <c r="D40" i="188"/>
  <c r="D40" i="213" s="1"/>
  <c r="F120" i="188"/>
  <c r="F120" i="213" s="1"/>
  <c r="F114" i="213" s="1"/>
  <c r="C103" i="188"/>
  <c r="C103" i="213" s="1"/>
  <c r="C30" i="188"/>
  <c r="C30" i="213" s="1"/>
  <c r="E95" i="188"/>
  <c r="E95" i="213" s="1"/>
  <c r="E66" i="213" s="1"/>
  <c r="C107" i="188"/>
  <c r="C107" i="213" s="1"/>
  <c r="D67" i="188"/>
  <c r="D67" i="213" s="1"/>
  <c r="D26" i="188"/>
  <c r="D26" i="213" s="1"/>
  <c r="D102" i="188"/>
  <c r="D102" i="213" s="1"/>
  <c r="D101" i="213" s="1"/>
  <c r="C27" i="188"/>
  <c r="C27" i="213" s="1"/>
  <c r="C111" i="188"/>
  <c r="C17" i="188"/>
  <c r="C17" i="213" s="1"/>
  <c r="C96" i="188"/>
  <c r="C96" i="213" s="1"/>
  <c r="C54" i="188"/>
  <c r="C54" i="213" s="1"/>
  <c r="E66" i="188" l="1"/>
  <c r="F114" i="188"/>
  <c r="C67" i="188"/>
  <c r="C67" i="213" s="1"/>
  <c r="C16" i="188"/>
  <c r="C16" i="213" s="1"/>
  <c r="D101" i="188"/>
  <c r="C102" i="188"/>
  <c r="C102" i="213" s="1"/>
  <c r="C26" i="188"/>
  <c r="C26" i="213" s="1"/>
  <c r="J193" i="167"/>
  <c r="N212" i="165"/>
  <c r="N212" i="212" s="1"/>
  <c r="M212" i="165"/>
  <c r="M212" i="212" s="1"/>
  <c r="L212" i="165"/>
  <c r="L212" i="212" s="1"/>
  <c r="K212" i="165"/>
  <c r="K212" i="212" s="1"/>
  <c r="I212" i="165"/>
  <c r="I212" i="212" s="1"/>
  <c r="H212" i="165"/>
  <c r="H212" i="212" s="1"/>
  <c r="G212" i="165"/>
  <c r="G212" i="212" s="1"/>
  <c r="F212" i="165"/>
  <c r="F212" i="212" s="1"/>
  <c r="O213" i="165"/>
  <c r="O213" i="212" s="1"/>
  <c r="J105" i="167"/>
  <c r="O104" i="165"/>
  <c r="E104" i="165"/>
  <c r="N103" i="165"/>
  <c r="M103" i="165"/>
  <c r="L103" i="165"/>
  <c r="K103" i="165"/>
  <c r="I103" i="165"/>
  <c r="H103" i="165"/>
  <c r="G103" i="165"/>
  <c r="F103" i="165"/>
  <c r="D47" i="170"/>
  <c r="D50" i="170" s="1"/>
  <c r="D140" i="188"/>
  <c r="D140" i="213" s="1"/>
  <c r="D130" i="188" l="1"/>
  <c r="D130" i="213" s="1"/>
  <c r="I211" i="165"/>
  <c r="I211" i="212" s="1"/>
  <c r="N211" i="165"/>
  <c r="N211" i="212" s="1"/>
  <c r="F211" i="165"/>
  <c r="F211" i="212" s="1"/>
  <c r="K211" i="165"/>
  <c r="K211" i="212" s="1"/>
  <c r="G211" i="165"/>
  <c r="G211" i="212" s="1"/>
  <c r="L211" i="165"/>
  <c r="L211" i="212" s="1"/>
  <c r="H211" i="165"/>
  <c r="H211" i="212" s="1"/>
  <c r="M211" i="165"/>
  <c r="M211" i="212" s="1"/>
  <c r="M102" i="165"/>
  <c r="N102" i="165"/>
  <c r="F102" i="165"/>
  <c r="H193" i="167"/>
  <c r="H105" i="167"/>
  <c r="I102" i="165"/>
  <c r="L102" i="165"/>
  <c r="E103" i="165"/>
  <c r="E212" i="165"/>
  <c r="E212" i="212" s="1"/>
  <c r="C140" i="188"/>
  <c r="C140" i="213" s="1"/>
  <c r="H102" i="165"/>
  <c r="G102" i="165"/>
  <c r="K102" i="165"/>
  <c r="J104" i="165"/>
  <c r="J213" i="165"/>
  <c r="J213" i="212" s="1"/>
  <c r="O212" i="165"/>
  <c r="O212" i="212" s="1"/>
  <c r="O103" i="165"/>
  <c r="D120" i="188" l="1"/>
  <c r="D120" i="213" s="1"/>
  <c r="D114" i="213" s="1"/>
  <c r="E102" i="165"/>
  <c r="P104" i="165"/>
  <c r="C130" i="188"/>
  <c r="C130" i="213" s="1"/>
  <c r="J103" i="165"/>
  <c r="E104" i="170"/>
  <c r="I105" i="167"/>
  <c r="G105" i="167" s="1"/>
  <c r="O102" i="165"/>
  <c r="J212" i="165"/>
  <c r="J212" i="212" s="1"/>
  <c r="I193" i="167"/>
  <c r="G193" i="167" s="1"/>
  <c r="P213" i="165"/>
  <c r="P213" i="212" s="1"/>
  <c r="C114" i="213" l="1"/>
  <c r="D114" i="188"/>
  <c r="P103" i="165"/>
  <c r="P102" i="165" s="1"/>
  <c r="P212" i="165"/>
  <c r="P212" i="212" s="1"/>
  <c r="J102" i="165"/>
  <c r="C108" i="188" l="1"/>
  <c r="C108" i="213" s="1"/>
  <c r="E106" i="188"/>
  <c r="E106" i="213" s="1"/>
  <c r="E101" i="213" s="1"/>
  <c r="C105" i="188"/>
  <c r="C105" i="213" s="1"/>
  <c r="C104" i="188"/>
  <c r="C104" i="213" s="1"/>
  <c r="D95" i="188"/>
  <c r="D95" i="213" s="1"/>
  <c r="C94" i="188"/>
  <c r="C94" i="213" s="1"/>
  <c r="C92" i="188"/>
  <c r="C92" i="213" s="1"/>
  <c r="C91" i="188"/>
  <c r="C91" i="213" s="1"/>
  <c r="C90" i="188"/>
  <c r="C90" i="213" s="1"/>
  <c r="C88" i="188"/>
  <c r="C88" i="213" s="1"/>
  <c r="C87" i="188"/>
  <c r="C87" i="213" s="1"/>
  <c r="D86" i="188"/>
  <c r="D86" i="213" s="1"/>
  <c r="C85" i="188"/>
  <c r="C85" i="213" s="1"/>
  <c r="C84" i="188"/>
  <c r="C84" i="213" s="1"/>
  <c r="C81" i="188"/>
  <c r="C81" i="213" s="1"/>
  <c r="C80" i="188"/>
  <c r="C80" i="213" s="1"/>
  <c r="C79" i="188"/>
  <c r="C79" i="213" s="1"/>
  <c r="C74" i="188"/>
  <c r="C74" i="213" s="1"/>
  <c r="C73" i="188"/>
  <c r="C73" i="213" s="1"/>
  <c r="C72" i="188"/>
  <c r="C72" i="213" s="1"/>
  <c r="C70" i="188"/>
  <c r="C70" i="213" s="1"/>
  <c r="C69" i="188"/>
  <c r="C69" i="213" s="1"/>
  <c r="C68" i="188"/>
  <c r="C68" i="213" s="1"/>
  <c r="D62" i="188"/>
  <c r="D62" i="213" s="1"/>
  <c r="C61" i="188"/>
  <c r="C61" i="213" s="1"/>
  <c r="C60" i="188"/>
  <c r="C60" i="213" s="1"/>
  <c r="C59" i="188"/>
  <c r="C59" i="213" s="1"/>
  <c r="C58" i="188"/>
  <c r="C58" i="213" s="1"/>
  <c r="C51" i="188"/>
  <c r="C51" i="213" s="1"/>
  <c r="C50" i="188"/>
  <c r="C50" i="213" s="1"/>
  <c r="C49" i="188"/>
  <c r="C49" i="213" s="1"/>
  <c r="C48" i="188"/>
  <c r="C48" i="213" s="1"/>
  <c r="C47" i="188"/>
  <c r="C47" i="213" s="1"/>
  <c r="C46" i="188"/>
  <c r="C46" i="213" s="1"/>
  <c r="C45" i="188"/>
  <c r="C45" i="213" s="1"/>
  <c r="C44" i="188"/>
  <c r="C44" i="213" s="1"/>
  <c r="C43" i="188"/>
  <c r="C43" i="213" s="1"/>
  <c r="C42" i="188"/>
  <c r="C42" i="213" s="1"/>
  <c r="C38" i="188"/>
  <c r="C38" i="213" s="1"/>
  <c r="C36" i="188"/>
  <c r="C36" i="213" s="1"/>
  <c r="D35" i="188"/>
  <c r="D35" i="213" s="1"/>
  <c r="C34" i="188"/>
  <c r="C34" i="213" s="1"/>
  <c r="D33" i="188"/>
  <c r="D33" i="213" s="1"/>
  <c r="C31" i="188"/>
  <c r="C31" i="213" s="1"/>
  <c r="C29" i="188"/>
  <c r="C29" i="213" s="1"/>
  <c r="C21" i="188"/>
  <c r="C21" i="213" s="1"/>
  <c r="C101" i="213" l="1"/>
  <c r="E113" i="213"/>
  <c r="E153" i="213" s="1"/>
  <c r="I153" i="213" s="1"/>
  <c r="D77" i="188"/>
  <c r="D77" i="213" s="1"/>
  <c r="D66" i="213" s="1"/>
  <c r="E101" i="188"/>
  <c r="C101" i="188" s="1"/>
  <c r="C37" i="188"/>
  <c r="C37" i="213" s="1"/>
  <c r="D32" i="188"/>
  <c r="D32" i="213" s="1"/>
  <c r="D15" i="213" s="1"/>
  <c r="C15" i="213" s="1"/>
  <c r="C95" i="188"/>
  <c r="C95" i="213" s="1"/>
  <c r="C35" i="188"/>
  <c r="C35" i="213" s="1"/>
  <c r="E15" i="188"/>
  <c r="C62" i="188"/>
  <c r="C62" i="213" s="1"/>
  <c r="F106" i="188"/>
  <c r="F106" i="213" s="1"/>
  <c r="F101" i="213" s="1"/>
  <c r="F113" i="213" s="1"/>
  <c r="F153" i="213" s="1"/>
  <c r="J153" i="213" s="1"/>
  <c r="C33" i="188"/>
  <c r="C33" i="213" s="1"/>
  <c r="C86" i="188"/>
  <c r="C86" i="213" s="1"/>
  <c r="C121" i="188"/>
  <c r="C121" i="213" s="1"/>
  <c r="C106" i="188"/>
  <c r="C106" i="213" s="1"/>
  <c r="C66" i="213" l="1"/>
  <c r="D113" i="213"/>
  <c r="F101" i="188"/>
  <c r="D66" i="188"/>
  <c r="E114" i="188"/>
  <c r="C114" i="188" s="1"/>
  <c r="D15" i="188"/>
  <c r="C15" i="188" s="1"/>
  <c r="C32" i="188"/>
  <c r="C32" i="213" s="1"/>
  <c r="E113" i="188"/>
  <c r="C77" i="188"/>
  <c r="C77" i="213" s="1"/>
  <c r="C120" i="188"/>
  <c r="C120" i="213" s="1"/>
  <c r="C40" i="188"/>
  <c r="C40" i="213" s="1"/>
  <c r="C113" i="213" l="1"/>
  <c r="D153" i="213"/>
  <c r="E153" i="188"/>
  <c r="I153" i="188" s="1"/>
  <c r="F113" i="188"/>
  <c r="D113" i="188"/>
  <c r="D153" i="188" s="1"/>
  <c r="H153" i="188" s="1"/>
  <c r="C66" i="188"/>
  <c r="C153" i="213" l="1"/>
  <c r="G153" i="213" s="1"/>
  <c r="H153" i="213"/>
  <c r="C153" i="188"/>
  <c r="F153" i="188"/>
  <c r="J153" i="188" s="1"/>
  <c r="C113" i="188"/>
  <c r="C44" i="172"/>
  <c r="C43" i="172" s="1"/>
  <c r="F43" i="172"/>
  <c r="E43" i="172"/>
  <c r="D43" i="172"/>
  <c r="D42" i="172" s="1"/>
  <c r="C19" i="172"/>
  <c r="C18" i="172"/>
  <c r="F17" i="172"/>
  <c r="E17" i="172"/>
  <c r="E16" i="172" s="1"/>
  <c r="D17" i="172"/>
  <c r="G51" i="167"/>
  <c r="G153" i="188" l="1"/>
  <c r="F421" i="165"/>
  <c r="F421" i="212" s="1"/>
  <c r="J320" i="167"/>
  <c r="M320" i="167" s="1"/>
  <c r="J322" i="167"/>
  <c r="N360" i="165"/>
  <c r="N360" i="212" s="1"/>
  <c r="M360" i="165"/>
  <c r="M360" i="212" s="1"/>
  <c r="L360" i="165"/>
  <c r="L360" i="212" s="1"/>
  <c r="K360" i="165"/>
  <c r="K360" i="212" s="1"/>
  <c r="I360" i="165"/>
  <c r="I360" i="212" s="1"/>
  <c r="H360" i="165"/>
  <c r="H360" i="212" s="1"/>
  <c r="G360" i="165"/>
  <c r="G360" i="212" s="1"/>
  <c r="F360" i="165"/>
  <c r="F360" i="212" s="1"/>
  <c r="O361" i="165"/>
  <c r="O361" i="212" s="1"/>
  <c r="E361" i="165"/>
  <c r="E361" i="212" s="1"/>
  <c r="G333" i="167"/>
  <c r="K320" i="167" l="1"/>
  <c r="J317" i="167"/>
  <c r="F419" i="165"/>
  <c r="F419" i="212" s="1"/>
  <c r="O360" i="165"/>
  <c r="O360" i="212" s="1"/>
  <c r="J361" i="165"/>
  <c r="J361" i="212" s="1"/>
  <c r="E360" i="165"/>
  <c r="E360" i="212" s="1"/>
  <c r="F378" i="165"/>
  <c r="F378" i="212" s="1"/>
  <c r="N378" i="165"/>
  <c r="N378" i="212" s="1"/>
  <c r="M378" i="165"/>
  <c r="M378" i="212" s="1"/>
  <c r="L378" i="165"/>
  <c r="L378" i="212" s="1"/>
  <c r="K378" i="165"/>
  <c r="K378" i="212" s="1"/>
  <c r="I378" i="165"/>
  <c r="I378" i="212" s="1"/>
  <c r="H378" i="165"/>
  <c r="H378" i="212" s="1"/>
  <c r="G378" i="165"/>
  <c r="G378" i="212" s="1"/>
  <c r="O379" i="165"/>
  <c r="O379" i="212" s="1"/>
  <c r="E379" i="165"/>
  <c r="E379" i="212" s="1"/>
  <c r="K333" i="167" l="1"/>
  <c r="P361" i="165"/>
  <c r="P361" i="212" s="1"/>
  <c r="G153" i="167"/>
  <c r="J379" i="165"/>
  <c r="J379" i="212" s="1"/>
  <c r="O378" i="165"/>
  <c r="O378" i="212" s="1"/>
  <c r="E378" i="165"/>
  <c r="E378" i="212" s="1"/>
  <c r="J360" i="165"/>
  <c r="J360" i="212" s="1"/>
  <c r="I320" i="167"/>
  <c r="L320" i="167" s="1"/>
  <c r="L333" i="167" l="1"/>
  <c r="G320" i="167"/>
  <c r="P360" i="165"/>
  <c r="P360" i="212" s="1"/>
  <c r="P379" i="165"/>
  <c r="P379" i="212" s="1"/>
  <c r="J378" i="165"/>
  <c r="J378" i="212" s="1"/>
  <c r="P378" i="165" l="1"/>
  <c r="P378" i="212" s="1"/>
  <c r="E77" i="165"/>
  <c r="E77" i="212" s="1"/>
  <c r="E76" i="165"/>
  <c r="E76" i="212" s="1"/>
  <c r="J69" i="167"/>
  <c r="K51" i="165"/>
  <c r="K51" i="212" s="1"/>
  <c r="I51" i="165"/>
  <c r="O54" i="165"/>
  <c r="O54" i="212" s="1"/>
  <c r="E54" i="165"/>
  <c r="E54" i="212" s="1"/>
  <c r="I51" i="212" l="1"/>
  <c r="J60" i="167"/>
  <c r="M60" i="167" s="1"/>
  <c r="K76" i="165"/>
  <c r="K76" i="212" s="1"/>
  <c r="J90" i="167"/>
  <c r="G51" i="165"/>
  <c r="G51" i="212" s="1"/>
  <c r="H69" i="167"/>
  <c r="H51" i="165"/>
  <c r="H51" i="212" s="1"/>
  <c r="O77" i="165"/>
  <c r="O77" i="212" s="1"/>
  <c r="H90" i="167"/>
  <c r="J54" i="165"/>
  <c r="J54" i="212" s="1"/>
  <c r="O76" i="165" l="1"/>
  <c r="O76" i="212" s="1"/>
  <c r="P54" i="165"/>
  <c r="P54" i="212" s="1"/>
  <c r="J77" i="165"/>
  <c r="J77" i="212" s="1"/>
  <c r="I69" i="167"/>
  <c r="G69" i="167" s="1"/>
  <c r="P77" i="165" l="1"/>
  <c r="P77" i="212" s="1"/>
  <c r="J76" i="165"/>
  <c r="J76" i="212" s="1"/>
  <c r="I90" i="167"/>
  <c r="G90" i="167" s="1"/>
  <c r="J307" i="167"/>
  <c r="E341" i="165"/>
  <c r="E340" i="165" l="1"/>
  <c r="P76" i="165"/>
  <c r="P76" i="212" s="1"/>
  <c r="H339" i="165"/>
  <c r="N339" i="165"/>
  <c r="I339" i="165"/>
  <c r="G339" i="165"/>
  <c r="M339" i="165"/>
  <c r="L339" i="165"/>
  <c r="H307" i="167"/>
  <c r="F339" i="165"/>
  <c r="K339" i="165"/>
  <c r="O339" i="165" l="1"/>
  <c r="E339" i="165"/>
  <c r="I307" i="167"/>
  <c r="G307" i="167" s="1"/>
  <c r="P341" i="165"/>
  <c r="P340" i="165" l="1"/>
  <c r="J339" i="165"/>
  <c r="P339" i="165" l="1"/>
  <c r="H360" i="167"/>
  <c r="G360" i="167" s="1"/>
  <c r="J87" i="167" l="1"/>
  <c r="O73" i="165"/>
  <c r="O73" i="212" s="1"/>
  <c r="E73" i="165"/>
  <c r="E73" i="212" s="1"/>
  <c r="N71" i="165"/>
  <c r="N71" i="212" s="1"/>
  <c r="M71" i="165"/>
  <c r="M71" i="212" s="1"/>
  <c r="L71" i="165"/>
  <c r="L71" i="212" s="1"/>
  <c r="K71" i="165"/>
  <c r="K71" i="212" s="1"/>
  <c r="I71" i="165"/>
  <c r="I71" i="212" s="1"/>
  <c r="H71" i="165"/>
  <c r="H71" i="212" s="1"/>
  <c r="G71" i="165"/>
  <c r="G71" i="212" s="1"/>
  <c r="J31" i="167"/>
  <c r="M31" i="167" s="1"/>
  <c r="J28" i="165"/>
  <c r="J28" i="212" s="1"/>
  <c r="E28" i="165"/>
  <c r="E28" i="212" s="1"/>
  <c r="N26" i="165"/>
  <c r="N26" i="212" s="1"/>
  <c r="M26" i="165"/>
  <c r="M26" i="212" s="1"/>
  <c r="L26" i="165"/>
  <c r="L26" i="212" s="1"/>
  <c r="K26" i="165"/>
  <c r="K26" i="212" s="1"/>
  <c r="I26" i="165"/>
  <c r="I26" i="212" s="1"/>
  <c r="H26" i="165"/>
  <c r="H26" i="212" s="1"/>
  <c r="G26" i="165"/>
  <c r="G26" i="212" s="1"/>
  <c r="F26" i="165"/>
  <c r="F26" i="212" s="1"/>
  <c r="I31" i="167" l="1"/>
  <c r="L31" i="167" s="1"/>
  <c r="H87" i="167"/>
  <c r="J73" i="165"/>
  <c r="J73" i="212" s="1"/>
  <c r="P28" i="165"/>
  <c r="P28" i="212" s="1"/>
  <c r="H31" i="167"/>
  <c r="P73" i="165" l="1"/>
  <c r="P73" i="212" s="1"/>
  <c r="I87" i="167"/>
  <c r="G87" i="167" s="1"/>
  <c r="K31" i="167"/>
  <c r="G31" i="167"/>
  <c r="D56" i="172" l="1"/>
  <c r="E57" i="172"/>
  <c r="E56" i="172" s="1"/>
  <c r="F56" i="172" s="1"/>
  <c r="E28" i="172"/>
  <c r="E27" i="172" s="1"/>
  <c r="D27" i="172"/>
  <c r="C55" i="172"/>
  <c r="C26" i="172"/>
  <c r="F38" i="172"/>
  <c r="E38" i="172"/>
  <c r="D38" i="172"/>
  <c r="D37" i="172" s="1"/>
  <c r="D31" i="172"/>
  <c r="D30" i="172" s="1"/>
  <c r="F16" i="172"/>
  <c r="D36" i="172" l="1"/>
  <c r="F57" i="172"/>
  <c r="C28" i="172"/>
  <c r="F28" i="172"/>
  <c r="F27" i="172" s="1"/>
  <c r="C56" i="172"/>
  <c r="C57" i="172"/>
  <c r="C27" i="172"/>
  <c r="C17" i="172"/>
  <c r="D16" i="172"/>
  <c r="C16" i="172" l="1"/>
  <c r="C39" i="172" l="1"/>
  <c r="C38" i="172" s="1"/>
  <c r="C41" i="172"/>
  <c r="F31" i="172"/>
  <c r="F30" i="172" s="1"/>
  <c r="E31" i="172"/>
  <c r="E30" i="172" s="1"/>
  <c r="I47" i="184" l="1"/>
  <c r="I43" i="184"/>
  <c r="H37" i="184" l="1"/>
  <c r="H123" i="184" s="1"/>
  <c r="L123" i="184" s="1"/>
  <c r="I37" i="184"/>
  <c r="J12" i="184"/>
  <c r="J11" i="184" s="1"/>
  <c r="J43" i="184"/>
  <c r="J37" i="184"/>
  <c r="J47" i="184" l="1"/>
  <c r="J102" i="184"/>
  <c r="J56" i="184"/>
  <c r="F37" i="172"/>
  <c r="E40" i="172"/>
  <c r="E37" i="172" s="1"/>
  <c r="C45" i="172"/>
  <c r="C42" i="172" s="1"/>
  <c r="C33" i="172"/>
  <c r="C32" i="172"/>
  <c r="J123" i="184" l="1"/>
  <c r="N123" i="184" s="1"/>
  <c r="C31" i="172"/>
  <c r="C30" i="172" s="1"/>
  <c r="C40" i="172"/>
  <c r="C37" i="172" s="1"/>
  <c r="N302" i="165"/>
  <c r="N302" i="212" s="1"/>
  <c r="M302" i="165"/>
  <c r="M302" i="212" s="1"/>
  <c r="L302" i="165"/>
  <c r="L302" i="212" s="1"/>
  <c r="I302" i="165"/>
  <c r="I302" i="212" s="1"/>
  <c r="H302" i="165"/>
  <c r="H302" i="212" s="1"/>
  <c r="G302" i="165"/>
  <c r="G302" i="212" s="1"/>
  <c r="G154" i="213" l="1"/>
  <c r="G154" i="188"/>
  <c r="G162" i="184"/>
  <c r="G134" i="197"/>
  <c r="G143" i="108"/>
  <c r="C36" i="172"/>
  <c r="H301" i="165"/>
  <c r="H301" i="212" s="1"/>
  <c r="L301" i="165"/>
  <c r="L301" i="212" s="1"/>
  <c r="I301" i="165"/>
  <c r="I301" i="212" s="1"/>
  <c r="M301" i="165"/>
  <c r="M301" i="212" s="1"/>
  <c r="G301" i="165"/>
  <c r="G301" i="212" s="1"/>
  <c r="N301" i="165"/>
  <c r="N301" i="212" s="1"/>
  <c r="J89" i="167" l="1"/>
  <c r="O75" i="165"/>
  <c r="O75" i="212" s="1"/>
  <c r="E75" i="165" l="1"/>
  <c r="E75" i="212" s="1"/>
  <c r="J75" i="165"/>
  <c r="J75" i="212" s="1"/>
  <c r="E136" i="165"/>
  <c r="O136" i="165"/>
  <c r="J136" i="165" s="1"/>
  <c r="H89" i="167" l="1"/>
  <c r="I89" i="167"/>
  <c r="K302" i="165"/>
  <c r="K302" i="212" s="1"/>
  <c r="P75" i="165"/>
  <c r="P75" i="212" s="1"/>
  <c r="P136" i="165"/>
  <c r="G89" i="167" l="1"/>
  <c r="K301" i="165"/>
  <c r="K301" i="212" s="1"/>
  <c r="G342" i="167" l="1"/>
  <c r="G56" i="167" l="1"/>
  <c r="G49" i="167" l="1"/>
  <c r="G48" i="167"/>
  <c r="G47" i="167"/>
  <c r="G46" i="167"/>
  <c r="E46" i="165"/>
  <c r="G341" i="167"/>
  <c r="E46" i="212" l="1"/>
  <c r="K45" i="167"/>
  <c r="E84" i="170"/>
  <c r="O46" i="165"/>
  <c r="O46" i="212" s="1"/>
  <c r="J46" i="165" l="1"/>
  <c r="J46" i="212" s="1"/>
  <c r="L45" i="167" l="1"/>
  <c r="E100" i="170"/>
  <c r="P46" i="165"/>
  <c r="P46" i="212" s="1"/>
  <c r="N58" i="165"/>
  <c r="N58" i="212" s="1"/>
  <c r="M58" i="165"/>
  <c r="M58" i="212" s="1"/>
  <c r="L58" i="165"/>
  <c r="L58" i="212" s="1"/>
  <c r="I58" i="165"/>
  <c r="I58" i="212" s="1"/>
  <c r="H58" i="165"/>
  <c r="H58" i="212" s="1"/>
  <c r="G58" i="165"/>
  <c r="G58" i="212" s="1"/>
  <c r="F58" i="165"/>
  <c r="F58" i="212" s="1"/>
  <c r="E59" i="165"/>
  <c r="E59" i="212" s="1"/>
  <c r="O267" i="165"/>
  <c r="O267" i="212" s="1"/>
  <c r="E267" i="165"/>
  <c r="E267" i="212" s="1"/>
  <c r="H230" i="167" l="1"/>
  <c r="K58" i="165"/>
  <c r="K58" i="212" s="1"/>
  <c r="E58" i="165"/>
  <c r="E58" i="212" s="1"/>
  <c r="O59" i="165"/>
  <c r="O59" i="212" s="1"/>
  <c r="H72" i="167"/>
  <c r="J267" i="165"/>
  <c r="J267" i="212" s="1"/>
  <c r="J72" i="167"/>
  <c r="I230" i="167" l="1"/>
  <c r="G230" i="167" s="1"/>
  <c r="J59" i="165"/>
  <c r="J59" i="212" s="1"/>
  <c r="O58" i="165"/>
  <c r="O58" i="212" s="1"/>
  <c r="P267" i="165"/>
  <c r="P267" i="212" s="1"/>
  <c r="J58" i="165" l="1"/>
  <c r="J58" i="212" s="1"/>
  <c r="P59" i="165"/>
  <c r="P59" i="212" s="1"/>
  <c r="I72" i="167"/>
  <c r="G72" i="167" s="1"/>
  <c r="P58" i="165" l="1"/>
  <c r="P58" i="212" s="1"/>
  <c r="J296" i="167"/>
  <c r="J293" i="167"/>
  <c r="N321" i="165" l="1"/>
  <c r="N321" i="212" s="1"/>
  <c r="M321" i="165"/>
  <c r="M321" i="212" s="1"/>
  <c r="L321" i="165"/>
  <c r="L321" i="212" s="1"/>
  <c r="K321" i="165"/>
  <c r="K321" i="212" s="1"/>
  <c r="I321" i="165"/>
  <c r="I321" i="212" s="1"/>
  <c r="G321" i="165"/>
  <c r="G321" i="212" s="1"/>
  <c r="O324" i="165"/>
  <c r="O324" i="212" s="1"/>
  <c r="E324" i="165"/>
  <c r="E324" i="212" s="1"/>
  <c r="O332" i="165"/>
  <c r="O332" i="212" s="1"/>
  <c r="E332" i="165"/>
  <c r="E332" i="212" s="1"/>
  <c r="J332" i="165" l="1"/>
  <c r="J332" i="212" s="1"/>
  <c r="H293" i="167"/>
  <c r="J324" i="165"/>
  <c r="J324" i="212" s="1"/>
  <c r="H296" i="167"/>
  <c r="N191" i="165"/>
  <c r="N191" i="212" s="1"/>
  <c r="M191" i="165"/>
  <c r="M191" i="212" s="1"/>
  <c r="L191" i="165"/>
  <c r="L191" i="212" s="1"/>
  <c r="I191" i="165"/>
  <c r="I191" i="212" s="1"/>
  <c r="H191" i="165"/>
  <c r="H191" i="212" s="1"/>
  <c r="G191" i="165"/>
  <c r="G191" i="212" s="1"/>
  <c r="F191" i="165"/>
  <c r="F191" i="212" s="1"/>
  <c r="G135" i="167"/>
  <c r="P332" i="165" l="1"/>
  <c r="P332" i="212" s="1"/>
  <c r="K191" i="165"/>
  <c r="K191" i="212" s="1"/>
  <c r="H190" i="165"/>
  <c r="H190" i="212" s="1"/>
  <c r="M190" i="165"/>
  <c r="M190" i="212" s="1"/>
  <c r="I190" i="165"/>
  <c r="I190" i="212" s="1"/>
  <c r="N190" i="165"/>
  <c r="N190" i="212" s="1"/>
  <c r="P324" i="165"/>
  <c r="P324" i="212" s="1"/>
  <c r="I293" i="167"/>
  <c r="F190" i="165"/>
  <c r="F190" i="212" s="1"/>
  <c r="O192" i="165"/>
  <c r="O192" i="212" s="1"/>
  <c r="J172" i="167"/>
  <c r="G190" i="165"/>
  <c r="G190" i="212" s="1"/>
  <c r="L190" i="165"/>
  <c r="L190" i="212" s="1"/>
  <c r="I296" i="167"/>
  <c r="G296" i="167" s="1"/>
  <c r="K190" i="165" l="1"/>
  <c r="K190" i="212" s="1"/>
  <c r="J192" i="165"/>
  <c r="J192" i="212" s="1"/>
  <c r="G293" i="167"/>
  <c r="O191" i="165"/>
  <c r="O191" i="212" s="1"/>
  <c r="J191" i="165" l="1"/>
  <c r="J191" i="212" s="1"/>
  <c r="I172" i="167"/>
  <c r="O190" i="165"/>
  <c r="O190" i="212" s="1"/>
  <c r="J145" i="167"/>
  <c r="O151" i="165"/>
  <c r="O151" i="212" s="1"/>
  <c r="E151" i="165"/>
  <c r="E151" i="212" s="1"/>
  <c r="J137" i="167"/>
  <c r="J138" i="167"/>
  <c r="N139" i="165"/>
  <c r="N139" i="212" s="1"/>
  <c r="M139" i="165"/>
  <c r="M139" i="212" s="1"/>
  <c r="L139" i="165"/>
  <c r="L139" i="212" s="1"/>
  <c r="I139" i="165"/>
  <c r="I139" i="212" s="1"/>
  <c r="G139" i="165"/>
  <c r="G139" i="212" s="1"/>
  <c r="J142" i="165"/>
  <c r="J142" i="212" s="1"/>
  <c r="E142" i="165"/>
  <c r="E142" i="212" s="1"/>
  <c r="J190" i="165" l="1"/>
  <c r="J190" i="212" s="1"/>
  <c r="I138" i="167"/>
  <c r="H145" i="167"/>
  <c r="J151" i="165"/>
  <c r="J151" i="212" s="1"/>
  <c r="K139" i="165"/>
  <c r="K139" i="212" s="1"/>
  <c r="P142" i="165"/>
  <c r="P142" i="212" s="1"/>
  <c r="H138" i="167"/>
  <c r="I145" i="167" l="1"/>
  <c r="G145" i="167" s="1"/>
  <c r="G138" i="167"/>
  <c r="P151" i="165"/>
  <c r="P151" i="212" s="1"/>
  <c r="F315" i="165"/>
  <c r="F315" i="212" s="1"/>
  <c r="G315" i="165"/>
  <c r="G315" i="212" s="1"/>
  <c r="H315" i="165"/>
  <c r="H315" i="212" s="1"/>
  <c r="O275" i="165"/>
  <c r="O275" i="212" s="1"/>
  <c r="E275" i="165"/>
  <c r="E275" i="212" s="1"/>
  <c r="H242" i="167" l="1"/>
  <c r="F302" i="165"/>
  <c r="F302" i="212" s="1"/>
  <c r="O302" i="165"/>
  <c r="O302" i="212" s="1"/>
  <c r="J275" i="165"/>
  <c r="J275" i="212" s="1"/>
  <c r="I242" i="167" l="1"/>
  <c r="G242" i="167" s="1"/>
  <c r="P275" i="165"/>
  <c r="P275" i="212" s="1"/>
  <c r="F301" i="165"/>
  <c r="F301" i="212" s="1"/>
  <c r="O301" i="165"/>
  <c r="O301" i="212" s="1"/>
  <c r="F139" i="165" l="1"/>
  <c r="F139" i="212" s="1"/>
  <c r="J195" i="167" l="1"/>
  <c r="O215" i="165" l="1"/>
  <c r="O215" i="212" s="1"/>
  <c r="E215" i="165"/>
  <c r="E215" i="212" s="1"/>
  <c r="L210" i="165"/>
  <c r="L210" i="212" s="1"/>
  <c r="G182" i="167"/>
  <c r="E211" i="165" l="1"/>
  <c r="E211" i="212" s="1"/>
  <c r="O211" i="165"/>
  <c r="O211" i="212" s="1"/>
  <c r="M210" i="165"/>
  <c r="M210" i="212" s="1"/>
  <c r="K210" i="165"/>
  <c r="K210" i="212" s="1"/>
  <c r="I210" i="165"/>
  <c r="I210" i="212" s="1"/>
  <c r="N210" i="165"/>
  <c r="N210" i="212" s="1"/>
  <c r="F210" i="165"/>
  <c r="F210" i="212" s="1"/>
  <c r="H195" i="167"/>
  <c r="G210" i="165"/>
  <c r="G210" i="212" s="1"/>
  <c r="H210" i="165"/>
  <c r="H210" i="212" s="1"/>
  <c r="J215" i="165"/>
  <c r="J215" i="212" s="1"/>
  <c r="E210" i="165" l="1"/>
  <c r="E210" i="212" s="1"/>
  <c r="J211" i="165"/>
  <c r="J211" i="212" s="1"/>
  <c r="O210" i="165"/>
  <c r="O210" i="212" s="1"/>
  <c r="I195" i="167"/>
  <c r="G195" i="167" s="1"/>
  <c r="P215" i="165"/>
  <c r="P215" i="212" s="1"/>
  <c r="P211" i="165" l="1"/>
  <c r="P211" i="212" s="1"/>
  <c r="J210" i="165"/>
  <c r="J210" i="212" s="1"/>
  <c r="P210" i="165" l="1"/>
  <c r="P210" i="212" s="1"/>
  <c r="G354" i="167"/>
  <c r="D36" i="108"/>
  <c r="H142" i="108" s="1"/>
  <c r="F321" i="165" l="1"/>
  <c r="F321" i="212" s="1"/>
  <c r="J36" i="167"/>
  <c r="J35" i="165" l="1"/>
  <c r="J35" i="212" s="1"/>
  <c r="J33" i="165"/>
  <c r="J33" i="212" s="1"/>
  <c r="O32" i="165"/>
  <c r="O32" i="212" s="1"/>
  <c r="L32" i="165"/>
  <c r="L32" i="212" s="1"/>
  <c r="F32" i="165"/>
  <c r="F32" i="212" s="1"/>
  <c r="N32" i="165"/>
  <c r="N32" i="212" s="1"/>
  <c r="M32" i="165"/>
  <c r="M32" i="212" s="1"/>
  <c r="K32" i="165"/>
  <c r="K32" i="212" s="1"/>
  <c r="I32" i="165"/>
  <c r="I32" i="212" s="1"/>
  <c r="H32" i="165"/>
  <c r="H32" i="212" s="1"/>
  <c r="G32" i="165"/>
  <c r="G32" i="212" s="1"/>
  <c r="E35" i="165"/>
  <c r="E35" i="212" s="1"/>
  <c r="G29" i="165" l="1"/>
  <c r="G29" i="212" s="1"/>
  <c r="M29" i="165"/>
  <c r="M29" i="212" s="1"/>
  <c r="H29" i="165"/>
  <c r="H29" i="212" s="1"/>
  <c r="N29" i="165"/>
  <c r="N29" i="212" s="1"/>
  <c r="I29" i="165"/>
  <c r="I29" i="212" s="1"/>
  <c r="F29" i="165"/>
  <c r="F29" i="212" s="1"/>
  <c r="K29" i="165"/>
  <c r="K29" i="212" s="1"/>
  <c r="L29" i="165"/>
  <c r="L29" i="212" s="1"/>
  <c r="I36" i="167"/>
  <c r="H36" i="167"/>
  <c r="J32" i="165"/>
  <c r="J32" i="212" s="1"/>
  <c r="P35" i="165"/>
  <c r="P35" i="212" s="1"/>
  <c r="J315" i="167"/>
  <c r="J311" i="167" s="1"/>
  <c r="G36" i="167" l="1"/>
  <c r="O352" i="165"/>
  <c r="E352" i="165"/>
  <c r="N351" i="165"/>
  <c r="M351" i="165"/>
  <c r="L351" i="165"/>
  <c r="K351" i="165"/>
  <c r="I351" i="165"/>
  <c r="H351" i="165"/>
  <c r="G351" i="165"/>
  <c r="F351" i="165"/>
  <c r="L350" i="165" l="1"/>
  <c r="N350" i="165"/>
  <c r="H350" i="165"/>
  <c r="M350" i="165"/>
  <c r="F350" i="165"/>
  <c r="K350" i="165"/>
  <c r="J352" i="165"/>
  <c r="G350" i="165"/>
  <c r="I350" i="165"/>
  <c r="E351" i="165"/>
  <c r="H315" i="167"/>
  <c r="O351" i="165"/>
  <c r="J351" i="165" l="1"/>
  <c r="P352" i="165"/>
  <c r="E350" i="165"/>
  <c r="O350" i="165"/>
  <c r="I315" i="167"/>
  <c r="G315" i="167" l="1"/>
  <c r="I311" i="167"/>
  <c r="J350" i="165"/>
  <c r="P351" i="165"/>
  <c r="P350" i="165" l="1"/>
  <c r="J344" i="167" l="1"/>
  <c r="J330" i="167" s="1"/>
  <c r="O391" i="165" l="1"/>
  <c r="E391" i="165"/>
  <c r="N390" i="165"/>
  <c r="M390" i="165"/>
  <c r="L390" i="165"/>
  <c r="K390" i="165"/>
  <c r="I390" i="165"/>
  <c r="H390" i="165"/>
  <c r="G390" i="165"/>
  <c r="F390" i="165"/>
  <c r="E91" i="170" l="1"/>
  <c r="M389" i="165"/>
  <c r="N389" i="165"/>
  <c r="H389" i="165"/>
  <c r="I389" i="165"/>
  <c r="F389" i="165"/>
  <c r="K389" i="165"/>
  <c r="H344" i="167"/>
  <c r="H330" i="167" s="1"/>
  <c r="G389" i="165"/>
  <c r="L389" i="165"/>
  <c r="J391" i="165"/>
  <c r="O390" i="165"/>
  <c r="E390" i="165"/>
  <c r="E107" i="170" l="1"/>
  <c r="E389" i="165"/>
  <c r="J390" i="165"/>
  <c r="I344" i="167"/>
  <c r="I330" i="167" s="1"/>
  <c r="P391" i="165"/>
  <c r="O389" i="165"/>
  <c r="G344" i="167" l="1"/>
  <c r="P390" i="165"/>
  <c r="J389" i="165"/>
  <c r="P389" i="165" l="1"/>
  <c r="J155" i="167" l="1"/>
  <c r="N160" i="165"/>
  <c r="N160" i="212" s="1"/>
  <c r="M160" i="165"/>
  <c r="M160" i="212" s="1"/>
  <c r="L160" i="165"/>
  <c r="L160" i="212" s="1"/>
  <c r="K160" i="165"/>
  <c r="K160" i="212" s="1"/>
  <c r="I160" i="165"/>
  <c r="I160" i="212" s="1"/>
  <c r="H160" i="165"/>
  <c r="H160" i="212" s="1"/>
  <c r="G160" i="165"/>
  <c r="G160" i="212" s="1"/>
  <c r="F160" i="165"/>
  <c r="F160" i="212" s="1"/>
  <c r="J146" i="167"/>
  <c r="J144" i="167"/>
  <c r="E160" i="165" l="1"/>
  <c r="E160" i="212" s="1"/>
  <c r="O160" i="165"/>
  <c r="O160" i="212" s="1"/>
  <c r="J160" i="165" l="1"/>
  <c r="J160" i="212" s="1"/>
  <c r="F17" i="165" l="1"/>
  <c r="F17" i="212" s="1"/>
  <c r="P160" i="165"/>
  <c r="P160" i="212" s="1"/>
  <c r="G261" i="167"/>
  <c r="P16" i="107" l="1"/>
  <c r="P15" i="107" s="1"/>
  <c r="P14" i="107" s="1"/>
  <c r="L16" i="107"/>
  <c r="L15" i="107" s="1"/>
  <c r="L14" i="107" s="1"/>
  <c r="K16" i="107"/>
  <c r="K15" i="107" s="1"/>
  <c r="K14" i="107" s="1"/>
  <c r="J16" i="107"/>
  <c r="J15" i="107" s="1"/>
  <c r="J14" i="107" s="1"/>
  <c r="H16" i="107"/>
  <c r="H15" i="107" s="1"/>
  <c r="H14" i="107" s="1"/>
  <c r="F16" i="107"/>
  <c r="F15" i="107" s="1"/>
  <c r="F14" i="107" s="1"/>
  <c r="N427" i="165"/>
  <c r="M427" i="165"/>
  <c r="L427" i="165"/>
  <c r="K427" i="165"/>
  <c r="I427" i="165"/>
  <c r="H427" i="165"/>
  <c r="G427" i="165"/>
  <c r="F427" i="165"/>
  <c r="N421" i="165"/>
  <c r="N421" i="212" s="1"/>
  <c r="M421" i="165"/>
  <c r="M421" i="212" s="1"/>
  <c r="L421" i="165"/>
  <c r="L421" i="212" s="1"/>
  <c r="K421" i="165"/>
  <c r="K421" i="212" s="1"/>
  <c r="I421" i="165"/>
  <c r="I421" i="212" s="1"/>
  <c r="H421" i="165"/>
  <c r="H421" i="212" s="1"/>
  <c r="G421" i="165"/>
  <c r="G421" i="212" s="1"/>
  <c r="O420" i="165"/>
  <c r="O420" i="212" s="1"/>
  <c r="N413" i="165"/>
  <c r="N413" i="212" s="1"/>
  <c r="M413" i="165"/>
  <c r="M413" i="212" s="1"/>
  <c r="L413" i="165"/>
  <c r="L413" i="212" s="1"/>
  <c r="K413" i="165"/>
  <c r="K413" i="212" s="1"/>
  <c r="I413" i="165"/>
  <c r="I413" i="212" s="1"/>
  <c r="G413" i="165"/>
  <c r="G413" i="212" s="1"/>
  <c r="O407" i="165"/>
  <c r="O407" i="212" s="1"/>
  <c r="N407" i="165"/>
  <c r="N407" i="212" s="1"/>
  <c r="M407" i="165"/>
  <c r="M407" i="212" s="1"/>
  <c r="L407" i="165"/>
  <c r="L407" i="212" s="1"/>
  <c r="K407" i="165"/>
  <c r="K407" i="212" s="1"/>
  <c r="I407" i="165"/>
  <c r="I407" i="212" s="1"/>
  <c r="H407" i="165"/>
  <c r="H407" i="212" s="1"/>
  <c r="G407" i="165"/>
  <c r="G407" i="212" s="1"/>
  <c r="F407" i="165"/>
  <c r="F407" i="212" s="1"/>
  <c r="N409" i="165"/>
  <c r="N409" i="212" s="1"/>
  <c r="M409" i="165"/>
  <c r="M409" i="212" s="1"/>
  <c r="L409" i="165"/>
  <c r="L409" i="212" s="1"/>
  <c r="K409" i="165"/>
  <c r="K409" i="212" s="1"/>
  <c r="I409" i="165"/>
  <c r="I409" i="212" s="1"/>
  <c r="H409" i="165"/>
  <c r="H409" i="212" s="1"/>
  <c r="G409" i="165"/>
  <c r="G409" i="212" s="1"/>
  <c r="F409" i="165"/>
  <c r="F409" i="212" s="1"/>
  <c r="N404" i="165"/>
  <c r="N404" i="212" s="1"/>
  <c r="M404" i="165"/>
  <c r="M404" i="212" s="1"/>
  <c r="L404" i="165"/>
  <c r="L404" i="212" s="1"/>
  <c r="K404" i="165"/>
  <c r="K404" i="212" s="1"/>
  <c r="I404" i="165"/>
  <c r="I404" i="212" s="1"/>
  <c r="G404" i="165"/>
  <c r="G404" i="212" s="1"/>
  <c r="F404" i="165"/>
  <c r="F404" i="212" s="1"/>
  <c r="N394" i="165"/>
  <c r="N394" i="212" s="1"/>
  <c r="M394" i="165"/>
  <c r="M394" i="212" s="1"/>
  <c r="L394" i="165"/>
  <c r="L394" i="212" s="1"/>
  <c r="K394" i="165"/>
  <c r="K394" i="212" s="1"/>
  <c r="I394" i="165"/>
  <c r="I394" i="212" s="1"/>
  <c r="G394" i="165"/>
  <c r="G394" i="212" s="1"/>
  <c r="N67" i="165"/>
  <c r="N67" i="212" s="1"/>
  <c r="M67" i="165"/>
  <c r="M67" i="212" s="1"/>
  <c r="L67" i="165"/>
  <c r="L67" i="212" s="1"/>
  <c r="K67" i="165"/>
  <c r="K67" i="212" s="1"/>
  <c r="I67" i="165"/>
  <c r="I67" i="212" s="1"/>
  <c r="M64" i="165"/>
  <c r="M64" i="212" s="1"/>
  <c r="K64" i="165"/>
  <c r="K64" i="212" s="1"/>
  <c r="I64" i="165"/>
  <c r="I64" i="212" s="1"/>
  <c r="M61" i="165"/>
  <c r="M61" i="212" s="1"/>
  <c r="K61" i="165"/>
  <c r="I61" i="165"/>
  <c r="N384" i="165"/>
  <c r="N384" i="212" s="1"/>
  <c r="M384" i="165"/>
  <c r="M384" i="212" s="1"/>
  <c r="L384" i="165"/>
  <c r="L384" i="212" s="1"/>
  <c r="I384" i="165"/>
  <c r="I384" i="212" s="1"/>
  <c r="H384" i="165"/>
  <c r="H384" i="212" s="1"/>
  <c r="G384" i="165"/>
  <c r="G384" i="212" s="1"/>
  <c r="N362" i="165"/>
  <c r="N362" i="212" s="1"/>
  <c r="M362" i="165"/>
  <c r="M362" i="212" s="1"/>
  <c r="L362" i="165"/>
  <c r="L362" i="212" s="1"/>
  <c r="K362" i="165"/>
  <c r="K362" i="212" s="1"/>
  <c r="I362" i="165"/>
  <c r="I362" i="212" s="1"/>
  <c r="H362" i="165"/>
  <c r="H362" i="212" s="1"/>
  <c r="G362" i="165"/>
  <c r="G362" i="212" s="1"/>
  <c r="F362" i="165"/>
  <c r="F362" i="212" s="1"/>
  <c r="N355" i="165"/>
  <c r="N355" i="212" s="1"/>
  <c r="M355" i="165"/>
  <c r="M355" i="212" s="1"/>
  <c r="L355" i="165"/>
  <c r="L355" i="212" s="1"/>
  <c r="K355" i="165"/>
  <c r="K355" i="212" s="1"/>
  <c r="I355" i="165"/>
  <c r="I355" i="212" s="1"/>
  <c r="G355" i="165"/>
  <c r="G355" i="212" s="1"/>
  <c r="N333" i="165"/>
  <c r="N333" i="212" s="1"/>
  <c r="M333" i="165"/>
  <c r="M333" i="212" s="1"/>
  <c r="L333" i="165"/>
  <c r="L333" i="212" s="1"/>
  <c r="K333" i="165"/>
  <c r="K333" i="212" s="1"/>
  <c r="I333" i="165"/>
  <c r="I333" i="212" s="1"/>
  <c r="H333" i="165"/>
  <c r="H333" i="212" s="1"/>
  <c r="G333" i="165"/>
  <c r="G333" i="212" s="1"/>
  <c r="F333" i="165"/>
  <c r="F333" i="212" s="1"/>
  <c r="N328" i="165"/>
  <c r="N328" i="212" s="1"/>
  <c r="M328" i="165"/>
  <c r="M328" i="212" s="1"/>
  <c r="L328" i="165"/>
  <c r="L328" i="212" s="1"/>
  <c r="I328" i="165"/>
  <c r="I328" i="212" s="1"/>
  <c r="H328" i="165"/>
  <c r="H328" i="212" s="1"/>
  <c r="G328" i="165"/>
  <c r="G328" i="212" s="1"/>
  <c r="F328" i="165"/>
  <c r="F328" i="212" s="1"/>
  <c r="I61" i="212" l="1"/>
  <c r="I49" i="165"/>
  <c r="I49" i="212" s="1"/>
  <c r="I48" i="212" s="1"/>
  <c r="I47" i="212" s="1"/>
  <c r="L412" i="212"/>
  <c r="L411" i="212" s="1"/>
  <c r="K49" i="165"/>
  <c r="K49" i="212" s="1"/>
  <c r="K48" i="212" s="1"/>
  <c r="K47" i="212" s="1"/>
  <c r="K61" i="212"/>
  <c r="G412" i="212"/>
  <c r="G411" i="212" s="1"/>
  <c r="L359" i="165"/>
  <c r="L359" i="212" s="1"/>
  <c r="H359" i="165"/>
  <c r="H359" i="212" s="1"/>
  <c r="M359" i="165"/>
  <c r="M359" i="212" s="1"/>
  <c r="I359" i="165"/>
  <c r="I359" i="212" s="1"/>
  <c r="N359" i="165"/>
  <c r="N359" i="212" s="1"/>
  <c r="G359" i="165"/>
  <c r="G359" i="212" s="1"/>
  <c r="F359" i="165"/>
  <c r="F359" i="212" s="1"/>
  <c r="K359" i="165"/>
  <c r="K359" i="212" s="1"/>
  <c r="I419" i="165"/>
  <c r="I419" i="212" s="1"/>
  <c r="I412" i="212" s="1"/>
  <c r="I411" i="212" s="1"/>
  <c r="N419" i="165"/>
  <c r="N419" i="212" s="1"/>
  <c r="N412" i="212" s="1"/>
  <c r="N411" i="212" s="1"/>
  <c r="K419" i="165"/>
  <c r="K419" i="212" s="1"/>
  <c r="K412" i="212" s="1"/>
  <c r="K411" i="212" s="1"/>
  <c r="L419" i="165"/>
  <c r="L419" i="212" s="1"/>
  <c r="G419" i="165"/>
  <c r="G419" i="212" s="1"/>
  <c r="H419" i="165"/>
  <c r="H419" i="212" s="1"/>
  <c r="M419" i="165"/>
  <c r="M419" i="212" s="1"/>
  <c r="M412" i="212" s="1"/>
  <c r="M411" i="212" s="1"/>
  <c r="L426" i="165"/>
  <c r="G426" i="165"/>
  <c r="M345" i="165"/>
  <c r="G380" i="165"/>
  <c r="G380" i="212" s="1"/>
  <c r="M380" i="165"/>
  <c r="M380" i="212" s="1"/>
  <c r="H426" i="165"/>
  <c r="M426" i="165"/>
  <c r="G327" i="165"/>
  <c r="G327" i="212" s="1"/>
  <c r="I327" i="165"/>
  <c r="I327" i="212" s="1"/>
  <c r="F331" i="165"/>
  <c r="F331" i="212" s="1"/>
  <c r="G345" i="165"/>
  <c r="F327" i="165"/>
  <c r="F327" i="212" s="1"/>
  <c r="L327" i="165"/>
  <c r="L327" i="212" s="1"/>
  <c r="G331" i="165"/>
  <c r="G331" i="212" s="1"/>
  <c r="L331" i="165"/>
  <c r="L331" i="212" s="1"/>
  <c r="I345" i="165"/>
  <c r="N345" i="165"/>
  <c r="H380" i="165"/>
  <c r="H380" i="212" s="1"/>
  <c r="N380" i="165"/>
  <c r="N380" i="212" s="1"/>
  <c r="I426" i="165"/>
  <c r="N426" i="165"/>
  <c r="M327" i="165"/>
  <c r="M327" i="212" s="1"/>
  <c r="M331" i="165"/>
  <c r="M331" i="212" s="1"/>
  <c r="K345" i="165"/>
  <c r="I380" i="165"/>
  <c r="I380" i="212" s="1"/>
  <c r="J420" i="165"/>
  <c r="J420" i="212" s="1"/>
  <c r="F426" i="165"/>
  <c r="K426" i="165"/>
  <c r="H331" i="165"/>
  <c r="H331" i="212" s="1"/>
  <c r="H327" i="165"/>
  <c r="H327" i="212" s="1"/>
  <c r="N327" i="165"/>
  <c r="N327" i="212" s="1"/>
  <c r="I331" i="165"/>
  <c r="I331" i="212" s="1"/>
  <c r="N331" i="165"/>
  <c r="N331" i="212" s="1"/>
  <c r="L345" i="165"/>
  <c r="L380" i="165"/>
  <c r="L380" i="212" s="1"/>
  <c r="K331" i="165"/>
  <c r="K331" i="212" s="1"/>
  <c r="H406" i="165"/>
  <c r="H406" i="212" s="1"/>
  <c r="K406" i="165"/>
  <c r="K406" i="212" s="1"/>
  <c r="K403" i="212" s="1"/>
  <c r="K402" i="212" s="1"/>
  <c r="G406" i="165"/>
  <c r="G406" i="212" s="1"/>
  <c r="G403" i="212" s="1"/>
  <c r="G402" i="212" s="1"/>
  <c r="L406" i="165"/>
  <c r="L406" i="212" s="1"/>
  <c r="L403" i="212" s="1"/>
  <c r="I406" i="165"/>
  <c r="I406" i="212" s="1"/>
  <c r="I403" i="212" s="1"/>
  <c r="I402" i="212" s="1"/>
  <c r="M406" i="165"/>
  <c r="M406" i="212" s="1"/>
  <c r="M403" i="212" s="1"/>
  <c r="M402" i="212" s="1"/>
  <c r="F406" i="165"/>
  <c r="F406" i="212" s="1"/>
  <c r="F403" i="212" s="1"/>
  <c r="F402" i="212" s="1"/>
  <c r="N406" i="165"/>
  <c r="N406" i="212" s="1"/>
  <c r="N403" i="212" s="1"/>
  <c r="N402" i="212" s="1"/>
  <c r="N312" i="165"/>
  <c r="N312" i="212" s="1"/>
  <c r="M312" i="165"/>
  <c r="M312" i="212" s="1"/>
  <c r="L312" i="165"/>
  <c r="L312" i="212" s="1"/>
  <c r="K312" i="165"/>
  <c r="K312" i="212" s="1"/>
  <c r="I312" i="165"/>
  <c r="I312" i="212" s="1"/>
  <c r="F312" i="165"/>
  <c r="F312" i="212" s="1"/>
  <c r="N299" i="165"/>
  <c r="N299" i="212" s="1"/>
  <c r="M299" i="165"/>
  <c r="M299" i="212" s="1"/>
  <c r="L299" i="165"/>
  <c r="L299" i="212" s="1"/>
  <c r="K299" i="165"/>
  <c r="K299" i="212" s="1"/>
  <c r="I299" i="165"/>
  <c r="I299" i="212" s="1"/>
  <c r="H299" i="165"/>
  <c r="H299" i="212" s="1"/>
  <c r="G299" i="165"/>
  <c r="G299" i="212" s="1"/>
  <c r="F299" i="165"/>
  <c r="F299" i="212" s="1"/>
  <c r="N286" i="165"/>
  <c r="N286" i="212" s="1"/>
  <c r="M286" i="165"/>
  <c r="M286" i="212" s="1"/>
  <c r="L286" i="165"/>
  <c r="L286" i="212" s="1"/>
  <c r="K286" i="165"/>
  <c r="K286" i="212" s="1"/>
  <c r="I286" i="165"/>
  <c r="I286" i="212" s="1"/>
  <c r="G286" i="165"/>
  <c r="G286" i="212" s="1"/>
  <c r="N276" i="165"/>
  <c r="N276" i="212" s="1"/>
  <c r="M276" i="165"/>
  <c r="M276" i="212" s="1"/>
  <c r="L276" i="165"/>
  <c r="L276" i="212" s="1"/>
  <c r="K276" i="165"/>
  <c r="K276" i="212" s="1"/>
  <c r="I276" i="165"/>
  <c r="I276" i="212" s="1"/>
  <c r="H276" i="165"/>
  <c r="H276" i="212" s="1"/>
  <c r="G276" i="165"/>
  <c r="G276" i="212" s="1"/>
  <c r="F276" i="165"/>
  <c r="F276" i="212" s="1"/>
  <c r="N262" i="165"/>
  <c r="N262" i="212" s="1"/>
  <c r="M262" i="165"/>
  <c r="M262" i="212" s="1"/>
  <c r="L262" i="165"/>
  <c r="L262" i="212" s="1"/>
  <c r="I262" i="165"/>
  <c r="I262" i="212" s="1"/>
  <c r="H262" i="165"/>
  <c r="H262" i="212" s="1"/>
  <c r="G262" i="165"/>
  <c r="G262" i="212" s="1"/>
  <c r="F262" i="165"/>
  <c r="F262" i="212" s="1"/>
  <c r="N243" i="165"/>
  <c r="N243" i="212" s="1"/>
  <c r="M243" i="165"/>
  <c r="M243" i="212" s="1"/>
  <c r="L243" i="165"/>
  <c r="L243" i="212" s="1"/>
  <c r="K243" i="165"/>
  <c r="K243" i="212" s="1"/>
  <c r="I243" i="165"/>
  <c r="I243" i="212" s="1"/>
  <c r="H243" i="165"/>
  <c r="H243" i="212" s="1"/>
  <c r="G243" i="165"/>
  <c r="G243" i="212" s="1"/>
  <c r="F243" i="165"/>
  <c r="F243" i="212" s="1"/>
  <c r="N238" i="165"/>
  <c r="N238" i="212" s="1"/>
  <c r="M238" i="165"/>
  <c r="M238" i="212" s="1"/>
  <c r="L238" i="165"/>
  <c r="L238" i="212" s="1"/>
  <c r="I238" i="165"/>
  <c r="I238" i="212" s="1"/>
  <c r="H238" i="165"/>
  <c r="H238" i="212" s="1"/>
  <c r="G238" i="165"/>
  <c r="G238" i="212" s="1"/>
  <c r="M233" i="165"/>
  <c r="M233" i="212" s="1"/>
  <c r="I233" i="165"/>
  <c r="I233" i="212" s="1"/>
  <c r="G233" i="165"/>
  <c r="G233" i="212" s="1"/>
  <c r="N231" i="165"/>
  <c r="N231" i="212" s="1"/>
  <c r="M231" i="165"/>
  <c r="M231" i="212" s="1"/>
  <c r="L231" i="165"/>
  <c r="L231" i="212" s="1"/>
  <c r="K231" i="165"/>
  <c r="K231" i="212" s="1"/>
  <c r="I231" i="165"/>
  <c r="I231" i="212" s="1"/>
  <c r="H231" i="165"/>
  <c r="H231" i="212" s="1"/>
  <c r="G231" i="165"/>
  <c r="G231" i="212" s="1"/>
  <c r="N228" i="165"/>
  <c r="N228" i="212" s="1"/>
  <c r="M228" i="165"/>
  <c r="M228" i="212" s="1"/>
  <c r="L228" i="165"/>
  <c r="L228" i="212" s="1"/>
  <c r="K228" i="165"/>
  <c r="K228" i="212" s="1"/>
  <c r="I228" i="165"/>
  <c r="I228" i="212" s="1"/>
  <c r="H228" i="165"/>
  <c r="H228" i="212" s="1"/>
  <c r="G228" i="165"/>
  <c r="G228" i="212" s="1"/>
  <c r="M224" i="165"/>
  <c r="M224" i="212" s="1"/>
  <c r="I224" i="165"/>
  <c r="I224" i="212" s="1"/>
  <c r="G224" i="165"/>
  <c r="G224" i="212" s="1"/>
  <c r="N222" i="165"/>
  <c r="N222" i="212" s="1"/>
  <c r="M222" i="165"/>
  <c r="M222" i="212" s="1"/>
  <c r="L222" i="165"/>
  <c r="L222" i="212" s="1"/>
  <c r="K222" i="165"/>
  <c r="K222" i="212" s="1"/>
  <c r="I222" i="165"/>
  <c r="I222" i="212" s="1"/>
  <c r="G222" i="165"/>
  <c r="G222" i="212" s="1"/>
  <c r="N217" i="165"/>
  <c r="M217" i="165"/>
  <c r="L217" i="165"/>
  <c r="K217" i="165"/>
  <c r="I217" i="165"/>
  <c r="H217" i="165"/>
  <c r="G217" i="165"/>
  <c r="F217" i="165"/>
  <c r="N207" i="165"/>
  <c r="N207" i="212" s="1"/>
  <c r="M207" i="165"/>
  <c r="M207" i="212" s="1"/>
  <c r="K207" i="165"/>
  <c r="K207" i="212" s="1"/>
  <c r="I207" i="165"/>
  <c r="I207" i="212" s="1"/>
  <c r="G207" i="165"/>
  <c r="G207" i="212" s="1"/>
  <c r="M200" i="165"/>
  <c r="M200" i="212" s="1"/>
  <c r="K200" i="165"/>
  <c r="K200" i="212" s="1"/>
  <c r="I200" i="165"/>
  <c r="I200" i="212" s="1"/>
  <c r="N195" i="165"/>
  <c r="N193" i="165" s="1"/>
  <c r="N193" i="212" s="1"/>
  <c r="M195" i="165"/>
  <c r="M193" i="165" s="1"/>
  <c r="M193" i="212" s="1"/>
  <c r="L195" i="165"/>
  <c r="L193" i="165" s="1"/>
  <c r="L193" i="212" s="1"/>
  <c r="K195" i="165"/>
  <c r="K193" i="165" s="1"/>
  <c r="K193" i="212" s="1"/>
  <c r="I195" i="165"/>
  <c r="I193" i="165" s="1"/>
  <c r="I193" i="212" s="1"/>
  <c r="H195" i="165"/>
  <c r="H193" i="165" s="1"/>
  <c r="H193" i="212" s="1"/>
  <c r="G195" i="165"/>
  <c r="G193" i="165" s="1"/>
  <c r="G193" i="212" s="1"/>
  <c r="F195" i="165"/>
  <c r="F193" i="165" s="1"/>
  <c r="F193" i="212" s="1"/>
  <c r="M182" i="165"/>
  <c r="M182" i="212" s="1"/>
  <c r="I182" i="165"/>
  <c r="I182" i="212" s="1"/>
  <c r="N163" i="165"/>
  <c r="N163" i="212" s="1"/>
  <c r="M163" i="165"/>
  <c r="M163" i="212" s="1"/>
  <c r="L163" i="165"/>
  <c r="L163" i="212" s="1"/>
  <c r="K163" i="165"/>
  <c r="K163" i="212" s="1"/>
  <c r="I163" i="165"/>
  <c r="I163" i="212" s="1"/>
  <c r="H163" i="165"/>
  <c r="H163" i="212" s="1"/>
  <c r="G163" i="165"/>
  <c r="G163" i="212" s="1"/>
  <c r="M153" i="165"/>
  <c r="M153" i="212" s="1"/>
  <c r="K153" i="165"/>
  <c r="K153" i="212" s="1"/>
  <c r="I153" i="165"/>
  <c r="I153" i="212" s="1"/>
  <c r="F153" i="165"/>
  <c r="F153" i="212" s="1"/>
  <c r="N144" i="165"/>
  <c r="N144" i="212" s="1"/>
  <c r="M144" i="165"/>
  <c r="M144" i="212" s="1"/>
  <c r="L144" i="165"/>
  <c r="L144" i="212" s="1"/>
  <c r="K144" i="165"/>
  <c r="K144" i="212" s="1"/>
  <c r="I144" i="165"/>
  <c r="I144" i="212" s="1"/>
  <c r="H144" i="165"/>
  <c r="H144" i="212" s="1"/>
  <c r="G144" i="165"/>
  <c r="G144" i="212" s="1"/>
  <c r="L402" i="212" l="1"/>
  <c r="M320" i="212"/>
  <c r="M319" i="212" s="1"/>
  <c r="L320" i="212"/>
  <c r="I362" i="167"/>
  <c r="I359" i="167" s="1"/>
  <c r="M261" i="165"/>
  <c r="M261" i="212" s="1"/>
  <c r="M227" i="165"/>
  <c r="M227" i="212" s="1"/>
  <c r="H261" i="165"/>
  <c r="H261" i="212" s="1"/>
  <c r="N261" i="165"/>
  <c r="N261" i="212" s="1"/>
  <c r="G261" i="165"/>
  <c r="G261" i="212" s="1"/>
  <c r="I227" i="165"/>
  <c r="I227" i="212" s="1"/>
  <c r="I261" i="165"/>
  <c r="I261" i="212" s="1"/>
  <c r="G227" i="165"/>
  <c r="G227" i="212" s="1"/>
  <c r="L261" i="165"/>
  <c r="L261" i="212" s="1"/>
  <c r="F261" i="165"/>
  <c r="F261" i="212" s="1"/>
  <c r="L412" i="165"/>
  <c r="M412" i="165"/>
  <c r="K412" i="165"/>
  <c r="N412" i="165"/>
  <c r="G412" i="165"/>
  <c r="I412" i="165"/>
  <c r="H358" i="165"/>
  <c r="H358" i="212" s="1"/>
  <c r="L358" i="165"/>
  <c r="L358" i="212" s="1"/>
  <c r="L354" i="212" s="1"/>
  <c r="L353" i="212" s="1"/>
  <c r="F358" i="165"/>
  <c r="F358" i="212" s="1"/>
  <c r="N358" i="165"/>
  <c r="N358" i="212" s="1"/>
  <c r="N354" i="212" s="1"/>
  <c r="N353" i="212" s="1"/>
  <c r="M358" i="165"/>
  <c r="M358" i="212" s="1"/>
  <c r="M354" i="212" s="1"/>
  <c r="M353" i="212" s="1"/>
  <c r="G358" i="165"/>
  <c r="G358" i="212" s="1"/>
  <c r="G354" i="212" s="1"/>
  <c r="G353" i="212" s="1"/>
  <c r="K358" i="165"/>
  <c r="K358" i="212" s="1"/>
  <c r="K354" i="212" s="1"/>
  <c r="K353" i="212" s="1"/>
  <c r="I358" i="165"/>
  <c r="I358" i="212" s="1"/>
  <c r="I354" i="212" s="1"/>
  <c r="I353" i="212" s="1"/>
  <c r="K290" i="165"/>
  <c r="K290" i="212" s="1"/>
  <c r="N242" i="165"/>
  <c r="N242" i="212" s="1"/>
  <c r="I290" i="165"/>
  <c r="I290" i="212" s="1"/>
  <c r="G290" i="165"/>
  <c r="G290" i="212" s="1"/>
  <c r="L290" i="165"/>
  <c r="L290" i="212" s="1"/>
  <c r="N290" i="165"/>
  <c r="N290" i="212" s="1"/>
  <c r="H290" i="165"/>
  <c r="H290" i="212" s="1"/>
  <c r="M290" i="165"/>
  <c r="M290" i="212" s="1"/>
  <c r="I245" i="165"/>
  <c r="I245" i="212" s="1"/>
  <c r="K245" i="165"/>
  <c r="K245" i="212" s="1"/>
  <c r="L245" i="165"/>
  <c r="L245" i="212" s="1"/>
  <c r="M245" i="165"/>
  <c r="M245" i="212" s="1"/>
  <c r="N245" i="165"/>
  <c r="N245" i="212" s="1"/>
  <c r="M143" i="165"/>
  <c r="M143" i="212" s="1"/>
  <c r="F245" i="165"/>
  <c r="F245" i="212" s="1"/>
  <c r="G245" i="165"/>
  <c r="G245" i="212" s="1"/>
  <c r="H245" i="165"/>
  <c r="H245" i="212" s="1"/>
  <c r="I143" i="165"/>
  <c r="I143" i="212" s="1"/>
  <c r="N330" i="165"/>
  <c r="N330" i="212" s="1"/>
  <c r="N320" i="212" s="1"/>
  <c r="N319" i="212" s="1"/>
  <c r="H330" i="165"/>
  <c r="H330" i="212" s="1"/>
  <c r="I377" i="165"/>
  <c r="I377" i="212" s="1"/>
  <c r="I373" i="212" s="1"/>
  <c r="I372" i="212" s="1"/>
  <c r="M377" i="165"/>
  <c r="M377" i="212" s="1"/>
  <c r="M373" i="212" s="1"/>
  <c r="M372" i="212" s="1"/>
  <c r="K330" i="165"/>
  <c r="K330" i="212" s="1"/>
  <c r="I330" i="165"/>
  <c r="I330" i="212" s="1"/>
  <c r="I320" i="212" s="1"/>
  <c r="I319" i="212" s="1"/>
  <c r="G377" i="165"/>
  <c r="G377" i="212" s="1"/>
  <c r="G373" i="212" s="1"/>
  <c r="G372" i="212" s="1"/>
  <c r="L377" i="165"/>
  <c r="L377" i="212" s="1"/>
  <c r="L373" i="212" s="1"/>
  <c r="M330" i="165"/>
  <c r="M330" i="212" s="1"/>
  <c r="N377" i="165"/>
  <c r="N377" i="212" s="1"/>
  <c r="N373" i="212" s="1"/>
  <c r="N372" i="212" s="1"/>
  <c r="L330" i="165"/>
  <c r="L330" i="212" s="1"/>
  <c r="H377" i="165"/>
  <c r="H377" i="212" s="1"/>
  <c r="H373" i="212" s="1"/>
  <c r="H372" i="212" s="1"/>
  <c r="G330" i="165"/>
  <c r="G330" i="212" s="1"/>
  <c r="G320" i="212" s="1"/>
  <c r="G319" i="212" s="1"/>
  <c r="F330" i="165"/>
  <c r="F330" i="212" s="1"/>
  <c r="F320" i="212" s="1"/>
  <c r="F319" i="212" s="1"/>
  <c r="F185" i="165"/>
  <c r="F185" i="212" s="1"/>
  <c r="K185" i="165"/>
  <c r="K185" i="212" s="1"/>
  <c r="I202" i="165"/>
  <c r="I202" i="212" s="1"/>
  <c r="I199" i="212" s="1"/>
  <c r="I198" i="212" s="1"/>
  <c r="F216" i="165"/>
  <c r="K216" i="165"/>
  <c r="M221" i="165"/>
  <c r="M221" i="212" s="1"/>
  <c r="M220" i="212" s="1"/>
  <c r="M219" i="212" s="1"/>
  <c r="I242" i="165"/>
  <c r="I242" i="212" s="1"/>
  <c r="L311" i="165"/>
  <c r="L311" i="212" s="1"/>
  <c r="F403" i="165"/>
  <c r="L403" i="165"/>
  <c r="M397" i="165"/>
  <c r="M397" i="212" s="1"/>
  <c r="M393" i="212" s="1"/>
  <c r="M392" i="212" s="1"/>
  <c r="L397" i="165"/>
  <c r="L397" i="212" s="1"/>
  <c r="L393" i="212" s="1"/>
  <c r="L392" i="212" s="1"/>
  <c r="G185" i="165"/>
  <c r="G185" i="212" s="1"/>
  <c r="L185" i="165"/>
  <c r="L185" i="212" s="1"/>
  <c r="G216" i="165"/>
  <c r="L216" i="165"/>
  <c r="F242" i="165"/>
  <c r="F242" i="212" s="1"/>
  <c r="K242" i="165"/>
  <c r="K242" i="212" s="1"/>
  <c r="F311" i="165"/>
  <c r="F311" i="212" s="1"/>
  <c r="M311" i="165"/>
  <c r="M311" i="212" s="1"/>
  <c r="M403" i="165"/>
  <c r="G403" i="165"/>
  <c r="N397" i="165"/>
  <c r="N397" i="212" s="1"/>
  <c r="N393" i="212" s="1"/>
  <c r="N392" i="212" s="1"/>
  <c r="K397" i="165"/>
  <c r="K397" i="212" s="1"/>
  <c r="K393" i="212" s="1"/>
  <c r="K392" i="212" s="1"/>
  <c r="H185" i="165"/>
  <c r="H185" i="212" s="1"/>
  <c r="M185" i="165"/>
  <c r="M185" i="212" s="1"/>
  <c r="M202" i="165"/>
  <c r="M202" i="212" s="1"/>
  <c r="M199" i="212" s="1"/>
  <c r="M198" i="212" s="1"/>
  <c r="H216" i="165"/>
  <c r="M216" i="165"/>
  <c r="G242" i="165"/>
  <c r="G242" i="212" s="1"/>
  <c r="L242" i="165"/>
  <c r="L242" i="212" s="1"/>
  <c r="I311" i="165"/>
  <c r="I311" i="212" s="1"/>
  <c r="N311" i="165"/>
  <c r="N311" i="212" s="1"/>
  <c r="I403" i="165"/>
  <c r="H397" i="165"/>
  <c r="H397" i="212" s="1"/>
  <c r="G397" i="165"/>
  <c r="G397" i="212" s="1"/>
  <c r="G393" i="212" s="1"/>
  <c r="G392" i="212" s="1"/>
  <c r="I185" i="165"/>
  <c r="I185" i="212" s="1"/>
  <c r="N185" i="165"/>
  <c r="N185" i="212" s="1"/>
  <c r="G202" i="165"/>
  <c r="G202" i="212" s="1"/>
  <c r="I216" i="165"/>
  <c r="N216" i="165"/>
  <c r="H242" i="165"/>
  <c r="H242" i="212" s="1"/>
  <c r="M242" i="165"/>
  <c r="M242" i="212" s="1"/>
  <c r="K311" i="165"/>
  <c r="K311" i="212" s="1"/>
  <c r="N403" i="165"/>
  <c r="K403" i="165"/>
  <c r="I397" i="165"/>
  <c r="I397" i="212" s="1"/>
  <c r="I393" i="212" s="1"/>
  <c r="I392" i="212" s="1"/>
  <c r="F397" i="165"/>
  <c r="F397" i="212" s="1"/>
  <c r="I273" i="165"/>
  <c r="I273" i="212" s="1"/>
  <c r="F273" i="165"/>
  <c r="F273" i="212" s="1"/>
  <c r="K273" i="165"/>
  <c r="K273" i="212" s="1"/>
  <c r="G273" i="165"/>
  <c r="G273" i="212" s="1"/>
  <c r="L273" i="165"/>
  <c r="L273" i="212" s="1"/>
  <c r="N273" i="165"/>
  <c r="N273" i="212" s="1"/>
  <c r="G221" i="165"/>
  <c r="G221" i="212" s="1"/>
  <c r="H273" i="165"/>
  <c r="H273" i="212" s="1"/>
  <c r="M273" i="165"/>
  <c r="M273" i="212" s="1"/>
  <c r="I221" i="165"/>
  <c r="I221" i="212" s="1"/>
  <c r="I220" i="212" s="1"/>
  <c r="I219" i="212" s="1"/>
  <c r="N120" i="165"/>
  <c r="N120" i="212" s="1"/>
  <c r="M120" i="165"/>
  <c r="M120" i="212" s="1"/>
  <c r="L120" i="165"/>
  <c r="L120" i="212" s="1"/>
  <c r="K120" i="165"/>
  <c r="K120" i="212" s="1"/>
  <c r="I120" i="165"/>
  <c r="I120" i="212" s="1"/>
  <c r="N118" i="165"/>
  <c r="N118" i="212" s="1"/>
  <c r="M118" i="165"/>
  <c r="M118" i="212" s="1"/>
  <c r="L118" i="165"/>
  <c r="L118" i="212" s="1"/>
  <c r="K118" i="165"/>
  <c r="K118" i="212" s="1"/>
  <c r="I118" i="165"/>
  <c r="I118" i="212" s="1"/>
  <c r="H118" i="165"/>
  <c r="H118" i="212" s="1"/>
  <c r="G118" i="165"/>
  <c r="G118" i="212" s="1"/>
  <c r="F118" i="165"/>
  <c r="F118" i="212" s="1"/>
  <c r="N116" i="165"/>
  <c r="N116" i="212" s="1"/>
  <c r="M116" i="165"/>
  <c r="M116" i="212" s="1"/>
  <c r="L116" i="165"/>
  <c r="L116" i="212" s="1"/>
  <c r="K116" i="165"/>
  <c r="K116" i="212" s="1"/>
  <c r="I116" i="165"/>
  <c r="I116" i="212" s="1"/>
  <c r="H116" i="165"/>
  <c r="H116" i="212" s="1"/>
  <c r="G116" i="165"/>
  <c r="G116" i="212" s="1"/>
  <c r="F116" i="165"/>
  <c r="F116" i="212" s="1"/>
  <c r="O115" i="165"/>
  <c r="O115" i="212" s="1"/>
  <c r="K48" i="165"/>
  <c r="I48" i="165"/>
  <c r="N43" i="165"/>
  <c r="N43" i="212" s="1"/>
  <c r="M43" i="165"/>
  <c r="M43" i="212" s="1"/>
  <c r="L43" i="165"/>
  <c r="L43" i="212" s="1"/>
  <c r="K43" i="165"/>
  <c r="K43" i="212" s="1"/>
  <c r="I43" i="165"/>
  <c r="I43" i="212" s="1"/>
  <c r="H43" i="165"/>
  <c r="H43" i="212" s="1"/>
  <c r="G43" i="165"/>
  <c r="G43" i="212" s="1"/>
  <c r="F43" i="165"/>
  <c r="F43" i="212" s="1"/>
  <c r="E41" i="165"/>
  <c r="E41" i="212" s="1"/>
  <c r="N40" i="165"/>
  <c r="N40" i="212" s="1"/>
  <c r="M40" i="165"/>
  <c r="M40" i="212" s="1"/>
  <c r="L40" i="165"/>
  <c r="L40" i="212" s="1"/>
  <c r="K40" i="165"/>
  <c r="K40" i="212" s="1"/>
  <c r="I40" i="165"/>
  <c r="I40" i="212" s="1"/>
  <c r="H40" i="165"/>
  <c r="H40" i="212" s="1"/>
  <c r="G40" i="165"/>
  <c r="G40" i="212" s="1"/>
  <c r="F40" i="165"/>
  <c r="F40" i="212" s="1"/>
  <c r="N17" i="165"/>
  <c r="N17" i="212" s="1"/>
  <c r="M17" i="165"/>
  <c r="M17" i="212" s="1"/>
  <c r="L17" i="165"/>
  <c r="L17" i="212" s="1"/>
  <c r="I17" i="165"/>
  <c r="I17" i="212" s="1"/>
  <c r="J84" i="167"/>
  <c r="J83" i="167"/>
  <c r="J81" i="167"/>
  <c r="M81" i="167" s="1"/>
  <c r="J80" i="167"/>
  <c r="L285" i="212" l="1"/>
  <c r="F256" i="212"/>
  <c r="F255" i="212" s="1"/>
  <c r="L319" i="212"/>
  <c r="L256" i="212"/>
  <c r="L372" i="212"/>
  <c r="I16" i="212"/>
  <c r="G220" i="212"/>
  <c r="G219" i="212" s="1"/>
  <c r="K110" i="165"/>
  <c r="K110" i="212" s="1"/>
  <c r="L110" i="165"/>
  <c r="L110" i="212" s="1"/>
  <c r="M110" i="165"/>
  <c r="M110" i="212" s="1"/>
  <c r="I110" i="165"/>
  <c r="I110" i="212" s="1"/>
  <c r="N110" i="165"/>
  <c r="N110" i="212" s="1"/>
  <c r="N106" i="212" s="1"/>
  <c r="N105" i="212" s="1"/>
  <c r="G42" i="165"/>
  <c r="G42" i="212" s="1"/>
  <c r="L42" i="165"/>
  <c r="L42" i="212" s="1"/>
  <c r="I42" i="165"/>
  <c r="I42" i="212" s="1"/>
  <c r="N42" i="165"/>
  <c r="N42" i="212" s="1"/>
  <c r="N16" i="212" s="1"/>
  <c r="F42" i="165"/>
  <c r="F42" i="212" s="1"/>
  <c r="H42" i="165"/>
  <c r="H42" i="212" s="1"/>
  <c r="M42" i="165"/>
  <c r="M42" i="212" s="1"/>
  <c r="K42" i="165"/>
  <c r="K42" i="212" s="1"/>
  <c r="L354" i="165"/>
  <c r="L320" i="165"/>
  <c r="G373" i="165"/>
  <c r="I373" i="165"/>
  <c r="M354" i="165"/>
  <c r="G354" i="165"/>
  <c r="G393" i="165"/>
  <c r="K393" i="165"/>
  <c r="L393" i="165"/>
  <c r="F320" i="165"/>
  <c r="N373" i="165"/>
  <c r="I320" i="165"/>
  <c r="I354" i="165"/>
  <c r="N354" i="165"/>
  <c r="H373" i="165"/>
  <c r="L373" i="165"/>
  <c r="M373" i="165"/>
  <c r="I393" i="165"/>
  <c r="N393" i="165"/>
  <c r="M393" i="165"/>
  <c r="G320" i="165"/>
  <c r="M320" i="165"/>
  <c r="N320" i="165"/>
  <c r="K354" i="165"/>
  <c r="G36" i="165"/>
  <c r="G36" i="212" s="1"/>
  <c r="L36" i="165"/>
  <c r="L36" i="212" s="1"/>
  <c r="H36" i="165"/>
  <c r="H36" i="212" s="1"/>
  <c r="M36" i="165"/>
  <c r="M36" i="212" s="1"/>
  <c r="I36" i="165"/>
  <c r="I36" i="212" s="1"/>
  <c r="N36" i="165"/>
  <c r="N36" i="212" s="1"/>
  <c r="F36" i="165"/>
  <c r="F36" i="212" s="1"/>
  <c r="K36" i="165"/>
  <c r="K36" i="212" s="1"/>
  <c r="K270" i="165"/>
  <c r="K270" i="212" s="1"/>
  <c r="N270" i="165"/>
  <c r="N270" i="212" s="1"/>
  <c r="N256" i="212" s="1"/>
  <c r="N255" i="212" s="1"/>
  <c r="F270" i="165"/>
  <c r="F270" i="212" s="1"/>
  <c r="M270" i="165"/>
  <c r="M270" i="212" s="1"/>
  <c r="M256" i="212" s="1"/>
  <c r="M255" i="212" s="1"/>
  <c r="L270" i="165"/>
  <c r="L270" i="212" s="1"/>
  <c r="I270" i="165"/>
  <c r="I270" i="212" s="1"/>
  <c r="I256" i="212" s="1"/>
  <c r="I255" i="212" s="1"/>
  <c r="H270" i="165"/>
  <c r="H270" i="212" s="1"/>
  <c r="H256" i="212" s="1"/>
  <c r="H255" i="212" s="1"/>
  <c r="G270" i="165"/>
  <c r="G270" i="212" s="1"/>
  <c r="G256" i="212" s="1"/>
  <c r="G255" i="212" s="1"/>
  <c r="N298" i="165"/>
  <c r="N298" i="212" s="1"/>
  <c r="N285" i="212" s="1"/>
  <c r="N284" i="212" s="1"/>
  <c r="M220" i="165"/>
  <c r="G220" i="165"/>
  <c r="I220" i="165"/>
  <c r="F127" i="165"/>
  <c r="F127" i="212" s="1"/>
  <c r="G127" i="165"/>
  <c r="G127" i="212" s="1"/>
  <c r="H127" i="165"/>
  <c r="H127" i="212" s="1"/>
  <c r="I127" i="165"/>
  <c r="I127" i="212" s="1"/>
  <c r="L127" i="165"/>
  <c r="L127" i="212" s="1"/>
  <c r="M127" i="165"/>
  <c r="M127" i="212" s="1"/>
  <c r="N127" i="165"/>
  <c r="N127" i="212" s="1"/>
  <c r="H298" i="165"/>
  <c r="H298" i="212" s="1"/>
  <c r="L298" i="165"/>
  <c r="L298" i="212" s="1"/>
  <c r="K298" i="165"/>
  <c r="K298" i="212" s="1"/>
  <c r="K285" i="212" s="1"/>
  <c r="K284" i="212" s="1"/>
  <c r="M298" i="165"/>
  <c r="M298" i="212" s="1"/>
  <c r="M285" i="212" s="1"/>
  <c r="M284" i="212" s="1"/>
  <c r="I298" i="165"/>
  <c r="I298" i="212" s="1"/>
  <c r="I285" i="212" s="1"/>
  <c r="I284" i="212" s="1"/>
  <c r="I199" i="165"/>
  <c r="M199" i="165"/>
  <c r="G298" i="165"/>
  <c r="G298" i="212" s="1"/>
  <c r="F298" i="165"/>
  <c r="F298" i="212" s="1"/>
  <c r="I25" i="165"/>
  <c r="I25" i="212" s="1"/>
  <c r="N25" i="165"/>
  <c r="N25" i="212" s="1"/>
  <c r="E40" i="165"/>
  <c r="E40" i="212" s="1"/>
  <c r="F25" i="165"/>
  <c r="F25" i="212" s="1"/>
  <c r="K25" i="165"/>
  <c r="K25" i="212" s="1"/>
  <c r="I189" i="165"/>
  <c r="I189" i="212" s="1"/>
  <c r="I138" i="212" s="1"/>
  <c r="I137" i="212" s="1"/>
  <c r="H189" i="165"/>
  <c r="H189" i="212" s="1"/>
  <c r="L189" i="165"/>
  <c r="L189" i="212" s="1"/>
  <c r="G25" i="165"/>
  <c r="G25" i="212" s="1"/>
  <c r="K189" i="165"/>
  <c r="K189" i="212" s="1"/>
  <c r="H25" i="165"/>
  <c r="H25" i="212" s="1"/>
  <c r="J115" i="165"/>
  <c r="J115" i="212" s="1"/>
  <c r="N189" i="165"/>
  <c r="N189" i="212" s="1"/>
  <c r="M189" i="165"/>
  <c r="M189" i="212" s="1"/>
  <c r="M138" i="212" s="1"/>
  <c r="M137" i="212" s="1"/>
  <c r="G189" i="165"/>
  <c r="G189" i="212" s="1"/>
  <c r="F189" i="165"/>
  <c r="F189" i="212" s="1"/>
  <c r="M25" i="165"/>
  <c r="M25" i="212" s="1"/>
  <c r="M16" i="212" s="1"/>
  <c r="G82" i="167"/>
  <c r="J79" i="167"/>
  <c r="F16" i="212" l="1"/>
  <c r="F15" i="212" s="1"/>
  <c r="N15" i="212"/>
  <c r="M15" i="212"/>
  <c r="L284" i="212"/>
  <c r="I106" i="212"/>
  <c r="I105" i="212" s="1"/>
  <c r="L255" i="212"/>
  <c r="M106" i="212"/>
  <c r="M105" i="212" s="1"/>
  <c r="I15" i="212"/>
  <c r="L106" i="212"/>
  <c r="L105" i="212" s="1"/>
  <c r="I16" i="165"/>
  <c r="N16" i="165"/>
  <c r="M16" i="165"/>
  <c r="F16" i="165"/>
  <c r="M285" i="165"/>
  <c r="L285" i="165"/>
  <c r="N285" i="165"/>
  <c r="I285" i="165"/>
  <c r="K285" i="165"/>
  <c r="L256" i="165"/>
  <c r="I256" i="165"/>
  <c r="G256" i="165"/>
  <c r="M256" i="165"/>
  <c r="N256" i="165"/>
  <c r="H256" i="165"/>
  <c r="F256" i="165"/>
  <c r="I106" i="165"/>
  <c r="L106" i="165"/>
  <c r="M106" i="165"/>
  <c r="N106" i="165"/>
  <c r="E36" i="165"/>
  <c r="E36" i="212" s="1"/>
  <c r="M138" i="165"/>
  <c r="I138" i="165"/>
  <c r="L25" i="165"/>
  <c r="L25" i="212" s="1"/>
  <c r="L16" i="212" s="1"/>
  <c r="J70" i="167"/>
  <c r="L15" i="212" l="1"/>
  <c r="I429" i="212"/>
  <c r="I435" i="212" s="1"/>
  <c r="L16" i="165"/>
  <c r="O69" i="165"/>
  <c r="O69" i="212" s="1"/>
  <c r="G61" i="165"/>
  <c r="G61" i="212" s="1"/>
  <c r="F61" i="165"/>
  <c r="F61" i="212" s="1"/>
  <c r="J63" i="165"/>
  <c r="J63" i="212" s="1"/>
  <c r="E63" i="165"/>
  <c r="E63" i="212" s="1"/>
  <c r="O56" i="165"/>
  <c r="O56" i="212" s="1"/>
  <c r="E56" i="165"/>
  <c r="E56" i="212" s="1"/>
  <c r="J86" i="167"/>
  <c r="E55" i="165" l="1"/>
  <c r="E55" i="212" s="1"/>
  <c r="O55" i="165"/>
  <c r="O55" i="212" s="1"/>
  <c r="E69" i="165"/>
  <c r="E69" i="212" s="1"/>
  <c r="H79" i="167"/>
  <c r="J69" i="165"/>
  <c r="J69" i="212" s="1"/>
  <c r="I79" i="167"/>
  <c r="F67" i="165"/>
  <c r="F67" i="212" s="1"/>
  <c r="G67" i="165"/>
  <c r="H70" i="167"/>
  <c r="P63" i="165"/>
  <c r="P63" i="212" s="1"/>
  <c r="F71" i="165"/>
  <c r="F71" i="212" s="1"/>
  <c r="O72" i="165"/>
  <c r="O72" i="212" s="1"/>
  <c r="J67" i="167"/>
  <c r="J85" i="167"/>
  <c r="G67" i="212" l="1"/>
  <c r="M67" i="167"/>
  <c r="M51" i="165"/>
  <c r="O71" i="165"/>
  <c r="O71" i="212" s="1"/>
  <c r="G79" i="167"/>
  <c r="I84" i="167"/>
  <c r="H84" i="167"/>
  <c r="E72" i="165"/>
  <c r="E72" i="212" s="1"/>
  <c r="P69" i="165"/>
  <c r="P69" i="212" s="1"/>
  <c r="M63" i="167"/>
  <c r="J72" i="165"/>
  <c r="J72" i="212" s="1"/>
  <c r="J56" i="165"/>
  <c r="J56" i="212" s="1"/>
  <c r="O70" i="165"/>
  <c r="O70" i="212" s="1"/>
  <c r="E70" i="165"/>
  <c r="E70" i="212" s="1"/>
  <c r="H64" i="165"/>
  <c r="H64" i="212" s="1"/>
  <c r="F64" i="165"/>
  <c r="J88" i="167"/>
  <c r="O74" i="165"/>
  <c r="O74" i="212" s="1"/>
  <c r="M51" i="212" l="1"/>
  <c r="M49" i="165"/>
  <c r="M49" i="212" s="1"/>
  <c r="M48" i="212" s="1"/>
  <c r="F49" i="165"/>
  <c r="F49" i="212" s="1"/>
  <c r="F48" i="212" s="1"/>
  <c r="F47" i="212" s="1"/>
  <c r="F64" i="212"/>
  <c r="J55" i="165"/>
  <c r="J55" i="212" s="1"/>
  <c r="P72" i="165"/>
  <c r="P72" i="212" s="1"/>
  <c r="G84" i="167"/>
  <c r="H85" i="167"/>
  <c r="E71" i="165"/>
  <c r="E71" i="212" s="1"/>
  <c r="J70" i="165"/>
  <c r="J70" i="212" s="1"/>
  <c r="I86" i="167"/>
  <c r="G64" i="165"/>
  <c r="E74" i="165"/>
  <c r="E74" i="212" s="1"/>
  <c r="J74" i="165"/>
  <c r="J74" i="212" s="1"/>
  <c r="H86" i="167"/>
  <c r="I70" i="167"/>
  <c r="G70" i="167" s="1"/>
  <c r="J71" i="165"/>
  <c r="J71" i="212" s="1"/>
  <c r="P56" i="165"/>
  <c r="P56" i="212" s="1"/>
  <c r="O415" i="165"/>
  <c r="O415" i="212" s="1"/>
  <c r="E415" i="165"/>
  <c r="E415" i="212" s="1"/>
  <c r="I358" i="167"/>
  <c r="H394" i="165"/>
  <c r="H394" i="212" s="1"/>
  <c r="H393" i="212" s="1"/>
  <c r="H392" i="212" s="1"/>
  <c r="O396" i="165"/>
  <c r="O396" i="212" s="1"/>
  <c r="E396" i="165"/>
  <c r="E396" i="212" s="1"/>
  <c r="F355" i="165"/>
  <c r="F355" i="212" s="1"/>
  <c r="F354" i="212" s="1"/>
  <c r="F353" i="212" s="1"/>
  <c r="O357" i="165"/>
  <c r="O357" i="212" s="1"/>
  <c r="E357" i="165"/>
  <c r="E357" i="212" s="1"/>
  <c r="O348" i="165"/>
  <c r="O348" i="212" s="1"/>
  <c r="E348" i="165"/>
  <c r="E348" i="212" s="1"/>
  <c r="O323" i="165"/>
  <c r="O323" i="212" s="1"/>
  <c r="E323" i="165"/>
  <c r="E323" i="212" s="1"/>
  <c r="F286" i="165"/>
  <c r="F286" i="212" s="1"/>
  <c r="F285" i="212" s="1"/>
  <c r="F284" i="212" s="1"/>
  <c r="O288" i="165"/>
  <c r="O288" i="212" s="1"/>
  <c r="E288" i="165"/>
  <c r="E288" i="212" s="1"/>
  <c r="O141" i="165"/>
  <c r="O141" i="212" s="1"/>
  <c r="E141" i="165"/>
  <c r="E141" i="212" s="1"/>
  <c r="G64" i="212" l="1"/>
  <c r="G49" i="165"/>
  <c r="G49" i="212" s="1"/>
  <c r="G48" i="212" s="1"/>
  <c r="G47" i="212" s="1"/>
  <c r="M47" i="212"/>
  <c r="M429" i="212"/>
  <c r="M435" i="212" s="1"/>
  <c r="F285" i="165"/>
  <c r="H393" i="165"/>
  <c r="F354" i="165"/>
  <c r="M48" i="165"/>
  <c r="F48" i="165"/>
  <c r="P55" i="165"/>
  <c r="P55" i="212" s="1"/>
  <c r="P71" i="165"/>
  <c r="P71" i="212" s="1"/>
  <c r="P70" i="165"/>
  <c r="P70" i="212" s="1"/>
  <c r="P74" i="165"/>
  <c r="P74" i="212" s="1"/>
  <c r="H319" i="167"/>
  <c r="H292" i="167"/>
  <c r="J348" i="165"/>
  <c r="J348" i="212" s="1"/>
  <c r="H251" i="167"/>
  <c r="J323" i="165"/>
  <c r="J323" i="212" s="1"/>
  <c r="F345" i="165"/>
  <c r="H348" i="167"/>
  <c r="F413" i="165"/>
  <c r="F413" i="212" s="1"/>
  <c r="F412" i="212" s="1"/>
  <c r="F411" i="212" s="1"/>
  <c r="I88" i="167"/>
  <c r="G86" i="167"/>
  <c r="J288" i="165"/>
  <c r="J288" i="212" s="1"/>
  <c r="J396" i="165"/>
  <c r="J396" i="212" s="1"/>
  <c r="H313" i="167"/>
  <c r="H311" i="167" s="1"/>
  <c r="J357" i="165"/>
  <c r="J357" i="212" s="1"/>
  <c r="F394" i="165"/>
  <c r="F394" i="212" s="1"/>
  <c r="F393" i="212" s="1"/>
  <c r="F392" i="212" s="1"/>
  <c r="H361" i="167"/>
  <c r="J141" i="165"/>
  <c r="J141" i="212" s="1"/>
  <c r="J415" i="165"/>
  <c r="J415" i="212" s="1"/>
  <c r="H88" i="167"/>
  <c r="I85" i="167"/>
  <c r="G85" i="167" s="1"/>
  <c r="H137" i="167"/>
  <c r="J358" i="167"/>
  <c r="G251" i="167" l="1"/>
  <c r="I319" i="167"/>
  <c r="G319" i="167" s="1"/>
  <c r="F393" i="165"/>
  <c r="G348" i="167"/>
  <c r="G48" i="165"/>
  <c r="F412" i="165"/>
  <c r="P357" i="165"/>
  <c r="P357" i="212" s="1"/>
  <c r="G313" i="167"/>
  <c r="P396" i="165"/>
  <c r="P396" i="212" s="1"/>
  <c r="P415" i="165"/>
  <c r="P415" i="212" s="1"/>
  <c r="P323" i="165"/>
  <c r="P323" i="212" s="1"/>
  <c r="P141" i="165"/>
  <c r="P141" i="212" s="1"/>
  <c r="G88" i="167"/>
  <c r="G292" i="167"/>
  <c r="G361" i="167"/>
  <c r="P348" i="165"/>
  <c r="P348" i="212" s="1"/>
  <c r="P288" i="165"/>
  <c r="P288" i="212" s="1"/>
  <c r="I137" i="167"/>
  <c r="G137" i="167" s="1"/>
  <c r="O259" i="165"/>
  <c r="O259" i="212" s="1"/>
  <c r="E259" i="165"/>
  <c r="E259" i="212" s="1"/>
  <c r="H222" i="167" l="1"/>
  <c r="J259" i="165"/>
  <c r="J259" i="212" s="1"/>
  <c r="G222" i="167" l="1"/>
  <c r="P259" i="165"/>
  <c r="P259" i="212" s="1"/>
  <c r="O20" i="165"/>
  <c r="O20" i="212" s="1"/>
  <c r="E20" i="165"/>
  <c r="E20" i="212" s="1"/>
  <c r="J20" i="165" l="1"/>
  <c r="J20" i="212" s="1"/>
  <c r="H23" i="167"/>
  <c r="G23" i="167" l="1"/>
  <c r="P20" i="165"/>
  <c r="P20" i="212" s="1"/>
  <c r="K127" i="165" l="1"/>
  <c r="K127" i="212" s="1"/>
  <c r="K106" i="212" s="1"/>
  <c r="K105" i="212" s="1"/>
  <c r="K106" i="165" l="1"/>
  <c r="F45" i="172"/>
  <c r="F42" i="172" s="1"/>
  <c r="E45" i="172"/>
  <c r="E42" i="172" l="1"/>
  <c r="F36" i="172"/>
  <c r="E36" i="172" l="1"/>
  <c r="K262" i="165"/>
  <c r="K262" i="212" s="1"/>
  <c r="K261" i="165" l="1"/>
  <c r="K261" i="212" s="1"/>
  <c r="K256" i="212" s="1"/>
  <c r="K255" i="212" s="1"/>
  <c r="J216" i="167"/>
  <c r="K256" i="165" l="1"/>
  <c r="K17" i="165"/>
  <c r="K17" i="212" s="1"/>
  <c r="K16" i="212" s="1"/>
  <c r="K15" i="212" l="1"/>
  <c r="K16" i="165"/>
  <c r="O251" i="165"/>
  <c r="O251" i="212" s="1"/>
  <c r="E251" i="165"/>
  <c r="E251" i="212" s="1"/>
  <c r="F233" i="165"/>
  <c r="F233" i="212" s="1"/>
  <c r="O249" i="165" l="1"/>
  <c r="O249" i="212" s="1"/>
  <c r="E249" i="165"/>
  <c r="E249" i="212" s="1"/>
  <c r="H233" i="165"/>
  <c r="H233" i="212" s="1"/>
  <c r="H216" i="167"/>
  <c r="J251" i="165"/>
  <c r="J251" i="212" s="1"/>
  <c r="J249" i="165" l="1"/>
  <c r="J249" i="212" s="1"/>
  <c r="E245" i="165"/>
  <c r="E245" i="212" s="1"/>
  <c r="H227" i="165"/>
  <c r="H227" i="212" s="1"/>
  <c r="O245" i="165"/>
  <c r="O245" i="212" s="1"/>
  <c r="P251" i="165"/>
  <c r="P251" i="212" s="1"/>
  <c r="I216" i="167"/>
  <c r="G216" i="167" s="1"/>
  <c r="P249" i="165" l="1"/>
  <c r="P249" i="212" s="1"/>
  <c r="J245" i="165"/>
  <c r="J245" i="212" s="1"/>
  <c r="I17" i="107"/>
  <c r="I13" i="107" s="1"/>
  <c r="P245" i="165" l="1"/>
  <c r="P245" i="212" s="1"/>
  <c r="I12" i="107"/>
  <c r="I29" i="107" s="1"/>
  <c r="I16" i="107"/>
  <c r="I15" i="107" s="1"/>
  <c r="I14" i="107" s="1"/>
  <c r="D95" i="170"/>
  <c r="D78" i="170"/>
  <c r="D75" i="170"/>
  <c r="F384" i="165" l="1"/>
  <c r="F384" i="212" s="1"/>
  <c r="H413" i="165" l="1"/>
  <c r="H413" i="212" s="1"/>
  <c r="H412" i="212" s="1"/>
  <c r="H411" i="212" s="1"/>
  <c r="K384" i="165"/>
  <c r="K384" i="212" s="1"/>
  <c r="F380" i="165"/>
  <c r="F380" i="212" s="1"/>
  <c r="J357" i="167"/>
  <c r="J355" i="167"/>
  <c r="J353" i="167" l="1"/>
  <c r="H412" i="165"/>
  <c r="F377" i="165"/>
  <c r="F377" i="212" s="1"/>
  <c r="F373" i="212" s="1"/>
  <c r="F372" i="212" s="1"/>
  <c r="H404" i="165"/>
  <c r="H404" i="212" s="1"/>
  <c r="H403" i="212" s="1"/>
  <c r="H402" i="212" s="1"/>
  <c r="K380" i="165"/>
  <c r="K380" i="212" s="1"/>
  <c r="J349" i="167"/>
  <c r="H349" i="167"/>
  <c r="G347" i="167"/>
  <c r="F373" i="165" l="1"/>
  <c r="K349" i="167"/>
  <c r="H346" i="167"/>
  <c r="J346" i="167"/>
  <c r="M349" i="167"/>
  <c r="K377" i="165"/>
  <c r="K377" i="212" s="1"/>
  <c r="K373" i="212" s="1"/>
  <c r="K372" i="212" s="1"/>
  <c r="H355" i="165"/>
  <c r="H355" i="212" s="1"/>
  <c r="H354" i="212" s="1"/>
  <c r="H353" i="212" s="1"/>
  <c r="H403" i="165"/>
  <c r="J287" i="167"/>
  <c r="J285" i="167"/>
  <c r="J282" i="167"/>
  <c r="H282" i="167"/>
  <c r="J267" i="167"/>
  <c r="J263" i="167"/>
  <c r="J257" i="167"/>
  <c r="M257" i="167" s="1"/>
  <c r="J254" i="167"/>
  <c r="M254" i="167" s="1"/>
  <c r="J253" i="167"/>
  <c r="J252" i="167"/>
  <c r="O315" i="165"/>
  <c r="O315" i="212" s="1"/>
  <c r="O313" i="165"/>
  <c r="O313" i="212" s="1"/>
  <c r="O314" i="165"/>
  <c r="O314" i="212" s="1"/>
  <c r="J244" i="167"/>
  <c r="J233" i="167"/>
  <c r="J227" i="167"/>
  <c r="J315" i="165" l="1"/>
  <c r="J315" i="212" s="1"/>
  <c r="J249" i="167"/>
  <c r="J248" i="167" s="1"/>
  <c r="M248" i="167" s="1"/>
  <c r="H354" i="165"/>
  <c r="K373" i="165"/>
  <c r="J220" i="167"/>
  <c r="H321" i="165"/>
  <c r="H321" i="212" s="1"/>
  <c r="H320" i="212" s="1"/>
  <c r="H319" i="212" s="1"/>
  <c r="H286" i="165"/>
  <c r="H286" i="212" s="1"/>
  <c r="J313" i="165"/>
  <c r="J313" i="212" s="1"/>
  <c r="O312" i="165"/>
  <c r="O312" i="212" s="1"/>
  <c r="I287" i="167"/>
  <c r="J202" i="167"/>
  <c r="L224" i="165"/>
  <c r="L224" i="212" s="1"/>
  <c r="H320" i="165" l="1"/>
  <c r="I285" i="167"/>
  <c r="L221" i="165"/>
  <c r="L221" i="212" s="1"/>
  <c r="O311" i="165"/>
  <c r="O311" i="212" s="1"/>
  <c r="H345" i="165"/>
  <c r="N224" i="165"/>
  <c r="N224" i="212" s="1"/>
  <c r="N233" i="165"/>
  <c r="N233" i="212" s="1"/>
  <c r="L233" i="165"/>
  <c r="L233" i="212" s="1"/>
  <c r="K233" i="165"/>
  <c r="K233" i="212" s="1"/>
  <c r="K238" i="165"/>
  <c r="K238" i="212" s="1"/>
  <c r="K227" i="165" l="1"/>
  <c r="K227" i="212" s="1"/>
  <c r="L227" i="165"/>
  <c r="L227" i="212" s="1"/>
  <c r="L220" i="212" s="1"/>
  <c r="N227" i="165"/>
  <c r="N227" i="212" s="1"/>
  <c r="N221" i="165"/>
  <c r="N221" i="212" s="1"/>
  <c r="K224" i="165"/>
  <c r="K224" i="212" s="1"/>
  <c r="P13" i="107"/>
  <c r="P12" i="107" s="1"/>
  <c r="P29" i="107" s="1"/>
  <c r="F222" i="165"/>
  <c r="F222" i="212" s="1"/>
  <c r="E428" i="165"/>
  <c r="I198" i="165"/>
  <c r="J196" i="167"/>
  <c r="L219" i="212" l="1"/>
  <c r="N220" i="212"/>
  <c r="N219" i="212" s="1"/>
  <c r="L220" i="165"/>
  <c r="N220" i="165"/>
  <c r="N200" i="165"/>
  <c r="N200" i="212" s="1"/>
  <c r="H222" i="165"/>
  <c r="H222" i="212" s="1"/>
  <c r="O200" i="165"/>
  <c r="O200" i="212" s="1"/>
  <c r="F228" i="165"/>
  <c r="F228" i="212" s="1"/>
  <c r="K221" i="165"/>
  <c r="K221" i="212" s="1"/>
  <c r="K220" i="212" s="1"/>
  <c r="L200" i="165"/>
  <c r="L200" i="212" s="1"/>
  <c r="F231" i="165"/>
  <c r="F231" i="212" s="1"/>
  <c r="L207" i="165"/>
  <c r="L207" i="212" s="1"/>
  <c r="E95" i="170"/>
  <c r="F238" i="165"/>
  <c r="F238" i="212" s="1"/>
  <c r="E427" i="165"/>
  <c r="H224" i="165"/>
  <c r="H224" i="212" s="1"/>
  <c r="N202" i="165"/>
  <c r="N202" i="212" s="1"/>
  <c r="F224" i="165"/>
  <c r="F224" i="212" s="1"/>
  <c r="O218" i="165"/>
  <c r="E218" i="165"/>
  <c r="E88" i="170" s="1"/>
  <c r="K219" i="212" l="1"/>
  <c r="N199" i="212"/>
  <c r="N198" i="212" s="1"/>
  <c r="F227" i="165"/>
  <c r="F227" i="212" s="1"/>
  <c r="K220" i="165"/>
  <c r="L202" i="165"/>
  <c r="L202" i="212" s="1"/>
  <c r="L199" i="212" s="1"/>
  <c r="H207" i="165"/>
  <c r="H207" i="212" s="1"/>
  <c r="F221" i="165"/>
  <c r="F221" i="212" s="1"/>
  <c r="F220" i="212" s="1"/>
  <c r="F219" i="212" s="1"/>
  <c r="H221" i="165"/>
  <c r="H221" i="212" s="1"/>
  <c r="H220" i="212" s="1"/>
  <c r="H219" i="212" s="1"/>
  <c r="E426" i="165"/>
  <c r="N199" i="165"/>
  <c r="F207" i="165"/>
  <c r="F207" i="212" s="1"/>
  <c r="E217" i="165"/>
  <c r="J218" i="165"/>
  <c r="O217" i="165"/>
  <c r="H196" i="167"/>
  <c r="J180" i="167"/>
  <c r="L198" i="212" l="1"/>
  <c r="H220" i="165"/>
  <c r="F220" i="165"/>
  <c r="L199" i="165"/>
  <c r="E216" i="165"/>
  <c r="P218" i="165"/>
  <c r="O216" i="165"/>
  <c r="I196" i="167"/>
  <c r="G196" i="167" s="1"/>
  <c r="J217" i="165"/>
  <c r="K202" i="165"/>
  <c r="K202" i="212" s="1"/>
  <c r="K199" i="212" s="1"/>
  <c r="K198" i="212" s="1"/>
  <c r="F202" i="165"/>
  <c r="F202" i="212" s="1"/>
  <c r="G283" i="167"/>
  <c r="G281" i="167"/>
  <c r="G266" i="167"/>
  <c r="G260" i="167"/>
  <c r="G250" i="167"/>
  <c r="G221" i="167"/>
  <c r="J219" i="167"/>
  <c r="K199" i="165" l="1"/>
  <c r="J216" i="165"/>
  <c r="H200" i="165"/>
  <c r="H200" i="212" s="1"/>
  <c r="H199" i="212" s="1"/>
  <c r="H198" i="212" s="1"/>
  <c r="F200" i="165"/>
  <c r="F200" i="212" s="1"/>
  <c r="F199" i="212" s="1"/>
  <c r="F198" i="212" s="1"/>
  <c r="H202" i="165"/>
  <c r="H202" i="212" s="1"/>
  <c r="G200" i="165"/>
  <c r="G200" i="212" s="1"/>
  <c r="G199" i="212" s="1"/>
  <c r="G198" i="212" s="1"/>
  <c r="P217" i="165"/>
  <c r="O19" i="165"/>
  <c r="O19" i="212" s="1"/>
  <c r="E19" i="165"/>
  <c r="E19" i="212" s="1"/>
  <c r="J19" i="165" l="1"/>
  <c r="J19" i="212" s="1"/>
  <c r="G199" i="165"/>
  <c r="F199" i="165"/>
  <c r="P216" i="165"/>
  <c r="H199" i="165"/>
  <c r="J160" i="167"/>
  <c r="P19" i="165" l="1"/>
  <c r="P19" i="212" s="1"/>
  <c r="L182" i="165"/>
  <c r="L182" i="212" s="1"/>
  <c r="L153" i="165"/>
  <c r="L153" i="212" s="1"/>
  <c r="N182" i="165"/>
  <c r="N182" i="212" s="1"/>
  <c r="N153" i="165"/>
  <c r="N153" i="212" s="1"/>
  <c r="J174" i="167"/>
  <c r="J170" i="167"/>
  <c r="J159" i="167"/>
  <c r="J154" i="167"/>
  <c r="J143" i="167"/>
  <c r="J142" i="167"/>
  <c r="J141" i="167"/>
  <c r="J140" i="167"/>
  <c r="J139" i="167"/>
  <c r="L143" i="165" l="1"/>
  <c r="L143" i="212" s="1"/>
  <c r="L138" i="212" s="1"/>
  <c r="N143" i="165"/>
  <c r="N143" i="212" s="1"/>
  <c r="N138" i="212" s="1"/>
  <c r="N137" i="212" s="1"/>
  <c r="J114" i="167"/>
  <c r="L137" i="212" l="1"/>
  <c r="N138" i="165"/>
  <c r="L138" i="165"/>
  <c r="H153" i="165"/>
  <c r="H153" i="212" s="1"/>
  <c r="G182" i="165"/>
  <c r="G182" i="212" s="1"/>
  <c r="H139" i="165"/>
  <c r="H139" i="212" s="1"/>
  <c r="H182" i="165"/>
  <c r="H182" i="212" s="1"/>
  <c r="G153" i="165"/>
  <c r="G153" i="212" s="1"/>
  <c r="J162" i="167"/>
  <c r="J133" i="167" s="1"/>
  <c r="K182" i="165"/>
  <c r="K182" i="212" s="1"/>
  <c r="K143" i="165" l="1"/>
  <c r="K143" i="212" s="1"/>
  <c r="K138" i="212" s="1"/>
  <c r="G143" i="165"/>
  <c r="G143" i="212" s="1"/>
  <c r="G138" i="212" s="1"/>
  <c r="G137" i="212" s="1"/>
  <c r="H143" i="165"/>
  <c r="H143" i="212" s="1"/>
  <c r="H138" i="212" s="1"/>
  <c r="H120" i="165"/>
  <c r="H120" i="212" s="1"/>
  <c r="G120" i="165"/>
  <c r="G120" i="212" s="1"/>
  <c r="F120" i="165"/>
  <c r="F120" i="212" s="1"/>
  <c r="K137" i="212" l="1"/>
  <c r="H137" i="212"/>
  <c r="F110" i="165"/>
  <c r="F110" i="212" s="1"/>
  <c r="F106" i="212" s="1"/>
  <c r="F105" i="212" s="1"/>
  <c r="H110" i="165"/>
  <c r="H110" i="212" s="1"/>
  <c r="H106" i="212" s="1"/>
  <c r="H105" i="212" s="1"/>
  <c r="G110" i="165"/>
  <c r="G110" i="212" s="1"/>
  <c r="G106" i="212" s="1"/>
  <c r="G105" i="212" s="1"/>
  <c r="K138" i="165"/>
  <c r="G138" i="165"/>
  <c r="H138" i="165"/>
  <c r="K328" i="165"/>
  <c r="K328" i="212" s="1"/>
  <c r="F106" i="165" l="1"/>
  <c r="H106" i="165"/>
  <c r="G106" i="165"/>
  <c r="K327" i="165"/>
  <c r="K327" i="212" s="1"/>
  <c r="K320" i="212" s="1"/>
  <c r="L61" i="165"/>
  <c r="L61" i="212" s="1"/>
  <c r="K319" i="212" l="1"/>
  <c r="K429" i="212"/>
  <c r="K320" i="165"/>
  <c r="N61" i="165"/>
  <c r="N61" i="212" s="1"/>
  <c r="L64" i="165"/>
  <c r="L64" i="212" s="1"/>
  <c r="O61" i="165"/>
  <c r="O61" i="212" s="1"/>
  <c r="N64" i="165"/>
  <c r="N64" i="212" s="1"/>
  <c r="K438" i="212" l="1"/>
  <c r="K435" i="212"/>
  <c r="N51" i="165"/>
  <c r="L51" i="165"/>
  <c r="L51" i="212" l="1"/>
  <c r="L49" i="165"/>
  <c r="L49" i="212" s="1"/>
  <c r="L48" i="212" s="1"/>
  <c r="N51" i="212"/>
  <c r="N49" i="165"/>
  <c r="N49" i="212" s="1"/>
  <c r="N48" i="212" s="1"/>
  <c r="G61" i="167"/>
  <c r="N47" i="212" l="1"/>
  <c r="N429" i="212"/>
  <c r="N435" i="212" s="1"/>
  <c r="L47" i="212"/>
  <c r="L429" i="212"/>
  <c r="L435" i="212" s="1"/>
  <c r="N48" i="165"/>
  <c r="L48" i="165"/>
  <c r="L429" i="165" s="1"/>
  <c r="H61" i="165" l="1"/>
  <c r="H61" i="212" l="1"/>
  <c r="H49" i="165"/>
  <c r="H49" i="212" s="1"/>
  <c r="H48" i="212" s="1"/>
  <c r="H67" i="165"/>
  <c r="H67" i="212" s="1"/>
  <c r="J44" i="167"/>
  <c r="M44" i="167" s="1"/>
  <c r="O45" i="165"/>
  <c r="O45" i="212" s="1"/>
  <c r="E45" i="165"/>
  <c r="E45" i="212" s="1"/>
  <c r="J33" i="167"/>
  <c r="M33" i="167" s="1"/>
  <c r="H47" i="212" l="1"/>
  <c r="J45" i="165"/>
  <c r="J45" i="212" s="1"/>
  <c r="E78" i="170"/>
  <c r="H44" i="167"/>
  <c r="H48" i="165" l="1"/>
  <c r="P45" i="165"/>
  <c r="P45" i="212" s="1"/>
  <c r="I44" i="167"/>
  <c r="L44" i="167" s="1"/>
  <c r="K44" i="167"/>
  <c r="G44" i="167" l="1"/>
  <c r="G19" i="167"/>
  <c r="G17" i="165"/>
  <c r="G17" i="212" s="1"/>
  <c r="G16" i="212" s="1"/>
  <c r="G15" i="212" l="1"/>
  <c r="G16" i="165"/>
  <c r="H17" i="165"/>
  <c r="H17" i="212" s="1"/>
  <c r="H16" i="212" s="1"/>
  <c r="H312" i="165"/>
  <c r="H312" i="212" s="1"/>
  <c r="G312" i="165"/>
  <c r="G312" i="212" s="1"/>
  <c r="H15" i="212" l="1"/>
  <c r="H16" i="165"/>
  <c r="H311" i="165"/>
  <c r="H311" i="212" s="1"/>
  <c r="H285" i="212" s="1"/>
  <c r="H284" i="212" s="1"/>
  <c r="G311" i="165"/>
  <c r="G311" i="212" s="1"/>
  <c r="G285" i="212" s="1"/>
  <c r="O196" i="165"/>
  <c r="E196" i="165"/>
  <c r="O187" i="165"/>
  <c r="O187" i="212" s="1"/>
  <c r="E187" i="165"/>
  <c r="E187" i="212" s="1"/>
  <c r="O184" i="165"/>
  <c r="O184" i="212" s="1"/>
  <c r="E184" i="165"/>
  <c r="E184" i="212" s="1"/>
  <c r="O165" i="165"/>
  <c r="O165" i="212" s="1"/>
  <c r="E165" i="165"/>
  <c r="E165" i="212" s="1"/>
  <c r="O164" i="165"/>
  <c r="O164" i="212" s="1"/>
  <c r="O162" i="165"/>
  <c r="O162" i="212" s="1"/>
  <c r="E162" i="165"/>
  <c r="E162" i="212" s="1"/>
  <c r="O161" i="165"/>
  <c r="O161" i="212" s="1"/>
  <c r="E161" i="165"/>
  <c r="E161" i="212" s="1"/>
  <c r="O159" i="165"/>
  <c r="O159" i="212" s="1"/>
  <c r="E159" i="165"/>
  <c r="E159" i="212" s="1"/>
  <c r="O155" i="165"/>
  <c r="O155" i="212" s="1"/>
  <c r="E155" i="165"/>
  <c r="E155" i="212" s="1"/>
  <c r="E154" i="165"/>
  <c r="E154" i="212" s="1"/>
  <c r="O152" i="165"/>
  <c r="O152" i="212" s="1"/>
  <c r="E152" i="165"/>
  <c r="E152" i="212" s="1"/>
  <c r="O150" i="165"/>
  <c r="O150" i="212" s="1"/>
  <c r="E150" i="165"/>
  <c r="E150" i="212" s="1"/>
  <c r="O149" i="165"/>
  <c r="O149" i="212" s="1"/>
  <c r="E149" i="165"/>
  <c r="E149" i="212" s="1"/>
  <c r="O148" i="165"/>
  <c r="O148" i="212" s="1"/>
  <c r="E148" i="165"/>
  <c r="E148" i="212" s="1"/>
  <c r="O147" i="165"/>
  <c r="O147" i="212" s="1"/>
  <c r="E147" i="165"/>
  <c r="E147" i="212" s="1"/>
  <c r="O146" i="165"/>
  <c r="O146" i="212" s="1"/>
  <c r="E146" i="165"/>
  <c r="E146" i="212" s="1"/>
  <c r="O145" i="165"/>
  <c r="O145" i="212" s="1"/>
  <c r="O140" i="165"/>
  <c r="O140" i="212" s="1"/>
  <c r="E140" i="165"/>
  <c r="E140" i="212" s="1"/>
  <c r="H429" i="212" l="1"/>
  <c r="G284" i="212"/>
  <c r="G429" i="212"/>
  <c r="G435" i="212" s="1"/>
  <c r="H147" i="167"/>
  <c r="K147" i="167" s="1"/>
  <c r="H285" i="165"/>
  <c r="K156" i="167"/>
  <c r="G285" i="165"/>
  <c r="G429" i="165" s="1"/>
  <c r="K164" i="167"/>
  <c r="H149" i="167"/>
  <c r="O186" i="165"/>
  <c r="O186" i="212" s="1"/>
  <c r="E186" i="165"/>
  <c r="E186" i="212" s="1"/>
  <c r="E153" i="165"/>
  <c r="E153" i="212" s="1"/>
  <c r="J159" i="165"/>
  <c r="J159" i="212" s="1"/>
  <c r="J162" i="165"/>
  <c r="J162" i="212" s="1"/>
  <c r="J146" i="165"/>
  <c r="J146" i="212" s="1"/>
  <c r="H141" i="167"/>
  <c r="H143" i="167"/>
  <c r="H146" i="167"/>
  <c r="H155" i="167"/>
  <c r="J149" i="165"/>
  <c r="J149" i="212" s="1"/>
  <c r="J155" i="165"/>
  <c r="J155" i="212" s="1"/>
  <c r="J161" i="165"/>
  <c r="J161" i="212" s="1"/>
  <c r="O139" i="165"/>
  <c r="O139" i="212" s="1"/>
  <c r="J148" i="165"/>
  <c r="J148" i="212" s="1"/>
  <c r="J150" i="165"/>
  <c r="J150" i="212" s="1"/>
  <c r="J147" i="165"/>
  <c r="J147" i="212" s="1"/>
  <c r="J152" i="165"/>
  <c r="J152" i="212" s="1"/>
  <c r="E139" i="165"/>
  <c r="E139" i="212" s="1"/>
  <c r="H142" i="167"/>
  <c r="H144" i="167"/>
  <c r="H154" i="167"/>
  <c r="J184" i="165"/>
  <c r="J184" i="212" s="1"/>
  <c r="E145" i="165"/>
  <c r="E145" i="212" s="1"/>
  <c r="F144" i="165"/>
  <c r="F144" i="212" s="1"/>
  <c r="E164" i="165"/>
  <c r="E164" i="212" s="1"/>
  <c r="F163" i="165"/>
  <c r="F163" i="212" s="1"/>
  <c r="E183" i="165"/>
  <c r="E183" i="212" s="1"/>
  <c r="F182" i="165"/>
  <c r="F182" i="212" s="1"/>
  <c r="J140" i="165"/>
  <c r="J140" i="212" s="1"/>
  <c r="H174" i="167"/>
  <c r="E195" i="165"/>
  <c r="E193" i="165" s="1"/>
  <c r="E193" i="212" s="1"/>
  <c r="J196" i="165"/>
  <c r="O195" i="165"/>
  <c r="O193" i="165" s="1"/>
  <c r="O193" i="212" s="1"/>
  <c r="H170" i="167"/>
  <c r="J187" i="165"/>
  <c r="J187" i="212" s="1"/>
  <c r="J183" i="165"/>
  <c r="J183" i="212" s="1"/>
  <c r="O182" i="165"/>
  <c r="O182" i="212" s="1"/>
  <c r="H160" i="167"/>
  <c r="J165" i="165"/>
  <c r="J165" i="212" s="1"/>
  <c r="J164" i="165"/>
  <c r="J164" i="212" s="1"/>
  <c r="O163" i="165"/>
  <c r="O163" i="212" s="1"/>
  <c r="J154" i="165"/>
  <c r="J154" i="212" s="1"/>
  <c r="O153" i="165"/>
  <c r="O153" i="212" s="1"/>
  <c r="J145" i="165"/>
  <c r="J145" i="212" s="1"/>
  <c r="O144" i="165"/>
  <c r="O144" i="212" s="1"/>
  <c r="H140" i="167"/>
  <c r="H435" i="212" l="1"/>
  <c r="H437" i="212"/>
  <c r="I147" i="167"/>
  <c r="L147" i="167" s="1"/>
  <c r="H162" i="167"/>
  <c r="G164" i="167"/>
  <c r="I149" i="167"/>
  <c r="I156" i="167"/>
  <c r="L156" i="167" s="1"/>
  <c r="P149" i="165"/>
  <c r="P149" i="212" s="1"/>
  <c r="P162" i="165"/>
  <c r="P162" i="212" s="1"/>
  <c r="J186" i="165"/>
  <c r="J186" i="212" s="1"/>
  <c r="P165" i="165"/>
  <c r="P165" i="212" s="1"/>
  <c r="F143" i="165"/>
  <c r="F143" i="212" s="1"/>
  <c r="F138" i="212" s="1"/>
  <c r="O143" i="165"/>
  <c r="O143" i="212" s="1"/>
  <c r="P159" i="165"/>
  <c r="P159" i="212" s="1"/>
  <c r="P148" i="165"/>
  <c r="P148" i="212" s="1"/>
  <c r="P146" i="165"/>
  <c r="P146" i="212" s="1"/>
  <c r="P155" i="165"/>
  <c r="P155" i="212" s="1"/>
  <c r="P147" i="165"/>
  <c r="P147" i="212" s="1"/>
  <c r="P161" i="165"/>
  <c r="P161" i="212" s="1"/>
  <c r="P150" i="165"/>
  <c r="P150" i="212" s="1"/>
  <c r="P152" i="165"/>
  <c r="P152" i="212" s="1"/>
  <c r="P184" i="165"/>
  <c r="P184" i="212" s="1"/>
  <c r="P154" i="165"/>
  <c r="P154" i="212" s="1"/>
  <c r="O185" i="165"/>
  <c r="O185" i="212" s="1"/>
  <c r="J139" i="165"/>
  <c r="J139" i="212" s="1"/>
  <c r="E163" i="165"/>
  <c r="E163" i="212" s="1"/>
  <c r="I141" i="167"/>
  <c r="I142" i="167"/>
  <c r="I140" i="167"/>
  <c r="P187" i="165"/>
  <c r="P187" i="212" s="1"/>
  <c r="P196" i="165"/>
  <c r="P145" i="165"/>
  <c r="P145" i="212" s="1"/>
  <c r="E185" i="165"/>
  <c r="E185" i="212" s="1"/>
  <c r="E182" i="165"/>
  <c r="E182" i="212" s="1"/>
  <c r="H139" i="167"/>
  <c r="I146" i="167"/>
  <c r="I144" i="167"/>
  <c r="I155" i="167"/>
  <c r="I143" i="167"/>
  <c r="I154" i="167"/>
  <c r="P164" i="165"/>
  <c r="P164" i="212" s="1"/>
  <c r="H159" i="167"/>
  <c r="P140" i="165"/>
  <c r="P140" i="212" s="1"/>
  <c r="P183" i="165"/>
  <c r="P183" i="212" s="1"/>
  <c r="E144" i="165"/>
  <c r="E144" i="212" s="1"/>
  <c r="I174" i="167"/>
  <c r="G174" i="167" s="1"/>
  <c r="J195" i="165"/>
  <c r="J193" i="165" s="1"/>
  <c r="J193" i="212" s="1"/>
  <c r="I170" i="167"/>
  <c r="I162" i="167"/>
  <c r="J182" i="165"/>
  <c r="J182" i="212" s="1"/>
  <c r="I160" i="167"/>
  <c r="I159" i="167"/>
  <c r="J163" i="165"/>
  <c r="J163" i="212" s="1"/>
  <c r="J153" i="165"/>
  <c r="J153" i="212" s="1"/>
  <c r="I139" i="167"/>
  <c r="J144" i="165"/>
  <c r="J144" i="212" s="1"/>
  <c r="E410" i="165"/>
  <c r="E410" i="212" s="1"/>
  <c r="J408" i="165"/>
  <c r="J408" i="212" s="1"/>
  <c r="E408" i="165"/>
  <c r="E408" i="212" s="1"/>
  <c r="O405" i="165"/>
  <c r="O405" i="212" s="1"/>
  <c r="E405" i="165"/>
  <c r="E405" i="212" s="1"/>
  <c r="O395" i="165"/>
  <c r="O395" i="212" s="1"/>
  <c r="E395" i="165"/>
  <c r="E395" i="212" s="1"/>
  <c r="O363" i="165"/>
  <c r="O363" i="212" s="1"/>
  <c r="E363" i="165"/>
  <c r="E363" i="212" s="1"/>
  <c r="O356" i="165"/>
  <c r="O356" i="212" s="1"/>
  <c r="E356" i="165"/>
  <c r="E356" i="212" s="1"/>
  <c r="O347" i="165"/>
  <c r="O347" i="212" s="1"/>
  <c r="E347" i="165"/>
  <c r="E347" i="212" s="1"/>
  <c r="E315" i="165"/>
  <c r="E315" i="212" s="1"/>
  <c r="J314" i="165"/>
  <c r="J314" i="212" s="1"/>
  <c r="E314" i="165"/>
  <c r="E314" i="212" s="1"/>
  <c r="E313" i="165"/>
  <c r="E313" i="212" s="1"/>
  <c r="O306" i="165"/>
  <c r="O306" i="212" s="1"/>
  <c r="E306" i="165"/>
  <c r="E306" i="212" s="1"/>
  <c r="O305" i="165"/>
  <c r="O305" i="212" s="1"/>
  <c r="E305" i="165"/>
  <c r="E305" i="212" s="1"/>
  <c r="E303" i="165"/>
  <c r="E303" i="212" s="1"/>
  <c r="O300" i="165"/>
  <c r="O300" i="212" s="1"/>
  <c r="E300" i="165"/>
  <c r="E300" i="212" s="1"/>
  <c r="O296" i="165"/>
  <c r="O296" i="212" s="1"/>
  <c r="E296" i="165"/>
  <c r="E296" i="212" s="1"/>
  <c r="O295" i="165"/>
  <c r="O295" i="212" s="1"/>
  <c r="E295" i="165"/>
  <c r="E295" i="212" s="1"/>
  <c r="O293" i="165"/>
  <c r="O293" i="212" s="1"/>
  <c r="E293" i="165"/>
  <c r="E293" i="212" s="1"/>
  <c r="O292" i="165"/>
  <c r="O292" i="212" s="1"/>
  <c r="E292" i="165"/>
  <c r="E292" i="212" s="1"/>
  <c r="O289" i="165"/>
  <c r="O289" i="212" s="1"/>
  <c r="E289" i="165"/>
  <c r="E289" i="212" s="1"/>
  <c r="O287" i="165"/>
  <c r="O287" i="212" s="1"/>
  <c r="E287" i="165"/>
  <c r="E287" i="212" s="1"/>
  <c r="M284" i="165"/>
  <c r="L284" i="165"/>
  <c r="K284" i="165"/>
  <c r="I284" i="165"/>
  <c r="H284" i="165"/>
  <c r="G284" i="165"/>
  <c r="F284" i="165"/>
  <c r="N284" i="165"/>
  <c r="E277" i="165"/>
  <c r="E277" i="212" s="1"/>
  <c r="O274" i="165"/>
  <c r="O274" i="212" s="1"/>
  <c r="E274" i="165"/>
  <c r="E274" i="212" s="1"/>
  <c r="O268" i="165"/>
  <c r="O268" i="212" s="1"/>
  <c r="E268" i="165"/>
  <c r="E268" i="212" s="1"/>
  <c r="O266" i="165"/>
  <c r="O266" i="212" s="1"/>
  <c r="E266" i="165"/>
  <c r="E266" i="212" s="1"/>
  <c r="O265" i="165"/>
  <c r="O265" i="212" s="1"/>
  <c r="E265" i="165"/>
  <c r="E265" i="212" s="1"/>
  <c r="O263" i="165"/>
  <c r="O263" i="212" s="1"/>
  <c r="O258" i="165"/>
  <c r="O258" i="212" s="1"/>
  <c r="E258" i="165"/>
  <c r="E258" i="212" s="1"/>
  <c r="M255" i="165"/>
  <c r="L255" i="165"/>
  <c r="K255" i="165"/>
  <c r="M219" i="167" s="1"/>
  <c r="H255" i="165"/>
  <c r="F255" i="165"/>
  <c r="N255" i="165"/>
  <c r="I255" i="165"/>
  <c r="G255" i="165"/>
  <c r="F137" i="212" l="1"/>
  <c r="F429" i="212"/>
  <c r="F435" i="212" s="1"/>
  <c r="H264" i="167"/>
  <c r="K264" i="167" s="1"/>
  <c r="I286" i="167"/>
  <c r="K260" i="167"/>
  <c r="K241" i="167"/>
  <c r="K254" i="167"/>
  <c r="I355" i="167"/>
  <c r="K257" i="167"/>
  <c r="L164" i="167"/>
  <c r="K279" i="167"/>
  <c r="O291" i="165"/>
  <c r="O291" i="212" s="1"/>
  <c r="E291" i="165"/>
  <c r="E291" i="212" s="1"/>
  <c r="E143" i="165"/>
  <c r="E143" i="212" s="1"/>
  <c r="H229" i="167"/>
  <c r="E346" i="165"/>
  <c r="E346" i="212" s="1"/>
  <c r="E345" i="212" s="1"/>
  <c r="O346" i="165"/>
  <c r="O346" i="212" s="1"/>
  <c r="O345" i="212" s="1"/>
  <c r="I133" i="167"/>
  <c r="E304" i="165"/>
  <c r="E304" i="212" s="1"/>
  <c r="O304" i="165"/>
  <c r="O304" i="212" s="1"/>
  <c r="O257" i="165"/>
  <c r="O257" i="212" s="1"/>
  <c r="E257" i="165"/>
  <c r="E257" i="212" s="1"/>
  <c r="E312" i="165"/>
  <c r="E312" i="212" s="1"/>
  <c r="P186" i="165"/>
  <c r="P186" i="212" s="1"/>
  <c r="J185" i="165"/>
  <c r="J185" i="212" s="1"/>
  <c r="J143" i="165"/>
  <c r="J143" i="212" s="1"/>
  <c r="P144" i="165"/>
  <c r="P144" i="212" s="1"/>
  <c r="H322" i="167"/>
  <c r="H317" i="167" s="1"/>
  <c r="P195" i="165"/>
  <c r="P193" i="165" s="1"/>
  <c r="P193" i="212" s="1"/>
  <c r="E302" i="165"/>
  <c r="E302" i="212" s="1"/>
  <c r="P153" i="165"/>
  <c r="P153" i="212" s="1"/>
  <c r="J266" i="165"/>
  <c r="J266" i="212" s="1"/>
  <c r="H227" i="167"/>
  <c r="H233" i="167"/>
  <c r="H252" i="167"/>
  <c r="J306" i="165"/>
  <c r="J306" i="212" s="1"/>
  <c r="P139" i="165"/>
  <c r="P139" i="212" s="1"/>
  <c r="J265" i="165"/>
  <c r="J265" i="212" s="1"/>
  <c r="J268" i="165"/>
  <c r="J268" i="212" s="1"/>
  <c r="J289" i="165"/>
  <c r="J289" i="212" s="1"/>
  <c r="J293" i="165"/>
  <c r="J293" i="212" s="1"/>
  <c r="J296" i="165"/>
  <c r="J296" i="212" s="1"/>
  <c r="E394" i="165"/>
  <c r="E394" i="212" s="1"/>
  <c r="J399" i="165"/>
  <c r="J399" i="212" s="1"/>
  <c r="Q399" i="212" s="1"/>
  <c r="O189" i="165"/>
  <c r="O189" i="212" s="1"/>
  <c r="O138" i="212" s="1"/>
  <c r="O394" i="165"/>
  <c r="O394" i="212" s="1"/>
  <c r="E404" i="165"/>
  <c r="E404" i="212" s="1"/>
  <c r="P163" i="165"/>
  <c r="P163" i="212" s="1"/>
  <c r="J295" i="165"/>
  <c r="J295" i="212" s="1"/>
  <c r="P182" i="165"/>
  <c r="P182" i="212" s="1"/>
  <c r="F138" i="165"/>
  <c r="E355" i="165"/>
  <c r="E355" i="212" s="1"/>
  <c r="E286" i="165"/>
  <c r="E286" i="212" s="1"/>
  <c r="J308" i="165"/>
  <c r="J308" i="212" s="1"/>
  <c r="J356" i="165"/>
  <c r="J356" i="212" s="1"/>
  <c r="O355" i="165"/>
  <c r="O355" i="212" s="1"/>
  <c r="J363" i="165"/>
  <c r="J363" i="212" s="1"/>
  <c r="O362" i="165"/>
  <c r="O362" i="212" s="1"/>
  <c r="E407" i="165"/>
  <c r="E407" i="212" s="1"/>
  <c r="J300" i="165"/>
  <c r="J300" i="212" s="1"/>
  <c r="O299" i="165"/>
  <c r="O299" i="212" s="1"/>
  <c r="J407" i="165"/>
  <c r="J407" i="212" s="1"/>
  <c r="H357" i="167"/>
  <c r="H353" i="167" s="1"/>
  <c r="E409" i="165"/>
  <c r="E409" i="212" s="1"/>
  <c r="J277" i="165"/>
  <c r="J277" i="212" s="1"/>
  <c r="O276" i="165"/>
  <c r="O276" i="212" s="1"/>
  <c r="J303" i="165"/>
  <c r="J303" i="212" s="1"/>
  <c r="J312" i="165"/>
  <c r="J312" i="212" s="1"/>
  <c r="E362" i="165"/>
  <c r="E362" i="212" s="1"/>
  <c r="J405" i="165"/>
  <c r="J405" i="212" s="1"/>
  <c r="O404" i="165"/>
  <c r="O404" i="212" s="1"/>
  <c r="J410" i="165"/>
  <c r="J410" i="212" s="1"/>
  <c r="O409" i="165"/>
  <c r="O409" i="212" s="1"/>
  <c r="H286" i="167"/>
  <c r="H267" i="167"/>
  <c r="J305" i="165"/>
  <c r="J305" i="212" s="1"/>
  <c r="H263" i="167"/>
  <c r="E299" i="165"/>
  <c r="E299" i="212" s="1"/>
  <c r="O286" i="165"/>
  <c r="O286" i="212" s="1"/>
  <c r="J292" i="165"/>
  <c r="J292" i="212" s="1"/>
  <c r="H253" i="167"/>
  <c r="J274" i="165"/>
  <c r="J274" i="212" s="1"/>
  <c r="H244" i="167"/>
  <c r="E276" i="165"/>
  <c r="E276" i="212" s="1"/>
  <c r="J263" i="165"/>
  <c r="J263" i="212" s="1"/>
  <c r="O262" i="165"/>
  <c r="O262" i="212" s="1"/>
  <c r="E262" i="165"/>
  <c r="E262" i="212" s="1"/>
  <c r="J347" i="165"/>
  <c r="J347" i="212" s="1"/>
  <c r="J395" i="165"/>
  <c r="J395" i="212" s="1"/>
  <c r="J258" i="165"/>
  <c r="J258" i="212" s="1"/>
  <c r="H287" i="167"/>
  <c r="G287" i="167" s="1"/>
  <c r="P315" i="165"/>
  <c r="P315" i="212" s="1"/>
  <c r="J287" i="165"/>
  <c r="J287" i="212" s="1"/>
  <c r="H285" i="167"/>
  <c r="G285" i="167" s="1"/>
  <c r="P313" i="165"/>
  <c r="P313" i="212" s="1"/>
  <c r="P314" i="165"/>
  <c r="P314" i="212" s="1"/>
  <c r="P408" i="165"/>
  <c r="P408" i="212" s="1"/>
  <c r="O137" i="212" l="1"/>
  <c r="J138" i="212"/>
  <c r="J137" i="212" s="1"/>
  <c r="O344" i="212"/>
  <c r="J345" i="212"/>
  <c r="J344" i="212" s="1"/>
  <c r="E344" i="212"/>
  <c r="P345" i="212"/>
  <c r="I264" i="167"/>
  <c r="L264" i="167" s="1"/>
  <c r="H220" i="167"/>
  <c r="H219" i="167" s="1"/>
  <c r="L241" i="167"/>
  <c r="L260" i="167"/>
  <c r="Q399" i="165"/>
  <c r="H249" i="167"/>
  <c r="H248" i="167" s="1"/>
  <c r="L223" i="167"/>
  <c r="L279" i="167"/>
  <c r="J291" i="165"/>
  <c r="J291" i="212" s="1"/>
  <c r="I229" i="167"/>
  <c r="G229" i="167" s="1"/>
  <c r="J346" i="165"/>
  <c r="J346" i="212" s="1"/>
  <c r="O261" i="165"/>
  <c r="O261" i="212" s="1"/>
  <c r="E359" i="165"/>
  <c r="E359" i="212" s="1"/>
  <c r="F36" i="108"/>
  <c r="O359" i="165"/>
  <c r="O359" i="212" s="1"/>
  <c r="E273" i="165"/>
  <c r="E273" i="212" s="1"/>
  <c r="E261" i="165"/>
  <c r="E261" i="212" s="1"/>
  <c r="F429" i="165"/>
  <c r="L349" i="167"/>
  <c r="J307" i="165"/>
  <c r="J307" i="212" s="1"/>
  <c r="G223" i="167"/>
  <c r="E290" i="165"/>
  <c r="E290" i="212" s="1"/>
  <c r="J257" i="165"/>
  <c r="J257" i="212" s="1"/>
  <c r="O290" i="165"/>
  <c r="O290" i="212" s="1"/>
  <c r="J398" i="165"/>
  <c r="J398" i="212" s="1"/>
  <c r="P143" i="165"/>
  <c r="P143" i="212" s="1"/>
  <c r="P295" i="165"/>
  <c r="P295" i="212" s="1"/>
  <c r="P293" i="165"/>
  <c r="P293" i="212" s="1"/>
  <c r="I322" i="167"/>
  <c r="I317" i="167" s="1"/>
  <c r="P289" i="165"/>
  <c r="P289" i="212" s="1"/>
  <c r="P266" i="165"/>
  <c r="P266" i="212" s="1"/>
  <c r="G286" i="167"/>
  <c r="J302" i="165"/>
  <c r="J302" i="212" s="1"/>
  <c r="E301" i="165"/>
  <c r="E301" i="212" s="1"/>
  <c r="P399" i="165"/>
  <c r="P399" i="212" s="1"/>
  <c r="P192" i="165"/>
  <c r="P192" i="212" s="1"/>
  <c r="E191" i="165"/>
  <c r="E191" i="212" s="1"/>
  <c r="H172" i="167"/>
  <c r="G172" i="167" s="1"/>
  <c r="P306" i="165"/>
  <c r="P306" i="212" s="1"/>
  <c r="P268" i="165"/>
  <c r="P268" i="212" s="1"/>
  <c r="P296" i="165"/>
  <c r="P296" i="212" s="1"/>
  <c r="P265" i="165"/>
  <c r="P265" i="212" s="1"/>
  <c r="G349" i="167"/>
  <c r="G346" i="167" s="1"/>
  <c r="P300" i="165"/>
  <c r="P300" i="212" s="1"/>
  <c r="J355" i="165"/>
  <c r="J355" i="212" s="1"/>
  <c r="O345" i="165"/>
  <c r="P407" i="165"/>
  <c r="P407" i="212" s="1"/>
  <c r="P263" i="165"/>
  <c r="P263" i="212" s="1"/>
  <c r="P292" i="165"/>
  <c r="P292" i="212" s="1"/>
  <c r="E311" i="165"/>
  <c r="E311" i="212" s="1"/>
  <c r="J311" i="165"/>
  <c r="J311" i="212" s="1"/>
  <c r="O273" i="165"/>
  <c r="O273" i="212" s="1"/>
  <c r="I252" i="167"/>
  <c r="I227" i="167"/>
  <c r="G227" i="167" s="1"/>
  <c r="P185" i="165"/>
  <c r="P185" i="212" s="1"/>
  <c r="P305" i="165"/>
  <c r="P305" i="212" s="1"/>
  <c r="J404" i="165"/>
  <c r="J404" i="212" s="1"/>
  <c r="J276" i="165"/>
  <c r="J276" i="212" s="1"/>
  <c r="I257" i="167"/>
  <c r="O138" i="165"/>
  <c r="O406" i="165"/>
  <c r="O406" i="212" s="1"/>
  <c r="O403" i="212" s="1"/>
  <c r="O397" i="165"/>
  <c r="O397" i="212" s="1"/>
  <c r="O393" i="212" s="1"/>
  <c r="O392" i="212" s="1"/>
  <c r="E345" i="165"/>
  <c r="I254" i="167"/>
  <c r="I233" i="167"/>
  <c r="G233" i="167" s="1"/>
  <c r="J189" i="165"/>
  <c r="J189" i="212" s="1"/>
  <c r="P274" i="165"/>
  <c r="P274" i="212" s="1"/>
  <c r="I282" i="167"/>
  <c r="G282" i="167" s="1"/>
  <c r="P405" i="165"/>
  <c r="P405" i="212" s="1"/>
  <c r="I244" i="167"/>
  <c r="G244" i="167" s="1"/>
  <c r="G355" i="167"/>
  <c r="P277" i="165"/>
  <c r="P277" i="212" s="1"/>
  <c r="P356" i="165"/>
  <c r="P356" i="212" s="1"/>
  <c r="P303" i="165"/>
  <c r="P303" i="212" s="1"/>
  <c r="P347" i="165"/>
  <c r="P347" i="212" s="1"/>
  <c r="I357" i="167"/>
  <c r="G357" i="167" s="1"/>
  <c r="J409" i="165"/>
  <c r="J409" i="212" s="1"/>
  <c r="J362" i="165"/>
  <c r="J362" i="212" s="1"/>
  <c r="P363" i="165"/>
  <c r="P363" i="212" s="1"/>
  <c r="I263" i="167"/>
  <c r="G263" i="167" s="1"/>
  <c r="J299" i="165"/>
  <c r="J299" i="212" s="1"/>
  <c r="P410" i="165"/>
  <c r="P410" i="212" s="1"/>
  <c r="P308" i="165"/>
  <c r="P308" i="212" s="1"/>
  <c r="E406" i="165"/>
  <c r="E406" i="212" s="1"/>
  <c r="E403" i="212" s="1"/>
  <c r="P395" i="165"/>
  <c r="P395" i="212" s="1"/>
  <c r="J394" i="165"/>
  <c r="J394" i="212" s="1"/>
  <c r="P312" i="165"/>
  <c r="P312" i="212" s="1"/>
  <c r="I267" i="167"/>
  <c r="I253" i="167"/>
  <c r="G253" i="167" s="1"/>
  <c r="P287" i="165"/>
  <c r="P287" i="212" s="1"/>
  <c r="J286" i="165"/>
  <c r="J286" i="212" s="1"/>
  <c r="G241" i="167"/>
  <c r="J262" i="165"/>
  <c r="J262" i="212" s="1"/>
  <c r="P258" i="165"/>
  <c r="P258" i="212" s="1"/>
  <c r="O402" i="212" l="1"/>
  <c r="J403" i="212"/>
  <c r="J402" i="212" s="1"/>
  <c r="E402" i="212"/>
  <c r="P403" i="212"/>
  <c r="Q345" i="212"/>
  <c r="P344" i="212"/>
  <c r="G264" i="167"/>
  <c r="E358" i="165"/>
  <c r="E358" i="212" s="1"/>
  <c r="E354" i="212" s="1"/>
  <c r="G20" i="197"/>
  <c r="G353" i="167"/>
  <c r="G220" i="167"/>
  <c r="G252" i="167"/>
  <c r="I249" i="167"/>
  <c r="I248" i="167" s="1"/>
  <c r="G248" i="167" s="1"/>
  <c r="P291" i="165"/>
  <c r="P291" i="212" s="1"/>
  <c r="G257" i="167"/>
  <c r="L257" i="167"/>
  <c r="J359" i="165"/>
  <c r="J359" i="212" s="1"/>
  <c r="E270" i="165"/>
  <c r="E270" i="212" s="1"/>
  <c r="E256" i="212" s="1"/>
  <c r="P346" i="165"/>
  <c r="P346" i="212" s="1"/>
  <c r="J261" i="165"/>
  <c r="J261" i="212" s="1"/>
  <c r="O393" i="165"/>
  <c r="J273" i="165"/>
  <c r="J273" i="212" s="1"/>
  <c r="G254" i="167"/>
  <c r="L254" i="167"/>
  <c r="G267" i="167"/>
  <c r="I353" i="167"/>
  <c r="I220" i="167"/>
  <c r="I219" i="167" s="1"/>
  <c r="J304" i="165"/>
  <c r="J304" i="212" s="1"/>
  <c r="P307" i="165"/>
  <c r="P307" i="212" s="1"/>
  <c r="O358" i="165"/>
  <c r="O358" i="212" s="1"/>
  <c r="O354" i="212" s="1"/>
  <c r="O353" i="212" s="1"/>
  <c r="P257" i="165"/>
  <c r="P257" i="212" s="1"/>
  <c r="O270" i="165"/>
  <c r="O270" i="212" s="1"/>
  <c r="O256" i="212" s="1"/>
  <c r="J290" i="165"/>
  <c r="J290" i="212" s="1"/>
  <c r="P398" i="165"/>
  <c r="P398" i="212" s="1"/>
  <c r="E190" i="165"/>
  <c r="E190" i="212" s="1"/>
  <c r="G322" i="167"/>
  <c r="G317" i="167" s="1"/>
  <c r="P191" i="165"/>
  <c r="P191" i="212" s="1"/>
  <c r="E298" i="165"/>
  <c r="E298" i="212" s="1"/>
  <c r="E285" i="212" s="1"/>
  <c r="H133" i="167"/>
  <c r="P302" i="165"/>
  <c r="P302" i="212" s="1"/>
  <c r="J301" i="165"/>
  <c r="J301" i="212" s="1"/>
  <c r="O298" i="165"/>
  <c r="O298" i="212" s="1"/>
  <c r="O285" i="212" s="1"/>
  <c r="P262" i="165"/>
  <c r="P262" i="212" s="1"/>
  <c r="O403" i="165"/>
  <c r="J397" i="165"/>
  <c r="J397" i="212" s="1"/>
  <c r="J393" i="212" s="1"/>
  <c r="J392" i="212" s="1"/>
  <c r="P311" i="165"/>
  <c r="P311" i="212" s="1"/>
  <c r="P409" i="165"/>
  <c r="P409" i="212" s="1"/>
  <c r="J406" i="165"/>
  <c r="J406" i="212" s="1"/>
  <c r="E397" i="165"/>
  <c r="E397" i="212" s="1"/>
  <c r="E393" i="212" s="1"/>
  <c r="E392" i="212" s="1"/>
  <c r="P286" i="165"/>
  <c r="P286" i="212" s="1"/>
  <c r="E403" i="165"/>
  <c r="P362" i="165"/>
  <c r="P362" i="212" s="1"/>
  <c r="P404" i="165"/>
  <c r="P404" i="212" s="1"/>
  <c r="P394" i="165"/>
  <c r="P394" i="212" s="1"/>
  <c r="P276" i="165"/>
  <c r="P276" i="212" s="1"/>
  <c r="P299" i="165"/>
  <c r="P299" i="212" s="1"/>
  <c r="P355" i="165"/>
  <c r="P355" i="212" s="1"/>
  <c r="O338" i="165"/>
  <c r="E338" i="165"/>
  <c r="O337" i="165"/>
  <c r="O337" i="212" s="1"/>
  <c r="E337" i="165"/>
  <c r="E337" i="212" s="1"/>
  <c r="O336" i="165"/>
  <c r="O336" i="212" s="1"/>
  <c r="E336" i="165"/>
  <c r="E336" i="212" s="1"/>
  <c r="O335" i="165"/>
  <c r="O335" i="212" s="1"/>
  <c r="E335" i="165"/>
  <c r="E335" i="212" s="1"/>
  <c r="E334" i="165"/>
  <c r="E334" i="212" s="1"/>
  <c r="O329" i="165"/>
  <c r="O329" i="212" s="1"/>
  <c r="E329" i="165"/>
  <c r="E329" i="212" s="1"/>
  <c r="O322" i="165"/>
  <c r="O322" i="212" s="1"/>
  <c r="E322" i="165"/>
  <c r="E322" i="212" s="1"/>
  <c r="N319" i="165"/>
  <c r="M319" i="165"/>
  <c r="I319" i="165"/>
  <c r="H319" i="165"/>
  <c r="G319" i="165"/>
  <c r="F319" i="165"/>
  <c r="O255" i="212" l="1"/>
  <c r="J256" i="212"/>
  <c r="J255" i="212" s="1"/>
  <c r="O284" i="212"/>
  <c r="J285" i="212"/>
  <c r="J284" i="212" s="1"/>
  <c r="E255" i="212"/>
  <c r="P256" i="212"/>
  <c r="E284" i="212"/>
  <c r="P285" i="212"/>
  <c r="E353" i="212"/>
  <c r="Q403" i="212"/>
  <c r="P402" i="212"/>
  <c r="E354" i="165"/>
  <c r="K317" i="167" s="1"/>
  <c r="E285" i="165"/>
  <c r="G249" i="167"/>
  <c r="O285" i="165"/>
  <c r="E393" i="165"/>
  <c r="J393" i="165"/>
  <c r="P359" i="165"/>
  <c r="P359" i="212" s="1"/>
  <c r="O354" i="165"/>
  <c r="E256" i="165"/>
  <c r="E255" i="165" s="1"/>
  <c r="K219" i="167" s="1"/>
  <c r="O256" i="165"/>
  <c r="P304" i="165"/>
  <c r="P304" i="212" s="1"/>
  <c r="E189" i="165"/>
  <c r="E189" i="212" s="1"/>
  <c r="E138" i="212" s="1"/>
  <c r="P261" i="165"/>
  <c r="P261" i="212" s="1"/>
  <c r="P290" i="165"/>
  <c r="P290" i="212" s="1"/>
  <c r="J358" i="165"/>
  <c r="J358" i="212" s="1"/>
  <c r="J354" i="212" s="1"/>
  <c r="J353" i="212" s="1"/>
  <c r="J329" i="165"/>
  <c r="J329" i="212" s="1"/>
  <c r="J270" i="165"/>
  <c r="J270" i="212" s="1"/>
  <c r="G219" i="167"/>
  <c r="J298" i="165"/>
  <c r="J298" i="212" s="1"/>
  <c r="P190" i="165"/>
  <c r="P190" i="212" s="1"/>
  <c r="P301" i="165"/>
  <c r="P301" i="212" s="1"/>
  <c r="P273" i="165"/>
  <c r="P273" i="212" s="1"/>
  <c r="E321" i="165"/>
  <c r="E321" i="212" s="1"/>
  <c r="J336" i="165"/>
  <c r="J336" i="212" s="1"/>
  <c r="J338" i="165"/>
  <c r="P406" i="165"/>
  <c r="P406" i="212" s="1"/>
  <c r="O321" i="165"/>
  <c r="O321" i="212" s="1"/>
  <c r="E328" i="165"/>
  <c r="E328" i="212" s="1"/>
  <c r="J335" i="165"/>
  <c r="J335" i="212" s="1"/>
  <c r="J337" i="165"/>
  <c r="J337" i="212" s="1"/>
  <c r="P397" i="165"/>
  <c r="P397" i="212" s="1"/>
  <c r="P393" i="212" s="1"/>
  <c r="O328" i="165"/>
  <c r="O328" i="212" s="1"/>
  <c r="J322" i="165"/>
  <c r="J322" i="212" s="1"/>
  <c r="E333" i="165"/>
  <c r="E333" i="212" s="1"/>
  <c r="L319" i="165"/>
  <c r="O334" i="165"/>
  <c r="O334" i="212" s="1"/>
  <c r="K319" i="165"/>
  <c r="Q393" i="212" l="1"/>
  <c r="P392" i="212"/>
  <c r="P284" i="212"/>
  <c r="Q285" i="212"/>
  <c r="P354" i="212"/>
  <c r="Q256" i="212"/>
  <c r="P255" i="212"/>
  <c r="E137" i="212"/>
  <c r="P138" i="212"/>
  <c r="G302" i="167"/>
  <c r="P393" i="165"/>
  <c r="Q393" i="165" s="1"/>
  <c r="J354" i="165"/>
  <c r="J285" i="165"/>
  <c r="P285" i="165" s="1"/>
  <c r="Q285" i="165" s="1"/>
  <c r="E138" i="165"/>
  <c r="P189" i="165"/>
  <c r="P189" i="212" s="1"/>
  <c r="P270" i="165"/>
  <c r="P270" i="212" s="1"/>
  <c r="P358" i="165"/>
  <c r="P358" i="212" s="1"/>
  <c r="P336" i="165"/>
  <c r="P336" i="212" s="1"/>
  <c r="P337" i="165"/>
  <c r="P337" i="212" s="1"/>
  <c r="O284" i="165"/>
  <c r="E284" i="165"/>
  <c r="K248" i="167"/>
  <c r="P335" i="165"/>
  <c r="P335" i="212" s="1"/>
  <c r="O255" i="165"/>
  <c r="J256" i="165"/>
  <c r="P338" i="165"/>
  <c r="J321" i="165"/>
  <c r="J321" i="212" s="1"/>
  <c r="O327" i="165"/>
  <c r="O327" i="212" s="1"/>
  <c r="E327" i="165"/>
  <c r="E327" i="212" s="1"/>
  <c r="J328" i="165"/>
  <c r="J328" i="212" s="1"/>
  <c r="E331" i="165"/>
  <c r="E331" i="212" s="1"/>
  <c r="P298" i="165"/>
  <c r="P298" i="212" s="1"/>
  <c r="P329" i="165"/>
  <c r="P329" i="212" s="1"/>
  <c r="P322" i="165"/>
  <c r="P322" i="212" s="1"/>
  <c r="O333" i="165"/>
  <c r="O333" i="212" s="1"/>
  <c r="J334" i="165"/>
  <c r="J334" i="212" s="1"/>
  <c r="Q138" i="212" l="1"/>
  <c r="P137" i="212"/>
  <c r="Q354" i="212"/>
  <c r="P353" i="212"/>
  <c r="P354" i="165"/>
  <c r="Q354" i="165" s="1"/>
  <c r="L317" i="167"/>
  <c r="L248" i="167"/>
  <c r="J284" i="165"/>
  <c r="P284" i="165"/>
  <c r="E330" i="165"/>
  <c r="E330" i="212" s="1"/>
  <c r="E320" i="212" s="1"/>
  <c r="J255" i="165"/>
  <c r="L219" i="167" s="1"/>
  <c r="P256" i="165"/>
  <c r="Q256" i="165" s="1"/>
  <c r="P321" i="165"/>
  <c r="P321" i="212" s="1"/>
  <c r="P328" i="165"/>
  <c r="P328" i="212" s="1"/>
  <c r="J327" i="165"/>
  <c r="J327" i="212" s="1"/>
  <c r="O331" i="165"/>
  <c r="O331" i="212" s="1"/>
  <c r="P334" i="165"/>
  <c r="P334" i="212" s="1"/>
  <c r="J333" i="165"/>
  <c r="J333" i="212" s="1"/>
  <c r="E319" i="212" l="1"/>
  <c r="E320" i="165"/>
  <c r="E319" i="165" s="1"/>
  <c r="O330" i="165"/>
  <c r="O330" i="212" s="1"/>
  <c r="O320" i="212" s="1"/>
  <c r="P255" i="165"/>
  <c r="P333" i="165"/>
  <c r="P333" i="212" s="1"/>
  <c r="P327" i="165"/>
  <c r="P327" i="212" s="1"/>
  <c r="J331" i="165"/>
  <c r="J331" i="212" s="1"/>
  <c r="O319" i="212" l="1"/>
  <c r="J320" i="212"/>
  <c r="O320" i="165"/>
  <c r="J330" i="165"/>
  <c r="J330" i="212" s="1"/>
  <c r="P331" i="165"/>
  <c r="P331" i="212" s="1"/>
  <c r="J217" i="167"/>
  <c r="H217" i="167"/>
  <c r="J319" i="212" l="1"/>
  <c r="P320" i="212"/>
  <c r="P330" i="165"/>
  <c r="P330" i="212" s="1"/>
  <c r="O319" i="165"/>
  <c r="J320" i="165"/>
  <c r="Q320" i="212" l="1"/>
  <c r="P319" i="212"/>
  <c r="P320" i="165"/>
  <c r="Q320" i="165" s="1"/>
  <c r="J319" i="165"/>
  <c r="M338" i="167"/>
  <c r="G337" i="167"/>
  <c r="G336" i="167"/>
  <c r="J310" i="167"/>
  <c r="M310" i="167" s="1"/>
  <c r="J213" i="167"/>
  <c r="J212" i="167"/>
  <c r="J211" i="167"/>
  <c r="J210" i="167"/>
  <c r="J208" i="167"/>
  <c r="J205" i="167"/>
  <c r="J204" i="167"/>
  <c r="J203" i="167"/>
  <c r="J199" i="167"/>
  <c r="G192" i="167"/>
  <c r="G191" i="167"/>
  <c r="J190" i="167"/>
  <c r="G189" i="167"/>
  <c r="J188" i="167"/>
  <c r="J185" i="167"/>
  <c r="G186" i="167"/>
  <c r="G167" i="167"/>
  <c r="G166" i="167"/>
  <c r="G163" i="167"/>
  <c r="G157" i="167"/>
  <c r="J131" i="167"/>
  <c r="H131" i="167"/>
  <c r="G130" i="167"/>
  <c r="J122" i="167"/>
  <c r="J121" i="167"/>
  <c r="J120" i="167"/>
  <c r="J119" i="167"/>
  <c r="J113" i="167"/>
  <c r="J99" i="167"/>
  <c r="J59" i="167" s="1"/>
  <c r="G68" i="167"/>
  <c r="G64" i="167"/>
  <c r="G45" i="167"/>
  <c r="J43" i="167"/>
  <c r="M43" i="167" s="1"/>
  <c r="J42" i="167"/>
  <c r="J34" i="167"/>
  <c r="M34" i="167" s="1"/>
  <c r="G24" i="167"/>
  <c r="O428" i="165"/>
  <c r="O422" i="165"/>
  <c r="O422" i="212" s="1"/>
  <c r="O414" i="165"/>
  <c r="O414" i="212" s="1"/>
  <c r="G411" i="165"/>
  <c r="E414" i="165"/>
  <c r="E414" i="212" s="1"/>
  <c r="N411" i="165"/>
  <c r="M411" i="165"/>
  <c r="L411" i="165"/>
  <c r="K411" i="165"/>
  <c r="I411" i="165"/>
  <c r="H411" i="165"/>
  <c r="G402" i="165"/>
  <c r="N402" i="165"/>
  <c r="M402" i="165"/>
  <c r="L402" i="165"/>
  <c r="K402" i="165"/>
  <c r="I402" i="165"/>
  <c r="F402" i="165"/>
  <c r="N392" i="165"/>
  <c r="M392" i="165"/>
  <c r="I392" i="165"/>
  <c r="H392" i="165"/>
  <c r="G392" i="165"/>
  <c r="O385" i="165"/>
  <c r="O385" i="212" s="1"/>
  <c r="O382" i="165"/>
  <c r="O382" i="212" s="1"/>
  <c r="O381" i="165"/>
  <c r="O381" i="212" s="1"/>
  <c r="E381" i="165"/>
  <c r="E381" i="212" s="1"/>
  <c r="N372" i="165"/>
  <c r="M372" i="165"/>
  <c r="I372" i="165"/>
  <c r="H372" i="165"/>
  <c r="G372" i="165"/>
  <c r="L372" i="165"/>
  <c r="G353" i="165"/>
  <c r="N353" i="165"/>
  <c r="M353" i="165"/>
  <c r="I353" i="165"/>
  <c r="H353" i="165"/>
  <c r="N344" i="165"/>
  <c r="M344" i="165"/>
  <c r="L344" i="165"/>
  <c r="K344" i="165"/>
  <c r="I344" i="165"/>
  <c r="F344" i="165"/>
  <c r="O244" i="165"/>
  <c r="O244" i="212" s="1"/>
  <c r="O241" i="165"/>
  <c r="O241" i="212" s="1"/>
  <c r="E241" i="165"/>
  <c r="E241" i="212" s="1"/>
  <c r="O240" i="165"/>
  <c r="O240" i="212" s="1"/>
  <c r="E240" i="165"/>
  <c r="E240" i="212" s="1"/>
  <c r="O239" i="165"/>
  <c r="O239" i="212" s="1"/>
  <c r="O235" i="165"/>
  <c r="O235" i="212" s="1"/>
  <c r="J234" i="165"/>
  <c r="J234" i="212" s="1"/>
  <c r="E234" i="165"/>
  <c r="E234" i="212" s="1"/>
  <c r="O232" i="165"/>
  <c r="O232" i="212" s="1"/>
  <c r="E232" i="165"/>
  <c r="E232" i="212" s="1"/>
  <c r="O230" i="165"/>
  <c r="O230" i="212" s="1"/>
  <c r="O229" i="165"/>
  <c r="O229" i="212" s="1"/>
  <c r="E229" i="165"/>
  <c r="E229" i="212" s="1"/>
  <c r="E226" i="165"/>
  <c r="E226" i="212" s="1"/>
  <c r="E225" i="165"/>
  <c r="E225" i="212" s="1"/>
  <c r="O223" i="165"/>
  <c r="O223" i="212" s="1"/>
  <c r="N219" i="165"/>
  <c r="M219" i="165"/>
  <c r="L219" i="165"/>
  <c r="I219" i="165"/>
  <c r="O209" i="165"/>
  <c r="O209" i="212" s="1"/>
  <c r="E209" i="165"/>
  <c r="E209" i="212" s="1"/>
  <c r="E208" i="165"/>
  <c r="E208" i="212" s="1"/>
  <c r="E205" i="165"/>
  <c r="E205" i="212" s="1"/>
  <c r="O204" i="165"/>
  <c r="O204" i="212" s="1"/>
  <c r="E204" i="165"/>
  <c r="E204" i="212" s="1"/>
  <c r="O203" i="165"/>
  <c r="O203" i="212" s="1"/>
  <c r="E203" i="165"/>
  <c r="E203" i="212" s="1"/>
  <c r="H198" i="165"/>
  <c r="E201" i="165"/>
  <c r="E201" i="212" s="1"/>
  <c r="N198" i="165"/>
  <c r="M198" i="165"/>
  <c r="L198" i="165"/>
  <c r="G198" i="165"/>
  <c r="M137" i="165"/>
  <c r="L137" i="165"/>
  <c r="I137" i="165"/>
  <c r="I131" i="167"/>
  <c r="E135" i="165"/>
  <c r="O122" i="165"/>
  <c r="O122" i="212" s="1"/>
  <c r="O121" i="165"/>
  <c r="O121" i="212" s="1"/>
  <c r="E121" i="165"/>
  <c r="E121" i="212" s="1"/>
  <c r="O119" i="165"/>
  <c r="O119" i="212" s="1"/>
  <c r="O117" i="165"/>
  <c r="O117" i="212" s="1"/>
  <c r="E115" i="165"/>
  <c r="E115" i="212" s="1"/>
  <c r="O114" i="165"/>
  <c r="O114" i="212" s="1"/>
  <c r="E114" i="165"/>
  <c r="E114" i="212" s="1"/>
  <c r="O113" i="165"/>
  <c r="O113" i="212" s="1"/>
  <c r="J112" i="165"/>
  <c r="J112" i="212" s="1"/>
  <c r="E112" i="165"/>
  <c r="E112" i="212" s="1"/>
  <c r="E111" i="165"/>
  <c r="E111" i="212" s="1"/>
  <c r="O108" i="165"/>
  <c r="O108" i="212" s="1"/>
  <c r="N105" i="165"/>
  <c r="M105" i="165"/>
  <c r="L105" i="165"/>
  <c r="I105" i="165"/>
  <c r="O91" i="165"/>
  <c r="O91" i="212" s="1"/>
  <c r="E91" i="165"/>
  <c r="E91" i="212" s="1"/>
  <c r="O68" i="165"/>
  <c r="O68" i="212" s="1"/>
  <c r="O66" i="165"/>
  <c r="O66" i="212" s="1"/>
  <c r="E65" i="165"/>
  <c r="E65" i="212" s="1"/>
  <c r="E62" i="165"/>
  <c r="E62" i="212" s="1"/>
  <c r="E60" i="165"/>
  <c r="E60" i="212" s="1"/>
  <c r="O53" i="165"/>
  <c r="O53" i="212" s="1"/>
  <c r="E53" i="165"/>
  <c r="E53" i="212" s="1"/>
  <c r="E52" i="165"/>
  <c r="E52" i="212" s="1"/>
  <c r="E50" i="165"/>
  <c r="E50" i="212" s="1"/>
  <c r="M47" i="165"/>
  <c r="I47" i="165"/>
  <c r="O44" i="165"/>
  <c r="O44" i="212" s="1"/>
  <c r="O41" i="165"/>
  <c r="O41" i="212" s="1"/>
  <c r="E33" i="165"/>
  <c r="E33" i="212" s="1"/>
  <c r="O31" i="165"/>
  <c r="O31" i="212" s="1"/>
  <c r="E31" i="165"/>
  <c r="E31" i="212" s="1"/>
  <c r="O21" i="165"/>
  <c r="O21" i="212" s="1"/>
  <c r="E18" i="165"/>
  <c r="E18" i="212" s="1"/>
  <c r="G15" i="165"/>
  <c r="H73" i="167" l="1"/>
  <c r="K73" i="167" s="1"/>
  <c r="H76" i="167"/>
  <c r="K76" i="167" s="1"/>
  <c r="H63" i="167"/>
  <c r="K336" i="167"/>
  <c r="H60" i="167"/>
  <c r="K60" i="167" s="1"/>
  <c r="E90" i="165"/>
  <c r="E90" i="212" s="1"/>
  <c r="O29" i="165"/>
  <c r="O29" i="212" s="1"/>
  <c r="H183" i="167"/>
  <c r="H178" i="167"/>
  <c r="H188" i="167"/>
  <c r="H200" i="167"/>
  <c r="O107" i="165"/>
  <c r="O107" i="212" s="1"/>
  <c r="O90" i="165"/>
  <c r="O90" i="212" s="1"/>
  <c r="H190" i="167"/>
  <c r="H111" i="167"/>
  <c r="H115" i="167"/>
  <c r="J177" i="167"/>
  <c r="M42" i="167"/>
  <c r="O51" i="165"/>
  <c r="E51" i="165"/>
  <c r="E51" i="212" s="1"/>
  <c r="O40" i="165"/>
  <c r="O40" i="212" s="1"/>
  <c r="O43" i="165"/>
  <c r="O43" i="212" s="1"/>
  <c r="O67" i="165"/>
  <c r="O67" i="212" s="1"/>
  <c r="O118" i="165"/>
  <c r="O118" i="212" s="1"/>
  <c r="H180" i="167"/>
  <c r="O222" i="165"/>
  <c r="O222" i="212" s="1"/>
  <c r="O243" i="165"/>
  <c r="O243" i="212" s="1"/>
  <c r="E413" i="165"/>
  <c r="E413" i="212" s="1"/>
  <c r="O427" i="165"/>
  <c r="H80" i="167"/>
  <c r="O384" i="165"/>
  <c r="O384" i="212" s="1"/>
  <c r="P319" i="165"/>
  <c r="E32" i="165"/>
  <c r="E32" i="212" s="1"/>
  <c r="P115" i="165"/>
  <c r="P115" i="212" s="1"/>
  <c r="H202" i="167"/>
  <c r="E231" i="165"/>
  <c r="E231" i="212" s="1"/>
  <c r="O233" i="165"/>
  <c r="O233" i="212" s="1"/>
  <c r="O413" i="165"/>
  <c r="O413" i="212" s="1"/>
  <c r="O116" i="165"/>
  <c r="O116" i="212" s="1"/>
  <c r="O207" i="165"/>
  <c r="O207" i="212" s="1"/>
  <c r="O231" i="165"/>
  <c r="O231" i="212" s="1"/>
  <c r="O421" i="165"/>
  <c r="O421" i="212" s="1"/>
  <c r="P33" i="165"/>
  <c r="P33" i="212" s="1"/>
  <c r="O64" i="165"/>
  <c r="O64" i="212" s="1"/>
  <c r="E207" i="165"/>
  <c r="E207" i="212" s="1"/>
  <c r="E200" i="165"/>
  <c r="E200" i="212" s="1"/>
  <c r="O238" i="165"/>
  <c r="O238" i="212" s="1"/>
  <c r="O228" i="165"/>
  <c r="O228" i="212" s="1"/>
  <c r="E224" i="165"/>
  <c r="E224" i="212" s="1"/>
  <c r="O120" i="165"/>
  <c r="O120" i="212" s="1"/>
  <c r="E61" i="165"/>
  <c r="E61" i="212" s="1"/>
  <c r="H67" i="167"/>
  <c r="K67" i="167" s="1"/>
  <c r="H34" i="167"/>
  <c r="K34" i="167" s="1"/>
  <c r="H33" i="167"/>
  <c r="K33" i="167" s="1"/>
  <c r="N15" i="165"/>
  <c r="I15" i="165"/>
  <c r="I429" i="165"/>
  <c r="I440" i="165" s="1"/>
  <c r="M15" i="165"/>
  <c r="M429" i="165"/>
  <c r="K392" i="165"/>
  <c r="K353" i="165"/>
  <c r="F372" i="165"/>
  <c r="G338" i="167"/>
  <c r="G330" i="167" s="1"/>
  <c r="H329" i="167"/>
  <c r="J119" i="165"/>
  <c r="J119" i="212" s="1"/>
  <c r="E122" i="165"/>
  <c r="E122" i="212" s="1"/>
  <c r="I329" i="167"/>
  <c r="K198" i="165"/>
  <c r="E223" i="165"/>
  <c r="E223" i="212" s="1"/>
  <c r="J223" i="165"/>
  <c r="J223" i="212" s="1"/>
  <c r="J41" i="165"/>
  <c r="J41" i="212" s="1"/>
  <c r="J65" i="165"/>
  <c r="J65" i="212" s="1"/>
  <c r="J240" i="165"/>
  <c r="J240" i="212" s="1"/>
  <c r="L47" i="165"/>
  <c r="E113" i="165"/>
  <c r="E113" i="212" s="1"/>
  <c r="J422" i="165"/>
  <c r="J422" i="212" s="1"/>
  <c r="J345" i="167"/>
  <c r="M345" i="167" s="1"/>
  <c r="J232" i="165"/>
  <c r="J232" i="212" s="1"/>
  <c r="J382" i="165"/>
  <c r="J382" i="212" s="1"/>
  <c r="O392" i="165"/>
  <c r="J205" i="165"/>
  <c r="J205" i="212" s="1"/>
  <c r="J204" i="165"/>
  <c r="J204" i="212" s="1"/>
  <c r="J225" i="165"/>
  <c r="J225" i="212" s="1"/>
  <c r="H402" i="165"/>
  <c r="E21" i="165"/>
  <c r="E21" i="212" s="1"/>
  <c r="E27" i="165"/>
  <c r="E27" i="212" s="1"/>
  <c r="J31" i="165"/>
  <c r="J31" i="212" s="1"/>
  <c r="J44" i="165"/>
  <c r="J44" i="212" s="1"/>
  <c r="J53" i="165"/>
  <c r="J53" i="212" s="1"/>
  <c r="J62" i="165"/>
  <c r="J62" i="212" s="1"/>
  <c r="J66" i="165"/>
  <c r="J66" i="212" s="1"/>
  <c r="G105" i="165"/>
  <c r="I113" i="167"/>
  <c r="E117" i="165"/>
  <c r="E117" i="212" s="1"/>
  <c r="N137" i="165"/>
  <c r="H185" i="167"/>
  <c r="J230" i="165"/>
  <c r="J230" i="212" s="1"/>
  <c r="H211" i="167"/>
  <c r="J241" i="165"/>
  <c r="J241" i="212" s="1"/>
  <c r="H300" i="167"/>
  <c r="H301" i="167"/>
  <c r="E344" i="165"/>
  <c r="H310" i="167"/>
  <c r="K310" i="167" s="1"/>
  <c r="E382" i="165"/>
  <c r="E382" i="212" s="1"/>
  <c r="J385" i="165"/>
  <c r="J385" i="212" s="1"/>
  <c r="J414" i="165"/>
  <c r="J414" i="212" s="1"/>
  <c r="J428" i="165"/>
  <c r="E44" i="165"/>
  <c r="E44" i="212" s="1"/>
  <c r="J203" i="165"/>
  <c r="J203" i="212" s="1"/>
  <c r="J209" i="165"/>
  <c r="J209" i="212" s="1"/>
  <c r="H295" i="167"/>
  <c r="J381" i="165"/>
  <c r="J381" i="212" s="1"/>
  <c r="N47" i="165"/>
  <c r="J114" i="165"/>
  <c r="J114" i="212" s="1"/>
  <c r="J117" i="165"/>
  <c r="J117" i="212" s="1"/>
  <c r="H121" i="167"/>
  <c r="J122" i="165"/>
  <c r="J122" i="212" s="1"/>
  <c r="J208" i="165"/>
  <c r="J208" i="212" s="1"/>
  <c r="E239" i="165"/>
  <c r="E239" i="212" s="1"/>
  <c r="E244" i="165"/>
  <c r="E244" i="212" s="1"/>
  <c r="G344" i="165"/>
  <c r="L392" i="165"/>
  <c r="O18" i="165"/>
  <c r="O18" i="212" s="1"/>
  <c r="E66" i="165"/>
  <c r="E66" i="212" s="1"/>
  <c r="J91" i="165"/>
  <c r="J91" i="212" s="1"/>
  <c r="J113" i="165"/>
  <c r="J113" i="212" s="1"/>
  <c r="E230" i="165"/>
  <c r="E230" i="212" s="1"/>
  <c r="J235" i="165"/>
  <c r="J235" i="212" s="1"/>
  <c r="H212" i="167"/>
  <c r="H306" i="167"/>
  <c r="J30" i="167"/>
  <c r="J68" i="165"/>
  <c r="J68" i="212" s="1"/>
  <c r="F105" i="165"/>
  <c r="H105" i="165"/>
  <c r="J21" i="165"/>
  <c r="J21" i="212" s="1"/>
  <c r="E68" i="165"/>
  <c r="E68" i="212" s="1"/>
  <c r="H99" i="167"/>
  <c r="E108" i="165"/>
  <c r="E108" i="212" s="1"/>
  <c r="J108" i="165"/>
  <c r="J108" i="212" s="1"/>
  <c r="E119" i="165"/>
  <c r="E119" i="212" s="1"/>
  <c r="J121" i="165"/>
  <c r="J121" i="212" s="1"/>
  <c r="G137" i="165"/>
  <c r="G219" i="165"/>
  <c r="H219" i="165"/>
  <c r="J229" i="165"/>
  <c r="J229" i="212" s="1"/>
  <c r="H205" i="167"/>
  <c r="I206" i="167"/>
  <c r="J239" i="165"/>
  <c r="J239" i="212" s="1"/>
  <c r="J244" i="165"/>
  <c r="J244" i="212" s="1"/>
  <c r="H344" i="165"/>
  <c r="E402" i="165"/>
  <c r="G131" i="167"/>
  <c r="G181" i="167"/>
  <c r="G207" i="167"/>
  <c r="J352" i="167"/>
  <c r="M352" i="167" s="1"/>
  <c r="H113" i="167"/>
  <c r="P112" i="165"/>
  <c r="P112" i="212" s="1"/>
  <c r="F353" i="165"/>
  <c r="J50" i="165"/>
  <c r="J50" i="212" s="1"/>
  <c r="L353" i="165"/>
  <c r="O111" i="165"/>
  <c r="O111" i="212" s="1"/>
  <c r="H137" i="165"/>
  <c r="F137" i="165"/>
  <c r="H203" i="167"/>
  <c r="G17" i="167"/>
  <c r="H15" i="165"/>
  <c r="E235" i="165"/>
  <c r="E235" i="212" s="1"/>
  <c r="F219" i="165"/>
  <c r="K372" i="165"/>
  <c r="E385" i="165"/>
  <c r="E385" i="212" s="1"/>
  <c r="O226" i="165"/>
  <c r="O226" i="212" s="1"/>
  <c r="H206" i="167"/>
  <c r="P234" i="165"/>
  <c r="P234" i="212" s="1"/>
  <c r="J306" i="167"/>
  <c r="F392" i="165"/>
  <c r="J206" i="167"/>
  <c r="J198" i="167" s="1"/>
  <c r="J128" i="167"/>
  <c r="J107" i="167" s="1"/>
  <c r="O27" i="165"/>
  <c r="O27" i="212" s="1"/>
  <c r="O135" i="165"/>
  <c r="J295" i="167"/>
  <c r="O353" i="165"/>
  <c r="E422" i="165"/>
  <c r="E422" i="212" s="1"/>
  <c r="G26" i="167"/>
  <c r="G134" i="167"/>
  <c r="J329" i="167"/>
  <c r="O49" i="165" l="1"/>
  <c r="O49" i="212" s="1"/>
  <c r="O48" i="212" s="1"/>
  <c r="O51" i="212"/>
  <c r="I76" i="167"/>
  <c r="L76" i="167" s="1"/>
  <c r="O110" i="165"/>
  <c r="O110" i="212" s="1"/>
  <c r="L336" i="167"/>
  <c r="O42" i="165"/>
  <c r="O42" i="212" s="1"/>
  <c r="K63" i="167"/>
  <c r="H290" i="167"/>
  <c r="K290" i="167" s="1"/>
  <c r="J16" i="167"/>
  <c r="M15" i="167" s="1"/>
  <c r="I60" i="167"/>
  <c r="L60" i="167" s="1"/>
  <c r="J29" i="165"/>
  <c r="J29" i="212" s="1"/>
  <c r="K24" i="167"/>
  <c r="E29" i="165"/>
  <c r="E29" i="212" s="1"/>
  <c r="K342" i="167"/>
  <c r="J90" i="165"/>
  <c r="J90" i="212" s="1"/>
  <c r="I183" i="167"/>
  <c r="G183" i="167" s="1"/>
  <c r="I115" i="167"/>
  <c r="G115" i="167" s="1"/>
  <c r="I200" i="167"/>
  <c r="G200" i="167" s="1"/>
  <c r="J107" i="165"/>
  <c r="J107" i="212" s="1"/>
  <c r="E107" i="165"/>
  <c r="E107" i="212" s="1"/>
  <c r="O227" i="165"/>
  <c r="O227" i="212" s="1"/>
  <c r="E202" i="165"/>
  <c r="E202" i="212" s="1"/>
  <c r="E199" i="212" s="1"/>
  <c r="O36" i="165"/>
  <c r="O36" i="212" s="1"/>
  <c r="L342" i="167"/>
  <c r="O419" i="165"/>
  <c r="O419" i="212" s="1"/>
  <c r="O412" i="212" s="1"/>
  <c r="O411" i="212" s="1"/>
  <c r="E26" i="165"/>
  <c r="E26" i="212" s="1"/>
  <c r="O26" i="165"/>
  <c r="O26" i="212" s="1"/>
  <c r="O380" i="165"/>
  <c r="O380" i="212" s="1"/>
  <c r="P32" i="165"/>
  <c r="P32" i="212" s="1"/>
  <c r="J207" i="165"/>
  <c r="J207" i="212" s="1"/>
  <c r="J413" i="165"/>
  <c r="J413" i="212" s="1"/>
  <c r="J222" i="165"/>
  <c r="J222" i="212" s="1"/>
  <c r="E120" i="165"/>
  <c r="E120" i="212" s="1"/>
  <c r="E421" i="165"/>
  <c r="E421" i="212" s="1"/>
  <c r="J233" i="165"/>
  <c r="J233" i="212" s="1"/>
  <c r="I180" i="167"/>
  <c r="G180" i="167" s="1"/>
  <c r="J384" i="165"/>
  <c r="J384" i="212" s="1"/>
  <c r="I81" i="167"/>
  <c r="L81" i="167" s="1"/>
  <c r="J421" i="165"/>
  <c r="J421" i="212" s="1"/>
  <c r="I80" i="167"/>
  <c r="G80" i="167" s="1"/>
  <c r="E222" i="165"/>
  <c r="E222" i="212" s="1"/>
  <c r="J118" i="165"/>
  <c r="J118" i="212" s="1"/>
  <c r="O202" i="165"/>
  <c r="O202" i="212" s="1"/>
  <c r="O199" i="212" s="1"/>
  <c r="E228" i="165"/>
  <c r="E228" i="212" s="1"/>
  <c r="E243" i="165"/>
  <c r="E243" i="212" s="1"/>
  <c r="E116" i="165"/>
  <c r="E116" i="212" s="1"/>
  <c r="J231" i="165"/>
  <c r="J231" i="212" s="1"/>
  <c r="J40" i="165"/>
  <c r="J40" i="212" s="1"/>
  <c r="O426" i="165"/>
  <c r="O242" i="165"/>
  <c r="O242" i="212" s="1"/>
  <c r="E233" i="165"/>
  <c r="E233" i="212" s="1"/>
  <c r="J243" i="165"/>
  <c r="J243" i="212" s="1"/>
  <c r="O17" i="165"/>
  <c r="O17" i="212" s="1"/>
  <c r="E238" i="165"/>
  <c r="E238" i="212" s="1"/>
  <c r="J116" i="165"/>
  <c r="J116" i="212" s="1"/>
  <c r="J427" i="165"/>
  <c r="I67" i="167"/>
  <c r="L67" i="167" s="1"/>
  <c r="E118" i="165"/>
  <c r="E118" i="212" s="1"/>
  <c r="I114" i="167"/>
  <c r="E384" i="165"/>
  <c r="E384" i="212" s="1"/>
  <c r="M30" i="167"/>
  <c r="E43" i="165"/>
  <c r="E43" i="212" s="1"/>
  <c r="J43" i="165"/>
  <c r="J43" i="212" s="1"/>
  <c r="E64" i="165"/>
  <c r="E64" i="212" s="1"/>
  <c r="H81" i="167"/>
  <c r="J61" i="165"/>
  <c r="J61" i="212" s="1"/>
  <c r="E67" i="165"/>
  <c r="E67" i="212" s="1"/>
  <c r="H83" i="167"/>
  <c r="J67" i="165"/>
  <c r="J67" i="212" s="1"/>
  <c r="I83" i="167"/>
  <c r="J238" i="165"/>
  <c r="J238" i="212" s="1"/>
  <c r="P381" i="165"/>
  <c r="P381" i="212" s="1"/>
  <c r="J228" i="165"/>
  <c r="J228" i="212" s="1"/>
  <c r="O224" i="165"/>
  <c r="O224" i="212" s="1"/>
  <c r="J120" i="165"/>
  <c r="J120" i="212" s="1"/>
  <c r="H114" i="167"/>
  <c r="I34" i="167"/>
  <c r="L34" i="167" s="1"/>
  <c r="I33" i="167"/>
  <c r="L33" i="167" s="1"/>
  <c r="E17" i="165"/>
  <c r="E17" i="212" s="1"/>
  <c r="J64" i="165"/>
  <c r="J64" i="212" s="1"/>
  <c r="E75" i="170"/>
  <c r="K15" i="165"/>
  <c r="K429" i="165"/>
  <c r="F47" i="165"/>
  <c r="H47" i="165"/>
  <c r="H429" i="165"/>
  <c r="H442" i="165" s="1"/>
  <c r="G47" i="165"/>
  <c r="N429" i="165"/>
  <c r="N440" i="165" s="1"/>
  <c r="M329" i="167"/>
  <c r="J316" i="167"/>
  <c r="M317" i="167"/>
  <c r="P41" i="165"/>
  <c r="P41" i="212" s="1"/>
  <c r="I199" i="167"/>
  <c r="I185" i="167"/>
  <c r="G185" i="167" s="1"/>
  <c r="I120" i="167"/>
  <c r="P240" i="165"/>
  <c r="P240" i="212" s="1"/>
  <c r="G144" i="167"/>
  <c r="P229" i="165"/>
  <c r="P229" i="212" s="1"/>
  <c r="P114" i="165"/>
  <c r="P114" i="212" s="1"/>
  <c r="P53" i="165"/>
  <c r="P53" i="212" s="1"/>
  <c r="H122" i="167"/>
  <c r="I42" i="167"/>
  <c r="F198" i="165"/>
  <c r="P209" i="165"/>
  <c r="P209" i="212" s="1"/>
  <c r="I205" i="167"/>
  <c r="G205" i="167" s="1"/>
  <c r="P121" i="165"/>
  <c r="P121" i="212" s="1"/>
  <c r="P205" i="165"/>
  <c r="P205" i="212" s="1"/>
  <c r="P230" i="165"/>
  <c r="P230" i="212" s="1"/>
  <c r="P241" i="165"/>
  <c r="P241" i="212" s="1"/>
  <c r="P62" i="165"/>
  <c r="P62" i="212" s="1"/>
  <c r="P204" i="165"/>
  <c r="P204" i="212" s="1"/>
  <c r="J60" i="165"/>
  <c r="J60" i="212" s="1"/>
  <c r="L338" i="167"/>
  <c r="G142" i="167"/>
  <c r="P414" i="165"/>
  <c r="P414" i="212" s="1"/>
  <c r="H42" i="167"/>
  <c r="G329" i="167"/>
  <c r="P117" i="165"/>
  <c r="P117" i="212" s="1"/>
  <c r="P232" i="165"/>
  <c r="P232" i="212" s="1"/>
  <c r="P428" i="165"/>
  <c r="P225" i="165"/>
  <c r="P225" i="212" s="1"/>
  <c r="P208" i="165"/>
  <c r="P208" i="212" s="1"/>
  <c r="P21" i="165"/>
  <c r="P21" i="212" s="1"/>
  <c r="J201" i="165"/>
  <c r="J201" i="212" s="1"/>
  <c r="H199" i="167"/>
  <c r="G113" i="167"/>
  <c r="H352" i="167"/>
  <c r="K352" i="167" s="1"/>
  <c r="P223" i="165"/>
  <c r="P223" i="212" s="1"/>
  <c r="P66" i="165"/>
  <c r="P66" i="212" s="1"/>
  <c r="G206" i="167"/>
  <c r="P65" i="165"/>
  <c r="P65" i="212" s="1"/>
  <c r="P119" i="165"/>
  <c r="P119" i="212" s="1"/>
  <c r="H120" i="167"/>
  <c r="P44" i="165"/>
  <c r="P44" i="212" s="1"/>
  <c r="K338" i="167"/>
  <c r="H43" i="167"/>
  <c r="K43" i="167" s="1"/>
  <c r="P31" i="165"/>
  <c r="P31" i="212" s="1"/>
  <c r="P244" i="165"/>
  <c r="P244" i="212" s="1"/>
  <c r="H210" i="167"/>
  <c r="P91" i="165"/>
  <c r="P91" i="212" s="1"/>
  <c r="I211" i="167"/>
  <c r="G211" i="167" s="1"/>
  <c r="H204" i="167"/>
  <c r="H177" i="167"/>
  <c r="P382" i="165"/>
  <c r="P382" i="212" s="1"/>
  <c r="I188" i="167"/>
  <c r="G188" i="167" s="1"/>
  <c r="P113" i="165"/>
  <c r="P113" i="212" s="1"/>
  <c r="I99" i="167"/>
  <c r="G99" i="167" s="1"/>
  <c r="P68" i="165"/>
  <c r="P68" i="212" s="1"/>
  <c r="J176" i="167"/>
  <c r="M176" i="167" s="1"/>
  <c r="I121" i="167"/>
  <c r="G121" i="167" s="1"/>
  <c r="P108" i="165"/>
  <c r="P108" i="212" s="1"/>
  <c r="M440" i="165"/>
  <c r="G159" i="167"/>
  <c r="I208" i="167"/>
  <c r="J392" i="165"/>
  <c r="J52" i="165"/>
  <c r="J52" i="212" s="1"/>
  <c r="G160" i="167"/>
  <c r="G149" i="167"/>
  <c r="H30" i="167"/>
  <c r="J27" i="165"/>
  <c r="J27" i="212" s="1"/>
  <c r="G143" i="167"/>
  <c r="I210" i="167"/>
  <c r="G297" i="167"/>
  <c r="G141" i="167"/>
  <c r="I122" i="167"/>
  <c r="I119" i="167"/>
  <c r="G146" i="167"/>
  <c r="H119" i="167"/>
  <c r="H213" i="167"/>
  <c r="J226" i="165"/>
  <c r="J226" i="212" s="1"/>
  <c r="P122" i="165"/>
  <c r="P122" i="212" s="1"/>
  <c r="P239" i="165"/>
  <c r="P239" i="212" s="1"/>
  <c r="J58" i="167"/>
  <c r="P203" i="165"/>
  <c r="P203" i="212" s="1"/>
  <c r="I203" i="167"/>
  <c r="G203" i="167" s="1"/>
  <c r="J18" i="165"/>
  <c r="J18" i="212" s="1"/>
  <c r="I190" i="167"/>
  <c r="G190" i="167" s="1"/>
  <c r="I204" i="167"/>
  <c r="J135" i="165"/>
  <c r="I128" i="167" s="1"/>
  <c r="I213" i="167"/>
  <c r="I212" i="167"/>
  <c r="G212" i="167" s="1"/>
  <c r="G156" i="167"/>
  <c r="G147" i="167"/>
  <c r="I43" i="167"/>
  <c r="L43" i="167" s="1"/>
  <c r="G140" i="167"/>
  <c r="H345" i="167"/>
  <c r="K345" i="167" s="1"/>
  <c r="J132" i="167"/>
  <c r="M132" i="167" s="1"/>
  <c r="K137" i="165"/>
  <c r="K219" i="165"/>
  <c r="P422" i="165"/>
  <c r="P422" i="212" s="1"/>
  <c r="O344" i="165"/>
  <c r="J345" i="165"/>
  <c r="K47" i="165"/>
  <c r="J197" i="167"/>
  <c r="P385" i="165"/>
  <c r="P385" i="212" s="1"/>
  <c r="J111" i="165"/>
  <c r="J111" i="212" s="1"/>
  <c r="L15" i="165"/>
  <c r="O402" i="165"/>
  <c r="J403" i="165"/>
  <c r="H208" i="167"/>
  <c r="P235" i="165"/>
  <c r="P235" i="212" s="1"/>
  <c r="F15" i="165"/>
  <c r="K105" i="165"/>
  <c r="P50" i="165"/>
  <c r="P50" i="212" s="1"/>
  <c r="E198" i="212" l="1"/>
  <c r="O198" i="212"/>
  <c r="J199" i="212"/>
  <c r="J198" i="212" s="1"/>
  <c r="O47" i="212"/>
  <c r="J48" i="212"/>
  <c r="J47" i="212" s="1"/>
  <c r="E49" i="165"/>
  <c r="E49" i="212" s="1"/>
  <c r="E48" i="212" s="1"/>
  <c r="I73" i="167"/>
  <c r="L73" i="167" s="1"/>
  <c r="J110" i="165"/>
  <c r="J110" i="212" s="1"/>
  <c r="E110" i="165"/>
  <c r="E110" i="212" s="1"/>
  <c r="E106" i="212" s="1"/>
  <c r="E105" i="212" s="1"/>
  <c r="H107" i="167"/>
  <c r="G122" i="167"/>
  <c r="E42" i="165"/>
  <c r="E42" i="212" s="1"/>
  <c r="J42" i="165"/>
  <c r="J42" i="212" s="1"/>
  <c r="H16" i="167"/>
  <c r="H59" i="167"/>
  <c r="P29" i="165"/>
  <c r="P29" i="212" s="1"/>
  <c r="I111" i="167"/>
  <c r="I107" i="167" s="1"/>
  <c r="E380" i="165"/>
  <c r="E380" i="212" s="1"/>
  <c r="P107" i="165"/>
  <c r="P107" i="212" s="1"/>
  <c r="P90" i="165"/>
  <c r="P90" i="212" s="1"/>
  <c r="I178" i="167"/>
  <c r="I177" i="167" s="1"/>
  <c r="E227" i="165"/>
  <c r="E227" i="212" s="1"/>
  <c r="J380" i="165"/>
  <c r="J380" i="212" s="1"/>
  <c r="J227" i="165"/>
  <c r="J227" i="212" s="1"/>
  <c r="G76" i="167"/>
  <c r="G60" i="167"/>
  <c r="I63" i="167"/>
  <c r="L63" i="167" s="1"/>
  <c r="G128" i="167"/>
  <c r="H198" i="167"/>
  <c r="H197" i="167" s="1"/>
  <c r="O48" i="165"/>
  <c r="E199" i="165"/>
  <c r="L42" i="167"/>
  <c r="O412" i="165"/>
  <c r="J353" i="165"/>
  <c r="J36" i="165"/>
  <c r="J36" i="212" s="1"/>
  <c r="J419" i="165"/>
  <c r="J419" i="212" s="1"/>
  <c r="J412" i="212" s="1"/>
  <c r="J411" i="212" s="1"/>
  <c r="O127" i="165"/>
  <c r="O127" i="212" s="1"/>
  <c r="O106" i="212" s="1"/>
  <c r="O105" i="212" s="1"/>
  <c r="H440" i="165"/>
  <c r="O25" i="165"/>
  <c r="O25" i="212" s="1"/>
  <c r="O16" i="212" s="1"/>
  <c r="J26" i="165"/>
  <c r="J26" i="212" s="1"/>
  <c r="J51" i="165"/>
  <c r="E221" i="165"/>
  <c r="E221" i="212" s="1"/>
  <c r="O377" i="165"/>
  <c r="O377" i="212" s="1"/>
  <c r="O373" i="212" s="1"/>
  <c r="P345" i="165"/>
  <c r="Q345" i="165" s="1"/>
  <c r="G67" i="167"/>
  <c r="E25" i="165"/>
  <c r="E25" i="212" s="1"/>
  <c r="J202" i="165"/>
  <c r="J202" i="212" s="1"/>
  <c r="P61" i="165"/>
  <c r="P61" i="212" s="1"/>
  <c r="P233" i="165"/>
  <c r="P233" i="212" s="1"/>
  <c r="I202" i="167"/>
  <c r="G202" i="167" s="1"/>
  <c r="P243" i="165"/>
  <c r="P243" i="212" s="1"/>
  <c r="P207" i="165"/>
  <c r="P207" i="212" s="1"/>
  <c r="P231" i="165"/>
  <c r="P231" i="212" s="1"/>
  <c r="P413" i="165"/>
  <c r="P413" i="212" s="1"/>
  <c r="P40" i="165"/>
  <c r="P40" i="212" s="1"/>
  <c r="P116" i="165"/>
  <c r="P116" i="212" s="1"/>
  <c r="J242" i="165"/>
  <c r="J242" i="212" s="1"/>
  <c r="O199" i="165"/>
  <c r="J17" i="165"/>
  <c r="J17" i="212" s="1"/>
  <c r="P118" i="165"/>
  <c r="P118" i="212" s="1"/>
  <c r="P222" i="165"/>
  <c r="P222" i="212" s="1"/>
  <c r="P427" i="165"/>
  <c r="P421" i="165"/>
  <c r="P421" i="212" s="1"/>
  <c r="J426" i="165"/>
  <c r="E242" i="165"/>
  <c r="E242" i="212" s="1"/>
  <c r="P384" i="165"/>
  <c r="P384" i="212" s="1"/>
  <c r="K42" i="167"/>
  <c r="G42" i="167"/>
  <c r="P64" i="165"/>
  <c r="P64" i="212" s="1"/>
  <c r="P67" i="165"/>
  <c r="P67" i="212" s="1"/>
  <c r="G83" i="167"/>
  <c r="K81" i="167"/>
  <c r="G81" i="167"/>
  <c r="K30" i="167"/>
  <c r="P238" i="165"/>
  <c r="P238" i="212" s="1"/>
  <c r="P228" i="165"/>
  <c r="P228" i="212" s="1"/>
  <c r="O221" i="165"/>
  <c r="O221" i="212" s="1"/>
  <c r="O220" i="212" s="1"/>
  <c r="J224" i="165"/>
  <c r="J224" i="212" s="1"/>
  <c r="J200" i="165"/>
  <c r="J200" i="212" s="1"/>
  <c r="P120" i="165"/>
  <c r="P120" i="212" s="1"/>
  <c r="P43" i="165"/>
  <c r="P43" i="212" s="1"/>
  <c r="G33" i="167"/>
  <c r="J106" i="167"/>
  <c r="M106" i="167" s="1"/>
  <c r="H289" i="167"/>
  <c r="H176" i="167"/>
  <c r="G199" i="167"/>
  <c r="J15" i="167"/>
  <c r="G120" i="167"/>
  <c r="I300" i="167"/>
  <c r="G300" i="167" s="1"/>
  <c r="P60" i="165"/>
  <c r="P60" i="212" s="1"/>
  <c r="I295" i="167"/>
  <c r="P52" i="165"/>
  <c r="P52" i="212" s="1"/>
  <c r="G114" i="167"/>
  <c r="G316" i="167"/>
  <c r="G34" i="167"/>
  <c r="P201" i="165"/>
  <c r="P201" i="212" s="1"/>
  <c r="G154" i="167"/>
  <c r="G43" i="167"/>
  <c r="F110" i="170" s="1"/>
  <c r="G119" i="167"/>
  <c r="G155" i="167"/>
  <c r="G210" i="167"/>
  <c r="G204" i="167"/>
  <c r="M58" i="167"/>
  <c r="P18" i="165"/>
  <c r="P18" i="212" s="1"/>
  <c r="G162" i="167"/>
  <c r="G208" i="167"/>
  <c r="G213" i="167"/>
  <c r="I352" i="167"/>
  <c r="L352" i="167" s="1"/>
  <c r="I310" i="167"/>
  <c r="L310" i="167" s="1"/>
  <c r="G312" i="167"/>
  <c r="G311" i="167" s="1"/>
  <c r="P27" i="165"/>
  <c r="P27" i="212" s="1"/>
  <c r="L440" i="165"/>
  <c r="I345" i="167"/>
  <c r="L345" i="167" s="1"/>
  <c r="G352" i="167"/>
  <c r="P226" i="165"/>
  <c r="P226" i="212" s="1"/>
  <c r="I301" i="167"/>
  <c r="G301" i="167" s="1"/>
  <c r="G170" i="167"/>
  <c r="I30" i="167"/>
  <c r="I16" i="167" s="1"/>
  <c r="P135" i="165"/>
  <c r="I306" i="167"/>
  <c r="G306" i="167" s="1"/>
  <c r="G440" i="165"/>
  <c r="G345" i="167"/>
  <c r="P111" i="165"/>
  <c r="P111" i="212" s="1"/>
  <c r="J344" i="165"/>
  <c r="E137" i="165"/>
  <c r="O137" i="165"/>
  <c r="J138" i="165"/>
  <c r="H316" i="167"/>
  <c r="E353" i="165"/>
  <c r="E392" i="165"/>
  <c r="J402" i="165"/>
  <c r="P403" i="165"/>
  <c r="Q403" i="165" s="1"/>
  <c r="H132" i="167"/>
  <c r="K132" i="167" s="1"/>
  <c r="E16" i="212" l="1"/>
  <c r="E15" i="212" s="1"/>
  <c r="O15" i="212"/>
  <c r="O429" i="212"/>
  <c r="J16" i="212"/>
  <c r="O219" i="212"/>
  <c r="J220" i="212"/>
  <c r="J219" i="212" s="1"/>
  <c r="J49" i="165"/>
  <c r="J49" i="212" s="1"/>
  <c r="J51" i="212"/>
  <c r="P199" i="212"/>
  <c r="O372" i="212"/>
  <c r="J373" i="212"/>
  <c r="J372" i="212" s="1"/>
  <c r="E220" i="212"/>
  <c r="E47" i="212"/>
  <c r="P48" i="212"/>
  <c r="D111" i="170"/>
  <c r="D112" i="170"/>
  <c r="E112" i="170" s="1"/>
  <c r="O16" i="165"/>
  <c r="J16" i="165" s="1"/>
  <c r="E16" i="165"/>
  <c r="P110" i="165"/>
  <c r="P110" i="212" s="1"/>
  <c r="P42" i="165"/>
  <c r="P42" i="212" s="1"/>
  <c r="I290" i="167"/>
  <c r="L290" i="167" s="1"/>
  <c r="G73" i="167"/>
  <c r="P227" i="165"/>
  <c r="P227" i="212" s="1"/>
  <c r="O373" i="165"/>
  <c r="O372" i="165" s="1"/>
  <c r="E48" i="165"/>
  <c r="O198" i="165"/>
  <c r="E198" i="165"/>
  <c r="E106" i="165"/>
  <c r="J48" i="165"/>
  <c r="J47" i="165" s="1"/>
  <c r="O106" i="165"/>
  <c r="J412" i="165"/>
  <c r="J411" i="165" s="1"/>
  <c r="P36" i="165"/>
  <c r="P36" i="212" s="1"/>
  <c r="J377" i="165"/>
  <c r="J377" i="212" s="1"/>
  <c r="G111" i="167"/>
  <c r="G107" i="167" s="1"/>
  <c r="O220" i="165"/>
  <c r="O219" i="165" s="1"/>
  <c r="E220" i="165"/>
  <c r="E219" i="165" s="1"/>
  <c r="J127" i="165"/>
  <c r="J127" i="212" s="1"/>
  <c r="J106" i="212" s="1"/>
  <c r="J105" i="212" s="1"/>
  <c r="J137" i="165"/>
  <c r="P138" i="165"/>
  <c r="Q138" i="165" s="1"/>
  <c r="I59" i="167"/>
  <c r="I58" i="167" s="1"/>
  <c r="O47" i="165"/>
  <c r="P51" i="165"/>
  <c r="P51" i="212" s="1"/>
  <c r="P26" i="165"/>
  <c r="P26" i="212" s="1"/>
  <c r="E377" i="165"/>
  <c r="E377" i="212" s="1"/>
  <c r="E373" i="212" s="1"/>
  <c r="P202" i="165"/>
  <c r="P202" i="212" s="1"/>
  <c r="G36" i="108"/>
  <c r="G63" i="167"/>
  <c r="K176" i="167"/>
  <c r="J199" i="165"/>
  <c r="P380" i="165"/>
  <c r="P380" i="212" s="1"/>
  <c r="P17" i="165"/>
  <c r="P17" i="212" s="1"/>
  <c r="J25" i="165"/>
  <c r="J25" i="212" s="1"/>
  <c r="J221" i="165"/>
  <c r="J221" i="212" s="1"/>
  <c r="P200" i="165"/>
  <c r="P200" i="212" s="1"/>
  <c r="P426" i="165"/>
  <c r="P224" i="165"/>
  <c r="P224" i="212" s="1"/>
  <c r="O411" i="165"/>
  <c r="P242" i="165"/>
  <c r="P242" i="212" s="1"/>
  <c r="H58" i="167"/>
  <c r="G178" i="167"/>
  <c r="G177" i="167" s="1"/>
  <c r="H106" i="167"/>
  <c r="G310" i="167"/>
  <c r="G295" i="167"/>
  <c r="G290" i="167" s="1"/>
  <c r="H15" i="167"/>
  <c r="I316" i="167"/>
  <c r="L30" i="167"/>
  <c r="J300" i="167"/>
  <c r="I176" i="167"/>
  <c r="G30" i="167"/>
  <c r="G16" i="167" s="1"/>
  <c r="I132" i="167"/>
  <c r="L132" i="167" s="1"/>
  <c r="G139" i="167"/>
  <c r="G133" i="167" s="1"/>
  <c r="J301" i="167"/>
  <c r="P392" i="165"/>
  <c r="P402" i="165"/>
  <c r="P344" i="165"/>
  <c r="P353" i="165"/>
  <c r="E219" i="212" l="1"/>
  <c r="P220" i="212"/>
  <c r="J15" i="212"/>
  <c r="J429" i="212"/>
  <c r="Q199" i="212"/>
  <c r="P198" i="212"/>
  <c r="O438" i="212"/>
  <c r="O435" i="212"/>
  <c r="P16" i="212"/>
  <c r="E372" i="212"/>
  <c r="P373" i="212"/>
  <c r="Q48" i="212"/>
  <c r="P47" i="212"/>
  <c r="P49" i="165"/>
  <c r="P49" i="212" s="1"/>
  <c r="E110" i="170"/>
  <c r="G59" i="167"/>
  <c r="G58" i="167" s="1"/>
  <c r="P16" i="165"/>
  <c r="Q16" i="165" s="1"/>
  <c r="K15" i="167"/>
  <c r="O429" i="165"/>
  <c r="K106" i="167"/>
  <c r="J290" i="167"/>
  <c r="M290" i="167" s="1"/>
  <c r="L58" i="167"/>
  <c r="L15" i="167"/>
  <c r="J373" i="165"/>
  <c r="J372" i="165" s="1"/>
  <c r="L329" i="167" s="1"/>
  <c r="E373" i="165"/>
  <c r="E372" i="165" s="1"/>
  <c r="K329" i="167" s="1"/>
  <c r="E105" i="165"/>
  <c r="P48" i="165"/>
  <c r="Q48" i="165" s="1"/>
  <c r="P199" i="165"/>
  <c r="Q199" i="165" s="1"/>
  <c r="J106" i="165"/>
  <c r="P127" i="165"/>
  <c r="P127" i="212" s="1"/>
  <c r="P106" i="212" s="1"/>
  <c r="O15" i="165"/>
  <c r="P377" i="165"/>
  <c r="P377" i="212" s="1"/>
  <c r="K58" i="167"/>
  <c r="J198" i="165"/>
  <c r="L176" i="167"/>
  <c r="E47" i="165"/>
  <c r="J220" i="165"/>
  <c r="P220" i="165" s="1"/>
  <c r="Q220" i="165" s="1"/>
  <c r="E15" i="165"/>
  <c r="P221" i="165"/>
  <c r="P221" i="212" s="1"/>
  <c r="P25" i="165"/>
  <c r="P25" i="212" s="1"/>
  <c r="O105" i="165"/>
  <c r="G176" i="167"/>
  <c r="I106" i="167"/>
  <c r="G106" i="167"/>
  <c r="G15" i="167"/>
  <c r="I289" i="167"/>
  <c r="G132" i="167"/>
  <c r="I15" i="167"/>
  <c r="P137" i="165"/>
  <c r="P105" i="212" l="1"/>
  <c r="Q106" i="212"/>
  <c r="Q373" i="212"/>
  <c r="P372" i="212"/>
  <c r="P219" i="212"/>
  <c r="Q220" i="212"/>
  <c r="P15" i="212"/>
  <c r="Q16" i="212"/>
  <c r="J438" i="212"/>
  <c r="J435" i="212"/>
  <c r="L106" i="167"/>
  <c r="J364" i="167"/>
  <c r="N357" i="167" s="1"/>
  <c r="J15" i="165"/>
  <c r="P198" i="165"/>
  <c r="P373" i="165"/>
  <c r="Q373" i="165" s="1"/>
  <c r="P47" i="165"/>
  <c r="P106" i="165"/>
  <c r="Q106" i="165" s="1"/>
  <c r="J219" i="165"/>
  <c r="P219" i="165"/>
  <c r="J105" i="165"/>
  <c r="J429" i="165"/>
  <c r="G289" i="167"/>
  <c r="J289" i="167"/>
  <c r="L364" i="167" l="1"/>
  <c r="P15" i="165"/>
  <c r="P372" i="165"/>
  <c r="P105" i="165"/>
  <c r="I217" i="167" l="1"/>
  <c r="I198" i="167" s="1"/>
  <c r="I364" i="167" s="1"/>
  <c r="M357" i="167" s="1"/>
  <c r="G217" i="167" l="1"/>
  <c r="G198" i="167" l="1"/>
  <c r="I197" i="167"/>
  <c r="G197"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43" i="165" l="1"/>
  <c r="O16" i="107"/>
  <c r="O15" i="107" s="1"/>
  <c r="O14" i="107" s="1"/>
  <c r="L197" i="167"/>
  <c r="M197" i="167"/>
  <c r="O13" i="107"/>
  <c r="O12" i="107" s="1"/>
  <c r="O29" i="107" s="1"/>
  <c r="Q17" i="107"/>
  <c r="O443" i="165" l="1"/>
  <c r="J441" i="165"/>
  <c r="K440" i="165"/>
  <c r="N18" i="107"/>
  <c r="J440" i="165" l="1"/>
  <c r="O440" i="165"/>
  <c r="J443" i="165"/>
  <c r="N16" i="107"/>
  <c r="N15" i="107" s="1"/>
  <c r="N14" i="107" s="1"/>
  <c r="N13" i="107"/>
  <c r="N12" i="107" s="1"/>
  <c r="N29" i="107" s="1"/>
  <c r="F12" i="107"/>
  <c r="K197" i="167" l="1"/>
  <c r="F29" i="107"/>
  <c r="D24" i="108"/>
  <c r="E36" i="108" l="1"/>
  <c r="I142" i="108" s="1"/>
  <c r="E24" i="108"/>
  <c r="E431" i="165"/>
  <c r="M18" i="107"/>
  <c r="Q18" i="107" s="1"/>
  <c r="M13" i="107" l="1"/>
  <c r="M12" i="107" s="1"/>
  <c r="M29" i="107" s="1"/>
  <c r="M16" i="107"/>
  <c r="M15" i="107" s="1"/>
  <c r="M14" i="107" s="1"/>
  <c r="Q16" i="107"/>
  <c r="Q15" i="107" s="1"/>
  <c r="Q14" i="107" s="1"/>
  <c r="Q13" i="107" l="1"/>
  <c r="Q12" i="107" s="1"/>
  <c r="Q29" i="107" s="1"/>
  <c r="P431" i="165" s="1"/>
  <c r="Q431" i="165" l="1"/>
  <c r="R29" i="107"/>
  <c r="E420" i="165"/>
  <c r="E420" i="212" s="1"/>
  <c r="H362" i="167" l="1"/>
  <c r="G362" i="167" s="1"/>
  <c r="G359" i="167" s="1"/>
  <c r="G364" i="167" s="1"/>
  <c r="K357" i="167" s="1"/>
  <c r="E419" i="165"/>
  <c r="E419" i="212" s="1"/>
  <c r="E412" i="212" s="1"/>
  <c r="P420" i="165"/>
  <c r="P420" i="212" s="1"/>
  <c r="F411" i="165"/>
  <c r="E411" i="212" l="1"/>
  <c r="E429" i="212"/>
  <c r="H359" i="167"/>
  <c r="H358" i="167" s="1"/>
  <c r="G358" i="167"/>
  <c r="E412" i="165"/>
  <c r="P419" i="165"/>
  <c r="P419" i="212" s="1"/>
  <c r="P412" i="212" s="1"/>
  <c r="F438" i="212" l="1"/>
  <c r="E435" i="212"/>
  <c r="F436" i="212"/>
  <c r="E438" i="212"/>
  <c r="E436" i="212"/>
  <c r="P411" i="212"/>
  <c r="Q412" i="212"/>
  <c r="P429" i="212"/>
  <c r="H364" i="167"/>
  <c r="L357" i="167" s="1"/>
  <c r="E429" i="165"/>
  <c r="F441" i="165" s="1"/>
  <c r="P412" i="165"/>
  <c r="Q412" i="165" s="1"/>
  <c r="E411" i="165"/>
  <c r="F440" i="165"/>
  <c r="P436" i="212" l="1"/>
  <c r="P435" i="212"/>
  <c r="Q429" i="212"/>
  <c r="D29" i="172"/>
  <c r="E29" i="172" s="1"/>
  <c r="G29" i="172" s="1"/>
  <c r="E443" i="165"/>
  <c r="K364" i="167"/>
  <c r="F443" i="165"/>
  <c r="P411" i="165"/>
  <c r="P429" i="165"/>
  <c r="E440" i="165"/>
  <c r="E441" i="165"/>
  <c r="Q429" i="165" l="1"/>
  <c r="P440" i="165"/>
  <c r="D25" i="172"/>
  <c r="D15" i="172" s="1"/>
  <c r="D34" i="172" s="1"/>
  <c r="P441" i="165"/>
  <c r="D58" i="172"/>
  <c r="D57" i="170"/>
  <c r="E57" i="170" s="1"/>
  <c r="E25" i="172" l="1"/>
  <c r="D54" i="172"/>
  <c r="C29" i="172"/>
  <c r="C25" i="172" s="1"/>
  <c r="F29" i="172"/>
  <c r="F25" i="172" s="1"/>
  <c r="E58" i="172"/>
  <c r="G25" i="172" l="1"/>
  <c r="D48" i="172"/>
  <c r="D59" i="172" s="1"/>
  <c r="C15" i="172"/>
  <c r="C34" i="172" s="1"/>
  <c r="F15" i="172"/>
  <c r="F34" i="172" s="1"/>
  <c r="E15" i="172"/>
  <c r="E54" i="172"/>
  <c r="F58" i="172"/>
  <c r="F54" i="172" s="1"/>
  <c r="C58" i="172"/>
  <c r="C54" i="172" s="1"/>
  <c r="E67" i="170"/>
  <c r="D52" i="170"/>
  <c r="D66" i="170" s="1"/>
  <c r="E34" i="172" l="1"/>
  <c r="G15" i="172"/>
  <c r="E48" i="172"/>
  <c r="E59" i="172" s="1"/>
  <c r="F48" i="172"/>
  <c r="F59" i="172" s="1"/>
  <c r="C48" i="172"/>
  <c r="C59" i="172" s="1"/>
  <c r="D31" i="170"/>
  <c r="E31" i="170" s="1"/>
  <c r="D65" i="170"/>
  <c r="F31" i="170" l="1"/>
  <c r="E65" i="170"/>
  <c r="E66" i="170"/>
  <c r="K104" i="184" l="1"/>
  <c r="I102" i="184"/>
  <c r="I123" i="184" s="1"/>
  <c r="M123" i="184" s="1"/>
  <c r="D82" i="170" l="1"/>
  <c r="E111" i="170" s="1"/>
  <c r="E82" i="170" l="1"/>
</calcChain>
</file>

<file path=xl/sharedStrings.xml><?xml version="1.0" encoding="utf-8"?>
<sst xmlns="http://schemas.openxmlformats.org/spreadsheetml/2006/main" count="7839" uniqueCount="1642">
  <si>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</si>
  <si>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</si>
  <si>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</si>
  <si>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</si>
  <si>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</si>
  <si>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</si>
  <si>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</si>
  <si>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</si>
  <si>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</si>
  <si>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</si>
  <si>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</si>
  <si>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</si>
  <si>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</si>
  <si>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</si>
  <si>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</si>
  <si>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</si>
  <si>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</si>
  <si>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</si>
  <si>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</si>
  <si>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</si>
  <si>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</si>
  <si>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</si>
  <si>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</si>
  <si>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</si>
  <si>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</si>
  <si>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</si>
  <si>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</si>
  <si>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</si>
  <si>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</si>
  <si>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</si>
  <si>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</si>
  <si>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</si>
  <si>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</si>
  <si>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</si>
  <si>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</si>
  <si>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</si>
  <si>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</si>
  <si>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</si>
  <si>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</si>
  <si>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</si>
  <si>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</si>
  <si>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</si>
  <si>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</si>
  <si>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</si>
  <si>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</si>
  <si>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</si>
  <si>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</si>
  <si>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</si>
  <si>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</si>
  <si>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</si>
  <si>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</si>
  <si>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</si>
  <si>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</si>
  <si>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</si>
  <si>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</si>
  <si>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</si>
  <si>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</si>
  <si>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</si>
  <si>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</si>
  <si>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</si>
  <si>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</si>
  <si>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</si>
  <si>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</si>
  <si>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</si>
  <si>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</si>
  <si>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</si>
  <si>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</si>
  <si>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</si>
  <si>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</si>
  <si>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</si>
  <si>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</si>
  <si>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</si>
  <si>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</si>
  <si>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</si>
  <si>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</si>
  <si>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</si>
  <si>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</si>
  <si>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</si>
  <si>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</si>
  <si>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</si>
  <si>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</si>
  <si>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</si>
  <si>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</si>
  <si>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</si>
  <si>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</si>
  <si>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</si>
  <si>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</si>
  <si>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</si>
  <si>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</si>
  <si>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</si>
  <si>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</si>
  <si>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</si>
  <si>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</si>
  <si>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</si>
  <si>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</si>
  <si>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</si>
  <si>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</si>
  <si>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</si>
  <si>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</si>
  <si>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</si>
  <si>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</si>
  <si>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</si>
  <si>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</si>
  <si>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</si>
  <si>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</si>
  <si>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</si>
  <si>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</si>
  <si>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</si>
  <si>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</si>
  <si>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</si>
  <si>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</si>
  <si>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</si>
  <si>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</si>
  <si>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</si>
  <si>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</si>
  <si>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</si>
  <si>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</si>
  <si>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</si>
  <si>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</si>
  <si>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</si>
  <si>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</si>
  <si>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</si>
  <si>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</si>
  <si>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</si>
  <si>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</si>
  <si>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</si>
  <si>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</si>
  <si>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</si>
  <si>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</si>
  <si>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</si>
  <si>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</si>
  <si>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</si>
  <si>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</si>
  <si>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</si>
  <si>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</si>
  <si>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</si>
  <si>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</si>
  <si>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</si>
  <si>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</si>
  <si>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</si>
  <si>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</si>
  <si>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</si>
  <si>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</si>
  <si>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</si>
  <si>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</si>
  <si>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</si>
  <si>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</si>
  <si>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</si>
  <si>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</si>
  <si>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</si>
  <si>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</si>
  <si>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</si>
  <si>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</si>
  <si>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</si>
  <si>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</si>
  <si>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</si>
  <si>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</si>
  <si>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</si>
  <si>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</si>
  <si>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</si>
  <si>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</si>
  <si>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</si>
  <si>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</si>
  <si>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</si>
  <si>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</si>
  <si>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</si>
  <si>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</si>
  <si>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</si>
  <si>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</si>
  <si>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</si>
  <si>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</si>
  <si>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</si>
  <si>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</si>
  <si>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</si>
  <si>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</si>
  <si>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</si>
  <si>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</si>
  <si>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</si>
  <si>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</si>
  <si>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</si>
  <si>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</si>
  <si>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</si>
  <si>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</si>
  <si>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</si>
  <si>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</si>
  <si>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</si>
  <si>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</si>
  <si>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</si>
  <si>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</si>
  <si>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</si>
  <si>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</si>
  <si>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</si>
  <si>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</si>
  <si>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</si>
  <si>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</si>
  <si>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</si>
  <si>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</si>
  <si>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</si>
  <si>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</si>
  <si>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</si>
  <si>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</si>
  <si>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</si>
  <si>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</si>
  <si>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</si>
  <si>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</si>
  <si>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</si>
  <si>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</si>
  <si>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</si>
  <si>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</si>
  <si>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</si>
  <si>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</si>
  <si>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</si>
  <si>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</si>
  <si>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</si>
  <si>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</si>
  <si>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</si>
  <si>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</si>
  <si>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</si>
  <si>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</si>
  <si>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</si>
  <si>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</si>
  <si>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</si>
  <si>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</si>
  <si>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</si>
  <si>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</si>
  <si>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</si>
  <si>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</si>
  <si>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</si>
  <si>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</si>
  <si>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</si>
  <si>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</si>
  <si>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</si>
  <si>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</si>
  <si>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</si>
  <si>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</si>
  <si>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</si>
  <si>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</si>
  <si>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</si>
  <si>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</si>
  <si>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</si>
  <si>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</si>
  <si>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</si>
  <si>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</si>
  <si>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</si>
  <si>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</si>
  <si>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</si>
  <si>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</si>
  <si>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</si>
  <si>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</si>
  <si>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</si>
  <si>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</si>
  <si>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</si>
  <si>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</si>
  <si>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</si>
  <si>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</si>
  <si>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</si>
  <si>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</si>
  <si>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</si>
  <si>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</si>
  <si>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</si>
  <si>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</si>
  <si>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</si>
  <si>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</si>
  <si>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</si>
  <si>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</si>
  <si>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</si>
  <si>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</si>
  <si>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</si>
  <si>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</si>
  <si>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</si>
  <si>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</si>
  <si>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</si>
  <si>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</si>
  <si>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</si>
  <si>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</si>
  <si>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</si>
  <si>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</si>
  <si>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</si>
  <si>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</si>
  <si>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</si>
  <si>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</si>
  <si>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</si>
  <si>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</si>
  <si>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</si>
  <si>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</si>
  <si>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</si>
  <si>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</si>
  <si>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</si>
  <si>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</si>
  <si>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</si>
  <si>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</si>
  <si>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</si>
  <si>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</si>
  <si>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</si>
  <si>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</si>
  <si>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</si>
  <si>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</si>
  <si>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</si>
  <si>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</si>
  <si>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</si>
  <si>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</si>
  <si>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</si>
  <si>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</si>
  <si>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</si>
  <si>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</si>
  <si>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</si>
  <si>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</si>
  <si>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</si>
  <si>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</si>
  <si>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</si>
  <si>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</si>
  <si>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</si>
  <si>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</si>
  <si>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</si>
  <si>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</si>
  <si>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</si>
  <si>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</si>
  <si>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</si>
  <si>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</si>
  <si>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</si>
  <si>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</si>
  <si>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</si>
  <si>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</si>
  <si>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</si>
  <si>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</si>
  <si>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</si>
  <si>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</si>
  <si>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</si>
  <si>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</si>
  <si>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</si>
  <si>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</si>
  <si>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</si>
  <si>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</si>
  <si>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</si>
  <si>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</si>
  <si>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</si>
  <si>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</si>
  <si>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</si>
  <si>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</si>
  <si>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</si>
  <si>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</si>
  <si>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</si>
  <si>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</si>
  <si>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</si>
  <si>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</si>
  <si>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</si>
  <si>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</si>
  <si>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</si>
  <si>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</si>
  <si>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</si>
  <si>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</si>
  <si>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</si>
  <si>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</si>
  <si>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</si>
  <si>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</si>
  <si>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</si>
  <si>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</si>
  <si>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</si>
  <si>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</si>
  <si>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</si>
  <si>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</si>
  <si>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</si>
  <si>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</si>
  <si>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</si>
  <si>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</si>
  <si>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</si>
  <si>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</si>
  <si>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</si>
  <si>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</si>
  <si>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</si>
  <si>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</si>
  <si>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</si>
  <si>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</si>
  <si>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</si>
  <si>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</si>
  <si>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</si>
  <si>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</si>
  <si>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</si>
  <si>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</si>
  <si>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</si>
  <si>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</si>
  <si>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</si>
  <si>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</si>
  <si>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</si>
  <si>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</si>
  <si>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</si>
  <si>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</si>
  <si>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</si>
  <si>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</si>
  <si>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</si>
  <si>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</si>
  <si>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</si>
  <si>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</si>
  <si>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</si>
  <si>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</si>
  <si>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</si>
  <si>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</si>
  <si>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</si>
  <si>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</si>
  <si>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</si>
  <si>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</si>
  <si>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</si>
  <si>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</si>
  <si>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</si>
  <si>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</si>
  <si>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</si>
  <si>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</si>
  <si>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</si>
  <si>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</si>
  <si>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</si>
  <si>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</si>
  <si>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</si>
  <si>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</si>
  <si>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</si>
  <si>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</si>
  <si>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</si>
  <si>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</si>
  <si>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</si>
  <si>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</si>
  <si>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</si>
  <si>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</si>
  <si>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</si>
  <si>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</si>
  <si>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</si>
  <si>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</si>
  <si>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</si>
  <si>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</si>
  <si>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</si>
  <si>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</si>
  <si>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</si>
  <si>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</si>
  <si>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</si>
  <si>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</si>
  <si>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</si>
  <si>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</si>
  <si>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</si>
  <si>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</si>
  <si>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</si>
  <si>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</si>
  <si>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</si>
  <si>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</si>
  <si>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</si>
  <si>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</si>
  <si>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</si>
  <si>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</si>
  <si>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</si>
  <si>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</si>
  <si>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</si>
  <si>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</si>
  <si>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</si>
  <si>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</si>
  <si>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</si>
  <si>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</si>
  <si>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</si>
  <si>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</si>
  <si>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</si>
  <si>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</si>
  <si>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</si>
  <si>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</si>
  <si>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</si>
  <si>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</si>
  <si>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</si>
  <si>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</si>
  <si>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</si>
  <si>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</si>
  <si>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</si>
  <si>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</si>
  <si>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</si>
  <si>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</si>
  <si>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</si>
  <si>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</si>
  <si>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</si>
  <si>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</si>
  <si>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</si>
  <si>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</si>
  <si>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</si>
  <si>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</si>
  <si>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</si>
  <si>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</si>
  <si>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</si>
  <si>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</si>
  <si>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</si>
  <si>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</si>
  <si>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</si>
  <si>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</si>
  <si>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</si>
  <si>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</si>
  <si>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</si>
  <si>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</si>
  <si>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</si>
  <si>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</si>
  <si>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</si>
  <si>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</si>
  <si>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</si>
  <si>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</si>
  <si>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</si>
  <si>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</si>
  <si>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</si>
  <si>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</si>
  <si>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</si>
  <si>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</si>
  <si>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</si>
  <si>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</si>
  <si>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</si>
  <si>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</si>
  <si>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</si>
  <si>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</si>
  <si>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</si>
  <si>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</si>
  <si>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</si>
  <si>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</si>
  <si>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</si>
  <si>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</si>
  <si>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</si>
  <si>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</si>
  <si>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1517324</t>
  </si>
  <si>
    <t>7324</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</si>
  <si>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</si>
  <si>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</si>
  <si>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</si>
  <si>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</si>
  <si>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</si>
  <si>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</si>
  <si>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</si>
  <si>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</si>
  <si>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</si>
  <si>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</si>
  <si>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</si>
  <si>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</si>
  <si>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</si>
  <si>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</si>
  <si>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</si>
  <si>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</si>
  <si>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</si>
  <si>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</si>
  <si>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</si>
  <si>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</si>
  <si>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</si>
  <si>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</si>
  <si>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</si>
  <si>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</si>
  <si>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</si>
  <si>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</si>
  <si>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</si>
  <si>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</si>
  <si>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</si>
  <si>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</si>
  <si>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</si>
  <si>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</si>
  <si>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</si>
  <si>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</si>
  <si>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</si>
  <si>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</si>
  <si>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</si>
  <si>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</si>
  <si>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</si>
  <si>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</si>
  <si>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</si>
  <si>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</si>
  <si>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</si>
  <si>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</si>
  <si>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</si>
  <si>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</si>
  <si>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</si>
  <si>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</si>
  <si>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</si>
  <si>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</si>
  <si>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</si>
  <si>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</si>
  <si>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</si>
  <si>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</si>
  <si>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</si>
  <si>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</si>
  <si>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</si>
  <si>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</si>
  <si>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</si>
  <si>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</si>
  <si>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</si>
  <si>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</si>
  <si>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</si>
  <si>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</si>
  <si>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</si>
  <si>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</si>
  <si>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</si>
  <si>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Рішення 42-ї сесії Хмельницької міської ради від 17.06.2020 року №39</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</si>
  <si>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</si>
  <si>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</si>
  <si>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</si>
  <si>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</si>
  <si>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</si>
  <si>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</si>
  <si>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</si>
  <si>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</si>
  <si>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</si>
  <si>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</si>
  <si>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</si>
  <si>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</si>
  <si>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</si>
  <si>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</si>
  <si>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</si>
  <si>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</si>
  <si>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</si>
  <si>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</si>
  <si>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</si>
  <si>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</si>
  <si>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</si>
  <si>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</si>
  <si>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</si>
  <si>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</si>
  <si>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</si>
  <si>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</si>
  <si>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</si>
  <si>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</si>
  <si>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</si>
  <si>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</si>
  <si>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</si>
  <si>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</si>
  <si>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</si>
  <si>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</si>
  <si>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</si>
  <si>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</si>
  <si>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</si>
  <si>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</si>
  <si>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</si>
  <si>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</si>
  <si>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</si>
  <si>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</si>
  <si>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</si>
  <si>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</si>
  <si>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</si>
  <si>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</si>
  <si>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</si>
  <si>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</si>
  <si>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</si>
  <si>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</si>
  <si>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</si>
  <si>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</si>
  <si>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</si>
  <si>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</si>
  <si>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</si>
  <si>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</si>
  <si>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</si>
  <si>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</si>
  <si>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</si>
  <si>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</si>
  <si>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</si>
  <si>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</si>
  <si>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</si>
  <si>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</si>
  <si>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</si>
  <si>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</si>
  <si>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</si>
  <si>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</si>
  <si>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</si>
  <si>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</si>
  <si>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</si>
  <si>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</si>
  <si>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</si>
  <si>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</si>
  <si>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</si>
  <si>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</si>
  <si>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</si>
  <si>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</si>
  <si>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</si>
  <si>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</si>
  <si>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</si>
  <si>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</si>
  <si>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</si>
  <si>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</si>
  <si>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</si>
  <si>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</si>
  <si>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</si>
  <si>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</si>
  <si>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</si>
  <si>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</si>
  <si>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</si>
  <si>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</si>
  <si>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</si>
  <si>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</si>
  <si>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</si>
  <si>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</si>
  <si>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</si>
  <si>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</si>
  <si>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</si>
  <si>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</si>
  <si>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</si>
  <si>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</si>
  <si>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</si>
  <si>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</si>
  <si>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</si>
  <si>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</si>
  <si>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</si>
  <si>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</si>
  <si>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</si>
  <si>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</si>
  <si>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</si>
  <si>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Засоби масової інформації</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</si>
  <si>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</si>
  <si>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</si>
  <si>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</si>
  <si>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</si>
  <si>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</si>
  <si>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</si>
  <si>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</si>
  <si>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</si>
  <si>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</si>
  <si>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</si>
  <si>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</si>
  <si>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</si>
  <si>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</si>
  <si>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</si>
  <si>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</si>
  <si>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</si>
  <si>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</si>
  <si>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</si>
  <si>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</si>
  <si>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</si>
  <si>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</si>
  <si>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</si>
  <si>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</si>
  <si>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</si>
  <si>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</si>
  <si>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</si>
  <si>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</si>
  <si>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</si>
  <si>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</si>
  <si>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</si>
  <si>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</si>
  <si>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</si>
  <si>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</si>
  <si>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</si>
  <si>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</si>
  <si>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</si>
  <si>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</si>
  <si>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</si>
  <si>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</si>
  <si>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</si>
  <si>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</si>
  <si>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</si>
  <si>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</si>
  <si>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</si>
  <si>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</si>
  <si>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</si>
  <si>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</si>
  <si>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</si>
  <si>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</si>
  <si>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0717000</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</si>
  <si>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</si>
  <si>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</si>
  <si>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</si>
  <si>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</si>
  <si>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</si>
  <si>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</si>
  <si>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</si>
  <si>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</si>
  <si>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</si>
  <si>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</si>
  <si>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</si>
  <si>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</si>
  <si>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</si>
  <si>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</si>
  <si>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</si>
  <si>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</si>
  <si>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</si>
  <si>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</si>
  <si>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</si>
  <si>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</si>
  <si>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</si>
  <si>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</si>
  <si>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</si>
  <si>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</si>
  <si>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</si>
  <si>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</si>
  <si>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</si>
  <si>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</si>
  <si>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</si>
  <si>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</si>
  <si>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</si>
  <si>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</si>
  <si>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</si>
  <si>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</si>
  <si>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</si>
  <si>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</si>
  <si>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</si>
  <si>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</si>
  <si>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</si>
  <si>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</si>
  <si>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</si>
  <si>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</si>
  <si>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</si>
  <si>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</si>
  <si>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</si>
  <si>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</si>
  <si>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</si>
  <si>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</si>
  <si>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</si>
  <si>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</si>
  <si>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</si>
  <si>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1417300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</si>
  <si>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</si>
  <si>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</si>
  <si>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</si>
  <si>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</si>
  <si>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</si>
  <si>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</si>
  <si>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</si>
  <si>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</si>
  <si>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</si>
  <si>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</si>
  <si>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</si>
  <si>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</si>
  <si>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</si>
  <si>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</si>
  <si>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</si>
  <si>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</si>
  <si>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</si>
  <si>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1517320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</si>
  <si>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</si>
  <si>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</si>
  <si>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</si>
  <si>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</si>
  <si>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</si>
  <si>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</si>
  <si>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</si>
  <si>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</si>
  <si>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</si>
  <si>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</si>
  <si>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</si>
  <si>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</si>
  <si>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</si>
  <si>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</si>
  <si>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</si>
  <si>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</si>
  <si>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</si>
  <si>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</si>
  <si>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</si>
  <si>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</si>
  <si>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</si>
  <si>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</si>
  <si>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</si>
  <si>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</si>
  <si>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</si>
  <si>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</si>
  <si>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</si>
  <si>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</si>
  <si>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</si>
  <si>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</si>
  <si>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</si>
  <si>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</si>
  <si>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</si>
  <si>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</si>
  <si>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</si>
  <si>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</si>
  <si>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</si>
  <si>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</si>
  <si>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</si>
  <si>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</si>
  <si>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</si>
  <si>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</si>
  <si>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</si>
  <si>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</si>
  <si>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</si>
  <si>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</si>
  <si>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</si>
  <si>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</si>
  <si>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</si>
  <si>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</si>
  <si>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</si>
  <si>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</si>
  <si>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</si>
  <si>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</si>
  <si>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</si>
  <si>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</si>
  <si>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</si>
  <si>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</si>
  <si>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</si>
  <si>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</si>
  <si>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</si>
  <si>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</si>
  <si>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</si>
  <si>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</si>
  <si>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</si>
  <si>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</si>
  <si>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</si>
  <si>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</si>
  <si>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</si>
  <si>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</si>
  <si>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</si>
  <si>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</si>
  <si>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</si>
  <si>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</si>
  <si>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</si>
  <si>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</si>
  <si>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</si>
  <si>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</si>
  <si>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</si>
  <si>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</si>
  <si>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</si>
  <si>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</si>
  <si>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</si>
  <si>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</si>
  <si>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</si>
  <si>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</si>
  <si>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</si>
  <si>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</si>
  <si>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</si>
  <si>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</si>
  <si>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</si>
  <si>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</si>
  <si>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</si>
  <si>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</si>
  <si>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</si>
  <si>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</si>
  <si>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</si>
  <si>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</si>
  <si>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</si>
  <si>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</si>
  <si>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</si>
  <si>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0817320</t>
  </si>
  <si>
    <t>0817323</t>
  </si>
  <si>
    <t>7323</t>
  </si>
  <si>
    <t>0817300</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</si>
  <si>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</si>
  <si>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</si>
  <si>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</si>
  <si>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</si>
  <si>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</si>
  <si>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</si>
  <si>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</si>
  <si>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</si>
  <si>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</si>
  <si>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</si>
  <si>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</si>
  <si>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</si>
  <si>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</si>
  <si>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</si>
  <si>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</si>
  <si>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</si>
  <si>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</si>
  <si>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</si>
  <si>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</si>
  <si>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</si>
  <si>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</si>
  <si>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</si>
  <si>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</si>
  <si>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</si>
  <si>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</si>
  <si>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</si>
  <si>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</si>
  <si>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</si>
  <si>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</si>
  <si>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</si>
  <si>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</si>
  <si>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</si>
  <si>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</si>
  <si>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до рішення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</si>
  <si>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</si>
  <si>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</si>
  <si>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</si>
  <si>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</si>
  <si>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</si>
  <si>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</si>
  <si>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</si>
  <si>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</si>
  <si>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</si>
  <si>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</si>
  <si>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</si>
  <si>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</si>
  <si>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</si>
  <si>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</si>
  <si>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</si>
  <si>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</si>
  <si>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</si>
  <si>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</si>
  <si>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</si>
  <si>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</si>
  <si>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</si>
  <si>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</si>
  <si>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</si>
  <si>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</si>
  <si>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</si>
  <si>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</si>
  <si>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</si>
  <si>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</si>
  <si>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</si>
  <si>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</si>
  <si>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</si>
  <si>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</si>
  <si>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</si>
  <si>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</si>
  <si>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</si>
  <si>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</si>
  <si>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</si>
  <si>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</si>
  <si>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</si>
  <si>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</si>
  <si>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</si>
  <si>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</si>
  <si>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</si>
  <si>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</si>
  <si>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</si>
  <si>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</si>
  <si>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</si>
  <si>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</si>
  <si>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0813120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</si>
  <si>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</si>
  <si>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</si>
  <si>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</si>
  <si>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</si>
  <si>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</si>
  <si>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</si>
  <si>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</si>
  <si>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</si>
  <si>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</si>
  <si>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</si>
  <si>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</si>
  <si>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</si>
  <si>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</si>
  <si>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</si>
  <si>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</si>
  <si>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</si>
  <si>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</si>
  <si>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</si>
  <si>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</si>
  <si>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</si>
  <si>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</si>
  <si>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</si>
  <si>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</si>
  <si>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</si>
  <si>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</si>
  <si>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</si>
  <si>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</si>
  <si>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</si>
  <si>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</si>
  <si>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</si>
  <si>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</si>
  <si>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0717300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</si>
  <si>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</si>
  <si>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</si>
  <si>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</si>
  <si>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</si>
  <si>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</si>
  <si>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</si>
  <si>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</si>
  <si>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</si>
  <si>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</si>
  <si>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</si>
  <si>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</si>
  <si>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</si>
  <si>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</si>
  <si>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</si>
  <si>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</si>
  <si>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</si>
  <si>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</si>
  <si>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</si>
  <si>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</si>
  <si>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</si>
  <si>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</si>
  <si>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</si>
  <si>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</si>
  <si>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</si>
  <si>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</si>
  <si>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</si>
  <si>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</si>
  <si>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</si>
  <si>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</si>
  <si>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</si>
  <si>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</si>
  <si>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</si>
  <si>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</si>
  <si>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0617300</t>
  </si>
  <si>
    <t xml:space="preserve">	Економічна діяльність</t>
  </si>
  <si>
    <t>0617000</t>
  </si>
  <si>
    <t>0617320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</si>
  <si>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</si>
  <si>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</si>
  <si>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</si>
  <si>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</si>
  <si>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</si>
  <si>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</si>
  <si>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</si>
  <si>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</si>
  <si>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</si>
  <si>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</si>
  <si>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</si>
  <si>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</si>
  <si>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</si>
  <si>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</si>
  <si>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</si>
  <si>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</si>
  <si>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</si>
  <si>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</si>
  <si>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</si>
  <si>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</si>
  <si>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</si>
  <si>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</si>
  <si>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</si>
  <si>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</si>
  <si>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</si>
  <si>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</si>
  <si>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</si>
  <si>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</si>
  <si>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</si>
  <si>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</si>
  <si>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</si>
  <si>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</si>
  <si>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</si>
  <si>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</si>
  <si>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</si>
  <si>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</si>
  <si>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</si>
  <si>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</si>
  <si>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</si>
  <si>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</si>
  <si>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</si>
  <si>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</si>
  <si>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</si>
  <si>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</si>
  <si>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</si>
  <si>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</si>
  <si>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</si>
  <si>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</si>
  <si>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</si>
  <si>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</si>
  <si>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</si>
  <si>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</si>
  <si>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</si>
  <si>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1217300</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</si>
  <si>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</si>
  <si>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</si>
  <si>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</si>
  <si>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</si>
  <si>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</si>
  <si>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</si>
  <si>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</si>
  <si>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</si>
  <si>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</si>
  <si>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</si>
  <si>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</si>
  <si>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</si>
  <si>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</si>
  <si>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</si>
  <si>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</si>
  <si>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</si>
  <si>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</si>
  <si>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</si>
  <si>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</si>
  <si>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</si>
  <si>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</si>
  <si>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</si>
  <si>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</si>
  <si>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</si>
  <si>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</si>
  <si>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Рішення 10-ї сесії Хмельницької міської ради від 15.12.2021 року №65</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</si>
  <si>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</si>
  <si>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</si>
  <si>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</si>
  <si>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</si>
  <si>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</si>
  <si>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</si>
  <si>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</si>
  <si>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</si>
  <si>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0717320</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</si>
  <si>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</si>
  <si>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</si>
  <si>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</si>
  <si>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</si>
  <si>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</si>
  <si>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</si>
  <si>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</si>
  <si>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</si>
  <si>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</si>
  <si>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</si>
  <si>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</si>
  <si>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</si>
  <si>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</si>
  <si>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</si>
  <si>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</si>
  <si>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</si>
  <si>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</si>
  <si>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</si>
  <si>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</si>
  <si>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</si>
  <si>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</si>
  <si>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</si>
  <si>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</si>
  <si>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</si>
  <si>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</si>
  <si>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</si>
  <si>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</si>
  <si>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</si>
  <si>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</si>
  <si>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</si>
  <si>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</si>
  <si>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</si>
  <si>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</si>
  <si>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</si>
  <si>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</si>
  <si>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</si>
  <si>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</si>
  <si>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</si>
  <si>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</si>
  <si>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</si>
  <si>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</si>
  <si>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</si>
  <si>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</si>
  <si>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</si>
  <si>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</si>
  <si>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</si>
  <si>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</si>
  <si>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</si>
  <si>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</si>
  <si>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</si>
  <si>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</si>
  <si>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</si>
  <si>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</si>
  <si>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</si>
  <si>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</si>
  <si>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</si>
  <si>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</si>
  <si>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</si>
  <si>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</si>
  <si>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</si>
  <si>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Вільний залишок коштів на 01.01.2023  року:</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</si>
  <si>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</si>
  <si>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</si>
  <si>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</si>
  <si>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</si>
  <si>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</si>
  <si>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</si>
  <si>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</si>
  <si>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</si>
  <si>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</si>
  <si>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</si>
  <si>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</si>
  <si>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</si>
  <si>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</si>
  <si>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</si>
  <si>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</si>
  <si>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</si>
  <si>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</si>
  <si>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</si>
  <si>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</si>
  <si>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</si>
  <si>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Програма співфінансування робіт з ремонту багатоквартирних житлових будинків Хмельницької міської територіальної громади на 2020 - 2024 роки (із змінами)</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</si>
  <si>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</si>
  <si>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</si>
  <si>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</si>
  <si>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</si>
  <si>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</si>
  <si>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</si>
  <si>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</si>
  <si>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</si>
  <si>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</si>
  <si>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</si>
  <si>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</si>
  <si>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</si>
  <si>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</si>
  <si>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</si>
  <si>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</si>
  <si>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</si>
  <si>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</si>
  <si>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</si>
  <si>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</si>
  <si>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</si>
  <si>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</si>
  <si>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</si>
  <si>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2023 - 2024 роки</t>
  </si>
  <si>
    <t>Рішення 22-ї сесії Хмельницької міської ради від 21.12.2022 року №44</t>
  </si>
  <si>
    <t>Штрафні санкції, що застосовуються відповідно до Закону України "Про державне ругулювання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 та пального "</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</si>
  <si>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</si>
  <si>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</si>
  <si>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</si>
  <si>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</si>
  <si>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</si>
  <si>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</si>
  <si>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</si>
  <si>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</si>
  <si>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</si>
  <si>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</si>
  <si>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</si>
  <si>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r>
      <t>Будівництво</t>
    </r>
    <r>
      <rPr>
        <b/>
        <vertAlign val="superscript"/>
        <sz val="11"/>
        <rFont val="Times New Roman"/>
        <family val="1"/>
        <charset val="204"/>
      </rPr>
      <t>1</t>
    </r>
    <r>
      <rPr>
        <sz val="11"/>
        <rFont val="Times New Roman"/>
        <family val="1"/>
        <charset val="204"/>
      </rPr>
      <t>  освітніх установ та закладів</t>
    </r>
  </si>
  <si>
    <t>2020-2023 роки</t>
  </si>
  <si>
    <t>2717640</t>
  </si>
  <si>
    <t>Рішення 46-ї сесії Хмельницької міської ради від 07.10.2020 року №3</t>
  </si>
  <si>
    <t>2718000</t>
  </si>
  <si>
    <t>2718200</t>
  </si>
  <si>
    <t>2718240</t>
  </si>
  <si>
    <t>2713000</t>
  </si>
  <si>
    <t>2713230</t>
  </si>
  <si>
    <t>0817640</t>
  </si>
  <si>
    <t>Рішення 24-ї сесії Хмельницької міської ради від 10.02.2023 року №5</t>
  </si>
  <si>
    <t>Рішення 24-ї сесії Хмельницької міської ради від 10.02.2023 року №4</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</si>
  <si>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</si>
  <si>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</si>
  <si>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</si>
  <si>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</si>
  <si>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</si>
  <si>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</si>
  <si>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</si>
  <si>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Реконструкція ділянки каналізаційної мережі від ж.б. №3 та №3/1 по вул.Січових стрільців з переходом даної вулиці в м.Хмельницькому</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</si>
  <si>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</si>
  <si>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</si>
  <si>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</si>
  <si>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</si>
  <si>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</si>
  <si>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</si>
  <si>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</si>
  <si>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</si>
  <si>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</si>
  <si>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</si>
  <si>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</si>
  <si>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</si>
  <si>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</si>
  <si>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</si>
  <si>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</si>
  <si>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</si>
  <si>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</si>
  <si>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</si>
  <si>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</si>
  <si>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</si>
  <si>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</si>
  <si>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</si>
  <si>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</si>
  <si>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2023-2024 роки (із змінами)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</si>
  <si>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</si>
  <si>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</si>
  <si>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</si>
  <si>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</si>
  <si>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</si>
  <si>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</si>
  <si>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</si>
  <si>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</si>
  <si>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</si>
  <si>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</si>
  <si>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</si>
  <si>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</si>
  <si>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</si>
  <si>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</si>
  <si>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</si>
  <si>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</si>
  <si>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міськсвітла - СФ і БР 6007800,00 грн</t>
  </si>
  <si>
    <t>Включено в загальну суму: Програма ритуалки - СФ і БР 1888 075,00 грн</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</si>
  <si>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</si>
  <si>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</si>
  <si>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</si>
  <si>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</si>
  <si>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</si>
  <si>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</si>
  <si>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</si>
  <si>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</si>
  <si>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</si>
  <si>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</si>
  <si>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</si>
  <si>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</si>
  <si>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</si>
  <si>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</si>
  <si>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</si>
  <si>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</si>
  <si>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</si>
  <si>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</si>
  <si>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</si>
  <si>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національно-патріотичного виховання мешканців Хмельницької міської територіальної громади на 2023-2024 роки (із змінами)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</si>
  <si>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</si>
  <si>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</si>
  <si>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</si>
  <si>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</si>
  <si>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</si>
  <si>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</si>
  <si>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</si>
  <si>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</si>
  <si>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</si>
  <si>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</si>
  <si>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</si>
  <si>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</si>
  <si>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</si>
  <si>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</si>
  <si>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</si>
  <si>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</si>
  <si>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</si>
  <si>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</si>
  <si>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</si>
  <si>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</si>
  <si>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</si>
  <si>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</si>
  <si>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</si>
  <si>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</si>
  <si>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</si>
  <si>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</si>
  <si>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</si>
  <si>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</si>
  <si>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</si>
  <si>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</si>
  <si>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</si>
  <si>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</si>
  <si>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</si>
  <si>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</si>
  <si>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Реконструкція каналізаційної мережі по вул. С. Бандери,22 в м. Хмельницький</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</si>
  <si>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</si>
  <si>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</si>
  <si>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</si>
  <si>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</si>
  <si>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</si>
  <si>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</si>
  <si>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</si>
  <si>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</si>
  <si>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</si>
  <si>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</si>
  <si>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</si>
  <si>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</si>
  <si>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</si>
  <si>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</si>
  <si>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</si>
  <si>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</si>
  <si>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</si>
  <si>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t>
  </si>
  <si>
    <t>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</si>
  <si>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</si>
  <si>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</si>
  <si>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</si>
  <si>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</si>
  <si>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</si>
  <si>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</si>
  <si>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</si>
  <si>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</si>
  <si>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</si>
  <si>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</si>
  <si>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</si>
  <si>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</si>
  <si>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</si>
  <si>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</si>
  <si>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</si>
  <si>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</si>
  <si>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</si>
  <si>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</si>
  <si>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</si>
  <si>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</si>
  <si>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</si>
  <si>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</si>
  <si>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</si>
  <si>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</si>
  <si>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</si>
  <si>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</si>
  <si>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</si>
  <si>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</si>
  <si>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</si>
  <si>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</si>
  <si>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</si>
  <si>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Програма сприяння розвитку волонтерства на території Хмельницької міської територіальної громади на 2023-2027 роки</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</si>
  <si>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</si>
  <si>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</si>
  <si>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</si>
  <si>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</si>
  <si>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</si>
  <si>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</si>
  <si>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</si>
  <si>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</si>
  <si>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</si>
  <si>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Керуючий справами </t>
  </si>
  <si>
    <t>Юлія САБІЙ</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</si>
  <si>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</si>
  <si>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</si>
  <si>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</si>
  <si>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</si>
  <si>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</si>
  <si>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</si>
  <si>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</si>
  <si>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</si>
  <si>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</si>
  <si>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</si>
  <si>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</si>
  <si>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</si>
  <si>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</si>
  <si>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видатків бюджету Хмельницької міської територіальної громади на 2024 рік</t>
  </si>
  <si>
    <t>програм у 2024 році</t>
  </si>
  <si>
    <t>1218100</t>
  </si>
  <si>
    <t>1218110</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</si>
  <si>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</si>
  <si>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2020 - 2024 роки</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</si>
  <si>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</si>
  <si>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</si>
  <si>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</si>
  <si>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</si>
  <si>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r>
      <t>Будівництво</t>
    </r>
    <r>
      <rPr>
        <b/>
        <i/>
        <vertAlign val="superscript"/>
        <sz val="36"/>
        <rFont val="Times New Roman"/>
        <family val="1"/>
        <charset val="204"/>
      </rPr>
      <t>1</t>
    </r>
    <r>
      <rPr>
        <i/>
        <sz val="36"/>
        <rFont val="Times New Roman"/>
        <family val="1"/>
        <charset val="204"/>
      </rPr>
      <t>  об'єктів соціально-культурного призначення</t>
    </r>
  </si>
  <si>
    <r>
      <t>Будівництво</t>
    </r>
    <r>
      <rPr>
        <b/>
        <vertAlign val="superscript"/>
        <sz val="36"/>
        <rFont val="Times New Roman"/>
        <family val="1"/>
        <charset val="204"/>
      </rPr>
      <t>1</t>
    </r>
    <r>
      <rPr>
        <sz val="36"/>
        <rFont val="Times New Roman"/>
        <family val="1"/>
        <charset val="204"/>
      </rPr>
      <t>  установ та закладів культури</t>
    </r>
  </si>
  <si>
    <r>
      <t>Будівництво</t>
    </r>
    <r>
      <rPr>
        <b/>
        <vertAlign val="superscript"/>
        <sz val="36"/>
        <rFont val="Times New Roman"/>
        <family val="1"/>
        <charset val="204"/>
      </rPr>
      <t>1</t>
    </r>
    <r>
      <rPr>
        <sz val="36"/>
        <rFont val="Times New Roman"/>
        <family val="1"/>
        <charset val="204"/>
      </rPr>
      <t>  споруд, установ та закладів фізичної культури і спорту</t>
    </r>
  </si>
  <si>
    <t>Хмельницької міської територіальної громади у 2024 році</t>
  </si>
  <si>
    <t>Заходи з озеленення</t>
  </si>
  <si>
    <t>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t>
  </si>
  <si>
    <t>Наукові дослідження, проектні та проектно-конструкторські розроблення, в тому числі моніторингові дослідження</t>
  </si>
  <si>
    <t>Ліквідація стихійних сміттєзвалищ</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</si>
  <si>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</si>
  <si>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</si>
  <si>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t>бюджету Хмельницької міської територіальної громади у 2024 році</t>
  </si>
  <si>
    <t>бюджету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</si>
  <si>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</si>
  <si>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</si>
  <si>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</si>
  <si>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у 2024 році</t>
  </si>
  <si>
    <r>
      <t>Будівництво</t>
    </r>
    <r>
      <rPr>
        <b/>
        <vertAlign val="superscript"/>
        <sz val="36"/>
        <rFont val="Times New Roman"/>
        <family val="1"/>
        <charset val="204"/>
      </rPr>
      <t>1</t>
    </r>
    <r>
      <rPr>
        <sz val="36"/>
        <rFont val="Times New Roman"/>
        <family val="1"/>
        <charset val="204"/>
      </rPr>
      <t>  об'єктів соціально-культурного призначення</t>
    </r>
  </si>
  <si>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</si>
  <si>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</si>
  <si>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фінансової підтримки комунальної установи Хмельницької міської ради "Агенція розвитку Хмельницького" на 2022-2024 роки (із змінами)</t>
  </si>
  <si>
    <t>МІЖБЮДЖЕТНІ ТРАНСФЕРТИ НА 2024 РІК</t>
  </si>
  <si>
    <t>на 2024 рік</t>
  </si>
  <si>
    <r>
      <t>Будівництво</t>
    </r>
    <r>
      <rPr>
        <b/>
        <vertAlign val="superscript"/>
        <sz val="36"/>
        <rFont val="Times New Roman"/>
        <family val="1"/>
        <charset val="204"/>
      </rPr>
      <t>1</t>
    </r>
    <r>
      <rPr>
        <sz val="36"/>
        <rFont val="Times New Roman"/>
        <family val="1"/>
        <charset val="204"/>
      </rPr>
      <t>  медичних установ та закладів</t>
    </r>
  </si>
  <si>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</si>
  <si>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бюджету Хмельницької міської територіальної громади  на 2024 рік</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</si>
  <si>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</si>
  <si>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</si>
  <si>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</si>
  <si>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</si>
  <si>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</si>
  <si>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</si>
  <si>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</si>
  <si>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</si>
  <si>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</si>
  <si>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</si>
  <si>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</si>
  <si>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Програма підготовки мешканців Хмельницької міської територіальної  громади до національного спротиву на 2024-2025 роки</t>
  </si>
  <si>
    <t>Рішення 36-ї сесії Хмельницької міської ради від 21.12.2023 року №4</t>
  </si>
  <si>
    <t>Програма підтримки та розвитку міського комунального підприємства «Муніципальна телерадіокомпанія «Місто» на 2024-2028 роки</t>
  </si>
  <si>
    <t>Рішення 36-ї сесії Хмельницької міської ради від 21.12.2023 року №81</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</si>
  <si>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</si>
  <si>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</si>
  <si>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</si>
  <si>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</si>
  <si>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Виконання заходів щодо облаштування безпечних умов у закладах, що надають загальну середню освіту</t>
  </si>
  <si>
    <t>Співфінансування заходів, що реалізуються за рахунок субвенції з державного бюджету місцевим бюджетам на облаштування безпечних умов у закладах, що надають загальну середню освіту</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</si>
  <si>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</si>
  <si>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</si>
  <si>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</si>
  <si>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Обсяг капітальних вкладень бюджету Хмельницької міської територіальної громади у 2024 році, гривень</t>
  </si>
  <si>
    <t>Очікуваний рівень готовності проекту на кінець 2024 року, %</t>
  </si>
  <si>
    <t xml:space="preserve">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</si>
  <si>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</si>
  <si>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r>
      <t>Будівництво</t>
    </r>
    <r>
      <rPr>
        <b/>
        <vertAlign val="superscript"/>
        <sz val="11"/>
        <rFont val="Times New Roman"/>
        <family val="1"/>
        <charset val="204"/>
      </rPr>
      <t>1</t>
    </r>
    <r>
      <rPr>
        <sz val="11"/>
        <rFont val="Times New Roman"/>
        <family val="1"/>
        <charset val="204"/>
      </rPr>
      <t>  медичних установ та закладів</t>
    </r>
  </si>
  <si>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</si>
  <si>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</si>
  <si>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</si>
  <si>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</si>
  <si>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</si>
  <si>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</si>
  <si>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</si>
  <si>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</si>
  <si>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</si>
  <si>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</si>
  <si>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</si>
  <si>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</si>
  <si>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</si>
  <si>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</si>
  <si>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</si>
  <si>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</si>
  <si>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</si>
  <si>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</si>
  <si>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</si>
  <si>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</si>
  <si>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</si>
  <si>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</si>
  <si>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</si>
  <si>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</si>
  <si>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</si>
  <si>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</si>
  <si>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</si>
  <si>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</si>
  <si>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</si>
  <si>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</si>
  <si>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</si>
  <si>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</si>
  <si>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</si>
  <si>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</si>
  <si>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</si>
  <si>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Нове будівництво водогону в с. Велика Калинівка Хмельницього району Хмельницької області (коригування)</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</si>
  <si>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</si>
  <si>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</si>
  <si>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</si>
  <si>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</si>
  <si>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</si>
  <si>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</si>
  <si>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Реставрація Хмельницького міського будинку культури по вул.Проскурівській, 43
в м. Хмельницькому</t>
  </si>
  <si>
    <r>
      <t>Будівництво</t>
    </r>
    <r>
      <rPr>
        <b/>
        <vertAlign val="superscript"/>
        <sz val="11"/>
        <rFont val="Times New Roman"/>
        <family val="1"/>
        <charset val="204"/>
      </rPr>
      <t>1</t>
    </r>
    <r>
      <rPr>
        <sz val="11"/>
        <rFont val="Times New Roman"/>
        <family val="1"/>
        <charset val="204"/>
      </rPr>
      <t>  установ та закладів культури</t>
    </r>
  </si>
  <si>
    <t>Програма розвитку електротранспорту Хмельницької міської територіальної громади на 2021 - 2025 роки (із змінами)</t>
  </si>
  <si>
    <t>Наукові дослідження, проектні та проектно-конструкторські розроблення, в тому числі виготовлення проектів землеустрою щодо відведення земельних ділянок під парки, сквери, зелені зони, території природно-заповідного фонду</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</si>
  <si>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</si>
  <si>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</si>
  <si>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</si>
  <si>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</si>
  <si>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</si>
  <si>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</si>
  <si>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</si>
  <si>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Заходи щодо відновлення і підтримання сприятливого гідрологічного режиму та санітарного стану водойм (виготовлення проектів землеустрою щодо встановлення меж прибережних захисних смуг поверхневих водних об’єктів)</t>
  </si>
  <si>
    <t>Біологічна меліорація водойм</t>
  </si>
  <si>
    <t>0213000</t>
  </si>
  <si>
    <t>0213240</t>
  </si>
  <si>
    <t>0213241</t>
  </si>
  <si>
    <t xml:space="preserve">  </t>
  </si>
  <si>
    <t>Програма заходів національного спротиву Хмельницької міської територіальної громади на 2024 рік (із змінами)</t>
  </si>
  <si>
    <t>Рішення 41-ї сесії Хмельницької міської ради від 14.06.2024 року №7</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</si>
  <si>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</si>
  <si>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</si>
  <si>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</si>
  <si>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 xml:space="preserve">Реконструкція існуючих газових мереж з заміною ВОГ теплогенераторної Іванковецького ліцею Хмельницької міської ради за адресою: вул. Шкільна, 2, с. Іванківці, Хмельницький район </t>
  </si>
  <si>
    <t>Програма грантової підтримки інноваційних проєктів для підвищення обороноздатності України на 2024 - 2025 роки (із змінами)</t>
  </si>
  <si>
    <t>Нове будівництво зовнішніх мереж електропостачання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</si>
  <si>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</si>
  <si>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Програма підтримки ОСББ Хмельницької міської територіальної громади на 2023 – 2026 роки (із змінами)</t>
  </si>
  <si>
    <t>2019 - 2025 роки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</si>
  <si>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 (коригування)</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</si>
  <si>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</si>
  <si>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</si>
  <si>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</si>
  <si>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</si>
  <si>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</si>
  <si>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РІЗНИЦЯ</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</si>
  <si>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</si>
  <si>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</si>
  <si>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</si>
  <si>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</si>
  <si>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</si>
  <si>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</si>
  <si>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</si>
  <si>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</si>
  <si>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</si>
  <si>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</si>
  <si>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</si>
  <si>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</si>
  <si>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до рішення №  
 від                      2024 року</t>
  </si>
  <si>
    <t xml:space="preserve">до рішення  №             від                    2024 року </t>
  </si>
  <si>
    <t>Додаток 4
до рішення  №               від                      2024 року</t>
  </si>
  <si>
    <t>до рішення №          
від                             2024 року</t>
  </si>
  <si>
    <t xml:space="preserve">до рішення  №           від                 2024 року </t>
  </si>
  <si>
    <t>від                      2024 року</t>
  </si>
  <si>
    <t xml:space="preserve"> від          .2024 року</t>
  </si>
  <si>
    <t xml:space="preserve">  до рішення №  </t>
  </si>
  <si>
    <t xml:space="preserve">Додаток 6
до рішення №         від                          2024 року
</t>
  </si>
  <si>
    <t>від                       2024 року</t>
  </si>
  <si>
    <t>64,8тис - рубільник по виконкому для ЦНАПу, який не входить в програми;
50,0 тис грн - УПСЗН капремонт тепломережі;
29,0 тис грн - УПСЗН ПКД на водопост ачання в штаб</t>
  </si>
  <si>
    <t>2024 - 2025 роки</t>
  </si>
  <si>
    <t>Реконструкція будівлі лікувально-оздоровчого комплексу «Г-2» під спальний корпус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t>
  </si>
  <si>
    <t>2023 - 2025 роки</t>
  </si>
  <si>
    <t>2021 - 2025 роки</t>
  </si>
  <si>
    <t>Нове 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(коригування)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</si>
</sst>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_-;_-* &quot;-&quot;??_₴_-;_-@_-"/>
    <numFmt numFmtId="166" formatCode="#,##0.0"/>
    <numFmt numFmtId="167" formatCode="0.0"/>
    <numFmt numFmtId="168" formatCode="#,##0.00000"/>
    <numFmt numFmtId="169" formatCode="_-* #,##0.00_₴_-;\-* #,##0.00_₴_-;_-* \-??_₴_-;_-@_-"/>
  </numFmts>
  <fonts count="203"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i/>
      <sz val="36"/>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b/>
      <vertAlign val="superscript"/>
      <sz val="11"/>
      <name val="Times New Roman"/>
      <family val="1"/>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sz val="16"/>
      <color rgb="FFFF0000"/>
      <name val="Times New Roman"/>
      <family val="1"/>
      <charset val="204"/>
    </font>
    <font>
      <b/>
      <i/>
      <sz val="12.5"/>
      <color rgb="FFFF0000"/>
      <name val="Times New Roman"/>
      <family val="1"/>
      <charset val="204"/>
    </font>
    <font>
      <b/>
      <vertAlign val="superscript"/>
      <sz val="36"/>
      <name val="Times New Roman"/>
      <family val="1"/>
      <charset val="204"/>
    </font>
    <font>
      <b/>
      <i/>
      <vertAlign val="superscript"/>
      <sz val="36"/>
      <name val="Times New Roman"/>
      <family val="1"/>
      <charset val="204"/>
    </font>
    <font>
      <b/>
      <sz val="12"/>
      <name val="Times New Roman"/>
      <family val="1"/>
      <charset val="204"/>
    </font>
    <font>
      <sz val="10"/>
      <name val="Times New Roman CYR"/>
      <charset val="204"/>
    </font>
    <font>
      <sz val="8"/>
      <name val="Times New Roman"/>
      <family val="1"/>
      <charset val="204"/>
    </font>
    <font>
      <b/>
      <sz val="10"/>
      <name val="Times New Roman CYR"/>
      <charset val="204"/>
    </font>
    <font>
      <i/>
      <sz val="11"/>
      <name val="Times New Roman"/>
      <family val="1"/>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sz val="12.5"/>
      <name val="Times New Roman"/>
      <family val="1"/>
      <charset val="204"/>
    </font>
    <font>
      <b/>
      <i/>
      <sz val="12.5"/>
      <name val="Times New Roman"/>
      <family val="1"/>
      <charset val="204"/>
    </font>
    <font>
      <sz val="34"/>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sz val="31.5"/>
      <name val="Times New Roman"/>
      <family val="1"/>
      <charset val="204"/>
    </font>
    <font>
      <sz val="11"/>
      <name val="Times New Roman Cyr"/>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sz val="10"/>
      <color theme="1"/>
      <name val="Times New Roman"/>
      <family val="1"/>
      <charset val="204"/>
    </font>
    <font>
      <b/>
      <sz val="10"/>
      <color theme="1"/>
      <name val="Times New Roman"/>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
      <sz val="31"/>
      <name val="Times New Roman"/>
      <family val="1"/>
      <charset val="204"/>
    </font>
  </fonts>
  <fills count="52">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gradientFill degree="90">
        <stop position="0">
          <color rgb="FF00FFCC"/>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gradientFill degree="90">
        <stop position="0">
          <color theme="0"/>
        </stop>
        <stop position="0.5">
          <color rgb="FFCCFF99"/>
        </stop>
        <stop position="1">
          <color theme="0"/>
        </stop>
      </gradientFill>
    </fill>
    <fill>
      <gradientFill degree="90">
        <stop position="0">
          <color theme="0"/>
        </stop>
        <stop position="0.5">
          <color theme="9" tint="0.59999389629810485"/>
        </stop>
        <stop position="1">
          <color theme="0"/>
        </stop>
      </gradientFill>
    </fill>
    <fill>
      <patternFill patternType="solid">
        <fgColor theme="3" tint="0.39997558519241921"/>
        <bgColor indexed="64"/>
      </patternFill>
    </fill>
    <fill>
      <patternFill patternType="solid">
        <fgColor theme="9" tint="-0.249977111117893"/>
        <bgColor indexed="64"/>
      </patternFill>
    </fill>
    <fill>
      <gradientFill type="path" left="0.5" right="0.5" top="0.5" bottom="0.5">
        <stop position="0">
          <color theme="0"/>
        </stop>
        <stop position="1">
          <color theme="7" tint="0.80001220740379042"/>
        </stop>
      </gradientFill>
    </fill>
    <fill>
      <patternFill patternType="solid">
        <fgColor rgb="FF00FFCC"/>
        <bgColor indexed="64"/>
      </patternFill>
    </fill>
    <fill>
      <gradientFill type="path" left="0.5" right="0.5" top="0.5" bottom="0.5">
        <stop position="0">
          <color theme="0"/>
        </stop>
        <stop position="1">
          <color rgb="FFCCFF99"/>
        </stop>
      </gradientFill>
    </fill>
    <fill>
      <gradientFill degree="90">
        <stop position="0">
          <color theme="0"/>
        </stop>
        <stop position="0.5">
          <color rgb="FFCCECFF"/>
        </stop>
        <stop position="1">
          <color theme="0"/>
        </stop>
      </gradientFill>
    </fill>
    <fill>
      <gradientFill type="path" left="0.5" right="0.5" top="0.5" bottom="0.5">
        <stop position="0">
          <color theme="0"/>
        </stop>
        <stop position="1">
          <color rgb="FFCCECFF"/>
        </stop>
      </gradientFill>
    </fill>
    <fill>
      <patternFill patternType="solid">
        <fgColor rgb="FFFFFF00"/>
        <bgColor indexed="64"/>
      </patternFill>
    </fill>
    <fill>
      <patternFill patternType="solid">
        <fgColor theme="8" tint="0.79998168889431442"/>
        <bgColor indexed="64"/>
      </patternFill>
    </fill>
    <fill>
      <gradientFill type="path" left="0.5" right="0.5" top="0.5" bottom="0.5">
        <stop position="0">
          <color theme="0"/>
        </stop>
        <stop position="1">
          <color theme="8" tint="0.80001220740379042"/>
        </stop>
      </gradientFill>
    </fill>
  </fills>
  <borders count="28">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5"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9"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14">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8"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6" fontId="104" fillId="28" borderId="0" xfId="0" applyNumberFormat="1" applyFont="1" applyFill="1" applyAlignment="1">
      <alignment horizontal="right" vertical="center" wrapText="1"/>
    </xf>
    <xf numFmtId="166" fontId="10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28"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49" fontId="114" fillId="36" borderId="15" xfId="0" applyNumberFormat="1" applyFont="1" applyFill="1" applyBorder="1" applyAlignment="1">
      <alignment horizontal="center" vertical="center" wrapText="1"/>
    </xf>
    <xf numFmtId="0" fontId="114" fillId="36" borderId="15" xfId="38" applyFont="1" applyFill="1" applyBorder="1" applyAlignment="1" applyProtection="1">
      <alignment horizontal="center" vertical="center" wrapText="1"/>
      <protection locked="0"/>
    </xf>
    <xf numFmtId="4" fontId="114" fillId="36" borderId="15" xfId="0" applyNumberFormat="1" applyFont="1" applyFill="1" applyBorder="1" applyAlignment="1">
      <alignment horizontal="center" vertical="center" wrapText="1"/>
    </xf>
    <xf numFmtId="0" fontId="121" fillId="0" borderId="0" xfId="35" applyFont="1"/>
    <xf numFmtId="49" fontId="110" fillId="35" borderId="15" xfId="0" applyNumberFormat="1" applyFont="1" applyFill="1" applyBorder="1" applyAlignment="1">
      <alignment horizontal="center" vertical="center" wrapText="1"/>
    </xf>
    <xf numFmtId="0" fontId="110" fillId="35" borderId="15" xfId="38" applyFont="1" applyFill="1" applyBorder="1" applyAlignment="1" applyProtection="1">
      <alignment horizontal="center" vertical="center" wrapText="1"/>
      <protection locked="0"/>
    </xf>
    <xf numFmtId="4" fontId="110" fillId="35" borderId="15" xfId="0" applyNumberFormat="1" applyFont="1" applyFill="1" applyBorder="1" applyAlignment="1">
      <alignment horizontal="center" vertical="center" wrapText="1"/>
    </xf>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6"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9" fontId="114" fillId="36" borderId="15" xfId="0" applyNumberFormat="1" applyFont="1" applyFill="1" applyBorder="1" applyAlignment="1">
      <alignment horizontal="center" vertical="center" wrapText="1"/>
    </xf>
    <xf numFmtId="9" fontId="110" fillId="35"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6" fontId="67" fillId="0" borderId="15" xfId="30" applyNumberFormat="1" applyFont="1" applyBorder="1" applyAlignment="1">
      <alignment horizontal="center" vertical="center" wrapText="1"/>
    </xf>
    <xf numFmtId="166"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6"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6"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6" fontId="64" fillId="28" borderId="0" xfId="30" applyNumberFormat="1" applyFont="1" applyFill="1" applyAlignment="1">
      <alignment horizontal="center" vertical="center" wrapText="1"/>
    </xf>
    <xf numFmtId="166"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7"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49" fontId="69"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6"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8" fillId="0" borderId="0" xfId="0" applyFont="1" applyAlignment="1">
      <alignment horizontal="center" vertical="center" wrapText="1"/>
    </xf>
    <xf numFmtId="4" fontId="86"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150"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49" fontId="149" fillId="0" borderId="15" xfId="0" applyNumberFormat="1"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49" fillId="0" borderId="15" xfId="18" applyFont="1" applyBorder="1" applyAlignment="1">
      <alignment horizontal="center" vertical="center" wrapText="1"/>
    </xf>
    <xf numFmtId="166" fontId="149" fillId="0" borderId="15" xfId="30" applyNumberFormat="1" applyFont="1" applyBorder="1" applyAlignment="1">
      <alignment horizontal="center" vertical="center"/>
    </xf>
    <xf numFmtId="4" fontId="149" fillId="0" borderId="15" xfId="30" applyNumberFormat="1" applyFont="1" applyBorder="1" applyAlignment="1">
      <alignment horizontal="center" vertical="center"/>
    </xf>
    <xf numFmtId="0" fontId="12" fillId="0" borderId="0" xfId="35"/>
    <xf numFmtId="4" fontId="149" fillId="0" borderId="15" xfId="0" applyNumberFormat="1" applyFont="1" applyBorder="1" applyAlignment="1">
      <alignment horizontal="center" vertical="center" wrapText="1"/>
    </xf>
    <xf numFmtId="9" fontId="149"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149" fillId="0" borderId="0" xfId="39" applyFont="1"/>
    <xf numFmtId="0" fontId="154" fillId="0" borderId="0" xfId="0" applyFont="1"/>
    <xf numFmtId="0" fontId="149" fillId="0" borderId="0" xfId="0" applyFont="1" applyAlignment="1">
      <alignment horizontal="left" vertical="center"/>
    </xf>
    <xf numFmtId="0" fontId="29" fillId="0" borderId="15" xfId="38" applyFont="1" applyFill="1" applyBorder="1" applyAlignment="1" applyProtection="1">
      <alignment horizontal="center" vertical="center" wrapText="1"/>
      <protection locked="0"/>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6"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0" fontId="69" fillId="0" borderId="17" xfId="38" applyFont="1" applyFill="1" applyBorder="1" applyAlignment="1" applyProtection="1">
      <alignment horizontal="center" vertical="center" wrapText="1"/>
      <protection locked="0"/>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9"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91" fillId="0" borderId="0" xfId="0" applyFont="1" applyAlignment="1">
      <alignment horizontal="justify" vertical="center"/>
    </xf>
    <xf numFmtId="0" fontId="160"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left" vertical="center" wrapText="1"/>
    </xf>
    <xf numFmtId="4" fontId="113" fillId="0" borderId="24" xfId="0" applyNumberFormat="1" applyFont="1" applyBorder="1" applyAlignment="1">
      <alignment horizontal="center" vertical="center" wrapText="1"/>
    </xf>
    <xf numFmtId="0" fontId="112" fillId="28" borderId="24" xfId="0" applyFont="1" applyFill="1" applyBorder="1" applyAlignment="1">
      <alignment horizontal="center" vertical="center" wrapText="1"/>
    </xf>
    <xf numFmtId="0" fontId="112" fillId="28" borderId="24" xfId="0" applyFont="1" applyFill="1" applyBorder="1" applyAlignment="1">
      <alignment horizontal="left" vertical="center" wrapText="1"/>
    </xf>
    <xf numFmtId="4" fontId="112" fillId="28" borderId="24" xfId="0" applyNumberFormat="1" applyFont="1" applyFill="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8" borderId="15" xfId="0" applyNumberFormat="1" applyFont="1" applyFill="1" applyBorder="1" applyAlignment="1">
      <alignment horizontal="center" vertical="center" wrapText="1"/>
    </xf>
    <xf numFmtId="0" fontId="114" fillId="38" borderId="15" xfId="38" applyFont="1" applyFill="1" applyBorder="1" applyAlignment="1" applyProtection="1">
      <alignment horizontal="center" vertical="center" wrapText="1"/>
      <protection locked="0"/>
    </xf>
    <xf numFmtId="4" fontId="114" fillId="38" borderId="15" xfId="0" applyNumberFormat="1" applyFont="1" applyFill="1" applyBorder="1" applyAlignment="1">
      <alignment horizontal="center" vertical="center" wrapText="1"/>
    </xf>
    <xf numFmtId="4" fontId="114" fillId="38" borderId="15" xfId="38" applyNumberFormat="1" applyFont="1" applyFill="1" applyBorder="1" applyAlignment="1" applyProtection="1">
      <alignment horizontal="center" vertical="center" wrapText="1"/>
      <protection locked="0"/>
    </xf>
    <xf numFmtId="49" fontId="110" fillId="39" borderId="15" xfId="0" applyNumberFormat="1" applyFont="1" applyFill="1" applyBorder="1" applyAlignment="1">
      <alignment horizontal="center" vertical="center" wrapText="1"/>
    </xf>
    <xf numFmtId="0" fontId="110" fillId="39" borderId="15" xfId="38" applyFont="1" applyFill="1" applyBorder="1" applyAlignment="1" applyProtection="1">
      <alignment horizontal="center" vertical="center" wrapText="1"/>
      <protection locked="0"/>
    </xf>
    <xf numFmtId="4" fontId="110" fillId="39" borderId="15" xfId="38" applyNumberFormat="1" applyFont="1" applyFill="1" applyBorder="1" applyAlignment="1" applyProtection="1">
      <alignment horizontal="center" vertical="center" wrapText="1"/>
      <protection locked="0"/>
    </xf>
    <xf numFmtId="4" fontId="110" fillId="39"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8" fillId="0" borderId="15" xfId="0" applyNumberFormat="1" applyFont="1" applyBorder="1" applyAlignment="1">
      <alignment horizontal="center" vertical="center" wrapText="1"/>
    </xf>
    <xf numFmtId="0" fontId="158" fillId="0" borderId="15" xfId="38" applyFont="1" applyFill="1" applyBorder="1" applyAlignment="1" applyProtection="1">
      <alignment horizontal="center" vertical="center" wrapText="1"/>
      <protection locked="0"/>
    </xf>
    <xf numFmtId="4" fontId="158"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8"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42"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6" fontId="64" fillId="0" borderId="16" xfId="30" applyNumberFormat="1" applyFont="1" applyBorder="1" applyAlignment="1">
      <alignment horizontal="center" vertical="center" wrapText="1"/>
    </xf>
    <xf numFmtId="166" fontId="64" fillId="43" borderId="15" xfId="30"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62"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7"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30" fillId="0" borderId="16" xfId="38" applyNumberFormat="1" applyFont="1" applyFill="1" applyBorder="1" applyAlignment="1">
      <alignment horizontal="center" vertical="center" wrapText="1"/>
    </xf>
    <xf numFmtId="166" fontId="30" fillId="0" borderId="16" xfId="3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30" fillId="0" borderId="15" xfId="38"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top" wrapText="1"/>
      <protection locked="0"/>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49" fontId="30" fillId="28" borderId="0" xfId="0" applyNumberFormat="1" applyFont="1" applyFill="1" applyAlignment="1">
      <alignment horizontal="center" vertical="center" wrapText="1"/>
    </xf>
    <xf numFmtId="0" fontId="12" fillId="0" borderId="0" xfId="0" applyFont="1"/>
    <xf numFmtId="0" fontId="165"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4" fontId="16" fillId="37" borderId="15" xfId="0" applyNumberFormat="1" applyFont="1" applyFill="1" applyBorder="1" applyAlignment="1">
      <alignment horizontal="center" vertical="center"/>
    </xf>
    <xf numFmtId="0" fontId="165" fillId="0" borderId="15" xfId="0" applyFont="1" applyBorder="1" applyAlignment="1">
      <alignment horizontal="center" vertical="top" wrapText="1"/>
    </xf>
    <xf numFmtId="0" fontId="165" fillId="0" borderId="15" xfId="35" applyFont="1" applyBorder="1" applyAlignment="1">
      <alignment horizontal="center" vertical="top" wrapText="1"/>
    </xf>
    <xf numFmtId="0" fontId="165"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5" fillId="0" borderId="0" xfId="0" applyFont="1" applyAlignment="1">
      <alignment horizontal="center" vertical="center"/>
    </xf>
    <xf numFmtId="4" fontId="165"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98" fillId="28" borderId="0" xfId="0" applyNumberFormat="1" applyFont="1" applyFill="1" applyAlignment="1">
      <alignment horizontal="center" vertical="center" wrapText="1"/>
    </xf>
    <xf numFmtId="0" fontId="166" fillId="0" borderId="0" xfId="35" applyFont="1"/>
    <xf numFmtId="0" fontId="167" fillId="0" borderId="0" xfId="35" applyFont="1" applyAlignment="1">
      <alignment horizontal="center" vertical="center" wrapText="1"/>
    </xf>
    <xf numFmtId="0" fontId="12" fillId="0" borderId="0" xfId="0" applyFont="1" applyAlignment="1">
      <alignment horizontal="center" vertical="center"/>
    </xf>
    <xf numFmtId="0" fontId="166" fillId="0" borderId="0" xfId="35" applyFont="1" applyAlignment="1">
      <alignment horizontal="center"/>
    </xf>
    <xf numFmtId="0" fontId="167"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68"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49" fontId="153" fillId="0" borderId="15" xfId="0" applyNumberFormat="1" applyFont="1" applyBorder="1" applyAlignment="1">
      <alignment horizontal="center" vertical="center" wrapText="1"/>
    </xf>
    <xf numFmtId="0" fontId="153" fillId="0" borderId="15" xfId="38" applyFont="1" applyFill="1" applyBorder="1" applyAlignment="1" applyProtection="1">
      <alignment horizontal="center" vertical="center" wrapText="1"/>
      <protection locked="0"/>
    </xf>
    <xf numFmtId="4" fontId="153" fillId="0" borderId="15" xfId="0" applyNumberFormat="1"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69" fillId="0" borderId="15" xfId="0" applyNumberFormat="1" applyFont="1" applyBorder="1" applyAlignment="1">
      <alignment horizontal="center" vertical="center" wrapText="1"/>
    </xf>
    <xf numFmtId="0" fontId="169" fillId="0" borderId="15" xfId="38" applyFont="1" applyFill="1" applyBorder="1" applyAlignment="1" applyProtection="1">
      <alignment horizontal="center" vertical="center" wrapText="1"/>
      <protection locked="0"/>
    </xf>
    <xf numFmtId="4" fontId="169"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0" fontId="149" fillId="0" borderId="0" xfId="39" applyFont="1" applyAlignment="1">
      <alignment vertical="center"/>
    </xf>
    <xf numFmtId="0" fontId="69" fillId="0" borderId="15" xfId="0" applyFont="1" applyBorder="1" applyAlignment="1">
      <alignment horizontal="center" vertical="center" wrapText="1"/>
    </xf>
    <xf numFmtId="4" fontId="82" fillId="0" borderId="15" xfId="0" applyNumberFormat="1" applyFont="1" applyBorder="1" applyAlignment="1">
      <alignment horizontal="center" vertical="center"/>
    </xf>
    <xf numFmtId="0" fontId="0" fillId="0" borderId="0" xfId="0" applyAlignment="1">
      <alignment horizontal="left"/>
    </xf>
    <xf numFmtId="0" fontId="12" fillId="0" borderId="0" xfId="0" applyFont="1" applyAlignment="1">
      <alignment horizontal="right"/>
    </xf>
    <xf numFmtId="0" fontId="174" fillId="0" borderId="24" xfId="0" applyFont="1" applyBorder="1" applyAlignment="1">
      <alignment horizontal="center" vertical="center" wrapText="1"/>
    </xf>
    <xf numFmtId="0" fontId="167" fillId="0" borderId="24" xfId="0" applyFont="1" applyBorder="1" applyAlignment="1">
      <alignment horizontal="center" vertical="top" wrapText="1"/>
    </xf>
    <xf numFmtId="0" fontId="175" fillId="0" borderId="24" xfId="0" applyFont="1" applyBorder="1" applyAlignment="1">
      <alignment horizontal="center" vertical="center" wrapText="1"/>
    </xf>
    <xf numFmtId="4" fontId="175" fillId="0" borderId="24" xfId="0" applyNumberFormat="1" applyFont="1" applyBorder="1" applyAlignment="1">
      <alignment horizontal="left" vertical="center" wrapText="1"/>
    </xf>
    <xf numFmtId="4" fontId="175"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6" fillId="0" borderId="24" xfId="0" applyFont="1" applyBorder="1" applyAlignment="1">
      <alignment horizontal="center" vertical="center" wrapText="1"/>
    </xf>
    <xf numFmtId="4" fontId="176" fillId="0" borderId="24" xfId="0" applyNumberFormat="1" applyFont="1" applyBorder="1" applyAlignment="1">
      <alignment horizontal="left" vertical="center" wrapText="1"/>
    </xf>
    <xf numFmtId="4" fontId="176" fillId="0" borderId="24" xfId="0" applyNumberFormat="1" applyFont="1" applyBorder="1" applyAlignment="1">
      <alignment horizontal="center" vertical="center" wrapText="1"/>
    </xf>
    <xf numFmtId="4" fontId="147"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0" fontId="176" fillId="0" borderId="24" xfId="0" applyFont="1" applyBorder="1" applyAlignment="1">
      <alignment horizontal="left" vertical="center" wrapText="1"/>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0" fontId="147" fillId="41" borderId="24" xfId="0" applyFont="1" applyFill="1" applyBorder="1" applyAlignment="1">
      <alignment horizontal="center" vertical="center" wrapText="1"/>
    </xf>
    <xf numFmtId="0" fontId="147" fillId="41" borderId="24" xfId="0" applyFont="1" applyFill="1" applyBorder="1" applyAlignment="1">
      <alignment horizontal="left" vertical="center" wrapText="1"/>
    </xf>
    <xf numFmtId="4" fontId="147" fillId="41" borderId="24" xfId="0" applyNumberFormat="1" applyFont="1" applyFill="1" applyBorder="1" applyAlignment="1">
      <alignment horizontal="center" vertical="center" wrapText="1"/>
    </xf>
    <xf numFmtId="0" fontId="175" fillId="0" borderId="24" xfId="0" applyFont="1" applyBorder="1" applyAlignment="1">
      <alignment horizontal="left" vertical="center" wrapText="1"/>
    </xf>
    <xf numFmtId="4" fontId="29" fillId="34" borderId="7" xfId="36" applyNumberFormat="1" applyFont="1" applyFill="1" applyBorder="1" applyAlignment="1">
      <alignment horizontal="center" vertical="center" wrapText="1"/>
    </xf>
    <xf numFmtId="0" fontId="30" fillId="0" borderId="0" xfId="0" applyFont="1" applyAlignment="1">
      <alignment horizontal="justify" vertical="center"/>
    </xf>
    <xf numFmtId="0" fontId="150" fillId="0" borderId="15" xfId="38" applyFont="1" applyFill="1" applyBorder="1" applyAlignment="1" applyProtection="1">
      <alignment horizontal="center" vertical="center" wrapText="1"/>
      <protection locked="0"/>
    </xf>
    <xf numFmtId="4" fontId="31"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9" fontId="30" fillId="28" borderId="15" xfId="0" applyNumberFormat="1" applyFont="1" applyFill="1" applyBorder="1" applyAlignment="1">
      <alignment horizontal="center" vertical="center" wrapText="1"/>
    </xf>
    <xf numFmtId="4" fontId="30" fillId="28" borderId="15" xfId="0" applyNumberFormat="1" applyFont="1" applyFill="1" applyBorder="1" applyAlignment="1">
      <alignment horizontal="center" vertical="center" wrapText="1"/>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49" fontId="30" fillId="0" borderId="15" xfId="0" applyNumberFormat="1" applyFont="1" applyBorder="1" applyAlignment="1">
      <alignment horizontal="left" vertical="center" wrapText="1"/>
    </xf>
    <xf numFmtId="0" fontId="179" fillId="0" borderId="0" xfId="0" applyFont="1" applyAlignment="1">
      <alignment vertical="center"/>
    </xf>
    <xf numFmtId="0" fontId="179" fillId="0" borderId="0" xfId="0" applyFont="1" applyAlignment="1">
      <alignment horizontal="center" vertical="center"/>
    </xf>
    <xf numFmtId="4" fontId="31" fillId="0" borderId="15" xfId="38" applyNumberFormat="1" applyFont="1" applyFill="1" applyBorder="1" applyAlignment="1">
      <alignment horizontal="center" vertical="center" wrapText="1"/>
    </xf>
    <xf numFmtId="4" fontId="180" fillId="28" borderId="0" xfId="0" applyNumberFormat="1" applyFont="1" applyFill="1" applyAlignment="1">
      <alignment horizontal="left" vertical="center"/>
    </xf>
    <xf numFmtId="49" fontId="150" fillId="0" borderId="16" xfId="0" applyNumberFormat="1" applyFont="1" applyBorder="1" applyAlignment="1">
      <alignment horizontal="center" vertical="center" wrapText="1"/>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5"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4" fontId="182" fillId="0" borderId="15" xfId="36" applyNumberFormat="1" applyFont="1" applyFill="1" applyBorder="1" applyAlignment="1">
      <alignment horizontal="center" vertical="center" wrapText="1"/>
    </xf>
    <xf numFmtId="2" fontId="16" fillId="28" borderId="15" xfId="36" applyNumberFormat="1" applyFont="1" applyFill="1" applyBorder="1" applyAlignment="1">
      <alignment horizontal="center" vertical="center" wrapText="1"/>
    </xf>
    <xf numFmtId="2" fontId="181" fillId="28" borderId="15" xfId="36" applyNumberFormat="1" applyFont="1" applyFill="1" applyBorder="1" applyAlignment="1">
      <alignment horizontal="center" vertical="center" wrapText="1"/>
    </xf>
    <xf numFmtId="0" fontId="10" fillId="28" borderId="15" xfId="0" applyFont="1" applyFill="1" applyBorder="1" applyAlignment="1">
      <alignment horizontal="center"/>
    </xf>
    <xf numFmtId="4" fontId="16" fillId="28" borderId="15" xfId="36" applyNumberFormat="1" applyFont="1" applyFill="1" applyBorder="1" applyAlignment="1">
      <alignment horizontal="center" vertical="center"/>
    </xf>
    <xf numFmtId="4" fontId="16" fillId="0" borderId="15" xfId="36" applyNumberFormat="1" applyFont="1" applyFill="1" applyBorder="1" applyAlignment="1">
      <alignment horizontal="center" vertical="center" wrapText="1"/>
    </xf>
    <xf numFmtId="0" fontId="29" fillId="0" borderId="15" xfId="0" applyFont="1" applyBorder="1" applyAlignment="1">
      <alignment horizontal="center" vertical="center" wrapText="1"/>
    </xf>
    <xf numFmtId="4" fontId="69"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50" fillId="0" borderId="15" xfId="38" applyNumberFormat="1" applyFont="1" applyFill="1" applyBorder="1" applyAlignment="1" applyProtection="1">
      <alignment horizontal="center" vertical="center" wrapText="1"/>
      <protection locked="0"/>
    </xf>
    <xf numFmtId="49" fontId="150"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86" fillId="28" borderId="15" xfId="0" applyNumberFormat="1" applyFont="1" applyFill="1" applyBorder="1" applyAlignment="1">
      <alignment horizontal="center" vertical="center" wrapText="1"/>
    </xf>
    <xf numFmtId="4" fontId="31"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xf>
    <xf numFmtId="4" fontId="183" fillId="0" borderId="15" xfId="0" applyNumberFormat="1" applyFont="1" applyBorder="1" applyAlignment="1">
      <alignment horizontal="center" vertical="center" wrapText="1"/>
    </xf>
    <xf numFmtId="0" fontId="12" fillId="0" borderId="0" xfId="39"/>
    <xf numFmtId="0" fontId="149" fillId="0" borderId="0" xfId="39" applyFont="1" applyAlignment="1">
      <alignment horizontal="center" vertical="center"/>
    </xf>
    <xf numFmtId="0" fontId="184" fillId="0" borderId="0" xfId="39" applyFont="1" applyAlignment="1">
      <alignment horizontal="center" vertical="center"/>
    </xf>
    <xf numFmtId="0" fontId="167"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6" fillId="0" borderId="24" xfId="39" applyFont="1" applyBorder="1" applyAlignment="1">
      <alignment horizontal="center" vertical="center" wrapText="1"/>
    </xf>
    <xf numFmtId="0" fontId="176" fillId="0" borderId="24" xfId="39" applyFont="1" applyBorder="1" applyAlignment="1">
      <alignment vertical="center" wrapText="1"/>
    </xf>
    <xf numFmtId="4" fontId="176" fillId="0" borderId="24" xfId="39" applyNumberFormat="1" applyFont="1" applyBorder="1" applyAlignment="1">
      <alignment horizontal="center"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6"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6"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6"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47" fillId="40" borderId="24" xfId="39" applyFont="1" applyFill="1" applyBorder="1" applyAlignment="1">
      <alignment horizontal="center" vertical="center" wrapText="1"/>
    </xf>
    <xf numFmtId="0" fontId="147" fillId="40" borderId="24" xfId="37" applyFont="1" applyFill="1" applyBorder="1" applyAlignment="1">
      <alignment horizontal="center" vertical="center" wrapText="1"/>
    </xf>
    <xf numFmtId="4" fontId="147" fillId="40" borderId="24" xfId="39" applyNumberFormat="1" applyFont="1" applyFill="1" applyBorder="1" applyAlignment="1">
      <alignment horizontal="center" vertical="center" wrapText="1"/>
    </xf>
    <xf numFmtId="0" fontId="175" fillId="0" borderId="24" xfId="39" applyFont="1" applyBorder="1" applyAlignment="1">
      <alignment vertical="center" wrapText="1"/>
    </xf>
    <xf numFmtId="4" fontId="175" fillId="0" borderId="24" xfId="39" applyNumberFormat="1" applyFont="1" applyBorder="1" applyAlignment="1">
      <alignment horizontal="center" vertical="center" wrapText="1"/>
    </xf>
    <xf numFmtId="0" fontId="153" fillId="0" borderId="0" xfId="39" applyFont="1" applyAlignment="1">
      <alignment wrapText="1"/>
    </xf>
    <xf numFmtId="4" fontId="29" fillId="0" borderId="22" xfId="0" applyNumberFormat="1" applyFont="1" applyBorder="1" applyAlignment="1">
      <alignment horizontal="center" vertical="center" wrapText="1"/>
    </xf>
    <xf numFmtId="4" fontId="30" fillId="0" borderId="22" xfId="0" applyNumberFormat="1" applyFont="1" applyBorder="1" applyAlignment="1">
      <alignment horizontal="center" vertical="center" wrapText="1"/>
    </xf>
    <xf numFmtId="49" fontId="29" fillId="35" borderId="15" xfId="0" applyNumberFormat="1" applyFont="1" applyFill="1" applyBorder="1" applyAlignment="1">
      <alignment horizontal="center" vertical="center" wrapText="1"/>
    </xf>
    <xf numFmtId="4" fontId="29" fillId="35" borderId="22" xfId="0" applyNumberFormat="1" applyFont="1" applyFill="1" applyBorder="1" applyAlignment="1">
      <alignment horizontal="center" vertical="center" wrapText="1"/>
    </xf>
    <xf numFmtId="49" fontId="30" fillId="35" borderId="15" xfId="0" applyNumberFormat="1" applyFont="1" applyFill="1" applyBorder="1" applyAlignment="1">
      <alignment horizontal="center" vertical="center" wrapText="1"/>
    </xf>
    <xf numFmtId="4" fontId="30" fillId="35" borderId="22" xfId="0" applyNumberFormat="1" applyFont="1" applyFill="1" applyBorder="1" applyAlignment="1">
      <alignment horizontal="center" vertical="center" wrapText="1"/>
    </xf>
    <xf numFmtId="4" fontId="30" fillId="35" borderId="15" xfId="0" applyNumberFormat="1" applyFont="1" applyFill="1" applyBorder="1" applyAlignment="1">
      <alignment horizontal="center" vertical="center" wrapText="1"/>
    </xf>
    <xf numFmtId="49" fontId="149" fillId="0" borderId="15" xfId="18" applyNumberFormat="1" applyFont="1" applyBorder="1" applyAlignment="1">
      <alignment horizontal="center" vertical="center" wrapText="1"/>
    </xf>
    <xf numFmtId="0" fontId="149" fillId="0" borderId="15" xfId="92" applyFont="1" applyBorder="1" applyAlignment="1">
      <alignment horizontal="center" vertical="center" wrapText="1"/>
    </xf>
    <xf numFmtId="9" fontId="149" fillId="0" borderId="15" xfId="30" applyNumberFormat="1" applyFont="1" applyBorder="1" applyAlignment="1">
      <alignment horizontal="center" vertical="center"/>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100" applyFont="1" applyBorder="1" applyAlignment="1">
      <alignment horizontal="center" vertical="center" wrapText="1"/>
    </xf>
    <xf numFmtId="49" fontId="188" fillId="0" borderId="15" xfId="0" applyNumberFormat="1" applyFont="1" applyBorder="1" applyAlignment="1">
      <alignment horizontal="center" vertical="center" wrapText="1"/>
    </xf>
    <xf numFmtId="166" fontId="149" fillId="0" borderId="15" xfId="30" applyNumberFormat="1" applyFont="1" applyBorder="1" applyAlignment="1">
      <alignment horizontal="center" vertical="center" wrapText="1"/>
    </xf>
    <xf numFmtId="0" fontId="178" fillId="28" borderId="0" xfId="35" applyFont="1" applyFill="1" applyAlignment="1">
      <alignment horizontal="left" vertical="center"/>
    </xf>
    <xf numFmtId="4" fontId="149" fillId="0" borderId="16" xfId="30" applyNumberFormat="1" applyFont="1" applyBorder="1" applyAlignment="1">
      <alignment horizontal="center" vertical="center"/>
    </xf>
    <xf numFmtId="0" fontId="149" fillId="0" borderId="15" xfId="45" applyFont="1" applyBorder="1" applyAlignment="1">
      <alignment horizontal="center" vertical="center" wrapText="1"/>
    </xf>
    <xf numFmtId="4" fontId="149" fillId="0" borderId="20" xfId="30" applyNumberFormat="1" applyFont="1" applyBorder="1" applyAlignment="1">
      <alignment horizontal="center" vertical="center"/>
    </xf>
    <xf numFmtId="0" fontId="169" fillId="0" borderId="15" xfId="100" applyFont="1" applyBorder="1" applyAlignment="1">
      <alignment horizontal="center" vertical="center" wrapText="1"/>
    </xf>
    <xf numFmtId="4" fontId="169" fillId="0" borderId="15" xfId="30" applyNumberFormat="1" applyFont="1" applyBorder="1" applyAlignment="1">
      <alignment horizontal="center" vertical="center"/>
    </xf>
    <xf numFmtId="9" fontId="169" fillId="0" borderId="15" xfId="30" applyNumberFormat="1" applyFont="1" applyBorder="1" applyAlignment="1">
      <alignment horizontal="center" vertical="center"/>
    </xf>
    <xf numFmtId="49" fontId="150" fillId="0" borderId="0" xfId="0" applyNumberFormat="1" applyFont="1" applyAlignment="1">
      <alignment horizontal="center" vertical="center" wrapText="1"/>
    </xf>
    <xf numFmtId="4" fontId="86" fillId="0" borderId="16" xfId="0" applyNumberFormat="1" applyFont="1" applyBorder="1" applyAlignment="1">
      <alignment horizontal="center" vertical="center" wrapText="1"/>
    </xf>
    <xf numFmtId="2" fontId="29" fillId="47" borderId="15" xfId="0" applyNumberFormat="1" applyFont="1" applyFill="1" applyBorder="1" applyAlignment="1">
      <alignment horizontal="center" vertical="center"/>
    </xf>
    <xf numFmtId="4" fontId="31" fillId="47" borderId="15" xfId="0" applyNumberFormat="1" applyFont="1" applyFill="1" applyBorder="1" applyAlignment="1">
      <alignment horizontal="center" vertical="center"/>
    </xf>
    <xf numFmtId="0" fontId="29" fillId="47" borderId="15" xfId="0" applyFont="1" applyFill="1" applyBorder="1" applyAlignment="1">
      <alignment horizontal="center" vertical="center"/>
    </xf>
    <xf numFmtId="0" fontId="29" fillId="47" borderId="15" xfId="0" applyFont="1" applyFill="1" applyBorder="1" applyAlignment="1">
      <alignment horizontal="left" vertical="center"/>
    </xf>
    <xf numFmtId="4" fontId="29" fillId="47" borderId="15" xfId="0" applyNumberFormat="1" applyFont="1" applyFill="1" applyBorder="1" applyAlignment="1">
      <alignment horizontal="center" vertical="center"/>
    </xf>
    <xf numFmtId="2" fontId="39" fillId="46" borderId="15" xfId="36" applyNumberFormat="1" applyFont="1" applyFill="1" applyBorder="1" applyAlignment="1">
      <alignment horizontal="center" vertical="center" wrapText="1"/>
    </xf>
    <xf numFmtId="164" fontId="39" fillId="47" borderId="15" xfId="0" applyNumberFormat="1" applyFont="1" applyFill="1" applyBorder="1" applyAlignment="1">
      <alignment horizontal="center" vertical="center"/>
    </xf>
    <xf numFmtId="164" fontId="39" fillId="47" borderId="15" xfId="36" applyNumberFormat="1" applyFont="1" applyFill="1" applyBorder="1" applyAlignment="1">
      <alignment horizontal="center" vertical="center" wrapText="1"/>
    </xf>
    <xf numFmtId="2" fontId="165" fillId="47" borderId="15" xfId="0" applyNumberFormat="1" applyFont="1" applyFill="1" applyBorder="1" applyAlignment="1">
      <alignment horizontal="center" vertical="center"/>
    </xf>
    <xf numFmtId="4" fontId="165" fillId="47" borderId="15" xfId="0" applyNumberFormat="1" applyFont="1" applyFill="1" applyBorder="1" applyAlignment="1">
      <alignment horizontal="center" vertical="center"/>
    </xf>
    <xf numFmtId="2" fontId="153" fillId="47" borderId="15" xfId="0" applyNumberFormat="1" applyFont="1" applyFill="1" applyBorder="1" applyAlignment="1">
      <alignment horizontal="center" vertical="center"/>
    </xf>
    <xf numFmtId="4" fontId="153" fillId="47" borderId="15" xfId="0" applyNumberFormat="1" applyFont="1" applyFill="1" applyBorder="1" applyAlignment="1">
      <alignment horizontal="center" vertical="center"/>
    </xf>
    <xf numFmtId="4" fontId="190" fillId="27" borderId="15" xfId="0" applyNumberFormat="1" applyFont="1" applyFill="1" applyBorder="1" applyAlignment="1">
      <alignment horizontal="center" vertical="center" wrapText="1"/>
    </xf>
    <xf numFmtId="4" fontId="191" fillId="27" borderId="15" xfId="0" applyNumberFormat="1" applyFont="1" applyFill="1" applyBorder="1" applyAlignment="1">
      <alignment horizontal="center" vertical="center" wrapText="1"/>
    </xf>
    <xf numFmtId="4" fontId="191" fillId="0" borderId="15" xfId="0" applyNumberFormat="1" applyFont="1" applyBorder="1" applyAlignment="1">
      <alignment horizontal="center" vertical="center" wrapText="1"/>
    </xf>
    <xf numFmtId="4" fontId="192" fillId="28" borderId="0" xfId="0" applyNumberFormat="1" applyFont="1" applyFill="1" applyAlignment="1">
      <alignment vertical="center"/>
    </xf>
    <xf numFmtId="10" fontId="193" fillId="28" borderId="0" xfId="0" applyNumberFormat="1" applyFont="1" applyFill="1" applyAlignment="1">
      <alignment vertical="center"/>
    </xf>
    <xf numFmtId="166" fontId="192" fillId="28" borderId="0" xfId="0" applyNumberFormat="1" applyFont="1" applyFill="1" applyAlignment="1">
      <alignment horizontal="right" vertical="center" wrapText="1"/>
    </xf>
    <xf numFmtId="49" fontId="30" fillId="46" borderId="19" xfId="0" applyNumberFormat="1" applyFont="1" applyFill="1" applyBorder="1" applyAlignment="1">
      <alignment horizontal="center" vertical="center" wrapText="1"/>
    </xf>
    <xf numFmtId="4" fontId="30" fillId="46" borderId="19" xfId="0" applyNumberFormat="1" applyFont="1" applyFill="1" applyBorder="1" applyAlignment="1">
      <alignment horizontal="center" vertical="center" wrapText="1"/>
    </xf>
    <xf numFmtId="49" fontId="30" fillId="48" borderId="19" xfId="0" applyNumberFormat="1" applyFont="1" applyFill="1" applyBorder="1" applyAlignment="1">
      <alignment horizontal="center" vertical="center" wrapText="1"/>
    </xf>
    <xf numFmtId="49" fontId="30" fillId="48" borderId="19" xfId="0" applyNumberFormat="1" applyFont="1" applyFill="1" applyBorder="1" applyAlignment="1">
      <alignment horizontal="left" vertical="center" wrapText="1"/>
    </xf>
    <xf numFmtId="4" fontId="30" fillId="48" borderId="19" xfId="0" applyNumberFormat="1" applyFont="1" applyFill="1" applyBorder="1" applyAlignment="1">
      <alignment horizontal="center" vertical="center" wrapText="1"/>
    </xf>
    <xf numFmtId="0" fontId="147" fillId="48" borderId="24" xfId="39" applyFont="1" applyFill="1" applyBorder="1" applyAlignment="1">
      <alignment horizontal="center" vertical="center" wrapText="1"/>
    </xf>
    <xf numFmtId="4" fontId="147" fillId="48" borderId="24" xfId="39" applyNumberFormat="1" applyFont="1" applyFill="1" applyBorder="1" applyAlignment="1">
      <alignment horizontal="center" vertical="center" wrapText="1"/>
    </xf>
    <xf numFmtId="0" fontId="194" fillId="0" borderId="24" xfId="39" applyFont="1" applyBorder="1" applyAlignment="1">
      <alignment horizontal="center" vertical="center" wrapText="1"/>
    </xf>
    <xf numFmtId="0" fontId="194" fillId="0" borderId="24" xfId="39" applyFont="1" applyBorder="1" applyAlignment="1">
      <alignment vertical="center" wrapText="1"/>
    </xf>
    <xf numFmtId="4" fontId="195" fillId="0" borderId="24" xfId="39" applyNumberFormat="1" applyFont="1" applyBorder="1" applyAlignment="1">
      <alignment horizontal="center" vertical="center" wrapText="1"/>
    </xf>
    <xf numFmtId="4" fontId="194" fillId="0" borderId="24" xfId="39" applyNumberFormat="1" applyFont="1" applyBorder="1" applyAlignment="1">
      <alignment horizontal="center" vertical="center" wrapText="1"/>
    </xf>
    <xf numFmtId="4" fontId="196" fillId="0" borderId="0" xfId="39" applyNumberFormat="1" applyFont="1"/>
    <xf numFmtId="4" fontId="197" fillId="28" borderId="0" xfId="0" applyNumberFormat="1" applyFont="1" applyFill="1"/>
    <xf numFmtId="4" fontId="197" fillId="28" borderId="0" xfId="0" applyNumberFormat="1" applyFont="1" applyFill="1" applyAlignment="1">
      <alignment horizontal="center" vertical="center"/>
    </xf>
    <xf numFmtId="49" fontId="189" fillId="0" borderId="7" xfId="88" applyNumberFormat="1" applyFont="1" applyBorder="1" applyAlignment="1">
      <alignment horizontal="center" vertical="center" wrapText="1"/>
    </xf>
    <xf numFmtId="4" fontId="149" fillId="47" borderId="15" xfId="0" applyNumberFormat="1" applyFont="1" applyFill="1" applyBorder="1" applyAlignment="1">
      <alignment horizontal="center" vertical="center"/>
    </xf>
    <xf numFmtId="4" fontId="196" fillId="28" borderId="15" xfId="0" applyNumberFormat="1" applyFont="1" applyFill="1" applyBorder="1" applyAlignment="1">
      <alignment horizontal="center" vertical="center"/>
    </xf>
    <xf numFmtId="2" fontId="198" fillId="28" borderId="0" xfId="36" applyNumberFormat="1" applyFont="1" applyFill="1" applyAlignment="1">
      <alignment horizontal="center" vertical="top"/>
    </xf>
    <xf numFmtId="0" fontId="199" fillId="45" borderId="0" xfId="0" applyFont="1" applyFill="1"/>
    <xf numFmtId="4" fontId="199" fillId="45" borderId="0" xfId="0" applyNumberFormat="1" applyFont="1" applyFill="1"/>
    <xf numFmtId="0" fontId="199" fillId="28" borderId="0" xfId="0" applyFont="1" applyFill="1"/>
    <xf numFmtId="4" fontId="200" fillId="28" borderId="15" xfId="35" applyNumberFormat="1" applyFont="1" applyFill="1" applyBorder="1" applyAlignment="1">
      <alignment horizontal="left" vertical="center"/>
    </xf>
    <xf numFmtId="0" fontId="201" fillId="0" borderId="0" xfId="35" applyFont="1" applyAlignment="1">
      <alignment horizontal="center" vertical="center"/>
    </xf>
    <xf numFmtId="4" fontId="99" fillId="29" borderId="0" xfId="0" applyNumberFormat="1" applyFont="1" applyFill="1" applyAlignment="1">
      <alignment horizontal="center" vertical="center" wrapText="1"/>
    </xf>
    <xf numFmtId="49" fontId="30" fillId="0" borderId="16" xfId="0" applyNumberFormat="1" applyFont="1" applyBorder="1" applyAlignment="1">
      <alignment horizontal="center" wrapText="1"/>
    </xf>
    <xf numFmtId="49" fontId="30" fillId="0" borderId="0" xfId="0" applyNumberFormat="1" applyFont="1" applyAlignment="1">
      <alignment horizontal="center" vertical="center" wrapText="1"/>
    </xf>
    <xf numFmtId="49" fontId="30" fillId="0" borderId="17" xfId="0" applyNumberFormat="1" applyFont="1" applyBorder="1" applyAlignment="1">
      <alignment horizontal="center" vertical="top" wrapText="1"/>
    </xf>
    <xf numFmtId="49" fontId="30" fillId="45" borderId="15" xfId="0" applyNumberFormat="1" applyFont="1" applyFill="1" applyBorder="1" applyAlignment="1">
      <alignment horizontal="center" vertical="center" wrapText="1"/>
    </xf>
    <xf numFmtId="0" fontId="70" fillId="49" borderId="0" xfId="0" applyFont="1" applyFill="1"/>
    <xf numFmtId="4" fontId="72" fillId="49" borderId="0" xfId="0" applyNumberFormat="1" applyFont="1" applyFill="1" applyAlignment="1">
      <alignment horizontal="left" vertical="center"/>
    </xf>
    <xf numFmtId="0" fontId="36" fillId="49" borderId="0" xfId="0" applyFont="1" applyFill="1"/>
    <xf numFmtId="4" fontId="30" fillId="45" borderId="15" xfId="38" applyNumberFormat="1" applyFont="1" applyFill="1" applyBorder="1" applyAlignment="1" applyProtection="1">
      <alignment horizontal="center" vertical="center" wrapText="1"/>
      <protection locked="0"/>
    </xf>
    <xf numFmtId="49" fontId="30" fillId="0" borderId="16" xfId="0" applyNumberFormat="1" applyFont="1" applyBorder="1" applyAlignment="1">
      <alignment vertical="center" wrapText="1"/>
    </xf>
    <xf numFmtId="49" fontId="30" fillId="45" borderId="16" xfId="0" applyNumberFormat="1" applyFont="1" applyFill="1" applyBorder="1" applyAlignment="1">
      <alignment vertical="center" wrapText="1"/>
    </xf>
    <xf numFmtId="4" fontId="30" fillId="45" borderId="15" xfId="38" applyNumberFormat="1" applyFont="1" applyFill="1" applyBorder="1" applyAlignment="1">
      <alignment horizontal="center" vertical="center" wrapText="1"/>
    </xf>
    <xf numFmtId="49" fontId="69" fillId="50" borderId="15" xfId="0" applyNumberFormat="1" applyFont="1" applyFill="1" applyBorder="1" applyAlignment="1">
      <alignment horizontal="center" vertical="center" wrapText="1"/>
    </xf>
    <xf numFmtId="0" fontId="69" fillId="50" borderId="15" xfId="38" applyFont="1" applyFill="1" applyBorder="1" applyAlignment="1" applyProtection="1">
      <alignment horizontal="center" vertical="center" wrapText="1"/>
      <protection locked="0"/>
    </xf>
    <xf numFmtId="4" fontId="69" fillId="50" borderId="15" xfId="38" applyNumberFormat="1" applyFont="1" applyFill="1" applyBorder="1" applyAlignment="1" applyProtection="1">
      <alignment horizontal="center" vertical="center" wrapText="1"/>
      <protection locked="0"/>
    </xf>
    <xf numFmtId="4" fontId="69" fillId="50" borderId="15" xfId="0" applyNumberFormat="1" applyFont="1" applyFill="1" applyBorder="1" applyAlignment="1">
      <alignment horizontal="center" vertical="center" wrapText="1"/>
    </xf>
    <xf numFmtId="49" fontId="29" fillId="51" borderId="15" xfId="0" applyNumberFormat="1" applyFont="1" applyFill="1" applyBorder="1" applyAlignment="1">
      <alignment horizontal="center" vertical="center" wrapText="1"/>
    </xf>
    <xf numFmtId="0" fontId="29" fillId="51" borderId="15" xfId="38" applyFont="1" applyFill="1" applyBorder="1" applyAlignment="1" applyProtection="1">
      <alignment horizontal="center" vertical="center" wrapText="1"/>
      <protection locked="0"/>
    </xf>
    <xf numFmtId="4" fontId="29" fillId="51" borderId="15" xfId="38" applyNumberFormat="1" applyFont="1" applyFill="1" applyBorder="1" applyAlignment="1" applyProtection="1">
      <alignment horizontal="center" vertical="center" wrapText="1"/>
      <protection locked="0"/>
    </xf>
    <xf numFmtId="49" fontId="152" fillId="50" borderId="15" xfId="0" applyNumberFormat="1" applyFont="1" applyFill="1" applyBorder="1" applyAlignment="1">
      <alignment horizontal="center" vertical="center" wrapText="1"/>
    </xf>
    <xf numFmtId="0" fontId="152" fillId="50" borderId="15" xfId="38" applyFont="1" applyFill="1" applyBorder="1" applyAlignment="1" applyProtection="1">
      <alignment horizontal="center" vertical="center" wrapText="1"/>
      <protection locked="0"/>
    </xf>
    <xf numFmtId="4" fontId="152" fillId="50" borderId="15" xfId="0" applyNumberFormat="1" applyFont="1" applyFill="1" applyBorder="1" applyAlignment="1">
      <alignment horizontal="center" vertical="center" wrapText="1"/>
    </xf>
    <xf numFmtId="4" fontId="152" fillId="50" borderId="15" xfId="38" applyNumberFormat="1" applyFont="1" applyFill="1" applyBorder="1" applyAlignment="1" applyProtection="1">
      <alignment horizontal="center" vertical="center" wrapText="1"/>
      <protection locked="0"/>
    </xf>
    <xf numFmtId="49" fontId="153" fillId="51" borderId="15" xfId="0" applyNumberFormat="1" applyFont="1" applyFill="1" applyBorder="1" applyAlignment="1">
      <alignment horizontal="center" vertical="center" wrapText="1"/>
    </xf>
    <xf numFmtId="0" fontId="153" fillId="51" borderId="15" xfId="38" applyFont="1" applyFill="1" applyBorder="1" applyAlignment="1" applyProtection="1">
      <alignment horizontal="center" vertical="center" wrapText="1"/>
      <protection locked="0"/>
    </xf>
    <xf numFmtId="4" fontId="153" fillId="51" borderId="15" xfId="38" applyNumberFormat="1" applyFont="1" applyFill="1" applyBorder="1" applyAlignment="1" applyProtection="1">
      <alignment horizontal="center" vertical="center" wrapText="1"/>
      <protection locked="0"/>
    </xf>
    <xf numFmtId="9" fontId="152" fillId="50" borderId="15" xfId="0" applyNumberFormat="1" applyFont="1" applyFill="1" applyBorder="1" applyAlignment="1">
      <alignment horizontal="center" vertical="center" wrapText="1"/>
    </xf>
    <xf numFmtId="4" fontId="153" fillId="51" borderId="15" xfId="0" applyNumberFormat="1" applyFont="1" applyFill="1" applyBorder="1" applyAlignment="1">
      <alignment horizontal="center" vertical="center" wrapText="1"/>
    </xf>
    <xf numFmtId="9" fontId="153" fillId="51" borderId="15" xfId="0" applyNumberFormat="1" applyFont="1" applyFill="1" applyBorder="1" applyAlignment="1">
      <alignment horizontal="center" vertical="center" wrapText="1"/>
    </xf>
    <xf numFmtId="4" fontId="202" fillId="0" borderId="15" xfId="0" applyNumberFormat="1" applyFont="1" applyBorder="1" applyAlignment="1">
      <alignment horizontal="center" vertical="center" wrapText="1"/>
    </xf>
    <xf numFmtId="0" fontId="179" fillId="0" borderId="0" xfId="0" applyFont="1" applyAlignment="1">
      <alignment horizontal="center" vertical="center" wrapText="1"/>
    </xf>
    <xf numFmtId="0" fontId="16" fillId="0" borderId="0" xfId="0" applyFont="1" applyAlignment="1">
      <alignment horizontal="center" vertical="center"/>
    </xf>
    <xf numFmtId="0" fontId="10" fillId="0" borderId="0" xfId="0" applyFont="1"/>
    <xf numFmtId="0" fontId="16" fillId="0" borderId="0" xfId="0" applyFont="1" applyAlignment="1">
      <alignment horizontal="center" vertical="center" wrapText="1"/>
    </xf>
    <xf numFmtId="0" fontId="10" fillId="0" borderId="0" xfId="0" applyFont="1" applyAlignment="1">
      <alignment horizontal="center" vertical="center"/>
    </xf>
    <xf numFmtId="0" fontId="184" fillId="0" borderId="0" xfId="39" applyFont="1" applyAlignment="1">
      <alignment horizontal="center" vertical="center"/>
    </xf>
    <xf numFmtId="0" fontId="10" fillId="0" borderId="0" xfId="0" applyFont="1" applyAlignment="1">
      <alignment horizontal="center"/>
    </xf>
    <xf numFmtId="0" fontId="185" fillId="0" borderId="0" xfId="39" applyFont="1" applyAlignment="1">
      <alignment horizontal="center" vertical="center"/>
    </xf>
    <xf numFmtId="0" fontId="58" fillId="0" borderId="0" xfId="0" applyFont="1"/>
    <xf numFmtId="0" fontId="165"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47" fillId="0" borderId="0" xfId="0" applyFont="1" applyAlignment="1">
      <alignment horizontal="center"/>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70" fillId="0" borderId="0" xfId="0" applyFont="1" applyAlignment="1">
      <alignment horizontal="center"/>
    </xf>
    <xf numFmtId="0" fontId="171" fillId="0" borderId="0" xfId="0" applyFont="1" applyAlignment="1">
      <alignment horizontal="center"/>
    </xf>
    <xf numFmtId="0" fontId="0" fillId="0" borderId="0" xfId="0" applyAlignment="1">
      <alignment horizontal="center"/>
    </xf>
    <xf numFmtId="0" fontId="172" fillId="0" borderId="0" xfId="0" applyFont="1" applyAlignment="1">
      <alignment horizontal="center" vertical="top"/>
    </xf>
    <xf numFmtId="0" fontId="173" fillId="0" borderId="0" xfId="0" applyFont="1" applyAlignment="1">
      <alignment horizontal="center" vertical="top"/>
    </xf>
    <xf numFmtId="0" fontId="174"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4" borderId="24" xfId="0" applyFont="1" applyFill="1" applyBorder="1" applyAlignment="1">
      <alignment horizontal="left" vertical="center" wrapText="1"/>
    </xf>
    <xf numFmtId="0" fontId="0" fillId="44" borderId="24" xfId="0" applyFill="1" applyBorder="1" applyAlignment="1">
      <alignment wrapText="1"/>
    </xf>
    <xf numFmtId="49" fontId="30" fillId="0" borderId="15" xfId="0" applyNumberFormat="1" applyFont="1" applyBorder="1" applyAlignment="1">
      <alignment horizontal="center" vertical="center" wrapText="1"/>
    </xf>
    <xf numFmtId="0" fontId="0" fillId="0" borderId="15" xfId="0" applyBorder="1" applyAlignment="1">
      <alignment horizontal="center" vertical="center" wrapText="1"/>
    </xf>
    <xf numFmtId="4" fontId="31"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4" fontId="64"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33" fillId="0" borderId="15" xfId="0" applyFont="1" applyBorder="1" applyAlignment="1">
      <alignment horizontal="center" vertical="center" wrapText="1"/>
    </xf>
    <xf numFmtId="49" fontId="64" fillId="0" borderId="15" xfId="0" applyNumberFormat="1" applyFont="1" applyBorder="1" applyAlignment="1">
      <alignment horizontal="center" vertical="center" wrapText="1"/>
    </xf>
    <xf numFmtId="4" fontId="68"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0" fontId="71" fillId="0" borderId="15" xfId="0" applyFont="1" applyBorder="1" applyAlignment="1">
      <alignment horizontal="center" vertical="center" wrapText="1"/>
    </xf>
    <xf numFmtId="49" fontId="64" fillId="28" borderId="16" xfId="0" applyNumberFormat="1" applyFont="1" applyFill="1" applyBorder="1" applyAlignment="1">
      <alignment horizontal="center" vertical="center" wrapText="1"/>
    </xf>
    <xf numFmtId="0" fontId="61" fillId="28" borderId="18" xfId="0" applyFont="1" applyFill="1" applyBorder="1" applyAlignment="1">
      <alignment horizontal="center" vertical="center" wrapText="1"/>
    </xf>
    <xf numFmtId="0" fontId="61" fillId="28" borderId="17" xfId="0" applyFont="1" applyFill="1" applyBorder="1" applyAlignment="1">
      <alignment horizontal="center" vertical="center" wrapText="1"/>
    </xf>
    <xf numFmtId="0" fontId="30" fillId="28" borderId="0" xfId="0" applyFont="1" applyFill="1"/>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4" fontId="61" fillId="0" borderId="15"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30" fillId="0" borderId="0" xfId="0" applyFont="1"/>
    <xf numFmtId="4" fontId="65" fillId="0" borderId="15" xfId="0" applyNumberFormat="1" applyFont="1" applyBorder="1" applyAlignment="1">
      <alignment horizontal="center" vertical="center"/>
    </xf>
    <xf numFmtId="4" fontId="60" fillId="0" borderId="15" xfId="0" applyNumberFormat="1" applyFont="1" applyBorder="1" applyAlignment="1">
      <alignment horizontal="center" vertical="center" wrapText="1"/>
    </xf>
    <xf numFmtId="4" fontId="64"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0" fontId="52" fillId="0" borderId="0" xfId="0" applyFont="1" applyAlignment="1">
      <alignment horizontal="left" vertical="center"/>
    </xf>
    <xf numFmtId="0" fontId="53" fillId="0" borderId="0" xfId="0" applyFont="1" applyAlignment="1">
      <alignment horizontal="left" vertical="center"/>
    </xf>
    <xf numFmtId="0" fontId="61" fillId="28" borderId="23" xfId="0" applyFont="1" applyFill="1" applyBorder="1"/>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31" fillId="28" borderId="0" xfId="0" applyNumberFormat="1" applyFont="1" applyFill="1" applyAlignment="1">
      <alignment horizontal="left" vertical="center" wrapText="1"/>
    </xf>
    <xf numFmtId="0" fontId="0" fillId="28" borderId="0" xfId="0" applyFill="1"/>
    <xf numFmtId="0" fontId="0" fillId="28" borderId="0" xfId="0" applyFill="1" applyAlignment="1">
      <alignment horizontal="left" vertical="center" wrapText="1"/>
    </xf>
    <xf numFmtId="0" fontId="30" fillId="0" borderId="0" xfId="39" applyFont="1" applyAlignment="1">
      <alignment vertical="center" wrapText="1"/>
    </xf>
    <xf numFmtId="0" fontId="33" fillId="0" borderId="0" xfId="0" applyFont="1"/>
    <xf numFmtId="4" fontId="68" fillId="28" borderId="16" xfId="0" applyNumberFormat="1"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4" fontId="68"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35" applyFont="1" applyBorder="1" applyAlignment="1">
      <alignment horizontal="center" vertical="top" wrapText="1"/>
    </xf>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68" fillId="0" borderId="15" xfId="35" applyFont="1" applyBorder="1" applyAlignment="1">
      <alignment horizontal="center" vertical="top" wrapText="1"/>
    </xf>
    <xf numFmtId="0" fontId="148" fillId="0" borderId="0" xfId="35" applyFont="1" applyAlignment="1">
      <alignment horizontal="center" vertical="center" wrapText="1"/>
    </xf>
    <xf numFmtId="0" fontId="10" fillId="0" borderId="0" xfId="0" applyFont="1" applyAlignment="1">
      <alignment horizontal="center" vertical="center" wrapText="1"/>
    </xf>
    <xf numFmtId="0" fontId="149" fillId="0" borderId="0" xfId="0" applyFont="1" applyAlignment="1">
      <alignment horizontal="justify" vertical="center"/>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9" fillId="0" borderId="0" xfId="0" applyFont="1"/>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49" fontId="30" fillId="0" borderId="26" xfId="0" applyNumberFormat="1" applyFont="1" applyBorder="1" applyAlignment="1">
      <alignment horizontal="left" wrapText="1"/>
    </xf>
    <xf numFmtId="0" fontId="0" fillId="0" borderId="27" xfId="0" applyBorder="1" applyAlignment="1">
      <alignment horizontal="left" wrapText="1"/>
    </xf>
    <xf numFmtId="49" fontId="30" fillId="0" borderId="0" xfId="0" applyNumberFormat="1" applyFont="1" applyAlignment="1">
      <alignment horizontal="left" vertical="top" wrapText="1"/>
    </xf>
    <xf numFmtId="0" fontId="0" fillId="0" borderId="0" xfId="0" applyAlignment="1">
      <alignment horizontal="left" vertical="top" wrapText="1"/>
    </xf>
    <xf numFmtId="0" fontId="29" fillId="0" borderId="0" xfId="0" applyFont="1" applyAlignment="1">
      <alignment horizontal="left" vertical="center"/>
    </xf>
    <xf numFmtId="0" fontId="0" fillId="0" borderId="0" xfId="0" applyAlignment="1">
      <alignment horizontal="left" vertical="center"/>
    </xf>
    <xf numFmtId="49" fontId="29" fillId="46" borderId="19" xfId="0" applyNumberFormat="1" applyFont="1" applyFill="1" applyBorder="1" applyAlignment="1">
      <alignment horizontal="center" vertical="center" wrapText="1"/>
    </xf>
    <xf numFmtId="0" fontId="15" fillId="46" borderId="21" xfId="0" applyFont="1" applyFill="1" applyBorder="1" applyAlignment="1">
      <alignment horizontal="center" vertical="center" wrapText="1"/>
    </xf>
    <xf numFmtId="0" fontId="15" fillId="46" borderId="22" xfId="0" applyFont="1" applyFill="1" applyBorder="1" applyAlignment="1">
      <alignment horizontal="center"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29" fillId="0" borderId="19" xfId="0" applyNumberFormat="1" applyFont="1" applyBorder="1" applyAlignment="1">
      <alignment horizontal="left" vertical="center" wrapText="1"/>
    </xf>
    <xf numFmtId="49" fontId="29" fillId="0" borderId="22" xfId="0" applyNumberFormat="1" applyFont="1" applyBorder="1" applyAlignment="1">
      <alignment horizontal="left" vertical="center" wrapText="1"/>
    </xf>
    <xf numFmtId="0" fontId="15" fillId="0" borderId="22" xfId="0" applyFont="1" applyBorder="1" applyAlignment="1">
      <alignment horizontal="left" vertical="center" wrapText="1"/>
    </xf>
    <xf numFmtId="49" fontId="30" fillId="0" borderId="22" xfId="0" applyNumberFormat="1" applyFont="1" applyBorder="1" applyAlignment="1">
      <alignment horizontal="left" vertical="center" wrapText="1"/>
    </xf>
    <xf numFmtId="0" fontId="64" fillId="27" borderId="0" xfId="0" applyFont="1" applyFill="1" applyAlignment="1">
      <alignment horizontal="center" vertical="center"/>
    </xf>
    <xf numFmtId="0" fontId="64" fillId="27" borderId="0" xfId="0" applyFont="1" applyFill="1" applyAlignment="1">
      <alignment vertical="center"/>
    </xf>
    <xf numFmtId="0" fontId="64" fillId="0" borderId="0" xfId="39" applyFont="1" applyAlignment="1">
      <alignment vertical="top" wrapText="1"/>
    </xf>
    <xf numFmtId="0" fontId="61" fillId="0" borderId="0" xfId="0" applyFont="1" applyAlignment="1">
      <alignment vertical="top"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29" fillId="35" borderId="19" xfId="0" applyNumberFormat="1" applyFont="1" applyFill="1" applyBorder="1" applyAlignment="1">
      <alignment horizontal="left" vertical="center" wrapText="1"/>
    </xf>
    <xf numFmtId="49" fontId="29" fillId="35" borderId="22" xfId="0" applyNumberFormat="1" applyFont="1" applyFill="1" applyBorder="1" applyAlignment="1">
      <alignment horizontal="left" vertical="center" wrapText="1"/>
    </xf>
    <xf numFmtId="49" fontId="30" fillId="35" borderId="19" xfId="0" applyNumberFormat="1" applyFont="1" applyFill="1" applyBorder="1" applyAlignment="1">
      <alignment horizontal="left" vertical="center" wrapText="1"/>
    </xf>
    <xf numFmtId="0" fontId="0" fillId="35" borderId="22" xfId="0" applyFill="1" applyBorder="1" applyAlignment="1">
      <alignment horizontal="left" vertical="center" wrapText="1"/>
    </xf>
    <xf numFmtId="0" fontId="30" fillId="0" borderId="0" xfId="0" applyFont="1" applyAlignment="1">
      <alignment horizontal="justify" vertical="center"/>
    </xf>
    <xf numFmtId="0" fontId="64" fillId="0" borderId="0" xfId="0" applyFont="1"/>
    <xf numFmtId="49" fontId="29" fillId="48" borderId="19" xfId="0" applyNumberFormat="1" applyFont="1" applyFill="1" applyBorder="1" applyAlignment="1">
      <alignment horizontal="center" vertical="center" wrapText="1"/>
    </xf>
    <xf numFmtId="0" fontId="15" fillId="48" borderId="21" xfId="0" applyFont="1" applyFill="1" applyBorder="1" applyAlignment="1">
      <alignment horizontal="center" vertical="center" wrapText="1"/>
    </xf>
    <xf numFmtId="0" fontId="15" fillId="48" borderId="22" xfId="0" applyFont="1" applyFill="1" applyBorder="1" applyAlignment="1">
      <alignment horizontal="center" vertical="center" wrapText="1"/>
    </xf>
    <xf numFmtId="49" fontId="30" fillId="46" borderId="19" xfId="0" applyNumberFormat="1" applyFont="1" applyFill="1" applyBorder="1" applyAlignment="1">
      <alignment horizontal="left" vertical="center" wrapText="1"/>
    </xf>
    <xf numFmtId="49" fontId="30" fillId="46" borderId="22" xfId="0" applyNumberFormat="1" applyFont="1" applyFill="1" applyBorder="1" applyAlignment="1">
      <alignment horizontal="left" vertical="center" wrapText="1"/>
    </xf>
    <xf numFmtId="0" fontId="160" fillId="0" borderId="0" xfId="0" applyFont="1" applyAlignment="1">
      <alignment horizontal="justify"/>
    </xf>
    <xf numFmtId="0" fontId="154" fillId="0" borderId="0" xfId="0" applyFont="1"/>
    <xf numFmtId="0" fontId="187" fillId="0" borderId="0" xfId="0" applyFont="1" applyAlignment="1">
      <alignment horizontal="left" vertical="center"/>
    </xf>
    <xf numFmtId="0" fontId="157" fillId="0" borderId="0" xfId="0" applyFont="1" applyAlignment="1">
      <alignment horizontal="center" vertical="center"/>
    </xf>
    <xf numFmtId="0" fontId="107" fillId="0" borderId="0" xfId="35" applyFont="1" applyAlignment="1">
      <alignment horizontal="center" vertical="center"/>
    </xf>
    <xf numFmtId="0" fontId="151" fillId="0" borderId="0" xfId="35" applyFont="1" applyAlignment="1">
      <alignment horizontal="center" vertical="center" wrapText="1"/>
    </xf>
    <xf numFmtId="0" fontId="160" fillId="0" borderId="0" xfId="0" applyFont="1" applyAlignment="1">
      <alignment horizontal="justify" vertical="center"/>
    </xf>
    <xf numFmtId="4" fontId="199" fillId="45" borderId="0" xfId="0" applyNumberFormat="1" applyFont="1" applyFill="1" applyAlignment="1">
      <alignment horizontal="center" vertical="top" wrapText="1"/>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4" fontId="64" fillId="0" borderId="16" xfId="0" applyNumberFormat="1" applyFont="1" applyBorder="1" applyAlignment="1">
      <alignment horizontal="center" vertical="center" wrapText="1"/>
    </xf>
    <xf numFmtId="4" fontId="64" fillId="0" borderId="17" xfId="0" applyNumberFormat="1" applyFont="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49" fontId="64" fillId="0" borderId="16" xfId="0" applyNumberFormat="1" applyFont="1" applyBorder="1" applyAlignment="1">
      <alignment horizontal="center" vertical="center" wrapText="1"/>
    </xf>
    <xf numFmtId="0" fontId="159" fillId="0" borderId="0" xfId="0" applyFont="1" applyAlignment="1">
      <alignment horizontal="justify"/>
    </xf>
    <xf numFmtId="0" fontId="159" fillId="0" borderId="0" xfId="0" applyFont="1" applyAlignment="1">
      <alignment horizontal="justify" vertical="center"/>
    </xf>
    <xf numFmtId="166" fontId="64" fillId="0" borderId="16" xfId="30" applyNumberFormat="1" applyFont="1" applyBorder="1" applyAlignment="1">
      <alignment horizontal="center" vertical="center" wrapText="1"/>
    </xf>
    <xf numFmtId="0" fontId="71" fillId="0" borderId="17" xfId="0" applyFont="1" applyBorder="1" applyAlignment="1">
      <alignment horizontal="center" vertical="center" wrapText="1"/>
    </xf>
    <xf numFmtId="166" fontId="30" fillId="0" borderId="16" xfId="30" applyNumberFormat="1" applyFont="1" applyBorder="1" applyAlignment="1">
      <alignment horizontal="center" vertical="center" wrapText="1"/>
    </xf>
    <xf numFmtId="166" fontId="30" fillId="0" borderId="17" xfId="3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4" fontId="98" fillId="29" borderId="23" xfId="0" applyNumberFormat="1" applyFont="1" applyFill="1" applyBorder="1" applyAlignment="1">
      <alignment horizontal="center" vertical="center" wrapText="1"/>
    </xf>
    <xf numFmtId="0" fontId="94" fillId="0" borderId="23" xfId="0" applyFont="1" applyBorder="1"/>
    <xf numFmtId="0" fontId="33" fillId="0" borderId="17" xfId="0" applyFont="1" applyBorder="1" applyAlignment="1">
      <alignment horizontal="center" vertical="center" wrapText="1"/>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2" fontId="181"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0" fontId="39" fillId="0" borderId="0" xfId="0" applyFont="1" applyAlignment="1">
      <alignment horizontal="center" vertical="center"/>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2" fontId="39" fillId="0" borderId="15" xfId="36" applyNumberFormat="1" applyFont="1" applyFill="1" applyBorder="1" applyAlignment="1">
      <alignment horizontal="center" vertical="center" wrapText="1"/>
    </xf>
    <xf numFmtId="164" fontId="39" fillId="47" borderId="15" xfId="36" applyNumberFormat="1" applyFont="1" applyFill="1" applyBorder="1" applyAlignment="1">
      <alignment horizontal="left" vertical="center" wrapText="1"/>
    </xf>
    <xf numFmtId="164" fontId="10" fillId="47" borderId="15" xfId="0" applyNumberFormat="1" applyFont="1" applyFill="1" applyBorder="1" applyAlignment="1">
      <alignment horizontal="left"/>
    </xf>
    <xf numFmtId="2" fontId="181" fillId="0" borderId="0" xfId="36" applyNumberFormat="1" applyFont="1" applyFill="1" applyBorder="1" applyAlignment="1">
      <alignment horizontal="center" vertical="center" wrapText="1"/>
    </xf>
    <xf numFmtId="0" fontId="40" fillId="0" borderId="0" xfId="0" applyFont="1" applyAlignment="1">
      <alignment horizontal="center" vertical="center"/>
    </xf>
    <xf numFmtId="2" fontId="39" fillId="46" borderId="15" xfId="36" applyNumberFormat="1" applyFont="1" applyFill="1" applyBorder="1" applyAlignment="1">
      <alignment horizontal="center" vertical="center"/>
    </xf>
    <xf numFmtId="0" fontId="0" fillId="46" borderId="15" xfId="0" applyFill="1" applyBorder="1" applyAlignment="1">
      <alignment horizontal="center"/>
    </xf>
    <xf numFmtId="0" fontId="10" fillId="46" borderId="15" xfId="0" applyFont="1" applyFill="1" applyBorder="1" applyAlignment="1">
      <alignment horizontal="center"/>
    </xf>
    <xf numFmtId="164" fontId="0" fillId="47" borderId="15" xfId="0" applyNumberFormat="1" applyFill="1" applyBorder="1" applyAlignment="1">
      <alignment horizontal="left"/>
    </xf>
    <xf numFmtId="0" fontId="16" fillId="0" borderId="0" xfId="0" applyFont="1" applyAlignment="1">
      <alignment horizontal="left" vertic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5" fillId="0" borderId="0" xfId="0" applyFont="1" applyAlignment="1">
      <alignment horizontal="center"/>
    </xf>
    <xf numFmtId="4" fontId="31" fillId="0" borderId="18" xfId="0" applyNumberFormat="1" applyFont="1" applyBorder="1" applyAlignment="1">
      <alignment horizontal="center" vertical="center" wrapText="1"/>
    </xf>
  </cellXfs>
  <cellStyles count="191">
    <cellStyle name="20% - Акцент1" xfId="46" xr:uid="{00000000-0005-0000-0000-000000000000}"/>
    <cellStyle name="20% - Акцент2" xfId="47" xr:uid="{00000000-0005-0000-0000-000001000000}"/>
    <cellStyle name="20% - Акцент3" xfId="48" xr:uid="{00000000-0005-0000-0000-000002000000}"/>
    <cellStyle name="20% - Акцент4" xfId="49" xr:uid="{00000000-0005-0000-0000-000003000000}"/>
    <cellStyle name="20% - Акцент5" xfId="50" xr:uid="{00000000-0005-0000-0000-000004000000}"/>
    <cellStyle name="20% - Акцент6" xfId="51" xr:uid="{00000000-0005-0000-0000-000005000000}"/>
    <cellStyle name="40% - Акцент1" xfId="52" xr:uid="{00000000-0005-0000-0000-000006000000}"/>
    <cellStyle name="40% - Акцент2" xfId="53" xr:uid="{00000000-0005-0000-0000-000007000000}"/>
    <cellStyle name="40% - Акцент3" xfId="54" xr:uid="{00000000-0005-0000-0000-000008000000}"/>
    <cellStyle name="40% - Акцент4" xfId="55" xr:uid="{00000000-0005-0000-0000-000009000000}"/>
    <cellStyle name="40% - Акцент5" xfId="56" xr:uid="{00000000-0005-0000-0000-00000A000000}"/>
    <cellStyle name="40% - Акцент6" xfId="57" xr:uid="{00000000-0005-0000-0000-00000B000000}"/>
    <cellStyle name="60% - Акцент1" xfId="58" xr:uid="{00000000-0005-0000-0000-00000C000000}"/>
    <cellStyle name="60% - Акцент2" xfId="59" xr:uid="{00000000-0005-0000-0000-00000D000000}"/>
    <cellStyle name="60% - Акцент3" xfId="60" xr:uid="{00000000-0005-0000-0000-00000E000000}"/>
    <cellStyle name="60% - Акцент4" xfId="61" xr:uid="{00000000-0005-0000-0000-00000F000000}"/>
    <cellStyle name="60% - Акцент5" xfId="62" xr:uid="{00000000-0005-0000-0000-000010000000}"/>
    <cellStyle name="60% - Акцент6" xfId="63" xr:uid="{00000000-0005-0000-0000-000011000000}"/>
    <cellStyle name="Excel Built-in Normal" xfId="102" xr:uid="{00000000-0005-0000-0000-000012000000}"/>
    <cellStyle name="Excel Built-in Normal 2" xfId="118" xr:uid="{00000000-0005-0000-0000-000013000000}"/>
    <cellStyle name="Excel Built-in Обычный_УКБ до бюджету 2016р ост" xfId="84" xr:uid="{00000000-0005-0000-0000-000014000000}"/>
    <cellStyle name="Normal_meresha_07" xfId="1" xr:uid="{00000000-0005-0000-0000-000015000000}"/>
    <cellStyle name="TableStyleLight1" xfId="131" xr:uid="{00000000-0005-0000-0000-000016000000}"/>
    <cellStyle name="TableStyleLight1 2" xfId="173" xr:uid="{00000000-0005-0000-0000-000017000000}"/>
    <cellStyle name="Акцент1" xfId="64" xr:uid="{00000000-0005-0000-0000-000018000000}"/>
    <cellStyle name="Акцент2" xfId="65" xr:uid="{00000000-0005-0000-0000-000019000000}"/>
    <cellStyle name="Акцент3" xfId="66" xr:uid="{00000000-0005-0000-0000-00001A000000}"/>
    <cellStyle name="Акцент4" xfId="67" xr:uid="{00000000-0005-0000-0000-00001B000000}"/>
    <cellStyle name="Акцент5" xfId="68" xr:uid="{00000000-0005-0000-0000-00001C000000}"/>
    <cellStyle name="Акцент6" xfId="69" xr:uid="{00000000-0005-0000-0000-00001D000000}"/>
    <cellStyle name="Ввід" xfId="2" xr:uid="{00000000-0005-0000-0000-00001E000000}"/>
    <cellStyle name="Ввід 2" xfId="180" xr:uid="{00000000-0005-0000-0000-00001F000000}"/>
    <cellStyle name="Ввід 3" xfId="103" xr:uid="{00000000-0005-0000-0000-000020000000}"/>
    <cellStyle name="Ввод " xfId="70" xr:uid="{00000000-0005-0000-0000-000021000000}"/>
    <cellStyle name="Вывод" xfId="71" xr:uid="{00000000-0005-0000-0000-000022000000}"/>
    <cellStyle name="Вычисление" xfId="72" xr:uid="{00000000-0005-0000-0000-000023000000}"/>
    <cellStyle name="Гіперпосилання 2" xfId="73" xr:uid="{00000000-0005-0000-0000-000024000000}"/>
    <cellStyle name="Добре" xfId="3" xr:uid="{00000000-0005-0000-0000-000025000000}"/>
    <cellStyle name="Заголовок 1" xfId="4" builtinId="16" customBuiltin="1"/>
    <cellStyle name="Заголовок 1 2" xfId="104" xr:uid="{00000000-0005-0000-0000-000027000000}"/>
    <cellStyle name="Заголовок 2" xfId="5" builtinId="17" customBuiltin="1"/>
    <cellStyle name="Заголовок 2 2" xfId="105" xr:uid="{00000000-0005-0000-0000-000029000000}"/>
    <cellStyle name="Заголовок 3" xfId="6" builtinId="18" customBuiltin="1"/>
    <cellStyle name="Заголовок 3 2" xfId="106" xr:uid="{00000000-0005-0000-0000-00002B000000}"/>
    <cellStyle name="Заголовок 4" xfId="7" builtinId="19" customBuiltin="1"/>
    <cellStyle name="Заголовок 4 2" xfId="107" xr:uid="{00000000-0005-0000-0000-00002D000000}"/>
    <cellStyle name="Звичайний" xfId="0" builtinId="0"/>
    <cellStyle name="Звичайний 10" xfId="8" xr:uid="{00000000-0005-0000-0000-00002E000000}"/>
    <cellStyle name="Звичайний 11" xfId="9" xr:uid="{00000000-0005-0000-0000-00002F000000}"/>
    <cellStyle name="Звичайний 12" xfId="10" xr:uid="{00000000-0005-0000-0000-000030000000}"/>
    <cellStyle name="Звичайний 13" xfId="11" xr:uid="{00000000-0005-0000-0000-000031000000}"/>
    <cellStyle name="Звичайний 14" xfId="12" xr:uid="{00000000-0005-0000-0000-000032000000}"/>
    <cellStyle name="Звичайний 15" xfId="13" xr:uid="{00000000-0005-0000-0000-000033000000}"/>
    <cellStyle name="Звичайний 16" xfId="14" xr:uid="{00000000-0005-0000-0000-000034000000}"/>
    <cellStyle name="Звичайний 17" xfId="15" xr:uid="{00000000-0005-0000-0000-000035000000}"/>
    <cellStyle name="Звичайний 18" xfId="16" xr:uid="{00000000-0005-0000-0000-000036000000}"/>
    <cellStyle name="Звичайний 19" xfId="17" xr:uid="{00000000-0005-0000-0000-000037000000}"/>
    <cellStyle name="Звичайний 2" xfId="18" xr:uid="{00000000-0005-0000-0000-000038000000}"/>
    <cellStyle name="Звичайний 2 2" xfId="19" xr:uid="{00000000-0005-0000-0000-000039000000}"/>
    <cellStyle name="Звичайний 2 2 2" xfId="88" xr:uid="{00000000-0005-0000-0000-00003A000000}"/>
    <cellStyle name="Звичайний 2 3" xfId="94" xr:uid="{00000000-0005-0000-0000-00003B000000}"/>
    <cellStyle name="Звичайний 20" xfId="20" xr:uid="{00000000-0005-0000-0000-00003C000000}"/>
    <cellStyle name="Звичайний 21" xfId="86" xr:uid="{00000000-0005-0000-0000-00003D000000}"/>
    <cellStyle name="Звичайний 21 2" xfId="93" xr:uid="{00000000-0005-0000-0000-00003E000000}"/>
    <cellStyle name="Звичайний 21 2 2" xfId="96" xr:uid="{00000000-0005-0000-0000-00003F000000}"/>
    <cellStyle name="Звичайний 21 2 2 2" xfId="181" xr:uid="{00000000-0005-0000-0000-000040000000}"/>
    <cellStyle name="Звичайний 21 2 3" xfId="98" xr:uid="{00000000-0005-0000-0000-000041000000}"/>
    <cellStyle name="Звичайний 21 2 3 2" xfId="100" xr:uid="{00000000-0005-0000-0000-000042000000}"/>
    <cellStyle name="Звичайний 21 2 3 2 2" xfId="182" xr:uid="{00000000-0005-0000-0000-000043000000}"/>
    <cellStyle name="Звичайний 21 2 3 2 3" xfId="178" xr:uid="{00000000-0005-0000-0000-000044000000}"/>
    <cellStyle name="Звичайний 21 2 3 2 3 2 2 2" xfId="190" xr:uid="{00000000-0005-0000-0000-000045000000}"/>
    <cellStyle name="Звичайний 21 2 4" xfId="160" xr:uid="{00000000-0005-0000-0000-000046000000}"/>
    <cellStyle name="Звичайний 21 3" xfId="113" xr:uid="{00000000-0005-0000-0000-000047000000}"/>
    <cellStyle name="Звичайний 22" xfId="114" xr:uid="{00000000-0005-0000-0000-000048000000}"/>
    <cellStyle name="Звичайний 22 2" xfId="140" xr:uid="{00000000-0005-0000-0000-000049000000}"/>
    <cellStyle name="Звичайний 23" xfId="115" xr:uid="{00000000-0005-0000-0000-00004A000000}"/>
    <cellStyle name="Звичайний 23 2" xfId="141" xr:uid="{00000000-0005-0000-0000-00004B000000}"/>
    <cellStyle name="Звичайний 24" xfId="116" xr:uid="{00000000-0005-0000-0000-00004C000000}"/>
    <cellStyle name="Звичайний 24 2" xfId="142" xr:uid="{00000000-0005-0000-0000-00004D000000}"/>
    <cellStyle name="Звичайний 25" xfId="117" xr:uid="{00000000-0005-0000-0000-00004E000000}"/>
    <cellStyle name="Звичайний 26" xfId="127" xr:uid="{00000000-0005-0000-0000-00004F000000}"/>
    <cellStyle name="Звичайний 27" xfId="132" xr:uid="{00000000-0005-0000-0000-000050000000}"/>
    <cellStyle name="Звичайний 27 2" xfId="145" xr:uid="{00000000-0005-0000-0000-000051000000}"/>
    <cellStyle name="Звичайний 27 2 3" xfId="151" xr:uid="{00000000-0005-0000-0000-000052000000}"/>
    <cellStyle name="Звичайний 27 2 3 2" xfId="152" xr:uid="{00000000-0005-0000-0000-000053000000}"/>
    <cellStyle name="Звичайний 27 2 3 2 2" xfId="162" xr:uid="{00000000-0005-0000-0000-000054000000}"/>
    <cellStyle name="Звичайний 27 2 3 2 2 2" xfId="177" xr:uid="{00000000-0005-0000-0000-000055000000}"/>
    <cellStyle name="Звичайний 27 3" xfId="129" xr:uid="{00000000-0005-0000-0000-000056000000}"/>
    <cellStyle name="Звичайний 27 3 2" xfId="87" xr:uid="{00000000-0005-0000-0000-000057000000}"/>
    <cellStyle name="Звичайний 27 3 2 2" xfId="144" xr:uid="{00000000-0005-0000-0000-000058000000}"/>
    <cellStyle name="Звичайний 27 3 2 3" xfId="156" xr:uid="{00000000-0005-0000-0000-000059000000}"/>
    <cellStyle name="Звичайний 27 3 2 4" xfId="165" xr:uid="{00000000-0005-0000-0000-00005A000000}"/>
    <cellStyle name="Звичайний 27 3 2 4 2" xfId="170" xr:uid="{00000000-0005-0000-0000-00005B000000}"/>
    <cellStyle name="Звичайний 27 3 2 5" xfId="130" xr:uid="{00000000-0005-0000-0000-00005C000000}"/>
    <cellStyle name="Звичайний 27 3 3" xfId="143" xr:uid="{00000000-0005-0000-0000-00005D000000}"/>
    <cellStyle name="Звичайний 27 3 3 2" xfId="135" xr:uid="{00000000-0005-0000-0000-00005E000000}"/>
    <cellStyle name="Звичайний 27 3 3 2 2" xfId="147" xr:uid="{00000000-0005-0000-0000-00005F000000}"/>
    <cellStyle name="Звичайний 27 3 3 2 3" xfId="155" xr:uid="{00000000-0005-0000-0000-000060000000}"/>
    <cellStyle name="Звичайний 27 4 2" xfId="164" xr:uid="{00000000-0005-0000-0000-000061000000}"/>
    <cellStyle name="Звичайний 27 4 2 2" xfId="169" xr:uid="{00000000-0005-0000-0000-000062000000}"/>
    <cellStyle name="Звичайний 27 4 2 2 2" xfId="175" xr:uid="{00000000-0005-0000-0000-000063000000}"/>
    <cellStyle name="Звичайний 27 5" xfId="163" xr:uid="{00000000-0005-0000-0000-000064000000}"/>
    <cellStyle name="Звичайний 27 5 2" xfId="168" xr:uid="{00000000-0005-0000-0000-000065000000}"/>
    <cellStyle name="Звичайний 27 5 2 2" xfId="174" xr:uid="{00000000-0005-0000-0000-000066000000}"/>
    <cellStyle name="Звичайний 28" xfId="136" xr:uid="{00000000-0005-0000-0000-000067000000}"/>
    <cellStyle name="Звичайний 28 2" xfId="148" xr:uid="{00000000-0005-0000-0000-000068000000}"/>
    <cellStyle name="Звичайний 28 3" xfId="154" xr:uid="{00000000-0005-0000-0000-000069000000}"/>
    <cellStyle name="Звичайний 29" xfId="139" xr:uid="{00000000-0005-0000-0000-00006A000000}"/>
    <cellStyle name="Звичайний 29 2" xfId="153" xr:uid="{00000000-0005-0000-0000-00006B000000}"/>
    <cellStyle name="Звичайний 29 2 2" xfId="166" xr:uid="{00000000-0005-0000-0000-00006C000000}"/>
    <cellStyle name="Звичайний 29 2 2 2" xfId="176" xr:uid="{00000000-0005-0000-0000-00006D000000}"/>
    <cellStyle name="Звичайний 3" xfId="21" xr:uid="{00000000-0005-0000-0000-00006E000000}"/>
    <cellStyle name="Звичайний 3 2" xfId="22" xr:uid="{00000000-0005-0000-0000-00006F000000}"/>
    <cellStyle name="Звичайний 3 2 2" xfId="89" xr:uid="{00000000-0005-0000-0000-000070000000}"/>
    <cellStyle name="Звичайний 30" xfId="158" xr:uid="{00000000-0005-0000-0000-000071000000}"/>
    <cellStyle name="Звичайний 30 2" xfId="95" xr:uid="{00000000-0005-0000-0000-000072000000}"/>
    <cellStyle name="Звичайний 30 2 2" xfId="97" xr:uid="{00000000-0005-0000-0000-000073000000}"/>
    <cellStyle name="Звичайний 30 2 3" xfId="99" xr:uid="{00000000-0005-0000-0000-000074000000}"/>
    <cellStyle name="Звичайний 30 2 3 2" xfId="101" xr:uid="{00000000-0005-0000-0000-000075000000}"/>
    <cellStyle name="Звичайний 31" xfId="161" xr:uid="{00000000-0005-0000-0000-000076000000}"/>
    <cellStyle name="Звичайний 31 2" xfId="171" xr:uid="{00000000-0005-0000-0000-000077000000}"/>
    <cellStyle name="Звичайний 31 2 2" xfId="172" xr:uid="{00000000-0005-0000-0000-000078000000}"/>
    <cellStyle name="Звичайний 32" xfId="134" xr:uid="{00000000-0005-0000-0000-000079000000}"/>
    <cellStyle name="Звичайний 32 2" xfId="137" xr:uid="{00000000-0005-0000-0000-00007A000000}"/>
    <cellStyle name="Звичайний 32 2 2" xfId="138" xr:uid="{00000000-0005-0000-0000-00007B000000}"/>
    <cellStyle name="Звичайний 32 2 2 2" xfId="150" xr:uid="{00000000-0005-0000-0000-00007C000000}"/>
    <cellStyle name="Звичайний 32 2 2 3" xfId="157" xr:uid="{00000000-0005-0000-0000-00007D000000}"/>
    <cellStyle name="Звичайний 32 2 2 4" xfId="159" xr:uid="{00000000-0005-0000-0000-00007E000000}"/>
    <cellStyle name="Звичайний 32 2 3" xfId="149" xr:uid="{00000000-0005-0000-0000-00007F000000}"/>
    <cellStyle name="Звичайний 32 3" xfId="146" xr:uid="{00000000-0005-0000-0000-000080000000}"/>
    <cellStyle name="Звичайний 33" xfId="179" xr:uid="{00000000-0005-0000-0000-000081000000}"/>
    <cellStyle name="Звичайний 4" xfId="23" xr:uid="{00000000-0005-0000-0000-000082000000}"/>
    <cellStyle name="Звичайний 4 2" xfId="24" xr:uid="{00000000-0005-0000-0000-000083000000}"/>
    <cellStyle name="Звичайний 4 2 2" xfId="90" xr:uid="{00000000-0005-0000-0000-000084000000}"/>
    <cellStyle name="Звичайний 4 3" xfId="167" xr:uid="{00000000-0005-0000-0000-000085000000}"/>
    <cellStyle name="Звичайний 5" xfId="25" xr:uid="{00000000-0005-0000-0000-000086000000}"/>
    <cellStyle name="Звичайний 6" xfId="26" xr:uid="{00000000-0005-0000-0000-000087000000}"/>
    <cellStyle name="Звичайний 7" xfId="27" xr:uid="{00000000-0005-0000-0000-000088000000}"/>
    <cellStyle name="Звичайний 8" xfId="28" xr:uid="{00000000-0005-0000-0000-000089000000}"/>
    <cellStyle name="Звичайний 9" xfId="29" xr:uid="{00000000-0005-0000-0000-00008A000000}"/>
    <cellStyle name="Звичайний_Додаток _ 3 зм_ни 4575" xfId="30" xr:uid="{00000000-0005-0000-0000-00008B000000}"/>
    <cellStyle name="Зв'язана клітинка" xfId="41" xr:uid="{00000000-0005-0000-0000-00008C000000}"/>
    <cellStyle name="Зв'язана клітинка 2" xfId="183" xr:uid="{00000000-0005-0000-0000-00008D000000}"/>
    <cellStyle name="Зв'язана клітинка 3" xfId="108" xr:uid="{00000000-0005-0000-0000-00008E000000}"/>
    <cellStyle name="Итог" xfId="74" xr:uid="{00000000-0005-0000-0000-00008F000000}"/>
    <cellStyle name="Контрольна клітинка" xfId="31" xr:uid="{00000000-0005-0000-0000-000090000000}"/>
    <cellStyle name="Контрольна клітинка 2" xfId="184" xr:uid="{00000000-0005-0000-0000-000091000000}"/>
    <cellStyle name="Контрольная ячейка" xfId="75" xr:uid="{00000000-0005-0000-0000-000092000000}"/>
    <cellStyle name="Назва" xfId="32" xr:uid="{00000000-0005-0000-0000-000093000000}"/>
    <cellStyle name="Назва 2" xfId="185" xr:uid="{00000000-0005-0000-0000-000094000000}"/>
    <cellStyle name="Назва 3" xfId="109" xr:uid="{00000000-0005-0000-0000-000095000000}"/>
    <cellStyle name="Название" xfId="76" xr:uid="{00000000-0005-0000-0000-000096000000}"/>
    <cellStyle name="Нейтральный" xfId="77" xr:uid="{00000000-0005-0000-0000-000097000000}"/>
    <cellStyle name="Обычный 2" xfId="33" xr:uid="{00000000-0005-0000-0000-000099000000}"/>
    <cellStyle name="Обычный 2 2" xfId="34" xr:uid="{00000000-0005-0000-0000-00009A000000}"/>
    <cellStyle name="Обычный 2 2 2" xfId="91" xr:uid="{00000000-0005-0000-0000-00009B000000}"/>
    <cellStyle name="Обычный 2 2 2 2" xfId="120" xr:uid="{00000000-0005-0000-0000-00009C000000}"/>
    <cellStyle name="Обычный 2 2 3" xfId="128" xr:uid="{00000000-0005-0000-0000-00009D000000}"/>
    <cellStyle name="Обычный 2 3" xfId="110" xr:uid="{00000000-0005-0000-0000-00009E000000}"/>
    <cellStyle name="Обычный 2 3 2" xfId="187" xr:uid="{00000000-0005-0000-0000-00009F000000}"/>
    <cellStyle name="Обычный 2 4" xfId="119" xr:uid="{00000000-0005-0000-0000-0000A0000000}"/>
    <cellStyle name="Обычный 2 5" xfId="186" xr:uid="{00000000-0005-0000-0000-0000A1000000}"/>
    <cellStyle name="Обычный 3" xfId="35" xr:uid="{00000000-0005-0000-0000-0000A2000000}"/>
    <cellStyle name="Обычный 3 2" xfId="121" xr:uid="{00000000-0005-0000-0000-0000A3000000}"/>
    <cellStyle name="Обычный 3 3" xfId="188" xr:uid="{00000000-0005-0000-0000-0000A4000000}"/>
    <cellStyle name="Обычный 3 4" xfId="111" xr:uid="{00000000-0005-0000-0000-0000A5000000}"/>
    <cellStyle name="Обычный 4" xfId="112" xr:uid="{00000000-0005-0000-0000-0000A6000000}"/>
    <cellStyle name="Обычный 4 2" xfId="122" xr:uid="{00000000-0005-0000-0000-0000A7000000}"/>
    <cellStyle name="Обычный 4 3" xfId="85" xr:uid="{00000000-0005-0000-0000-0000A8000000}"/>
    <cellStyle name="Обычный 5" xfId="123" xr:uid="{00000000-0005-0000-0000-0000A9000000}"/>
    <cellStyle name="Обычный 6" xfId="124" xr:uid="{00000000-0005-0000-0000-0000AA000000}"/>
    <cellStyle name="Обычный 7" xfId="125" xr:uid="{00000000-0005-0000-0000-0000AB000000}"/>
    <cellStyle name="Обычный 8" xfId="126" xr:uid="{00000000-0005-0000-0000-0000AC000000}"/>
    <cellStyle name="Обычный_Plan_kapbud_2006 уточн." xfId="36" xr:uid="{00000000-0005-0000-0000-0000AD000000}"/>
    <cellStyle name="Обычный_дод.1" xfId="37" xr:uid="{00000000-0005-0000-0000-0000AE000000}"/>
    <cellStyle name="Обычный_Додаток 2 до бюджету 2000 року" xfId="38" xr:uid="{00000000-0005-0000-0000-0000AF000000}"/>
    <cellStyle name="Обычный_Додаток №1" xfId="39" xr:uid="{00000000-0005-0000-0000-0000B0000000}"/>
    <cellStyle name="Обычный_КАПІТАЛЬНІ  ВКЛАДЕННЯ 2015 2 2" xfId="45" xr:uid="{00000000-0005-0000-0000-0000B1000000}"/>
    <cellStyle name="Обычный_УЖКГ бюджет 2016 Після Ямчука 2" xfId="40" xr:uid="{00000000-0005-0000-0000-0000B2000000}"/>
    <cellStyle name="Обычный_УКБ до бюджету 2016р ост 2" xfId="92" xr:uid="{00000000-0005-0000-0000-0000B3000000}"/>
    <cellStyle name="Плохой" xfId="78" xr:uid="{00000000-0005-0000-0000-0000B4000000}"/>
    <cellStyle name="Пояснение" xfId="79" xr:uid="{00000000-0005-0000-0000-0000B5000000}"/>
    <cellStyle name="Примечание" xfId="80" xr:uid="{00000000-0005-0000-0000-0000B6000000}"/>
    <cellStyle name="Связанная ячейка" xfId="81" xr:uid="{00000000-0005-0000-0000-0000B7000000}"/>
    <cellStyle name="Середній" xfId="42" xr:uid="{00000000-0005-0000-0000-0000B8000000}"/>
    <cellStyle name="Стиль 1" xfId="43" xr:uid="{00000000-0005-0000-0000-0000B9000000}"/>
    <cellStyle name="Текст попередження" xfId="44" xr:uid="{00000000-0005-0000-0000-0000BA000000}"/>
    <cellStyle name="Текст попередження 2" xfId="189" xr:uid="{00000000-0005-0000-0000-0000BB000000}"/>
    <cellStyle name="Текст предупреждения" xfId="82" xr:uid="{00000000-0005-0000-0000-0000BC000000}"/>
    <cellStyle name="Фінансовий 2" xfId="133" xr:uid="{00000000-0005-0000-0000-0000BD000000}"/>
    <cellStyle name="Хороший" xfId="83" xr:uid="{00000000-0005-0000-0000-0000BE000000}"/>
  </cellStyles>
  <dxfs count="0"/>
  <tableStyles count="0" defaultTableStyle="TableStyleMedium2" defaultPivotStyle="PivotStyleLight16"/>
  <colors>
    <mruColors>
      <color rgb="FF00FFCC"/>
      <color rgb="FFFFFF99"/>
      <color rgb="FFCCFF99"/>
      <color rgb="FFCCECFF"/>
      <color rgb="FFCCFFCC"/>
      <color rgb="FFCCCCFF"/>
      <color rgb="FFFFAFAF"/>
      <color rgb="FFFFABAB"/>
      <color rgb="FFFFCC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JET/2024/&#1056;&#1110;&#1096;&#1077;&#1085;&#1085;&#1103;%20&#1074;&#1110;&#1076;%20%2017.10.2024%20&#8470;%203/&#1056;&#1110;&#1096;&#1077;&#1085;&#1085;&#1103;%20&#1089;&#1077;&#1089;&#1110;&#1111;%20&#1074;&#1110;&#1076;%2017.10.2024%20&#8470;%203/&#1044;&#1086;&#1076;&#1072;&#1090;&#1082;&#1080;%2017.10.2024%20%2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1"/>
      <sheetName val="d2"/>
      <sheetName val="d3"/>
      <sheetName val="d4"/>
      <sheetName val="d5"/>
      <sheetName val="d6"/>
      <sheetName val="d7"/>
      <sheetName val="d8"/>
      <sheetName val="d9"/>
      <sheetName val="d1П"/>
      <sheetName val="d1ПР"/>
      <sheetName val="d3П"/>
      <sheetName val="d3ПР"/>
    </sheetNames>
    <sheetDataSet>
      <sheetData sheetId="0" refreshError="1"/>
      <sheetData sheetId="1">
        <row r="22">
          <cell r="C22">
            <v>150000000</v>
          </cell>
        </row>
        <row r="37">
          <cell r="C37">
            <v>10004886.99</v>
          </cell>
        </row>
        <row r="42">
          <cell r="E42">
            <v>-3440500</v>
          </cell>
          <cell r="F42">
            <v>-3440500</v>
          </cell>
        </row>
        <row r="46">
          <cell r="C46">
            <v>-3440500</v>
          </cell>
        </row>
      </sheetData>
      <sheetData sheetId="2" refreshError="1"/>
      <sheetData sheetId="3">
        <row r="29">
          <cell r="O29">
            <v>0</v>
          </cell>
          <cell r="P29">
            <v>0</v>
          </cell>
          <cell r="Q29">
            <v>0</v>
          </cell>
        </row>
      </sheetData>
      <sheetData sheetId="4" refreshError="1"/>
      <sheetData sheetId="5" refreshError="1"/>
      <sheetData sheetId="6" refreshError="1"/>
      <sheetData sheetId="7" refreshError="1"/>
      <sheetData sheetId="8">
        <row r="20">
          <cell r="F20">
            <v>1200000</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1"/>
  <sheetViews>
    <sheetView view="pageBreakPreview" topLeftCell="A130" zoomScale="70" zoomScaleNormal="100" zoomScaleSheetLayoutView="70" workbookViewId="0">
      <selection activeCell="D133" activeCellId="2" sqref="D131 D132 D133"/>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580"/>
      <c r="B1" s="580"/>
      <c r="C1" s="580"/>
      <c r="D1" s="708" t="s">
        <v>56</v>
      </c>
      <c r="E1" s="709"/>
      <c r="F1" s="709"/>
      <c r="G1" s="709"/>
    </row>
    <row r="2" spans="1:7" ht="30" customHeight="1" x14ac:dyDescent="0.2">
      <c r="A2" s="580"/>
      <c r="B2" s="580"/>
      <c r="C2" s="581"/>
      <c r="D2" s="710" t="s">
        <v>1626</v>
      </c>
      <c r="E2" s="711"/>
      <c r="F2" s="711"/>
      <c r="G2" s="711"/>
    </row>
    <row r="3" spans="1:7" ht="6" hidden="1" customHeight="1" x14ac:dyDescent="0.2">
      <c r="A3" s="580"/>
      <c r="B3" s="580"/>
      <c r="C3" s="581"/>
      <c r="D3" s="708"/>
      <c r="E3" s="711"/>
      <c r="F3" s="711"/>
      <c r="G3" s="711"/>
    </row>
    <row r="4" spans="1:7" ht="12.75" customHeight="1" x14ac:dyDescent="0.2">
      <c r="A4" s="712"/>
      <c r="B4" s="712"/>
      <c r="C4" s="712"/>
      <c r="D4" s="712"/>
      <c r="E4" s="712"/>
      <c r="F4" s="580"/>
      <c r="G4" s="580"/>
    </row>
    <row r="5" spans="1:7" ht="20.25" x14ac:dyDescent="0.2">
      <c r="A5" s="712" t="s">
        <v>1093</v>
      </c>
      <c r="B5" s="713"/>
      <c r="C5" s="713"/>
      <c r="D5" s="713"/>
      <c r="E5" s="713"/>
      <c r="F5" s="713"/>
      <c r="G5" s="580"/>
    </row>
    <row r="6" spans="1:7" ht="20.25" x14ac:dyDescent="0.2">
      <c r="A6" s="712" t="s">
        <v>1507</v>
      </c>
      <c r="B6" s="713"/>
      <c r="C6" s="713"/>
      <c r="D6" s="713"/>
      <c r="E6" s="713"/>
      <c r="F6" s="713"/>
      <c r="G6" s="580"/>
    </row>
    <row r="7" spans="1:7" ht="20.25" x14ac:dyDescent="0.2">
      <c r="A7" s="582"/>
      <c r="B7" s="305"/>
      <c r="C7" s="305"/>
      <c r="D7" s="305"/>
      <c r="E7" s="305"/>
      <c r="F7" s="305"/>
      <c r="G7" s="580"/>
    </row>
    <row r="8" spans="1:7" ht="20.25" x14ac:dyDescent="0.2">
      <c r="A8" s="714">
        <v>2256400000</v>
      </c>
      <c r="B8" s="715"/>
      <c r="C8" s="715"/>
      <c r="D8" s="715"/>
      <c r="E8" s="715"/>
      <c r="F8" s="715"/>
      <c r="G8" s="580"/>
    </row>
    <row r="9" spans="1:7" ht="15.75" x14ac:dyDescent="0.2">
      <c r="A9" s="716" t="s">
        <v>489</v>
      </c>
      <c r="B9" s="717"/>
      <c r="C9" s="717"/>
      <c r="D9" s="717"/>
      <c r="E9" s="717"/>
      <c r="F9" s="717"/>
      <c r="G9" s="580"/>
    </row>
    <row r="10" spans="1:7" ht="20.25" x14ac:dyDescent="0.2">
      <c r="A10" s="582"/>
      <c r="B10" s="467"/>
      <c r="C10" s="467"/>
      <c r="D10" s="467"/>
      <c r="E10" s="467"/>
      <c r="F10" s="467"/>
      <c r="G10" s="580"/>
    </row>
    <row r="11" spans="1:7" ht="13.5" thickBot="1" x14ac:dyDescent="0.25">
      <c r="A11" s="580"/>
      <c r="B11" s="583"/>
      <c r="C11" s="583"/>
      <c r="D11" s="583"/>
      <c r="E11" s="583"/>
      <c r="F11" s="584" t="s">
        <v>404</v>
      </c>
      <c r="G11" s="580"/>
    </row>
    <row r="12" spans="1:7" ht="14.25" thickTop="1" thickBot="1" x14ac:dyDescent="0.25">
      <c r="A12" s="718" t="s">
        <v>57</v>
      </c>
      <c r="B12" s="718" t="s">
        <v>1508</v>
      </c>
      <c r="C12" s="718" t="s">
        <v>383</v>
      </c>
      <c r="D12" s="718" t="s">
        <v>12</v>
      </c>
      <c r="E12" s="718" t="s">
        <v>52</v>
      </c>
      <c r="F12" s="718"/>
      <c r="G12" s="585"/>
    </row>
    <row r="13" spans="1:7" ht="39.75" thickTop="1" thickBot="1" x14ac:dyDescent="0.3">
      <c r="A13" s="718"/>
      <c r="B13" s="718"/>
      <c r="C13" s="718"/>
      <c r="D13" s="718"/>
      <c r="E13" s="586" t="s">
        <v>384</v>
      </c>
      <c r="F13" s="586" t="s">
        <v>425</v>
      </c>
      <c r="G13" s="587"/>
    </row>
    <row r="14" spans="1:7" ht="16.5" thickTop="1" thickBot="1" x14ac:dyDescent="0.3">
      <c r="A14" s="586">
        <v>1</v>
      </c>
      <c r="B14" s="586">
        <v>2</v>
      </c>
      <c r="C14" s="586">
        <v>3</v>
      </c>
      <c r="D14" s="586">
        <v>4</v>
      </c>
      <c r="E14" s="586">
        <v>5</v>
      </c>
      <c r="F14" s="586">
        <v>6</v>
      </c>
      <c r="G14" s="587"/>
    </row>
    <row r="15" spans="1:7" ht="25.5" customHeight="1" thickTop="1" thickBot="1" x14ac:dyDescent="0.25">
      <c r="A15" s="659">
        <v>10000000</v>
      </c>
      <c r="B15" s="659" t="s">
        <v>58</v>
      </c>
      <c r="C15" s="660">
        <f t="shared" ref="C15:C20" si="0">SUM(D15,E15)</f>
        <v>3379524186</v>
      </c>
      <c r="D15" s="660">
        <f>SUM(D16,D32,D40,D61,D26)</f>
        <v>3378324186</v>
      </c>
      <c r="E15" s="660">
        <f>SUM(E16,E32,E40,E61,E26)</f>
        <v>1200000</v>
      </c>
      <c r="F15" s="660">
        <f>SUM(F16,F32,F40,F61,F26)</f>
        <v>0</v>
      </c>
      <c r="G15" s="104"/>
    </row>
    <row r="16" spans="1:7" ht="31.7" customHeight="1" thickTop="1" thickBot="1" x14ac:dyDescent="0.25">
      <c r="A16" s="586">
        <v>11000000</v>
      </c>
      <c r="B16" s="586" t="s">
        <v>59</v>
      </c>
      <c r="C16" s="588">
        <f>SUM(D16,E16)</f>
        <v>1998737665</v>
      </c>
      <c r="D16" s="588">
        <f>SUM(D17,D24)</f>
        <v>1998737665</v>
      </c>
      <c r="E16" s="367"/>
      <c r="F16" s="367"/>
      <c r="G16" s="105"/>
    </row>
    <row r="17" spans="1:7" ht="24.75" customHeight="1" thickTop="1" thickBot="1" x14ac:dyDescent="0.25">
      <c r="A17" s="589">
        <v>11010000</v>
      </c>
      <c r="B17" s="590" t="s">
        <v>60</v>
      </c>
      <c r="C17" s="591">
        <f t="shared" si="0"/>
        <v>1997037665</v>
      </c>
      <c r="D17" s="591">
        <f>SUM(D18:D23)</f>
        <v>1997037665</v>
      </c>
      <c r="E17" s="368"/>
      <c r="F17" s="368"/>
      <c r="G17" s="105"/>
    </row>
    <row r="18" spans="1:7" ht="39.75" thickTop="1" thickBot="1" x14ac:dyDescent="0.25">
      <c r="A18" s="592">
        <v>11010100</v>
      </c>
      <c r="B18" s="593" t="s">
        <v>61</v>
      </c>
      <c r="C18" s="588">
        <f>SUM(D18,E18)</f>
        <v>1869332665</v>
      </c>
      <c r="D18" s="594">
        <f>1809332665+60000000</f>
        <v>1869332665</v>
      </c>
      <c r="E18" s="371"/>
      <c r="F18" s="371"/>
      <c r="G18" s="105"/>
    </row>
    <row r="19" spans="1:7" ht="65.25" hidden="1" thickTop="1" thickBot="1" x14ac:dyDescent="0.25">
      <c r="A19" s="369">
        <v>11010200</v>
      </c>
      <c r="B19" s="370" t="s">
        <v>62</v>
      </c>
      <c r="C19" s="367">
        <f t="shared" si="0"/>
        <v>0</v>
      </c>
      <c r="D19" s="371">
        <v>0</v>
      </c>
      <c r="E19" s="371"/>
      <c r="F19" s="371"/>
      <c r="G19" s="105"/>
    </row>
    <row r="20" spans="1:7" ht="39.75" thickTop="1" thickBot="1" x14ac:dyDescent="0.25">
      <c r="A20" s="592">
        <v>11010400</v>
      </c>
      <c r="B20" s="593" t="s">
        <v>63</v>
      </c>
      <c r="C20" s="588">
        <f t="shared" si="0"/>
        <v>60665000</v>
      </c>
      <c r="D20" s="594">
        <v>60665000</v>
      </c>
      <c r="E20" s="371"/>
      <c r="F20" s="371"/>
      <c r="G20" s="105"/>
    </row>
    <row r="21" spans="1:7" ht="39.75" thickTop="1" thickBot="1" x14ac:dyDescent="0.3">
      <c r="A21" s="592">
        <v>11010500</v>
      </c>
      <c r="B21" s="593" t="s">
        <v>64</v>
      </c>
      <c r="C21" s="588">
        <f t="shared" ref="C21:C108" si="1">SUM(D21,E21)</f>
        <v>66355000</v>
      </c>
      <c r="D21" s="594">
        <f>((56355000)+5000000)+5000000</f>
        <v>66355000</v>
      </c>
      <c r="E21" s="371"/>
      <c r="F21" s="371"/>
      <c r="G21" s="103"/>
    </row>
    <row r="22" spans="1:7" ht="27" thickTop="1" thickBot="1" x14ac:dyDescent="0.3">
      <c r="A22" s="592">
        <v>11011200</v>
      </c>
      <c r="B22" s="593" t="s">
        <v>1509</v>
      </c>
      <c r="C22" s="588">
        <f t="shared" si="1"/>
        <v>645000</v>
      </c>
      <c r="D22" s="594">
        <v>645000</v>
      </c>
      <c r="E22" s="371"/>
      <c r="F22" s="371"/>
      <c r="G22" s="103"/>
    </row>
    <row r="23" spans="1:7" ht="39.75" thickTop="1" thickBot="1" x14ac:dyDescent="0.3">
      <c r="A23" s="592">
        <v>11011300</v>
      </c>
      <c r="B23" s="593" t="s">
        <v>1510</v>
      </c>
      <c r="C23" s="588">
        <f t="shared" si="1"/>
        <v>40000</v>
      </c>
      <c r="D23" s="594">
        <v>40000</v>
      </c>
      <c r="E23" s="371"/>
      <c r="F23" s="371"/>
      <c r="G23" s="103"/>
    </row>
    <row r="24" spans="1:7" ht="28.5" customHeight="1" thickTop="1" thickBot="1" x14ac:dyDescent="0.25">
      <c r="A24" s="589">
        <v>11020000</v>
      </c>
      <c r="B24" s="590" t="s">
        <v>65</v>
      </c>
      <c r="C24" s="591">
        <f>SUM(D24,E24)</f>
        <v>1700000</v>
      </c>
      <c r="D24" s="591">
        <f>D25</f>
        <v>1700000</v>
      </c>
      <c r="E24" s="368"/>
      <c r="F24" s="368"/>
      <c r="G24" s="104"/>
    </row>
    <row r="25" spans="1:7" ht="27" thickTop="1" thickBot="1" x14ac:dyDescent="0.3">
      <c r="A25" s="592">
        <v>11020200</v>
      </c>
      <c r="B25" s="595" t="s">
        <v>66</v>
      </c>
      <c r="C25" s="588">
        <f>SUM(D25,E25)</f>
        <v>1700000</v>
      </c>
      <c r="D25" s="594">
        <v>1700000</v>
      </c>
      <c r="E25" s="371"/>
      <c r="F25" s="371"/>
      <c r="G25" s="103"/>
    </row>
    <row r="26" spans="1:7" ht="27" thickTop="1" thickBot="1" x14ac:dyDescent="0.3">
      <c r="A26" s="586">
        <v>13000000</v>
      </c>
      <c r="B26" s="596" t="s">
        <v>525</v>
      </c>
      <c r="C26" s="588">
        <f>D26+E26</f>
        <v>1000000</v>
      </c>
      <c r="D26" s="588">
        <f>SUM(D27,D30)</f>
        <v>1000000</v>
      </c>
      <c r="E26" s="371"/>
      <c r="F26" s="371"/>
      <c r="G26" s="103"/>
    </row>
    <row r="27" spans="1:7" ht="28.5" thickTop="1" thickBot="1" x14ac:dyDescent="0.3">
      <c r="A27" s="589">
        <v>13010000</v>
      </c>
      <c r="B27" s="597" t="s">
        <v>526</v>
      </c>
      <c r="C27" s="591">
        <f>D27+E27</f>
        <v>985000</v>
      </c>
      <c r="D27" s="591">
        <f>SUM(D28:D29)</f>
        <v>985000</v>
      </c>
      <c r="E27" s="368"/>
      <c r="F27" s="368"/>
      <c r="G27" s="103"/>
    </row>
    <row r="28" spans="1:7" ht="52.5" thickTop="1" thickBot="1" x14ac:dyDescent="0.3">
      <c r="A28" s="592">
        <v>13010100</v>
      </c>
      <c r="B28" s="598" t="s">
        <v>1511</v>
      </c>
      <c r="C28" s="588">
        <f t="shared" ref="C28:C32" si="2">D28+E28</f>
        <v>450000</v>
      </c>
      <c r="D28" s="594">
        <v>450000</v>
      </c>
      <c r="E28" s="371"/>
      <c r="F28" s="371"/>
      <c r="G28" s="103"/>
    </row>
    <row r="29" spans="1:7" ht="65.25" thickTop="1" thickBot="1" x14ac:dyDescent="0.3">
      <c r="A29" s="592">
        <v>13010200</v>
      </c>
      <c r="B29" s="598" t="s">
        <v>527</v>
      </c>
      <c r="C29" s="588">
        <f t="shared" si="2"/>
        <v>535000</v>
      </c>
      <c r="D29" s="594">
        <v>535000</v>
      </c>
      <c r="E29" s="371"/>
      <c r="F29" s="371"/>
      <c r="G29" s="103"/>
    </row>
    <row r="30" spans="1:7" ht="16.5" thickTop="1" thickBot="1" x14ac:dyDescent="0.3">
      <c r="A30" s="589">
        <v>13030000</v>
      </c>
      <c r="B30" s="599" t="s">
        <v>528</v>
      </c>
      <c r="C30" s="591">
        <f>D30+E30</f>
        <v>15000</v>
      </c>
      <c r="D30" s="591">
        <f>SUM(D31)</f>
        <v>15000</v>
      </c>
      <c r="E30" s="368"/>
      <c r="F30" s="368"/>
      <c r="G30" s="103"/>
    </row>
    <row r="31" spans="1:7" ht="39.75" thickTop="1" thickBot="1" x14ac:dyDescent="0.3">
      <c r="A31" s="592">
        <v>13030100</v>
      </c>
      <c r="B31" s="598" t="s">
        <v>529</v>
      </c>
      <c r="C31" s="588">
        <f t="shared" si="2"/>
        <v>15000</v>
      </c>
      <c r="D31" s="594">
        <v>15000</v>
      </c>
      <c r="E31" s="371"/>
      <c r="F31" s="371"/>
      <c r="G31" s="103"/>
    </row>
    <row r="32" spans="1:7" ht="26.45" customHeight="1" thickTop="1" thickBot="1" x14ac:dyDescent="0.3">
      <c r="A32" s="586">
        <v>14000000</v>
      </c>
      <c r="B32" s="596" t="s">
        <v>530</v>
      </c>
      <c r="C32" s="588">
        <f t="shared" si="2"/>
        <v>345056421</v>
      </c>
      <c r="D32" s="588">
        <f>SUM(D33,D35,D37)</f>
        <v>345056421</v>
      </c>
      <c r="E32" s="367"/>
      <c r="F32" s="371"/>
      <c r="G32" s="103"/>
    </row>
    <row r="33" spans="1:7" ht="30" customHeight="1" thickTop="1" thickBot="1" x14ac:dyDescent="0.3">
      <c r="A33" s="589">
        <v>14020000</v>
      </c>
      <c r="B33" s="597" t="s">
        <v>620</v>
      </c>
      <c r="C33" s="591">
        <f>SUM(D33,E33)</f>
        <v>21715000</v>
      </c>
      <c r="D33" s="591">
        <f>SUM(D34,E34)</f>
        <v>21715000</v>
      </c>
      <c r="E33" s="368"/>
      <c r="F33" s="374"/>
      <c r="G33" s="103"/>
    </row>
    <row r="34" spans="1:7" ht="16.5" thickTop="1" thickBot="1" x14ac:dyDescent="0.3">
      <c r="A34" s="592">
        <v>14021900</v>
      </c>
      <c r="B34" s="595" t="s">
        <v>619</v>
      </c>
      <c r="C34" s="594">
        <f>SUM(D34,E34)</f>
        <v>21715000</v>
      </c>
      <c r="D34" s="594">
        <v>21715000</v>
      </c>
      <c r="E34" s="367"/>
      <c r="F34" s="371"/>
      <c r="G34" s="103"/>
    </row>
    <row r="35" spans="1:7" ht="42" thickTop="1" thickBot="1" x14ac:dyDescent="0.3">
      <c r="A35" s="589">
        <v>14030000</v>
      </c>
      <c r="B35" s="597" t="s">
        <v>621</v>
      </c>
      <c r="C35" s="591">
        <f>SUM(D35,E35)</f>
        <v>73500000</v>
      </c>
      <c r="D35" s="591">
        <f>SUM(D36,E36)</f>
        <v>73500000</v>
      </c>
      <c r="E35" s="368"/>
      <c r="F35" s="374"/>
      <c r="G35" s="103"/>
    </row>
    <row r="36" spans="1:7" ht="16.5" thickTop="1" thickBot="1" x14ac:dyDescent="0.3">
      <c r="A36" s="592">
        <v>14031900</v>
      </c>
      <c r="B36" s="595" t="s">
        <v>619</v>
      </c>
      <c r="C36" s="594">
        <f>SUM(D36,E36)</f>
        <v>73500000</v>
      </c>
      <c r="D36" s="594">
        <v>73500000</v>
      </c>
      <c r="E36" s="367"/>
      <c r="F36" s="371"/>
      <c r="G36" s="103"/>
    </row>
    <row r="37" spans="1:7" ht="42" thickTop="1" thickBot="1" x14ac:dyDescent="0.3">
      <c r="A37" s="589">
        <v>14040000</v>
      </c>
      <c r="B37" s="597" t="s">
        <v>1191</v>
      </c>
      <c r="C37" s="591">
        <f>SUM(C38:C39)</f>
        <v>249841421</v>
      </c>
      <c r="D37" s="591">
        <f>SUM(D38:D39)</f>
        <v>249841421</v>
      </c>
      <c r="E37" s="368"/>
      <c r="F37" s="374"/>
      <c r="G37" s="103"/>
    </row>
    <row r="38" spans="1:7" ht="103.5" thickTop="1" thickBot="1" x14ac:dyDescent="0.25">
      <c r="A38" s="592">
        <v>14040100</v>
      </c>
      <c r="B38" s="595" t="s">
        <v>1211</v>
      </c>
      <c r="C38" s="594">
        <f>SUM(D38,E38)</f>
        <v>143091536</v>
      </c>
      <c r="D38" s="594">
        <f>198250115-55158579</f>
        <v>143091536</v>
      </c>
      <c r="E38" s="367"/>
      <c r="F38" s="371"/>
      <c r="G38" s="106"/>
    </row>
    <row r="39" spans="1:7" ht="78" thickTop="1" thickBot="1" x14ac:dyDescent="0.25">
      <c r="A39" s="592">
        <v>14040200</v>
      </c>
      <c r="B39" s="595" t="s">
        <v>1190</v>
      </c>
      <c r="C39" s="594">
        <f>SUM(D39,E39)</f>
        <v>106749885</v>
      </c>
      <c r="D39" s="594">
        <v>106749885</v>
      </c>
      <c r="E39" s="367"/>
      <c r="F39" s="371"/>
      <c r="G39" s="106"/>
    </row>
    <row r="40" spans="1:7" ht="29.25" customHeight="1" thickTop="1" thickBot="1" x14ac:dyDescent="0.3">
      <c r="A40" s="586">
        <v>18000000</v>
      </c>
      <c r="B40" s="586" t="s">
        <v>67</v>
      </c>
      <c r="C40" s="588">
        <f t="shared" si="1"/>
        <v>1033530100</v>
      </c>
      <c r="D40" s="588">
        <f>SUM(D41,D54,D57,D52)</f>
        <v>1033530100</v>
      </c>
      <c r="E40" s="367"/>
      <c r="F40" s="367"/>
      <c r="G40" s="103"/>
    </row>
    <row r="41" spans="1:7" ht="16.5" thickTop="1" thickBot="1" x14ac:dyDescent="0.3">
      <c r="A41" s="589">
        <v>18010000</v>
      </c>
      <c r="B41" s="597" t="s">
        <v>68</v>
      </c>
      <c r="C41" s="591">
        <f>SUM(D41,E41)</f>
        <v>319115000</v>
      </c>
      <c r="D41" s="591">
        <f>SUM(D42:D51)</f>
        <v>319115000</v>
      </c>
      <c r="E41" s="368"/>
      <c r="F41" s="368"/>
      <c r="G41" s="103"/>
    </row>
    <row r="42" spans="1:7" ht="52.5" thickTop="1" thickBot="1" x14ac:dyDescent="0.3">
      <c r="A42" s="592">
        <v>18010100</v>
      </c>
      <c r="B42" s="595" t="s">
        <v>69</v>
      </c>
      <c r="C42" s="588">
        <f t="shared" si="1"/>
        <v>310500</v>
      </c>
      <c r="D42" s="594">
        <v>310500</v>
      </c>
      <c r="E42" s="371"/>
      <c r="F42" s="371"/>
      <c r="G42" s="103"/>
    </row>
    <row r="43" spans="1:7" ht="52.5" thickTop="1" thickBot="1" x14ac:dyDescent="0.3">
      <c r="A43" s="592">
        <v>18010200</v>
      </c>
      <c r="B43" s="595" t="s">
        <v>70</v>
      </c>
      <c r="C43" s="588">
        <f t="shared" si="1"/>
        <v>23955000</v>
      </c>
      <c r="D43" s="594">
        <f>(20055000)+3900000</f>
        <v>23955000</v>
      </c>
      <c r="E43" s="371"/>
      <c r="F43" s="371"/>
      <c r="G43" s="103"/>
    </row>
    <row r="44" spans="1:7" ht="52.5" thickTop="1" thickBot="1" x14ac:dyDescent="0.3">
      <c r="A44" s="592">
        <v>18010300</v>
      </c>
      <c r="B44" s="595" t="s">
        <v>71</v>
      </c>
      <c r="C44" s="588">
        <f t="shared" si="1"/>
        <v>17550600</v>
      </c>
      <c r="D44" s="594">
        <f>(10050600)+7500000</f>
        <v>17550600</v>
      </c>
      <c r="E44" s="371"/>
      <c r="F44" s="371"/>
      <c r="G44" s="103"/>
    </row>
    <row r="45" spans="1:7" ht="52.5" thickTop="1" thickBot="1" x14ac:dyDescent="0.3">
      <c r="A45" s="592">
        <v>18010400</v>
      </c>
      <c r="B45" s="595" t="s">
        <v>72</v>
      </c>
      <c r="C45" s="588">
        <f t="shared" si="1"/>
        <v>43583900</v>
      </c>
      <c r="D45" s="594">
        <f>(38083900)+5500000</f>
        <v>43583900</v>
      </c>
      <c r="E45" s="371"/>
      <c r="F45" s="371"/>
      <c r="G45" s="103"/>
    </row>
    <row r="46" spans="1:7" ht="16.5" thickTop="1" thickBot="1" x14ac:dyDescent="0.3">
      <c r="A46" s="592">
        <v>18010500</v>
      </c>
      <c r="B46" s="595" t="s">
        <v>73</v>
      </c>
      <c r="C46" s="588">
        <f t="shared" si="1"/>
        <v>40250000</v>
      </c>
      <c r="D46" s="594">
        <v>40250000</v>
      </c>
      <c r="E46" s="371"/>
      <c r="F46" s="371"/>
      <c r="G46" s="103"/>
    </row>
    <row r="47" spans="1:7" ht="16.5" thickTop="1" thickBot="1" x14ac:dyDescent="0.3">
      <c r="A47" s="592">
        <v>18010600</v>
      </c>
      <c r="B47" s="595" t="s">
        <v>74</v>
      </c>
      <c r="C47" s="588">
        <f t="shared" si="1"/>
        <v>145650800</v>
      </c>
      <c r="D47" s="594">
        <v>145650800</v>
      </c>
      <c r="E47" s="371"/>
      <c r="F47" s="371"/>
      <c r="G47" s="103"/>
    </row>
    <row r="48" spans="1:7" ht="16.5" thickTop="1" thickBot="1" x14ac:dyDescent="0.3">
      <c r="A48" s="592">
        <v>18010700</v>
      </c>
      <c r="B48" s="595" t="s">
        <v>75</v>
      </c>
      <c r="C48" s="588">
        <f t="shared" si="1"/>
        <v>3500000</v>
      </c>
      <c r="D48" s="594">
        <v>3500000</v>
      </c>
      <c r="E48" s="371"/>
      <c r="F48" s="371"/>
      <c r="G48" s="103"/>
    </row>
    <row r="49" spans="1:7" ht="16.5" thickTop="1" thickBot="1" x14ac:dyDescent="0.3">
      <c r="A49" s="592">
        <v>18010900</v>
      </c>
      <c r="B49" s="595" t="s">
        <v>76</v>
      </c>
      <c r="C49" s="588">
        <f t="shared" si="1"/>
        <v>42814200</v>
      </c>
      <c r="D49" s="594">
        <v>42814200</v>
      </c>
      <c r="E49" s="371"/>
      <c r="F49" s="371"/>
      <c r="G49" s="103"/>
    </row>
    <row r="50" spans="1:7" ht="15.75" thickTop="1" thickBot="1" x14ac:dyDescent="0.25">
      <c r="A50" s="592">
        <v>18011000</v>
      </c>
      <c r="B50" s="595" t="s">
        <v>77</v>
      </c>
      <c r="C50" s="588">
        <f t="shared" si="1"/>
        <v>950000</v>
      </c>
      <c r="D50" s="594">
        <v>950000</v>
      </c>
      <c r="E50" s="371"/>
      <c r="F50" s="371"/>
      <c r="G50" s="104"/>
    </row>
    <row r="51" spans="1:7" ht="16.5" thickTop="1" thickBot="1" x14ac:dyDescent="0.3">
      <c r="A51" s="592">
        <v>18011100</v>
      </c>
      <c r="B51" s="595" t="s">
        <v>78</v>
      </c>
      <c r="C51" s="588">
        <f t="shared" si="1"/>
        <v>550000</v>
      </c>
      <c r="D51" s="594">
        <v>550000</v>
      </c>
      <c r="E51" s="371"/>
      <c r="F51" s="371"/>
      <c r="G51" s="103"/>
    </row>
    <row r="52" spans="1:7" ht="28.5" thickTop="1" thickBot="1" x14ac:dyDescent="0.3">
      <c r="A52" s="589">
        <v>18020000</v>
      </c>
      <c r="B52" s="597" t="s">
        <v>1139</v>
      </c>
      <c r="C52" s="591">
        <f t="shared" si="1"/>
        <v>500000</v>
      </c>
      <c r="D52" s="591">
        <f>SUM(D53,E53)</f>
        <v>500000</v>
      </c>
      <c r="E52" s="368"/>
      <c r="F52" s="368"/>
      <c r="G52" s="103"/>
    </row>
    <row r="53" spans="1:7" ht="27" thickTop="1" thickBot="1" x14ac:dyDescent="0.3">
      <c r="A53" s="592">
        <v>180201000</v>
      </c>
      <c r="B53" s="595" t="s">
        <v>1140</v>
      </c>
      <c r="C53" s="588">
        <f t="shared" si="1"/>
        <v>500000</v>
      </c>
      <c r="D53" s="594">
        <v>500000</v>
      </c>
      <c r="E53" s="371"/>
      <c r="F53" s="371"/>
      <c r="G53" s="103"/>
    </row>
    <row r="54" spans="1:7" ht="16.5" thickTop="1" thickBot="1" x14ac:dyDescent="0.3">
      <c r="A54" s="589">
        <v>18030000</v>
      </c>
      <c r="B54" s="597" t="s">
        <v>79</v>
      </c>
      <c r="C54" s="591">
        <f>SUM(D54,E54)</f>
        <v>2215000</v>
      </c>
      <c r="D54" s="591">
        <f>SUM(D55:D56)</f>
        <v>2215000</v>
      </c>
      <c r="E54" s="368"/>
      <c r="F54" s="368"/>
      <c r="G54" s="103"/>
    </row>
    <row r="55" spans="1:7" ht="27" thickTop="1" thickBot="1" x14ac:dyDescent="0.3">
      <c r="A55" s="592">
        <v>18030100</v>
      </c>
      <c r="B55" s="595" t="s">
        <v>80</v>
      </c>
      <c r="C55" s="588">
        <f>SUM(D55,E55)</f>
        <v>1050000</v>
      </c>
      <c r="D55" s="594">
        <v>1050000</v>
      </c>
      <c r="E55" s="371"/>
      <c r="F55" s="371"/>
      <c r="G55" s="103"/>
    </row>
    <row r="56" spans="1:7" ht="27" thickTop="1" thickBot="1" x14ac:dyDescent="0.3">
      <c r="A56" s="592">
        <v>18030200</v>
      </c>
      <c r="B56" s="595" t="s">
        <v>81</v>
      </c>
      <c r="C56" s="588">
        <f>SUM(D56,E56)</f>
        <v>1165000</v>
      </c>
      <c r="D56" s="594">
        <v>1165000</v>
      </c>
      <c r="E56" s="371"/>
      <c r="F56" s="371"/>
      <c r="G56" s="103"/>
    </row>
    <row r="57" spans="1:7" ht="16.5" thickTop="1" thickBot="1" x14ac:dyDescent="0.3">
      <c r="A57" s="589">
        <v>18050000</v>
      </c>
      <c r="B57" s="597" t="s">
        <v>82</v>
      </c>
      <c r="C57" s="591">
        <f>SUM(D57,E57)</f>
        <v>711700100</v>
      </c>
      <c r="D57" s="591">
        <f>SUM(D58:D60)</f>
        <v>711700100</v>
      </c>
      <c r="E57" s="374"/>
      <c r="F57" s="374"/>
      <c r="G57" s="103"/>
    </row>
    <row r="58" spans="1:7" ht="16.5" thickTop="1" thickBot="1" x14ac:dyDescent="0.3">
      <c r="A58" s="592">
        <v>18050300</v>
      </c>
      <c r="B58" s="593" t="s">
        <v>1023</v>
      </c>
      <c r="C58" s="588">
        <f t="shared" si="1"/>
        <v>121450000</v>
      </c>
      <c r="D58" s="594">
        <v>121450000</v>
      </c>
      <c r="E58" s="371"/>
      <c r="F58" s="371"/>
      <c r="G58" s="103"/>
    </row>
    <row r="59" spans="1:7" ht="15.75" thickTop="1" thickBot="1" x14ac:dyDescent="0.25">
      <c r="A59" s="592">
        <v>18050400</v>
      </c>
      <c r="B59" s="595" t="s">
        <v>83</v>
      </c>
      <c r="C59" s="588">
        <f t="shared" si="1"/>
        <v>585250000</v>
      </c>
      <c r="D59" s="594">
        <f>((473750000)+35000000)+41500000+35000000</f>
        <v>585250000</v>
      </c>
      <c r="E59" s="371"/>
      <c r="F59" s="371"/>
      <c r="G59" s="104"/>
    </row>
    <row r="60" spans="1:7" ht="65.25" thickTop="1" thickBot="1" x14ac:dyDescent="0.25">
      <c r="A60" s="592">
        <v>18050500</v>
      </c>
      <c r="B60" s="595" t="s">
        <v>538</v>
      </c>
      <c r="C60" s="588">
        <f t="shared" si="1"/>
        <v>5000100</v>
      </c>
      <c r="D60" s="594">
        <v>5000100</v>
      </c>
      <c r="E60" s="371"/>
      <c r="F60" s="371"/>
      <c r="G60" s="104"/>
    </row>
    <row r="61" spans="1:7" ht="31.7" customHeight="1" thickTop="1" thickBot="1" x14ac:dyDescent="0.25">
      <c r="A61" s="586">
        <v>19000000</v>
      </c>
      <c r="B61" s="600" t="s">
        <v>531</v>
      </c>
      <c r="C61" s="588">
        <f t="shared" si="1"/>
        <v>1200000</v>
      </c>
      <c r="D61" s="588"/>
      <c r="E61" s="588">
        <f>SUM(E63:E65)</f>
        <v>1200000</v>
      </c>
      <c r="F61" s="371"/>
      <c r="G61" s="104"/>
    </row>
    <row r="62" spans="1:7" ht="16.5" thickTop="1" thickBot="1" x14ac:dyDescent="0.3">
      <c r="A62" s="589">
        <v>1901000</v>
      </c>
      <c r="B62" s="590" t="s">
        <v>84</v>
      </c>
      <c r="C62" s="591">
        <f t="shared" ref="C62:C66" si="3">SUM(D62,E62)</f>
        <v>1200000</v>
      </c>
      <c r="D62" s="591">
        <f>SUM(D63:D65)</f>
        <v>0</v>
      </c>
      <c r="E62" s="591">
        <f>SUM(E63:E65)</f>
        <v>1200000</v>
      </c>
      <c r="F62" s="368"/>
      <c r="G62" s="103"/>
    </row>
    <row r="63" spans="1:7" ht="52.5" thickTop="1" thickBot="1" x14ac:dyDescent="0.3">
      <c r="A63" s="592">
        <v>19010100</v>
      </c>
      <c r="B63" s="593" t="s">
        <v>532</v>
      </c>
      <c r="C63" s="588">
        <f t="shared" si="3"/>
        <v>165850</v>
      </c>
      <c r="D63" s="594"/>
      <c r="E63" s="594">
        <v>165850</v>
      </c>
      <c r="F63" s="371"/>
      <c r="G63" s="103"/>
    </row>
    <row r="64" spans="1:7" ht="27" thickTop="1" thickBot="1" x14ac:dyDescent="0.25">
      <c r="A64" s="592">
        <v>19010200</v>
      </c>
      <c r="B64" s="593" t="s">
        <v>1254</v>
      </c>
      <c r="C64" s="588">
        <f t="shared" si="3"/>
        <v>318550</v>
      </c>
      <c r="D64" s="594"/>
      <c r="E64" s="594">
        <v>318550</v>
      </c>
      <c r="F64" s="371"/>
      <c r="G64" s="106"/>
    </row>
    <row r="65" spans="1:7" ht="52.5" thickTop="1" thickBot="1" x14ac:dyDescent="0.3">
      <c r="A65" s="592">
        <v>19010300</v>
      </c>
      <c r="B65" s="593" t="s">
        <v>1255</v>
      </c>
      <c r="C65" s="588">
        <f t="shared" si="3"/>
        <v>715600</v>
      </c>
      <c r="D65" s="594"/>
      <c r="E65" s="594">
        <v>715600</v>
      </c>
      <c r="F65" s="371"/>
      <c r="G65" s="103"/>
    </row>
    <row r="66" spans="1:7" ht="30" customHeight="1" thickTop="1" thickBot="1" x14ac:dyDescent="0.3">
      <c r="A66" s="659">
        <v>20000000</v>
      </c>
      <c r="B66" s="659" t="s">
        <v>85</v>
      </c>
      <c r="C66" s="660">
        <f t="shared" si="3"/>
        <v>357492776</v>
      </c>
      <c r="D66" s="660">
        <f>SUM(D67,D77,D90,D95)+D89</f>
        <v>125147600</v>
      </c>
      <c r="E66" s="660">
        <f>SUM(E67,E77,E90,E95)+E89</f>
        <v>232345176</v>
      </c>
      <c r="F66" s="660">
        <f>SUM(F67,F77,F90,F95)+F89</f>
        <v>3200024</v>
      </c>
      <c r="G66" s="103"/>
    </row>
    <row r="67" spans="1:7" ht="27" thickTop="1" thickBot="1" x14ac:dyDescent="0.3">
      <c r="A67" s="586">
        <v>21000000</v>
      </c>
      <c r="B67" s="586" t="s">
        <v>533</v>
      </c>
      <c r="C67" s="588">
        <f>SUM(D67,E67)</f>
        <v>40635000</v>
      </c>
      <c r="D67" s="588">
        <f>SUM(D68,D71,D70)</f>
        <v>40635000</v>
      </c>
      <c r="E67" s="367"/>
      <c r="F67" s="367"/>
      <c r="G67" s="103"/>
    </row>
    <row r="68" spans="1:7" ht="55.5" thickTop="1" thickBot="1" x14ac:dyDescent="0.3">
      <c r="A68" s="589">
        <v>21010000</v>
      </c>
      <c r="B68" s="597" t="s">
        <v>534</v>
      </c>
      <c r="C68" s="591">
        <f t="shared" si="1"/>
        <v>1500000</v>
      </c>
      <c r="D68" s="591">
        <f>D69</f>
        <v>1500000</v>
      </c>
      <c r="E68" s="368"/>
      <c r="F68" s="368"/>
      <c r="G68" s="103"/>
    </row>
    <row r="69" spans="1:7" ht="52.5" thickTop="1" thickBot="1" x14ac:dyDescent="0.3">
      <c r="A69" s="592">
        <v>21010300</v>
      </c>
      <c r="B69" s="595" t="s">
        <v>1380</v>
      </c>
      <c r="C69" s="588">
        <f t="shared" si="1"/>
        <v>1500000</v>
      </c>
      <c r="D69" s="594">
        <f>2500000-1000000</f>
        <v>1500000</v>
      </c>
      <c r="E69" s="371"/>
      <c r="F69" s="371"/>
      <c r="G69" s="103"/>
    </row>
    <row r="70" spans="1:7" ht="28.5" thickTop="1" thickBot="1" x14ac:dyDescent="0.3">
      <c r="A70" s="589">
        <v>21050000</v>
      </c>
      <c r="B70" s="597" t="s">
        <v>86</v>
      </c>
      <c r="C70" s="591">
        <f t="shared" si="1"/>
        <v>13900000</v>
      </c>
      <c r="D70" s="591">
        <v>13900000</v>
      </c>
      <c r="E70" s="368"/>
      <c r="F70" s="368"/>
      <c r="G70" s="103"/>
    </row>
    <row r="71" spans="1:7" ht="15" thickTop="1" thickBot="1" x14ac:dyDescent="0.25">
      <c r="A71" s="589">
        <v>21080000</v>
      </c>
      <c r="B71" s="597" t="s">
        <v>1024</v>
      </c>
      <c r="C71" s="591">
        <f>SUM(D71,E71)</f>
        <v>25235000</v>
      </c>
      <c r="D71" s="591">
        <f>SUM(D72:D76)</f>
        <v>25235000</v>
      </c>
      <c r="E71" s="368"/>
      <c r="F71" s="368"/>
      <c r="G71" s="106"/>
    </row>
    <row r="72" spans="1:7" ht="16.5" thickTop="1" thickBot="1" x14ac:dyDescent="0.3">
      <c r="A72" s="592">
        <v>21081100</v>
      </c>
      <c r="B72" s="601" t="s">
        <v>87</v>
      </c>
      <c r="C72" s="588">
        <f t="shared" ref="C72:C78" si="4">SUM(D72,E72)</f>
        <v>5500000</v>
      </c>
      <c r="D72" s="594">
        <v>5500000</v>
      </c>
      <c r="E72" s="371"/>
      <c r="F72" s="371"/>
      <c r="G72" s="103"/>
    </row>
    <row r="73" spans="1:7" ht="90.75" thickTop="1" thickBot="1" x14ac:dyDescent="0.3">
      <c r="A73" s="592">
        <v>21081500</v>
      </c>
      <c r="B73" s="593" t="s">
        <v>1269</v>
      </c>
      <c r="C73" s="588">
        <f t="shared" si="4"/>
        <v>1055000</v>
      </c>
      <c r="D73" s="594">
        <v>1055000</v>
      </c>
      <c r="E73" s="371"/>
      <c r="F73" s="371"/>
      <c r="G73" s="103"/>
    </row>
    <row r="74" spans="1:7" ht="16.5" thickTop="1" thickBot="1" x14ac:dyDescent="0.3">
      <c r="A74" s="592">
        <v>21081700</v>
      </c>
      <c r="B74" s="593" t="s">
        <v>374</v>
      </c>
      <c r="C74" s="588">
        <f t="shared" si="4"/>
        <v>18000000</v>
      </c>
      <c r="D74" s="594">
        <v>18000000</v>
      </c>
      <c r="E74" s="371"/>
      <c r="F74" s="371"/>
      <c r="G74" s="107"/>
    </row>
    <row r="75" spans="1:7" ht="52.5" thickTop="1" thickBot="1" x14ac:dyDescent="0.3">
      <c r="A75" s="592">
        <v>21081800</v>
      </c>
      <c r="B75" s="593" t="s">
        <v>1512</v>
      </c>
      <c r="C75" s="588">
        <f t="shared" si="4"/>
        <v>650000</v>
      </c>
      <c r="D75" s="594">
        <v>650000</v>
      </c>
      <c r="E75" s="371"/>
      <c r="F75" s="371"/>
      <c r="G75" s="107"/>
    </row>
    <row r="76" spans="1:7" ht="78" thickTop="1" thickBot="1" x14ac:dyDescent="0.3">
      <c r="A76" s="592">
        <v>21082400</v>
      </c>
      <c r="B76" s="593" t="s">
        <v>1513</v>
      </c>
      <c r="C76" s="588">
        <f t="shared" si="4"/>
        <v>30000</v>
      </c>
      <c r="D76" s="594">
        <v>30000</v>
      </c>
      <c r="E76" s="371"/>
      <c r="F76" s="371"/>
      <c r="G76" s="107"/>
    </row>
    <row r="77" spans="1:7" ht="27" thickTop="1" thickBot="1" x14ac:dyDescent="0.3">
      <c r="A77" s="586">
        <v>22000000</v>
      </c>
      <c r="B77" s="586" t="s">
        <v>88</v>
      </c>
      <c r="C77" s="588">
        <f t="shared" si="4"/>
        <v>69151600</v>
      </c>
      <c r="D77" s="588">
        <f>SUM(D78,D84,D86,D82)</f>
        <v>69151600</v>
      </c>
      <c r="E77" s="371"/>
      <c r="F77" s="371"/>
      <c r="G77" s="103"/>
    </row>
    <row r="78" spans="1:7" ht="24.75" customHeight="1" thickTop="1" thickBot="1" x14ac:dyDescent="0.3">
      <c r="A78" s="589">
        <v>22010000</v>
      </c>
      <c r="B78" s="590" t="s">
        <v>535</v>
      </c>
      <c r="C78" s="591">
        <f t="shared" si="4"/>
        <v>42150000</v>
      </c>
      <c r="D78" s="591">
        <f>SUM(D79:D81)</f>
        <v>42150000</v>
      </c>
      <c r="E78" s="368"/>
      <c r="F78" s="368"/>
      <c r="G78" s="103"/>
    </row>
    <row r="79" spans="1:7" ht="39.75" thickTop="1" thickBot="1" x14ac:dyDescent="0.3">
      <c r="A79" s="592">
        <v>22010300</v>
      </c>
      <c r="B79" s="593" t="s">
        <v>147</v>
      </c>
      <c r="C79" s="588">
        <f t="shared" si="1"/>
        <v>1350300</v>
      </c>
      <c r="D79" s="594">
        <v>1350300</v>
      </c>
      <c r="E79" s="371"/>
      <c r="F79" s="371"/>
      <c r="G79" s="103"/>
    </row>
    <row r="80" spans="1:7" ht="27" thickTop="1" thickBot="1" x14ac:dyDescent="0.3">
      <c r="A80" s="592">
        <v>22012500</v>
      </c>
      <c r="B80" s="593" t="s">
        <v>90</v>
      </c>
      <c r="C80" s="588">
        <f t="shared" si="1"/>
        <v>37699700</v>
      </c>
      <c r="D80" s="594">
        <f>(26299700)+14400000-3000000</f>
        <v>37699700</v>
      </c>
      <c r="E80" s="371"/>
      <c r="F80" s="371"/>
      <c r="G80" s="103"/>
    </row>
    <row r="81" spans="1:7" ht="39.75" thickTop="1" thickBot="1" x14ac:dyDescent="0.3">
      <c r="A81" s="592">
        <v>22012600</v>
      </c>
      <c r="B81" s="593" t="s">
        <v>89</v>
      </c>
      <c r="C81" s="588">
        <f>SUM(D81,E81)</f>
        <v>3100000</v>
      </c>
      <c r="D81" s="594">
        <v>3100000</v>
      </c>
      <c r="E81" s="371"/>
      <c r="F81" s="371"/>
      <c r="G81" s="103"/>
    </row>
    <row r="82" spans="1:7" ht="42" thickTop="1" thickBot="1" x14ac:dyDescent="0.3">
      <c r="A82" s="589">
        <v>22020000</v>
      </c>
      <c r="B82" s="590" t="s">
        <v>1599</v>
      </c>
      <c r="C82" s="591">
        <f t="shared" ref="C82" si="5">SUM(D82,E82)</f>
        <v>1005000</v>
      </c>
      <c r="D82" s="591">
        <f>SUM(D83)</f>
        <v>1005000</v>
      </c>
      <c r="E82" s="368"/>
      <c r="F82" s="368"/>
      <c r="G82" s="103"/>
    </row>
    <row r="83" spans="1:7" ht="39.75" thickTop="1" thickBot="1" x14ac:dyDescent="0.3">
      <c r="A83" s="592">
        <v>22020400</v>
      </c>
      <c r="B83" s="593" t="s">
        <v>1600</v>
      </c>
      <c r="C83" s="588">
        <f>SUM(D83,E83)</f>
        <v>1005000</v>
      </c>
      <c r="D83" s="594">
        <v>1005000</v>
      </c>
      <c r="E83" s="371"/>
      <c r="F83" s="371"/>
      <c r="G83" s="103"/>
    </row>
    <row r="84" spans="1:7" ht="42" thickTop="1" thickBot="1" x14ac:dyDescent="0.3">
      <c r="A84" s="589">
        <v>2208000</v>
      </c>
      <c r="B84" s="590" t="s">
        <v>536</v>
      </c>
      <c r="C84" s="591">
        <f t="shared" si="1"/>
        <v>25486600</v>
      </c>
      <c r="D84" s="591">
        <f>D85</f>
        <v>25486600</v>
      </c>
      <c r="E84" s="368"/>
      <c r="F84" s="368"/>
      <c r="G84" s="103"/>
    </row>
    <row r="85" spans="1:7" ht="52.5" thickTop="1" thickBot="1" x14ac:dyDescent="0.3">
      <c r="A85" s="592">
        <v>22080400</v>
      </c>
      <c r="B85" s="601" t="s">
        <v>91</v>
      </c>
      <c r="C85" s="588">
        <f t="shared" si="1"/>
        <v>25486600</v>
      </c>
      <c r="D85" s="594">
        <v>25486600</v>
      </c>
      <c r="E85" s="371"/>
      <c r="F85" s="371"/>
      <c r="G85" s="103"/>
    </row>
    <row r="86" spans="1:7" ht="16.5" thickTop="1" thickBot="1" x14ac:dyDescent="0.3">
      <c r="A86" s="589">
        <v>22090000</v>
      </c>
      <c r="B86" s="602" t="s">
        <v>92</v>
      </c>
      <c r="C86" s="591">
        <f t="shared" si="1"/>
        <v>510000</v>
      </c>
      <c r="D86" s="591">
        <f>SUM(D87:D88)</f>
        <v>510000</v>
      </c>
      <c r="E86" s="368"/>
      <c r="F86" s="368"/>
      <c r="G86" s="103"/>
    </row>
    <row r="87" spans="1:7" ht="52.5" thickTop="1" thickBot="1" x14ac:dyDescent="0.3">
      <c r="A87" s="592">
        <v>22090100</v>
      </c>
      <c r="B87" s="595" t="s">
        <v>93</v>
      </c>
      <c r="C87" s="588">
        <f t="shared" si="1"/>
        <v>405000</v>
      </c>
      <c r="D87" s="594">
        <v>405000</v>
      </c>
      <c r="E87" s="371"/>
      <c r="F87" s="371"/>
      <c r="G87" s="103"/>
    </row>
    <row r="88" spans="1:7" ht="39.75" thickTop="1" thickBot="1" x14ac:dyDescent="0.25">
      <c r="A88" s="592">
        <v>22090400</v>
      </c>
      <c r="B88" s="595" t="s">
        <v>94</v>
      </c>
      <c r="C88" s="588">
        <f t="shared" si="1"/>
        <v>105000</v>
      </c>
      <c r="D88" s="594">
        <v>105000</v>
      </c>
      <c r="E88" s="371"/>
      <c r="F88" s="371"/>
      <c r="G88" s="105"/>
    </row>
    <row r="89" spans="1:7" ht="90.75" thickTop="1" thickBot="1" x14ac:dyDescent="0.25">
      <c r="A89" s="586">
        <v>22130000</v>
      </c>
      <c r="B89" s="603" t="s">
        <v>1514</v>
      </c>
      <c r="C89" s="588">
        <f t="shared" si="1"/>
        <v>61000</v>
      </c>
      <c r="D89" s="588">
        <v>61000</v>
      </c>
      <c r="E89" s="588"/>
      <c r="F89" s="588"/>
      <c r="G89" s="105"/>
    </row>
    <row r="90" spans="1:7" ht="20.25" customHeight="1" thickTop="1" thickBot="1" x14ac:dyDescent="0.3">
      <c r="A90" s="586">
        <v>24000000</v>
      </c>
      <c r="B90" s="603" t="s">
        <v>95</v>
      </c>
      <c r="C90" s="588">
        <f t="shared" si="1"/>
        <v>18500024</v>
      </c>
      <c r="D90" s="588">
        <f>D91+D92+D94+D93</f>
        <v>15300000</v>
      </c>
      <c r="E90" s="588">
        <f>E91+E92+E94+E93</f>
        <v>3200024</v>
      </c>
      <c r="F90" s="588">
        <f>F91+F92+F94+F93</f>
        <v>3200024</v>
      </c>
      <c r="G90" s="103"/>
    </row>
    <row r="91" spans="1:7" ht="16.5" thickTop="1" thickBot="1" x14ac:dyDescent="0.3">
      <c r="A91" s="592">
        <v>24060300</v>
      </c>
      <c r="B91" s="593" t="s">
        <v>96</v>
      </c>
      <c r="C91" s="588">
        <f t="shared" si="1"/>
        <v>13000000</v>
      </c>
      <c r="D91" s="594">
        <f>(10000000)+3000000</f>
        <v>13000000</v>
      </c>
      <c r="E91" s="594"/>
      <c r="F91" s="594"/>
      <c r="G91" s="103"/>
    </row>
    <row r="92" spans="1:7" ht="65.25" thickTop="1" thickBot="1" x14ac:dyDescent="0.3">
      <c r="A92" s="592">
        <v>24062200</v>
      </c>
      <c r="B92" s="593" t="s">
        <v>375</v>
      </c>
      <c r="C92" s="588">
        <f t="shared" si="1"/>
        <v>2300000</v>
      </c>
      <c r="D92" s="594">
        <f>(1000000)+1300000</f>
        <v>2300000</v>
      </c>
      <c r="E92" s="371"/>
      <c r="F92" s="371"/>
      <c r="G92" s="103"/>
    </row>
    <row r="93" spans="1:7" ht="39.75" thickTop="1" thickBot="1" x14ac:dyDescent="0.3">
      <c r="A93" s="592">
        <v>24110700</v>
      </c>
      <c r="B93" s="604" t="s">
        <v>587</v>
      </c>
      <c r="C93" s="588">
        <f t="shared" si="1"/>
        <v>24</v>
      </c>
      <c r="D93" s="594"/>
      <c r="E93" s="594">
        <v>24</v>
      </c>
      <c r="F93" s="594">
        <v>24</v>
      </c>
      <c r="G93" s="103"/>
    </row>
    <row r="94" spans="1:7" ht="27" thickTop="1" thickBot="1" x14ac:dyDescent="0.25">
      <c r="A94" s="592">
        <v>24170000</v>
      </c>
      <c r="B94" s="595" t="s">
        <v>97</v>
      </c>
      <c r="C94" s="588">
        <f t="shared" ref="C94:C100" si="6">SUM(D94,E94)</f>
        <v>3200000</v>
      </c>
      <c r="D94" s="594"/>
      <c r="E94" s="594">
        <f>(2000000)+1200000</f>
        <v>3200000</v>
      </c>
      <c r="F94" s="594">
        <f>(2000000)+1200000</f>
        <v>3200000</v>
      </c>
      <c r="G94" s="104"/>
    </row>
    <row r="95" spans="1:7" ht="16.5" thickTop="1" thickBot="1" x14ac:dyDescent="0.3">
      <c r="A95" s="586">
        <v>25000000</v>
      </c>
      <c r="B95" s="605" t="s">
        <v>98</v>
      </c>
      <c r="C95" s="588">
        <f t="shared" si="6"/>
        <v>229145152</v>
      </c>
      <c r="D95" s="588">
        <f>SUM(D96:D100,)</f>
        <v>0</v>
      </c>
      <c r="E95" s="588">
        <f>SUM(E96)</f>
        <v>229145152</v>
      </c>
      <c r="F95" s="367"/>
      <c r="G95" s="103"/>
    </row>
    <row r="96" spans="1:7" ht="42" thickTop="1" thickBot="1" x14ac:dyDescent="0.3">
      <c r="A96" s="589">
        <v>25010000</v>
      </c>
      <c r="B96" s="597" t="s">
        <v>99</v>
      </c>
      <c r="C96" s="591">
        <f t="shared" si="6"/>
        <v>229145152</v>
      </c>
      <c r="D96" s="591">
        <v>0</v>
      </c>
      <c r="E96" s="591">
        <f>SUM(E97:E100)</f>
        <v>229145152</v>
      </c>
      <c r="F96" s="368"/>
      <c r="G96" s="103"/>
    </row>
    <row r="97" spans="1:7" ht="27" thickTop="1" thickBot="1" x14ac:dyDescent="0.3">
      <c r="A97" s="592">
        <v>25010100</v>
      </c>
      <c r="B97" s="595" t="s">
        <v>100</v>
      </c>
      <c r="C97" s="588">
        <f t="shared" si="6"/>
        <v>212481555</v>
      </c>
      <c r="D97" s="594"/>
      <c r="E97" s="594">
        <f>((212809795)-19240)-309000</f>
        <v>212481555</v>
      </c>
      <c r="F97" s="371"/>
      <c r="G97" s="103"/>
    </row>
    <row r="98" spans="1:7" ht="27" thickTop="1" thickBot="1" x14ac:dyDescent="0.3">
      <c r="A98" s="592">
        <v>25010200</v>
      </c>
      <c r="B98" s="595" t="s">
        <v>101</v>
      </c>
      <c r="C98" s="588">
        <f t="shared" si="6"/>
        <v>13119770</v>
      </c>
      <c r="D98" s="594"/>
      <c r="E98" s="594">
        <f>(12810270)+309500</f>
        <v>13119770</v>
      </c>
      <c r="F98" s="371"/>
      <c r="G98" s="103"/>
    </row>
    <row r="99" spans="1:7" ht="16.5" thickTop="1" thickBot="1" x14ac:dyDescent="0.3">
      <c r="A99" s="592">
        <v>25010300</v>
      </c>
      <c r="B99" s="595" t="s">
        <v>102</v>
      </c>
      <c r="C99" s="588">
        <f t="shared" si="6"/>
        <v>3487527</v>
      </c>
      <c r="D99" s="594"/>
      <c r="E99" s="594">
        <f>((3462787)+25240)-500</f>
        <v>3487527</v>
      </c>
      <c r="F99" s="371"/>
      <c r="G99" s="103"/>
    </row>
    <row r="100" spans="1:7" ht="39.75" thickTop="1" thickBot="1" x14ac:dyDescent="0.3">
      <c r="A100" s="592">
        <v>25010400</v>
      </c>
      <c r="B100" s="595" t="s">
        <v>103</v>
      </c>
      <c r="C100" s="588">
        <f t="shared" si="6"/>
        <v>56300</v>
      </c>
      <c r="D100" s="594"/>
      <c r="E100" s="594">
        <f>(62300)-6000</f>
        <v>56300</v>
      </c>
      <c r="F100" s="371"/>
      <c r="G100" s="103"/>
    </row>
    <row r="101" spans="1:7" ht="24.75" customHeight="1" thickTop="1" thickBot="1" x14ac:dyDescent="0.25">
      <c r="A101" s="659">
        <v>30000000</v>
      </c>
      <c r="B101" s="659" t="s">
        <v>104</v>
      </c>
      <c r="C101" s="660">
        <f>SUM(D101,E101)</f>
        <v>57487979</v>
      </c>
      <c r="D101" s="660">
        <f>SUM(D102)+D106</f>
        <v>45000</v>
      </c>
      <c r="E101" s="660">
        <f>SUM(E102)+E106</f>
        <v>57442979</v>
      </c>
      <c r="F101" s="660">
        <f>SUM(F102)+F106</f>
        <v>57442979</v>
      </c>
      <c r="G101" s="105"/>
    </row>
    <row r="102" spans="1:7" ht="27" customHeight="1" thickTop="1" thickBot="1" x14ac:dyDescent="0.3">
      <c r="A102" s="586">
        <v>31000000</v>
      </c>
      <c r="B102" s="586" t="s">
        <v>105</v>
      </c>
      <c r="C102" s="588">
        <f>SUM(D102,E102)</f>
        <v>25545000</v>
      </c>
      <c r="D102" s="588">
        <f>D103+D105</f>
        <v>45000</v>
      </c>
      <c r="E102" s="588">
        <f>E103+E105</f>
        <v>25500000</v>
      </c>
      <c r="F102" s="588">
        <f>F103+F105</f>
        <v>25500000</v>
      </c>
      <c r="G102" s="103"/>
    </row>
    <row r="103" spans="1:7" ht="82.5" thickTop="1" thickBot="1" x14ac:dyDescent="0.3">
      <c r="A103" s="589">
        <v>3101000</v>
      </c>
      <c r="B103" s="590" t="s">
        <v>537</v>
      </c>
      <c r="C103" s="591">
        <f>SUM(D103,E103)</f>
        <v>45000</v>
      </c>
      <c r="D103" s="591">
        <f>D104</f>
        <v>45000</v>
      </c>
      <c r="E103" s="591"/>
      <c r="F103" s="591"/>
      <c r="G103" s="103"/>
    </row>
    <row r="104" spans="1:7" ht="78" thickTop="1" thickBot="1" x14ac:dyDescent="0.3">
      <c r="A104" s="592">
        <v>31010200</v>
      </c>
      <c r="B104" s="595" t="s">
        <v>106</v>
      </c>
      <c r="C104" s="588">
        <f>SUM(D104,E104)</f>
        <v>45000</v>
      </c>
      <c r="D104" s="594">
        <v>45000</v>
      </c>
      <c r="E104" s="594"/>
      <c r="F104" s="594"/>
      <c r="G104" s="103"/>
    </row>
    <row r="105" spans="1:7" ht="55.5" thickTop="1" thickBot="1" x14ac:dyDescent="0.3">
      <c r="A105" s="589">
        <v>31030000</v>
      </c>
      <c r="B105" s="597" t="s">
        <v>107</v>
      </c>
      <c r="C105" s="591">
        <f t="shared" si="1"/>
        <v>25500000</v>
      </c>
      <c r="D105" s="591"/>
      <c r="E105" s="591">
        <f>((800000)+9500000)+15200000</f>
        <v>25500000</v>
      </c>
      <c r="F105" s="591">
        <f>((800000)+9500000)+15200000</f>
        <v>25500000</v>
      </c>
      <c r="G105" s="103"/>
    </row>
    <row r="106" spans="1:7" ht="27" thickTop="1" thickBot="1" x14ac:dyDescent="0.3">
      <c r="A106" s="586">
        <v>33000000</v>
      </c>
      <c r="B106" s="586" t="s">
        <v>108</v>
      </c>
      <c r="C106" s="588">
        <f t="shared" si="1"/>
        <v>31942979</v>
      </c>
      <c r="D106" s="588">
        <f>SUM(D107)</f>
        <v>0</v>
      </c>
      <c r="E106" s="588">
        <f>SUM(E107)</f>
        <v>31942979</v>
      </c>
      <c r="F106" s="588">
        <f>SUM(F107)</f>
        <v>31942979</v>
      </c>
      <c r="G106" s="103"/>
    </row>
    <row r="107" spans="1:7" ht="16.5" thickTop="1" thickBot="1" x14ac:dyDescent="0.3">
      <c r="A107" s="589">
        <v>33010000</v>
      </c>
      <c r="B107" s="590" t="s">
        <v>109</v>
      </c>
      <c r="C107" s="591">
        <f>SUM(D107,E107)</f>
        <v>31942979</v>
      </c>
      <c r="D107" s="591">
        <f>SUM(D108:D110)</f>
        <v>0</v>
      </c>
      <c r="E107" s="591">
        <f>SUM(E108:E110)</f>
        <v>31942979</v>
      </c>
      <c r="F107" s="591">
        <f>SUM(F108:F110)</f>
        <v>31942979</v>
      </c>
      <c r="G107" s="103"/>
    </row>
    <row r="108" spans="1:7" ht="52.5" thickTop="1" thickBot="1" x14ac:dyDescent="0.3">
      <c r="A108" s="592">
        <v>33010100</v>
      </c>
      <c r="B108" s="595" t="s">
        <v>343</v>
      </c>
      <c r="C108" s="588">
        <f t="shared" si="1"/>
        <v>30517840</v>
      </c>
      <c r="D108" s="594"/>
      <c r="E108" s="594">
        <v>30517840</v>
      </c>
      <c r="F108" s="594">
        <v>30517840</v>
      </c>
      <c r="G108" s="103"/>
    </row>
    <row r="109" spans="1:7" ht="52.5" thickTop="1" thickBot="1" x14ac:dyDescent="0.3">
      <c r="A109" s="592">
        <v>33010200</v>
      </c>
      <c r="B109" s="595" t="s">
        <v>110</v>
      </c>
      <c r="C109" s="588">
        <f>SUM(D109,E109)</f>
        <v>1425139</v>
      </c>
      <c r="D109" s="594"/>
      <c r="E109" s="594">
        <v>1425139</v>
      </c>
      <c r="F109" s="594">
        <v>1425139</v>
      </c>
      <c r="G109" s="103"/>
    </row>
    <row r="110" spans="1:7" ht="65.25" hidden="1" thickTop="1" thickBot="1" x14ac:dyDescent="0.3">
      <c r="A110" s="369">
        <v>33010500</v>
      </c>
      <c r="B110" s="372" t="s">
        <v>1381</v>
      </c>
      <c r="C110" s="367">
        <f>SUM(D110,E110)</f>
        <v>0</v>
      </c>
      <c r="D110" s="371"/>
      <c r="E110" s="371">
        <v>0</v>
      </c>
      <c r="F110" s="371">
        <v>0</v>
      </c>
      <c r="G110" s="103"/>
    </row>
    <row r="111" spans="1:7" ht="27" customHeight="1" thickTop="1" thickBot="1" x14ac:dyDescent="0.3">
      <c r="A111" s="659">
        <v>50000000</v>
      </c>
      <c r="B111" s="659" t="s">
        <v>486</v>
      </c>
      <c r="C111" s="660">
        <f>SUM(D111,E111)</f>
        <v>6515800</v>
      </c>
      <c r="D111" s="660">
        <f>SUM(D112)</f>
        <v>0</v>
      </c>
      <c r="E111" s="660">
        <f>SUM(E112)</f>
        <v>6515800</v>
      </c>
      <c r="F111" s="660">
        <f>SUM(F112)</f>
        <v>0</v>
      </c>
      <c r="G111" s="103"/>
    </row>
    <row r="112" spans="1:7" ht="52.5" thickTop="1" thickBot="1" x14ac:dyDescent="0.3">
      <c r="A112" s="586">
        <v>50110000</v>
      </c>
      <c r="B112" s="600" t="s">
        <v>111</v>
      </c>
      <c r="C112" s="588">
        <f t="shared" ref="C112:C150" si="7">SUM(D112,E112)</f>
        <v>6515800</v>
      </c>
      <c r="D112" s="594"/>
      <c r="E112" s="588">
        <f>(5215800)+1300000</f>
        <v>6515800</v>
      </c>
      <c r="F112" s="594"/>
      <c r="G112" s="103"/>
    </row>
    <row r="113" spans="1:7" ht="45.75" customHeight="1" thickTop="1" thickBot="1" x14ac:dyDescent="0.25">
      <c r="A113" s="606"/>
      <c r="B113" s="607" t="s">
        <v>487</v>
      </c>
      <c r="C113" s="608">
        <f t="shared" ref="C113:C121" si="8">SUM(D113,E113)</f>
        <v>3801020741</v>
      </c>
      <c r="D113" s="608">
        <f>D111+D101+D66+D15</f>
        <v>3503516786</v>
      </c>
      <c r="E113" s="608">
        <f>E111+E101+E66+E15</f>
        <v>297503955</v>
      </c>
      <c r="F113" s="608">
        <f>F111+F101+F66+F15</f>
        <v>60643003</v>
      </c>
      <c r="G113" s="104"/>
    </row>
    <row r="114" spans="1:7" ht="34.5" customHeight="1" thickTop="1" thickBot="1" x14ac:dyDescent="0.25">
      <c r="A114" s="659">
        <v>40000000</v>
      </c>
      <c r="B114" s="659" t="s">
        <v>426</v>
      </c>
      <c r="C114" s="660">
        <f>SUM(D114,E114)</f>
        <v>1062420659.52</v>
      </c>
      <c r="D114" s="660">
        <f>SUM(D120,D117,D115)</f>
        <v>1046304394.52</v>
      </c>
      <c r="E114" s="660">
        <f>SUM(E120,E117,E115)</f>
        <v>16116265</v>
      </c>
      <c r="F114" s="660">
        <f>SUM(F120,F117,F115)</f>
        <v>0</v>
      </c>
      <c r="G114" s="104"/>
    </row>
    <row r="115" spans="1:7" ht="34.5" hidden="1" customHeight="1" thickTop="1" thickBot="1" x14ac:dyDescent="0.25">
      <c r="A115" s="366">
        <v>41020000</v>
      </c>
      <c r="B115" s="373" t="s">
        <v>1318</v>
      </c>
      <c r="C115" s="367">
        <f t="shared" ref="C115:C116" si="9">SUM(D115,E115)</f>
        <v>0</v>
      </c>
      <c r="D115" s="367">
        <f>SUM(D116)</f>
        <v>0</v>
      </c>
      <c r="E115" s="367"/>
      <c r="F115" s="367"/>
      <c r="G115" s="104"/>
    </row>
    <row r="116" spans="1:7" ht="103.5" hidden="1" thickTop="1" thickBot="1" x14ac:dyDescent="0.25">
      <c r="A116" s="369">
        <v>41021400</v>
      </c>
      <c r="B116" s="372" t="s">
        <v>1325</v>
      </c>
      <c r="C116" s="367">
        <f t="shared" si="9"/>
        <v>0</v>
      </c>
      <c r="D116" s="371">
        <v>0</v>
      </c>
      <c r="E116" s="367"/>
      <c r="F116" s="367"/>
      <c r="G116" s="104"/>
    </row>
    <row r="117" spans="1:7" ht="27" thickTop="1" thickBot="1" x14ac:dyDescent="0.25">
      <c r="A117" s="586">
        <v>41040000</v>
      </c>
      <c r="B117" s="596" t="s">
        <v>344</v>
      </c>
      <c r="C117" s="588">
        <f>SUM(D117,E117)</f>
        <v>7904729.2400000002</v>
      </c>
      <c r="D117" s="588">
        <f>SUM(D118:D119)</f>
        <v>7904729.2400000002</v>
      </c>
      <c r="E117" s="367"/>
      <c r="F117" s="367"/>
      <c r="G117" s="104"/>
    </row>
    <row r="118" spans="1:7" ht="66" customHeight="1" thickTop="1" thickBot="1" x14ac:dyDescent="0.25">
      <c r="A118" s="592">
        <v>41040200</v>
      </c>
      <c r="B118" s="595" t="s">
        <v>1141</v>
      </c>
      <c r="C118" s="588">
        <f t="shared" si="8"/>
        <v>7509500</v>
      </c>
      <c r="D118" s="594">
        <v>7509500</v>
      </c>
      <c r="E118" s="367"/>
      <c r="F118" s="367"/>
      <c r="G118" s="104"/>
    </row>
    <row r="119" spans="1:7" ht="15.75" thickTop="1" thickBot="1" x14ac:dyDescent="0.25">
      <c r="A119" s="592">
        <v>41040400</v>
      </c>
      <c r="B119" s="595" t="s">
        <v>1199</v>
      </c>
      <c r="C119" s="588">
        <f t="shared" si="8"/>
        <v>395229.24000000005</v>
      </c>
      <c r="D119" s="594">
        <f>((140989.01)+73066.32+30269.34)+118333.86+32570.71</f>
        <v>395229.24000000005</v>
      </c>
      <c r="E119" s="367"/>
      <c r="F119" s="367"/>
      <c r="G119" s="104"/>
    </row>
    <row r="120" spans="1:7" s="580" customFormat="1" ht="15.75" thickTop="1" thickBot="1" x14ac:dyDescent="0.25">
      <c r="A120" s="586">
        <v>41000000</v>
      </c>
      <c r="B120" s="586" t="s">
        <v>112</v>
      </c>
      <c r="C120" s="588">
        <f t="shared" si="8"/>
        <v>1054515930.28</v>
      </c>
      <c r="D120" s="588">
        <f>SUM(D121,D130)</f>
        <v>1038399665.28</v>
      </c>
      <c r="E120" s="588">
        <f>SUM(E121,E130)</f>
        <v>16116265</v>
      </c>
      <c r="F120" s="588">
        <f>SUM(F121,F130)</f>
        <v>0</v>
      </c>
      <c r="G120" s="611"/>
    </row>
    <row r="121" spans="1:7" s="580" customFormat="1" ht="27" thickTop="1" thickBot="1" x14ac:dyDescent="0.3">
      <c r="A121" s="586">
        <v>41030000</v>
      </c>
      <c r="B121" s="605" t="s">
        <v>437</v>
      </c>
      <c r="C121" s="588">
        <f t="shared" si="8"/>
        <v>797823900</v>
      </c>
      <c r="D121" s="588">
        <f>SUM(D122:D129)</f>
        <v>797823900</v>
      </c>
      <c r="E121" s="588">
        <f>SUM(E122:E129)</f>
        <v>0</v>
      </c>
      <c r="F121" s="588">
        <f>SUM(F122:F129)</f>
        <v>0</v>
      </c>
      <c r="G121" s="587"/>
    </row>
    <row r="122" spans="1:7" ht="52.5" hidden="1" thickTop="1" thickBot="1" x14ac:dyDescent="0.3">
      <c r="A122" s="369">
        <v>41032300</v>
      </c>
      <c r="B122" s="370" t="s">
        <v>976</v>
      </c>
      <c r="C122" s="367">
        <f t="shared" si="7"/>
        <v>0</v>
      </c>
      <c r="D122" s="371">
        <v>0</v>
      </c>
      <c r="E122" s="367"/>
      <c r="F122" s="371"/>
      <c r="G122" s="103"/>
    </row>
    <row r="123" spans="1:7" ht="52.5" thickTop="1" thickBot="1" x14ac:dyDescent="0.3">
      <c r="A123" s="592">
        <v>41033300</v>
      </c>
      <c r="B123" s="662" t="s">
        <v>1622</v>
      </c>
      <c r="C123" s="663">
        <f t="shared" si="7"/>
        <v>35417600</v>
      </c>
      <c r="D123" s="594">
        <f>27529800+7887800</f>
        <v>35417600</v>
      </c>
      <c r="E123" s="588"/>
      <c r="F123" s="594"/>
      <c r="G123" s="103"/>
    </row>
    <row r="124" spans="1:7" ht="52.5" thickTop="1" thickBot="1" x14ac:dyDescent="0.3">
      <c r="A124" s="661">
        <v>41033800</v>
      </c>
      <c r="B124" s="662" t="s">
        <v>1026</v>
      </c>
      <c r="C124" s="663">
        <f t="shared" si="7"/>
        <v>8649900</v>
      </c>
      <c r="D124" s="664">
        <f>(0)+8649900</f>
        <v>8649900</v>
      </c>
      <c r="E124" s="663"/>
      <c r="F124" s="664"/>
      <c r="G124" s="103"/>
    </row>
    <row r="125" spans="1:7" ht="27" thickTop="1" thickBot="1" x14ac:dyDescent="0.3">
      <c r="A125" s="592">
        <v>41033900</v>
      </c>
      <c r="B125" s="593" t="s">
        <v>113</v>
      </c>
      <c r="C125" s="588">
        <f t="shared" si="7"/>
        <v>753756400</v>
      </c>
      <c r="D125" s="594">
        <f>(752597500)+1158900</f>
        <v>753756400</v>
      </c>
      <c r="E125" s="594"/>
      <c r="F125" s="594"/>
      <c r="G125" s="103"/>
    </row>
    <row r="126" spans="1:7" ht="52.5" hidden="1" thickTop="1" thickBot="1" x14ac:dyDescent="0.3">
      <c r="A126" s="369">
        <v>41034500</v>
      </c>
      <c r="B126" s="370" t="s">
        <v>1027</v>
      </c>
      <c r="C126" s="367">
        <f t="shared" si="7"/>
        <v>0</v>
      </c>
      <c r="D126" s="371">
        <v>0</v>
      </c>
      <c r="E126" s="371">
        <v>0</v>
      </c>
      <c r="F126" s="371">
        <v>0</v>
      </c>
      <c r="G126" s="103"/>
    </row>
    <row r="127" spans="1:7" ht="52.5" hidden="1" thickTop="1" thickBot="1" x14ac:dyDescent="0.3">
      <c r="A127" s="369">
        <v>41035500</v>
      </c>
      <c r="B127" s="370" t="s">
        <v>978</v>
      </c>
      <c r="C127" s="367">
        <f t="shared" si="7"/>
        <v>0</v>
      </c>
      <c r="D127" s="371">
        <v>0</v>
      </c>
      <c r="E127" s="371"/>
      <c r="F127" s="371"/>
      <c r="G127" s="103"/>
    </row>
    <row r="128" spans="1:7" ht="65.25" hidden="1" thickTop="1" thickBot="1" x14ac:dyDescent="0.3">
      <c r="A128" s="369">
        <v>41035600</v>
      </c>
      <c r="B128" s="370" t="s">
        <v>995</v>
      </c>
      <c r="C128" s="367">
        <f t="shared" si="7"/>
        <v>0</v>
      </c>
      <c r="D128" s="371">
        <v>0</v>
      </c>
      <c r="E128" s="371"/>
      <c r="F128" s="371"/>
      <c r="G128" s="103"/>
    </row>
    <row r="129" spans="1:7" ht="39.75" hidden="1" thickTop="1" thickBot="1" x14ac:dyDescent="0.3">
      <c r="A129" s="369">
        <v>41035700</v>
      </c>
      <c r="B129" s="370" t="s">
        <v>969</v>
      </c>
      <c r="C129" s="367">
        <f t="shared" si="7"/>
        <v>0</v>
      </c>
      <c r="D129" s="371">
        <v>0</v>
      </c>
      <c r="E129" s="371"/>
      <c r="F129" s="371"/>
      <c r="G129" s="103"/>
    </row>
    <row r="130" spans="1:7" ht="27" thickTop="1" thickBot="1" x14ac:dyDescent="0.3">
      <c r="A130" s="586">
        <v>41050000</v>
      </c>
      <c r="B130" s="605" t="s">
        <v>472</v>
      </c>
      <c r="C130" s="588">
        <f t="shared" ref="C130:C138" si="10">SUM(D130,E130)</f>
        <v>256692030.28</v>
      </c>
      <c r="D130" s="588">
        <f>SUM(D131:D144)+D151+D152</f>
        <v>240575765.28</v>
      </c>
      <c r="E130" s="588">
        <f>SUM(E131:E144)</f>
        <v>16116265</v>
      </c>
      <c r="F130" s="588">
        <f>SUM(F131:F144)</f>
        <v>0</v>
      </c>
      <c r="G130" s="103"/>
    </row>
    <row r="131" spans="1:7" ht="333" thickTop="1" thickBot="1" x14ac:dyDescent="0.3">
      <c r="A131" s="592">
        <v>41050400</v>
      </c>
      <c r="B131" s="593" t="s">
        <v>1402</v>
      </c>
      <c r="C131" s="588">
        <f t="shared" si="10"/>
        <v>109472645.87</v>
      </c>
      <c r="D131" s="594">
        <f>(0)+82535515+26937130.87</f>
        <v>109472645.87</v>
      </c>
      <c r="E131" s="594"/>
      <c r="F131" s="594"/>
      <c r="G131" s="103"/>
    </row>
    <row r="132" spans="1:7" ht="231" thickTop="1" thickBot="1" x14ac:dyDescent="0.3">
      <c r="A132" s="592">
        <v>41050500</v>
      </c>
      <c r="B132" s="593" t="s">
        <v>1028</v>
      </c>
      <c r="C132" s="588">
        <f t="shared" si="10"/>
        <v>17757858.309999999</v>
      </c>
      <c r="D132" s="594">
        <f>((0)+9627478)+8130380.31</f>
        <v>17757858.309999999</v>
      </c>
      <c r="E132" s="594"/>
      <c r="F132" s="594"/>
      <c r="G132" s="103"/>
    </row>
    <row r="133" spans="1:7" ht="320.25" thickTop="1" thickBot="1" x14ac:dyDescent="0.3">
      <c r="A133" s="592">
        <v>41050600</v>
      </c>
      <c r="B133" s="593" t="s">
        <v>1403</v>
      </c>
      <c r="C133" s="588">
        <f t="shared" si="10"/>
        <v>76282388.099999994</v>
      </c>
      <c r="D133" s="594">
        <f>(0)+29419182+46863206.1</f>
        <v>76282388.099999994</v>
      </c>
      <c r="E133" s="594"/>
      <c r="F133" s="594"/>
      <c r="G133" s="103"/>
    </row>
    <row r="134" spans="1:7" ht="138" customHeight="1" thickTop="1" thickBot="1" x14ac:dyDescent="0.3">
      <c r="A134" s="592">
        <v>41050900</v>
      </c>
      <c r="B134" s="593" t="s">
        <v>1029</v>
      </c>
      <c r="C134" s="588">
        <f t="shared" si="10"/>
        <v>6996382</v>
      </c>
      <c r="D134" s="594">
        <v>6996382</v>
      </c>
      <c r="E134" s="371"/>
      <c r="F134" s="371"/>
      <c r="G134" s="103"/>
    </row>
    <row r="135" spans="1:7" ht="39.75" thickTop="1" thickBot="1" x14ac:dyDescent="0.3">
      <c r="A135" s="592">
        <v>41051000</v>
      </c>
      <c r="B135" s="593" t="s">
        <v>473</v>
      </c>
      <c r="C135" s="588">
        <f t="shared" si="10"/>
        <v>11127203</v>
      </c>
      <c r="D135" s="594">
        <v>11127203</v>
      </c>
      <c r="E135" s="371"/>
      <c r="F135" s="371"/>
      <c r="G135" s="103"/>
    </row>
    <row r="136" spans="1:7" ht="39.75" thickTop="1" thickBot="1" x14ac:dyDescent="0.3">
      <c r="A136" s="592">
        <v>41051100</v>
      </c>
      <c r="B136" s="593" t="s">
        <v>1560</v>
      </c>
      <c r="C136" s="588">
        <f t="shared" si="10"/>
        <v>16116265</v>
      </c>
      <c r="D136" s="594"/>
      <c r="E136" s="594">
        <f>(7672111)+8444154</f>
        <v>16116265</v>
      </c>
      <c r="F136" s="371"/>
      <c r="G136" s="103"/>
    </row>
    <row r="137" spans="1:7" ht="52.5" thickTop="1" thickBot="1" x14ac:dyDescent="0.3">
      <c r="A137" s="592">
        <v>41051200</v>
      </c>
      <c r="B137" s="593" t="s">
        <v>1271</v>
      </c>
      <c r="C137" s="588">
        <f>SUM(D137,E137)</f>
        <v>7005709</v>
      </c>
      <c r="D137" s="594">
        <f>3668858+3336851</f>
        <v>7005709</v>
      </c>
      <c r="E137" s="371"/>
      <c r="F137" s="371"/>
      <c r="G137" s="103"/>
    </row>
    <row r="138" spans="1:7" ht="65.25" thickTop="1" thickBot="1" x14ac:dyDescent="0.3">
      <c r="A138" s="592">
        <v>41051400</v>
      </c>
      <c r="B138" s="593" t="s">
        <v>1609</v>
      </c>
      <c r="C138" s="588">
        <f t="shared" si="10"/>
        <v>10289256</v>
      </c>
      <c r="D138" s="594">
        <f>8348168+1367732+573356</f>
        <v>10289256</v>
      </c>
      <c r="E138" s="371"/>
      <c r="F138" s="371"/>
      <c r="G138" s="103"/>
    </row>
    <row r="139" spans="1:7" ht="65.25" thickTop="1" thickBot="1" x14ac:dyDescent="0.3">
      <c r="A139" s="592">
        <v>41051700</v>
      </c>
      <c r="B139" s="593" t="s">
        <v>940</v>
      </c>
      <c r="C139" s="588">
        <f t="shared" si="7"/>
        <v>532739</v>
      </c>
      <c r="D139" s="594">
        <v>532739</v>
      </c>
      <c r="E139" s="371"/>
      <c r="F139" s="371"/>
      <c r="G139" s="103"/>
    </row>
    <row r="140" spans="1:7" ht="103.5" hidden="1" thickTop="1" thickBot="1" x14ac:dyDescent="0.3">
      <c r="A140" s="375">
        <v>41056600</v>
      </c>
      <c r="B140" s="376" t="s">
        <v>1011</v>
      </c>
      <c r="C140" s="377">
        <f t="shared" si="7"/>
        <v>0</v>
      </c>
      <c r="D140" s="378">
        <f>10623233.82-10623233.82</f>
        <v>0</v>
      </c>
      <c r="E140" s="378"/>
      <c r="F140" s="378"/>
      <c r="G140" s="103"/>
    </row>
    <row r="141" spans="1:7" ht="52.5" hidden="1" thickTop="1" thickBot="1" x14ac:dyDescent="0.25">
      <c r="A141" s="375">
        <v>41055000</v>
      </c>
      <c r="B141" s="376" t="s">
        <v>1030</v>
      </c>
      <c r="C141" s="377">
        <f t="shared" si="7"/>
        <v>0</v>
      </c>
      <c r="D141" s="378">
        <v>0</v>
      </c>
      <c r="E141" s="378"/>
      <c r="F141" s="378"/>
      <c r="G141" s="104"/>
    </row>
    <row r="142" spans="1:7" ht="27" hidden="1" thickTop="1" thickBot="1" x14ac:dyDescent="0.25">
      <c r="A142" s="375">
        <v>41053600</v>
      </c>
      <c r="B142" s="376" t="s">
        <v>942</v>
      </c>
      <c r="C142" s="377">
        <f t="shared" si="7"/>
        <v>0</v>
      </c>
      <c r="D142" s="378"/>
      <c r="E142" s="378">
        <v>0</v>
      </c>
      <c r="F142" s="378"/>
      <c r="G142" s="104"/>
    </row>
    <row r="143" spans="1:7" ht="205.5" hidden="1" thickTop="1" thickBot="1" x14ac:dyDescent="0.25">
      <c r="A143" s="375">
        <v>41054200</v>
      </c>
      <c r="B143" s="376" t="s">
        <v>1031</v>
      </c>
      <c r="C143" s="377">
        <f t="shared" si="7"/>
        <v>0</v>
      </c>
      <c r="D143" s="378">
        <v>0</v>
      </c>
      <c r="E143" s="378"/>
      <c r="F143" s="378"/>
      <c r="G143" s="104"/>
    </row>
    <row r="144" spans="1:7" ht="27" thickTop="1" thickBot="1" x14ac:dyDescent="0.25">
      <c r="A144" s="592">
        <v>41053900</v>
      </c>
      <c r="B144" s="593" t="s">
        <v>896</v>
      </c>
      <c r="C144" s="588">
        <f t="shared" si="7"/>
        <v>1018034</v>
      </c>
      <c r="D144" s="588">
        <f>SUM(D145:D150)</f>
        <v>1018034</v>
      </c>
      <c r="E144" s="588">
        <f>SUM(E145:E150)</f>
        <v>0</v>
      </c>
      <c r="F144" s="588">
        <f>SUM(F145:F150)</f>
        <v>0</v>
      </c>
      <c r="G144" s="104"/>
    </row>
    <row r="145" spans="1:10" ht="15.75" hidden="1" thickTop="1" thickBot="1" x14ac:dyDescent="0.25">
      <c r="A145" s="592"/>
      <c r="B145" s="609" t="s">
        <v>943</v>
      </c>
      <c r="C145" s="591">
        <f>SUM(D145,E145)</f>
        <v>0</v>
      </c>
      <c r="D145" s="610"/>
      <c r="E145" s="374">
        <v>0</v>
      </c>
      <c r="F145" s="374">
        <v>0</v>
      </c>
      <c r="G145" s="104"/>
    </row>
    <row r="146" spans="1:10" ht="39.75" thickTop="1" thickBot="1" x14ac:dyDescent="0.25">
      <c r="A146" s="592"/>
      <c r="B146" s="609" t="s">
        <v>897</v>
      </c>
      <c r="C146" s="591">
        <f t="shared" si="7"/>
        <v>362971</v>
      </c>
      <c r="D146" s="610">
        <v>362971</v>
      </c>
      <c r="E146" s="374"/>
      <c r="F146" s="374"/>
      <c r="G146" s="104"/>
    </row>
    <row r="147" spans="1:10" ht="52.5" thickTop="1" thickBot="1" x14ac:dyDescent="0.25">
      <c r="A147" s="592"/>
      <c r="B147" s="609" t="s">
        <v>898</v>
      </c>
      <c r="C147" s="591">
        <f t="shared" si="7"/>
        <v>184607</v>
      </c>
      <c r="D147" s="610">
        <v>184607</v>
      </c>
      <c r="E147" s="374"/>
      <c r="F147" s="374"/>
      <c r="G147" s="104"/>
    </row>
    <row r="148" spans="1:10" ht="27" thickTop="1" thickBot="1" x14ac:dyDescent="0.25">
      <c r="A148" s="592"/>
      <c r="B148" s="609" t="s">
        <v>899</v>
      </c>
      <c r="C148" s="591">
        <f t="shared" si="7"/>
        <v>470456</v>
      </c>
      <c r="D148" s="610">
        <v>470456</v>
      </c>
      <c r="E148" s="374"/>
      <c r="F148" s="374"/>
      <c r="G148" s="104"/>
    </row>
    <row r="149" spans="1:10" ht="39.75" hidden="1" thickTop="1" thickBot="1" x14ac:dyDescent="0.25">
      <c r="A149" s="375"/>
      <c r="B149" s="379" t="s">
        <v>1068</v>
      </c>
      <c r="C149" s="108">
        <f t="shared" si="7"/>
        <v>0</v>
      </c>
      <c r="D149" s="109">
        <v>0</v>
      </c>
      <c r="E149" s="109"/>
      <c r="F149" s="109"/>
      <c r="G149" s="104"/>
    </row>
    <row r="150" spans="1:10" ht="27" hidden="1" thickTop="1" thickBot="1" x14ac:dyDescent="0.25">
      <c r="A150" s="375"/>
      <c r="B150" s="379" t="s">
        <v>1069</v>
      </c>
      <c r="C150" s="108">
        <f t="shared" si="7"/>
        <v>0</v>
      </c>
      <c r="D150" s="109"/>
      <c r="E150" s="109">
        <v>0</v>
      </c>
      <c r="F150" s="109">
        <v>0</v>
      </c>
      <c r="G150" s="104"/>
    </row>
    <row r="151" spans="1:10" ht="65.25" thickTop="1" thickBot="1" x14ac:dyDescent="0.25">
      <c r="A151" s="592">
        <v>41057700</v>
      </c>
      <c r="B151" s="593" t="s">
        <v>1357</v>
      </c>
      <c r="C151" s="588">
        <f>SUM(D151,E151)</f>
        <v>93550</v>
      </c>
      <c r="D151" s="594">
        <v>93550</v>
      </c>
      <c r="E151" s="371"/>
      <c r="F151" s="371"/>
      <c r="G151" s="104"/>
    </row>
    <row r="152" spans="1:10" ht="52.5" hidden="1" thickTop="1" thickBot="1" x14ac:dyDescent="0.25">
      <c r="A152" s="369">
        <v>41059000</v>
      </c>
      <c r="B152" s="370" t="s">
        <v>1382</v>
      </c>
      <c r="C152" s="367">
        <f>SUM(D152,E152)</f>
        <v>0</v>
      </c>
      <c r="D152" s="371">
        <v>0</v>
      </c>
      <c r="E152" s="371"/>
      <c r="F152" s="371"/>
      <c r="G152" s="104"/>
    </row>
    <row r="153" spans="1:10" ht="33.75" customHeight="1" thickTop="1" thickBot="1" x14ac:dyDescent="0.3">
      <c r="A153" s="606"/>
      <c r="B153" s="607" t="s">
        <v>1022</v>
      </c>
      <c r="C153" s="608">
        <f>SUM(D153,E153)</f>
        <v>4863441400.5200005</v>
      </c>
      <c r="D153" s="608">
        <f>SUM(D113,D114)</f>
        <v>4549821180.5200005</v>
      </c>
      <c r="E153" s="608">
        <f>SUM(E113,E114)</f>
        <v>313620220</v>
      </c>
      <c r="F153" s="608">
        <f>SUM(F113,F114)</f>
        <v>60643003</v>
      </c>
      <c r="G153" s="665" t="b">
        <f>C153=C148+C147+C146+C125+C118+C112+C105+C104+C100+C99+C98+C97+C94+C93+C92+C91+C88+C87+C85+C81+C80+C79+C74+C73+C72+C70+C69+C65+C64+C63+C60+C59+C58+C56+C55+C51+C50+C49+C48+C47+C46+C45+C44+C43+C42+C38+C36+C33+C31+C29+C25+C21+C20+C19+C18+C109+C108+C39+C53+C137+C135+C116+C151+C119+C152+C110+C133+C131+C132+C139+C89+C28+C23+C22+C76+C75+C136+C124+C83+C138+C123+C134</f>
        <v>1</v>
      </c>
      <c r="H153" s="665" t="b">
        <f>D153=D148+D147+D146+D125+D118+D112+D105+D104+D100+D99+D98+D97+D94+D93+D92+D91+D88+D87+D85+D81+D80+D79+D74+D73+D72+D70+D69+D65+D64+D63+D60+D59+D58+D56+D55+D51+D50+D49+D48+D47+D46+D45+D44+D43+D42+D38+D36+D33+D31+D29+D25+D21+D20+D19+D18+D109+D108+D39+D53+D137+D135+D116+D151+D119+D152+D110+D133+D131+D132+D139+D89+D28+D23+D22+D76+D75+D136+D124+D83+D138+D123+D134</f>
        <v>1</v>
      </c>
      <c r="I153" s="665" t="b">
        <f>E153=E148+E147+E146+E125+E118+E112+E105+E104+E100+E99+E98+E97+E94+E93+E92+E91+E88+E87+E85+E81+E80+E79+E74+E73+E72+E70+E69+E65+E64+E63+E60+E59+E58+E56+E55+E51+E50+E49+E48+E47+E46+E45+E44+E43+E42+E38+E36+E33+E31+E29+E25+E21+E20+E19+E18+E109+E108+E39+E53+E137+E135+E116+E151+E119+E152+E110+E133+E131+E132+E139+E89+E28+E23+E22+E76+E75+E136+E124+E83+E138+E123+E134</f>
        <v>1</v>
      </c>
      <c r="J153" s="665" t="b">
        <f>F153=F148+F147+F146+F125+F118+F112+F105+F104+F100+F99+F98+F97+F94+F93+F92+F91+F88+F87+F85+F81+F80+F79+F74+F73+F72+F70+F69+F65+F64+F63+F60+F59+F58+F56+F55+F51+F50+F49+F48+F47+F46+F45+F44+F43+F42+F38+F36+F33+F31+F29+F25+F21+F20+F19+F18+F109+F108+F39+F53+F137+F135+F116+F151+F119+F152+F110+F133+F131+F132+F139+F89+F28+F23+F22+F76+F75+F136+F124+F83+F138+F123+F134</f>
        <v>1</v>
      </c>
    </row>
    <row r="154" spans="1:10" ht="16.5" thickTop="1" x14ac:dyDescent="0.25">
      <c r="B154" s="110"/>
      <c r="G154" s="665" t="b">
        <f>(((((((4196633892-'d2'!C37-'d2'!C22)+129600000)+1158900+4436136.01+7672111)+178202565)+73066.32+121612444.34)+131305000+344886.99)+116381543.86)+6996382+8130380.31=C153</f>
        <v>0</v>
      </c>
    </row>
    <row r="155" spans="1:10" ht="15.75" x14ac:dyDescent="0.2">
      <c r="B155" s="361" t="s">
        <v>1458</v>
      </c>
      <c r="C155"/>
      <c r="D155"/>
      <c r="E155" s="362" t="s">
        <v>1459</v>
      </c>
      <c r="F155" s="112"/>
      <c r="G155" s="111"/>
    </row>
    <row r="156" spans="1:10" ht="15.75" hidden="1" x14ac:dyDescent="0.2">
      <c r="B156" s="361" t="s">
        <v>1423</v>
      </c>
      <c r="C156"/>
      <c r="D156"/>
      <c r="E156" s="362" t="s">
        <v>1424</v>
      </c>
      <c r="F156" s="112"/>
      <c r="G156" s="111"/>
    </row>
    <row r="157" spans="1:10" ht="15.75" x14ac:dyDescent="0.25">
      <c r="B157" s="1"/>
      <c r="C157" s="580"/>
      <c r="D157" s="580"/>
      <c r="E157" s="1"/>
    </row>
    <row r="158" spans="1:10" ht="15.75" x14ac:dyDescent="0.25">
      <c r="A158" s="113"/>
      <c r="B158" s="463" t="s">
        <v>522</v>
      </c>
      <c r="C158" s="1"/>
      <c r="D158" s="1"/>
      <c r="E158" s="1" t="s">
        <v>1326</v>
      </c>
      <c r="F158" s="113"/>
    </row>
    <row r="161" spans="3:6" x14ac:dyDescent="0.2">
      <c r="C161" s="111"/>
      <c r="D161" s="111"/>
      <c r="E161" s="111"/>
      <c r="F161" s="111"/>
    </row>
  </sheetData>
  <mergeCells count="13">
    <mergeCell ref="A6:F6"/>
    <mergeCell ref="A8:F8"/>
    <mergeCell ref="A9:F9"/>
    <mergeCell ref="A12:A13"/>
    <mergeCell ref="B12:B13"/>
    <mergeCell ref="C12:C13"/>
    <mergeCell ref="D12:D13"/>
    <mergeCell ref="E12:F12"/>
    <mergeCell ref="D1:G1"/>
    <mergeCell ref="D2:G2"/>
    <mergeCell ref="D3:G3"/>
    <mergeCell ref="A4:E4"/>
    <mergeCell ref="A5:F5"/>
  </mergeCells>
  <hyperlinks>
    <hyperlink ref="B102" location="_ftn1" display="_ftn1" xr:uid="{00000000-0004-0000-0000-000000000000}"/>
    <hyperlink ref="B101" location="_ftn1" display="_ftn1" xr:uid="{00000000-0004-0000-0000-000001000000}"/>
    <hyperlink ref="B88" location="_ftn1" display="_ftn1" xr:uid="{00000000-0004-0000-0000-000002000000}"/>
    <hyperlink ref="B20" location="_ftn1" display="_ftn1" xr:uid="{00000000-0004-0000-0000-000003000000}"/>
    <hyperlink ref="B19" location="_ftn1" display="_ftn1" xr:uid="{00000000-0004-0000-0000-000004000000}"/>
    <hyperlink ref="B64" location="_ftn1" display="_ftn1" xr:uid="{00000000-0004-0000-0000-000005000000}"/>
    <hyperlink ref="B106" location="_ftn1" display="_ftn1" xr:uid="{00000000-0004-0000-0000-000006000000}"/>
    <hyperlink ref="B107" location="_ftn1" display="_ftn1" xr:uid="{00000000-0004-0000-0000-000007000000}"/>
    <hyperlink ref="B72" location="_ftn1" display="_ftn1" xr:uid="{00000000-0004-0000-00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5"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J161"/>
  <sheetViews>
    <sheetView view="pageBreakPreview" zoomScale="70" zoomScaleNormal="100" zoomScaleSheetLayoutView="70" workbookViewId="0">
      <selection activeCell="D149" sqref="D149"/>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580"/>
      <c r="B1" s="580"/>
      <c r="C1" s="580"/>
      <c r="D1" s="708" t="s">
        <v>56</v>
      </c>
      <c r="E1" s="709"/>
      <c r="F1" s="709"/>
      <c r="G1" s="709"/>
    </row>
    <row r="2" spans="1:7" ht="30" customHeight="1" x14ac:dyDescent="0.2">
      <c r="A2" s="580"/>
      <c r="B2" s="580"/>
      <c r="C2" s="581"/>
      <c r="D2" s="710" t="s">
        <v>1626</v>
      </c>
      <c r="E2" s="711"/>
      <c r="F2" s="711"/>
      <c r="G2" s="711"/>
    </row>
    <row r="3" spans="1:7" ht="6" hidden="1" customHeight="1" x14ac:dyDescent="0.2">
      <c r="A3" s="580"/>
      <c r="B3" s="580"/>
      <c r="C3" s="581"/>
      <c r="D3" s="708"/>
      <c r="E3" s="711"/>
      <c r="F3" s="711"/>
      <c r="G3" s="711"/>
    </row>
    <row r="4" spans="1:7" ht="12.75" customHeight="1" x14ac:dyDescent="0.2">
      <c r="A4" s="712"/>
      <c r="B4" s="712"/>
      <c r="C4" s="712"/>
      <c r="D4" s="712"/>
      <c r="E4" s="712"/>
      <c r="F4" s="580"/>
      <c r="G4" s="580"/>
    </row>
    <row r="5" spans="1:7" ht="20.25" x14ac:dyDescent="0.2">
      <c r="A5" s="712" t="s">
        <v>1093</v>
      </c>
      <c r="B5" s="713"/>
      <c r="C5" s="713"/>
      <c r="D5" s="713"/>
      <c r="E5" s="713"/>
      <c r="F5" s="713"/>
      <c r="G5" s="580"/>
    </row>
    <row r="6" spans="1:7" ht="20.25" x14ac:dyDescent="0.2">
      <c r="A6" s="712" t="s">
        <v>1507</v>
      </c>
      <c r="B6" s="713"/>
      <c r="C6" s="713"/>
      <c r="D6" s="713"/>
      <c r="E6" s="713"/>
      <c r="F6" s="713"/>
      <c r="G6" s="580"/>
    </row>
    <row r="7" spans="1:7" ht="20.25" x14ac:dyDescent="0.2">
      <c r="A7" s="582"/>
      <c r="B7" s="305"/>
      <c r="C7" s="305"/>
      <c r="D7" s="305"/>
      <c r="E7" s="305"/>
      <c r="F7" s="305"/>
      <c r="G7" s="580"/>
    </row>
    <row r="8" spans="1:7" ht="20.25" x14ac:dyDescent="0.2">
      <c r="A8" s="714">
        <v>2256400000</v>
      </c>
      <c r="B8" s="715"/>
      <c r="C8" s="715"/>
      <c r="D8" s="715"/>
      <c r="E8" s="715"/>
      <c r="F8" s="715"/>
      <c r="G8" s="580"/>
    </row>
    <row r="9" spans="1:7" ht="15.75" x14ac:dyDescent="0.2">
      <c r="A9" s="716" t="s">
        <v>489</v>
      </c>
      <c r="B9" s="717"/>
      <c r="C9" s="717"/>
      <c r="D9" s="717"/>
      <c r="E9" s="717"/>
      <c r="F9" s="717"/>
      <c r="G9" s="580"/>
    </row>
    <row r="10" spans="1:7" ht="20.25" x14ac:dyDescent="0.2">
      <c r="A10" s="582"/>
      <c r="B10" s="467"/>
      <c r="C10" s="467"/>
      <c r="D10" s="467"/>
      <c r="E10" s="467"/>
      <c r="F10" s="467"/>
      <c r="G10" s="580"/>
    </row>
    <row r="11" spans="1:7" ht="13.5" thickBot="1" x14ac:dyDescent="0.25">
      <c r="A11" s="580"/>
      <c r="B11" s="583"/>
      <c r="C11" s="583"/>
      <c r="D11" s="583"/>
      <c r="E11" s="583"/>
      <c r="F11" s="584" t="s">
        <v>404</v>
      </c>
      <c r="G11" s="580"/>
    </row>
    <row r="12" spans="1:7" ht="14.25" thickTop="1" thickBot="1" x14ac:dyDescent="0.25">
      <c r="A12" s="718" t="s">
        <v>57</v>
      </c>
      <c r="B12" s="718" t="s">
        <v>1508</v>
      </c>
      <c r="C12" s="718" t="s">
        <v>383</v>
      </c>
      <c r="D12" s="718" t="s">
        <v>12</v>
      </c>
      <c r="E12" s="718" t="s">
        <v>52</v>
      </c>
      <c r="F12" s="718"/>
      <c r="G12" s="585"/>
    </row>
    <row r="13" spans="1:7" ht="39.75" thickTop="1" thickBot="1" x14ac:dyDescent="0.3">
      <c r="A13" s="718"/>
      <c r="B13" s="718"/>
      <c r="C13" s="718"/>
      <c r="D13" s="718"/>
      <c r="E13" s="586" t="s">
        <v>384</v>
      </c>
      <c r="F13" s="586" t="s">
        <v>425</v>
      </c>
      <c r="G13" s="587"/>
    </row>
    <row r="14" spans="1:7" ht="16.5" thickTop="1" thickBot="1" x14ac:dyDescent="0.3">
      <c r="A14" s="586">
        <v>1</v>
      </c>
      <c r="B14" s="586">
        <v>2</v>
      </c>
      <c r="C14" s="586">
        <v>3</v>
      </c>
      <c r="D14" s="586">
        <v>4</v>
      </c>
      <c r="E14" s="586">
        <v>5</v>
      </c>
      <c r="F14" s="586">
        <v>6</v>
      </c>
      <c r="G14" s="587"/>
    </row>
    <row r="15" spans="1:7" ht="25.5" customHeight="1" thickTop="1" thickBot="1" x14ac:dyDescent="0.25">
      <c r="A15" s="659">
        <v>10000000</v>
      </c>
      <c r="B15" s="659" t="s">
        <v>58</v>
      </c>
      <c r="C15" s="660">
        <f t="shared" ref="C15:C70" si="0">SUM(D15,E15)</f>
        <v>3339682765</v>
      </c>
      <c r="D15" s="660">
        <f>SUM(D16,D32,D40,D61,D26)</f>
        <v>3338482765</v>
      </c>
      <c r="E15" s="660">
        <f>SUM(E16,E32,E40,E61,E26)</f>
        <v>1200000</v>
      </c>
      <c r="F15" s="660">
        <f>SUM(F16,F32,F40,F61,F26)</f>
        <v>0</v>
      </c>
      <c r="G15" s="104"/>
    </row>
    <row r="16" spans="1:7" ht="31.7" customHeight="1" thickTop="1" thickBot="1" x14ac:dyDescent="0.25">
      <c r="A16" s="586">
        <v>11000000</v>
      </c>
      <c r="B16" s="586" t="s">
        <v>59</v>
      </c>
      <c r="C16" s="588">
        <f>SUM(D16,E16)</f>
        <v>1938737665</v>
      </c>
      <c r="D16" s="588">
        <f>SUM(D17,D24)</f>
        <v>1938737665</v>
      </c>
      <c r="E16" s="367"/>
      <c r="F16" s="367"/>
      <c r="G16" s="105"/>
    </row>
    <row r="17" spans="1:7" ht="24.75" customHeight="1" thickTop="1" thickBot="1" x14ac:dyDescent="0.25">
      <c r="A17" s="589">
        <v>11010000</v>
      </c>
      <c r="B17" s="590" t="s">
        <v>60</v>
      </c>
      <c r="C17" s="591">
        <f t="shared" si="0"/>
        <v>1937037665</v>
      </c>
      <c r="D17" s="591">
        <f>SUM(D18:D23)</f>
        <v>1937037665</v>
      </c>
      <c r="E17" s="368"/>
      <c r="F17" s="368"/>
      <c r="G17" s="105"/>
    </row>
    <row r="18" spans="1:7" ht="39.75" thickTop="1" thickBot="1" x14ac:dyDescent="0.25">
      <c r="A18" s="592">
        <v>11010100</v>
      </c>
      <c r="B18" s="593" t="s">
        <v>61</v>
      </c>
      <c r="C18" s="588">
        <f>SUM(D18,E18)</f>
        <v>1809332665</v>
      </c>
      <c r="D18" s="594">
        <v>1809332665</v>
      </c>
      <c r="E18" s="371"/>
      <c r="F18" s="371"/>
      <c r="G18" s="105"/>
    </row>
    <row r="19" spans="1:7" ht="65.25" hidden="1" thickTop="1" thickBot="1" x14ac:dyDescent="0.25">
      <c r="A19" s="369">
        <v>11010200</v>
      </c>
      <c r="B19" s="370" t="s">
        <v>62</v>
      </c>
      <c r="C19" s="367">
        <f t="shared" si="0"/>
        <v>0</v>
      </c>
      <c r="D19" s="371">
        <v>0</v>
      </c>
      <c r="E19" s="371"/>
      <c r="F19" s="371"/>
      <c r="G19" s="105"/>
    </row>
    <row r="20" spans="1:7" ht="39.75" thickTop="1" thickBot="1" x14ac:dyDescent="0.25">
      <c r="A20" s="592">
        <v>11010400</v>
      </c>
      <c r="B20" s="593" t="s">
        <v>63</v>
      </c>
      <c r="C20" s="588">
        <f t="shared" si="0"/>
        <v>60665000</v>
      </c>
      <c r="D20" s="594">
        <v>60665000</v>
      </c>
      <c r="E20" s="371"/>
      <c r="F20" s="371"/>
      <c r="G20" s="105"/>
    </row>
    <row r="21" spans="1:7" ht="39.75" thickTop="1" thickBot="1" x14ac:dyDescent="0.3">
      <c r="A21" s="592">
        <v>11010500</v>
      </c>
      <c r="B21" s="593" t="s">
        <v>64</v>
      </c>
      <c r="C21" s="588">
        <f t="shared" si="0"/>
        <v>66355000</v>
      </c>
      <c r="D21" s="594">
        <f>((56355000)+5000000)+5000000</f>
        <v>66355000</v>
      </c>
      <c r="E21" s="371"/>
      <c r="F21" s="371"/>
      <c r="G21" s="103"/>
    </row>
    <row r="22" spans="1:7" ht="27" thickTop="1" thickBot="1" x14ac:dyDescent="0.3">
      <c r="A22" s="592">
        <v>11011200</v>
      </c>
      <c r="B22" s="593" t="s">
        <v>1509</v>
      </c>
      <c r="C22" s="588">
        <f t="shared" si="0"/>
        <v>645000</v>
      </c>
      <c r="D22" s="594">
        <v>645000</v>
      </c>
      <c r="E22" s="371"/>
      <c r="F22" s="371"/>
      <c r="G22" s="103"/>
    </row>
    <row r="23" spans="1:7" ht="39.75" thickTop="1" thickBot="1" x14ac:dyDescent="0.3">
      <c r="A23" s="592">
        <v>11011300</v>
      </c>
      <c r="B23" s="593" t="s">
        <v>1510</v>
      </c>
      <c r="C23" s="588">
        <f t="shared" si="0"/>
        <v>40000</v>
      </c>
      <c r="D23" s="594">
        <v>40000</v>
      </c>
      <c r="E23" s="371"/>
      <c r="F23" s="371"/>
      <c r="G23" s="103"/>
    </row>
    <row r="24" spans="1:7" ht="28.5" customHeight="1" thickTop="1" thickBot="1" x14ac:dyDescent="0.25">
      <c r="A24" s="589">
        <v>11020000</v>
      </c>
      <c r="B24" s="590" t="s">
        <v>65</v>
      </c>
      <c r="C24" s="591">
        <f>SUM(D24,E24)</f>
        <v>1700000</v>
      </c>
      <c r="D24" s="591">
        <f>D25</f>
        <v>1700000</v>
      </c>
      <c r="E24" s="368"/>
      <c r="F24" s="368"/>
      <c r="G24" s="104"/>
    </row>
    <row r="25" spans="1:7" ht="27" thickTop="1" thickBot="1" x14ac:dyDescent="0.3">
      <c r="A25" s="592">
        <v>11020200</v>
      </c>
      <c r="B25" s="595" t="s">
        <v>66</v>
      </c>
      <c r="C25" s="588">
        <f>SUM(D25,E25)</f>
        <v>1700000</v>
      </c>
      <c r="D25" s="594">
        <v>1700000</v>
      </c>
      <c r="E25" s="371"/>
      <c r="F25" s="371"/>
      <c r="G25" s="103"/>
    </row>
    <row r="26" spans="1:7" ht="27" thickTop="1" thickBot="1" x14ac:dyDescent="0.3">
      <c r="A26" s="586">
        <v>13000000</v>
      </c>
      <c r="B26" s="596" t="s">
        <v>525</v>
      </c>
      <c r="C26" s="588">
        <f>D26+E26</f>
        <v>1000000</v>
      </c>
      <c r="D26" s="588">
        <f>SUM(D27,D30)</f>
        <v>1000000</v>
      </c>
      <c r="E26" s="371"/>
      <c r="F26" s="371"/>
      <c r="G26" s="103"/>
    </row>
    <row r="27" spans="1:7" ht="28.5" thickTop="1" thickBot="1" x14ac:dyDescent="0.3">
      <c r="A27" s="589">
        <v>13010000</v>
      </c>
      <c r="B27" s="597" t="s">
        <v>526</v>
      </c>
      <c r="C27" s="591">
        <f>D27+E27</f>
        <v>985000</v>
      </c>
      <c r="D27" s="591">
        <f>SUM(D28:D29)</f>
        <v>985000</v>
      </c>
      <c r="E27" s="368"/>
      <c r="F27" s="368"/>
      <c r="G27" s="103"/>
    </row>
    <row r="28" spans="1:7" ht="52.5" thickTop="1" thickBot="1" x14ac:dyDescent="0.3">
      <c r="A28" s="592">
        <v>13010100</v>
      </c>
      <c r="B28" s="598" t="s">
        <v>1511</v>
      </c>
      <c r="C28" s="588">
        <f t="shared" ref="C28:C32" si="1">D28+E28</f>
        <v>450000</v>
      </c>
      <c r="D28" s="594">
        <v>450000</v>
      </c>
      <c r="E28" s="371"/>
      <c r="F28" s="371"/>
      <c r="G28" s="103"/>
    </row>
    <row r="29" spans="1:7" ht="65.25" thickTop="1" thickBot="1" x14ac:dyDescent="0.3">
      <c r="A29" s="592">
        <v>13010200</v>
      </c>
      <c r="B29" s="598" t="s">
        <v>527</v>
      </c>
      <c r="C29" s="588">
        <f t="shared" si="1"/>
        <v>535000</v>
      </c>
      <c r="D29" s="594">
        <v>535000</v>
      </c>
      <c r="E29" s="371"/>
      <c r="F29" s="371"/>
      <c r="G29" s="103"/>
    </row>
    <row r="30" spans="1:7" ht="16.5" thickTop="1" thickBot="1" x14ac:dyDescent="0.3">
      <c r="A30" s="589">
        <v>13030000</v>
      </c>
      <c r="B30" s="599" t="s">
        <v>528</v>
      </c>
      <c r="C30" s="591">
        <f>D30+E30</f>
        <v>15000</v>
      </c>
      <c r="D30" s="591">
        <f>SUM(D31)</f>
        <v>15000</v>
      </c>
      <c r="E30" s="368"/>
      <c r="F30" s="368"/>
      <c r="G30" s="103"/>
    </row>
    <row r="31" spans="1:7" ht="39.75" thickTop="1" thickBot="1" x14ac:dyDescent="0.3">
      <c r="A31" s="592">
        <v>13030100</v>
      </c>
      <c r="B31" s="598" t="s">
        <v>529</v>
      </c>
      <c r="C31" s="588">
        <f t="shared" si="1"/>
        <v>15000</v>
      </c>
      <c r="D31" s="594">
        <v>15000</v>
      </c>
      <c r="E31" s="371"/>
      <c r="F31" s="371"/>
      <c r="G31" s="103"/>
    </row>
    <row r="32" spans="1:7" ht="26.45" customHeight="1" thickTop="1" thickBot="1" x14ac:dyDescent="0.3">
      <c r="A32" s="586">
        <v>14000000</v>
      </c>
      <c r="B32" s="596" t="s">
        <v>530</v>
      </c>
      <c r="C32" s="588">
        <f t="shared" si="1"/>
        <v>400215000</v>
      </c>
      <c r="D32" s="588">
        <f>SUM(D33,D35,D37)</f>
        <v>400215000</v>
      </c>
      <c r="E32" s="367"/>
      <c r="F32" s="371"/>
      <c r="G32" s="103"/>
    </row>
    <row r="33" spans="1:7" ht="30" customHeight="1" thickTop="1" thickBot="1" x14ac:dyDescent="0.3">
      <c r="A33" s="589">
        <v>14020000</v>
      </c>
      <c r="B33" s="597" t="s">
        <v>620</v>
      </c>
      <c r="C33" s="591">
        <f>SUM(D33,E33)</f>
        <v>21715000</v>
      </c>
      <c r="D33" s="591">
        <f>SUM(D34,E34)</f>
        <v>21715000</v>
      </c>
      <c r="E33" s="368"/>
      <c r="F33" s="374"/>
      <c r="G33" s="103"/>
    </row>
    <row r="34" spans="1:7" ht="16.5" thickTop="1" thickBot="1" x14ac:dyDescent="0.3">
      <c r="A34" s="592">
        <v>14021900</v>
      </c>
      <c r="B34" s="595" t="s">
        <v>619</v>
      </c>
      <c r="C34" s="594">
        <f>SUM(D34,E34)</f>
        <v>21715000</v>
      </c>
      <c r="D34" s="594">
        <v>21715000</v>
      </c>
      <c r="E34" s="367"/>
      <c r="F34" s="371"/>
      <c r="G34" s="103"/>
    </row>
    <row r="35" spans="1:7" ht="42" thickTop="1" thickBot="1" x14ac:dyDescent="0.3">
      <c r="A35" s="589">
        <v>14030000</v>
      </c>
      <c r="B35" s="597" t="s">
        <v>621</v>
      </c>
      <c r="C35" s="591">
        <f>SUM(D35,E35)</f>
        <v>73500000</v>
      </c>
      <c r="D35" s="591">
        <f>SUM(D36,E36)</f>
        <v>73500000</v>
      </c>
      <c r="E35" s="368"/>
      <c r="F35" s="374"/>
      <c r="G35" s="103"/>
    </row>
    <row r="36" spans="1:7" ht="16.5" thickTop="1" thickBot="1" x14ac:dyDescent="0.3">
      <c r="A36" s="592">
        <v>14031900</v>
      </c>
      <c r="B36" s="595" t="s">
        <v>619</v>
      </c>
      <c r="C36" s="594">
        <f>SUM(D36,E36)</f>
        <v>73500000</v>
      </c>
      <c r="D36" s="594">
        <v>73500000</v>
      </c>
      <c r="E36" s="367"/>
      <c r="F36" s="371"/>
      <c r="G36" s="103"/>
    </row>
    <row r="37" spans="1:7" ht="42" thickTop="1" thickBot="1" x14ac:dyDescent="0.3">
      <c r="A37" s="589">
        <v>14040000</v>
      </c>
      <c r="B37" s="597" t="s">
        <v>1191</v>
      </c>
      <c r="C37" s="591">
        <f>SUM(C38:C39)</f>
        <v>305000000</v>
      </c>
      <c r="D37" s="591">
        <f>SUM(D38:D39)</f>
        <v>305000000</v>
      </c>
      <c r="E37" s="368"/>
      <c r="F37" s="374"/>
      <c r="G37" s="103"/>
    </row>
    <row r="38" spans="1:7" ht="103.5" thickTop="1" thickBot="1" x14ac:dyDescent="0.25">
      <c r="A38" s="592">
        <v>14040100</v>
      </c>
      <c r="B38" s="595" t="s">
        <v>1211</v>
      </c>
      <c r="C38" s="594">
        <f>SUM(D38,E38)</f>
        <v>198250115</v>
      </c>
      <c r="D38" s="594">
        <v>198250115</v>
      </c>
      <c r="E38" s="367"/>
      <c r="F38" s="371"/>
      <c r="G38" s="106"/>
    </row>
    <row r="39" spans="1:7" ht="78" thickTop="1" thickBot="1" x14ac:dyDescent="0.25">
      <c r="A39" s="592">
        <v>14040200</v>
      </c>
      <c r="B39" s="595" t="s">
        <v>1190</v>
      </c>
      <c r="C39" s="594">
        <f>SUM(D39,E39)</f>
        <v>106749885</v>
      </c>
      <c r="D39" s="594">
        <v>106749885</v>
      </c>
      <c r="E39" s="367"/>
      <c r="F39" s="371"/>
      <c r="G39" s="106"/>
    </row>
    <row r="40" spans="1:7" ht="29.25" customHeight="1" thickTop="1" thickBot="1" x14ac:dyDescent="0.3">
      <c r="A40" s="586">
        <v>18000000</v>
      </c>
      <c r="B40" s="586" t="s">
        <v>67</v>
      </c>
      <c r="C40" s="588">
        <f t="shared" si="0"/>
        <v>998530100</v>
      </c>
      <c r="D40" s="588">
        <f>SUM(D41,D54,D57,D52)</f>
        <v>998530100</v>
      </c>
      <c r="E40" s="367"/>
      <c r="F40" s="367"/>
      <c r="G40" s="103"/>
    </row>
    <row r="41" spans="1:7" ht="16.5" thickTop="1" thickBot="1" x14ac:dyDescent="0.3">
      <c r="A41" s="589">
        <v>18010000</v>
      </c>
      <c r="B41" s="597" t="s">
        <v>68</v>
      </c>
      <c r="C41" s="591">
        <f>SUM(D41,E41)</f>
        <v>319115000</v>
      </c>
      <c r="D41" s="591">
        <f>SUM(D42:D51)</f>
        <v>319115000</v>
      </c>
      <c r="E41" s="368"/>
      <c r="F41" s="368"/>
      <c r="G41" s="103"/>
    </row>
    <row r="42" spans="1:7" ht="52.5" thickTop="1" thickBot="1" x14ac:dyDescent="0.3">
      <c r="A42" s="592">
        <v>18010100</v>
      </c>
      <c r="B42" s="595" t="s">
        <v>69</v>
      </c>
      <c r="C42" s="588">
        <f t="shared" si="0"/>
        <v>310500</v>
      </c>
      <c r="D42" s="594">
        <v>310500</v>
      </c>
      <c r="E42" s="371"/>
      <c r="F42" s="371"/>
      <c r="G42" s="103"/>
    </row>
    <row r="43" spans="1:7" ht="52.5" thickTop="1" thickBot="1" x14ac:dyDescent="0.3">
      <c r="A43" s="592">
        <v>18010200</v>
      </c>
      <c r="B43" s="595" t="s">
        <v>70</v>
      </c>
      <c r="C43" s="588">
        <f t="shared" si="0"/>
        <v>23955000</v>
      </c>
      <c r="D43" s="594">
        <f>(20055000)+3900000</f>
        <v>23955000</v>
      </c>
      <c r="E43" s="371"/>
      <c r="F43" s="371"/>
      <c r="G43" s="103"/>
    </row>
    <row r="44" spans="1:7" ht="52.5" thickTop="1" thickBot="1" x14ac:dyDescent="0.3">
      <c r="A44" s="592">
        <v>18010300</v>
      </c>
      <c r="B44" s="595" t="s">
        <v>71</v>
      </c>
      <c r="C44" s="588">
        <f t="shared" si="0"/>
        <v>17550600</v>
      </c>
      <c r="D44" s="594">
        <f>(10050600)+7500000</f>
        <v>17550600</v>
      </c>
      <c r="E44" s="371"/>
      <c r="F44" s="371"/>
      <c r="G44" s="103"/>
    </row>
    <row r="45" spans="1:7" ht="52.5" thickTop="1" thickBot="1" x14ac:dyDescent="0.3">
      <c r="A45" s="592">
        <v>18010400</v>
      </c>
      <c r="B45" s="595" t="s">
        <v>72</v>
      </c>
      <c r="C45" s="588">
        <f t="shared" si="0"/>
        <v>43583900</v>
      </c>
      <c r="D45" s="594">
        <f>(38083900)+5500000</f>
        <v>43583900</v>
      </c>
      <c r="E45" s="371"/>
      <c r="F45" s="371"/>
      <c r="G45" s="103"/>
    </row>
    <row r="46" spans="1:7" ht="16.5" thickTop="1" thickBot="1" x14ac:dyDescent="0.3">
      <c r="A46" s="592">
        <v>18010500</v>
      </c>
      <c r="B46" s="595" t="s">
        <v>73</v>
      </c>
      <c r="C46" s="588">
        <f t="shared" si="0"/>
        <v>40250000</v>
      </c>
      <c r="D46" s="594">
        <v>40250000</v>
      </c>
      <c r="E46" s="371"/>
      <c r="F46" s="371"/>
      <c r="G46" s="103"/>
    </row>
    <row r="47" spans="1:7" ht="16.5" thickTop="1" thickBot="1" x14ac:dyDescent="0.3">
      <c r="A47" s="592">
        <v>18010600</v>
      </c>
      <c r="B47" s="595" t="s">
        <v>74</v>
      </c>
      <c r="C47" s="588">
        <f t="shared" si="0"/>
        <v>145650800</v>
      </c>
      <c r="D47" s="594">
        <v>145650800</v>
      </c>
      <c r="E47" s="371"/>
      <c r="F47" s="371"/>
      <c r="G47" s="103"/>
    </row>
    <row r="48" spans="1:7" ht="16.5" thickTop="1" thickBot="1" x14ac:dyDescent="0.3">
      <c r="A48" s="592">
        <v>18010700</v>
      </c>
      <c r="B48" s="595" t="s">
        <v>75</v>
      </c>
      <c r="C48" s="588">
        <f t="shared" si="0"/>
        <v>3500000</v>
      </c>
      <c r="D48" s="594">
        <v>3500000</v>
      </c>
      <c r="E48" s="371"/>
      <c r="F48" s="371"/>
      <c r="G48" s="103"/>
    </row>
    <row r="49" spans="1:7" ht="16.5" thickTop="1" thickBot="1" x14ac:dyDescent="0.3">
      <c r="A49" s="592">
        <v>18010900</v>
      </c>
      <c r="B49" s="595" t="s">
        <v>76</v>
      </c>
      <c r="C49" s="588">
        <f t="shared" si="0"/>
        <v>42814200</v>
      </c>
      <c r="D49" s="594">
        <v>42814200</v>
      </c>
      <c r="E49" s="371"/>
      <c r="F49" s="371"/>
      <c r="G49" s="103"/>
    </row>
    <row r="50" spans="1:7" ht="15.75" thickTop="1" thickBot="1" x14ac:dyDescent="0.25">
      <c r="A50" s="592">
        <v>18011000</v>
      </c>
      <c r="B50" s="595" t="s">
        <v>77</v>
      </c>
      <c r="C50" s="588">
        <f t="shared" si="0"/>
        <v>950000</v>
      </c>
      <c r="D50" s="594">
        <v>950000</v>
      </c>
      <c r="E50" s="371"/>
      <c r="F50" s="371"/>
      <c r="G50" s="104"/>
    </row>
    <row r="51" spans="1:7" ht="16.5" thickTop="1" thickBot="1" x14ac:dyDescent="0.3">
      <c r="A51" s="592">
        <v>18011100</v>
      </c>
      <c r="B51" s="595" t="s">
        <v>78</v>
      </c>
      <c r="C51" s="588">
        <f t="shared" si="0"/>
        <v>550000</v>
      </c>
      <c r="D51" s="594">
        <v>550000</v>
      </c>
      <c r="E51" s="371"/>
      <c r="F51" s="371"/>
      <c r="G51" s="103"/>
    </row>
    <row r="52" spans="1:7" ht="28.5" thickTop="1" thickBot="1" x14ac:dyDescent="0.3">
      <c r="A52" s="589">
        <v>18020000</v>
      </c>
      <c r="B52" s="597" t="s">
        <v>1139</v>
      </c>
      <c r="C52" s="591">
        <f t="shared" si="0"/>
        <v>500000</v>
      </c>
      <c r="D52" s="591">
        <f>SUM(D53,E53)</f>
        <v>500000</v>
      </c>
      <c r="E52" s="368"/>
      <c r="F52" s="368"/>
      <c r="G52" s="103"/>
    </row>
    <row r="53" spans="1:7" ht="27" thickTop="1" thickBot="1" x14ac:dyDescent="0.3">
      <c r="A53" s="592">
        <v>180201000</v>
      </c>
      <c r="B53" s="595" t="s">
        <v>1140</v>
      </c>
      <c r="C53" s="588">
        <f t="shared" si="0"/>
        <v>500000</v>
      </c>
      <c r="D53" s="594">
        <v>500000</v>
      </c>
      <c r="E53" s="371"/>
      <c r="F53" s="371"/>
      <c r="G53" s="103"/>
    </row>
    <row r="54" spans="1:7" ht="16.5" thickTop="1" thickBot="1" x14ac:dyDescent="0.3">
      <c r="A54" s="589">
        <v>18030000</v>
      </c>
      <c r="B54" s="597" t="s">
        <v>79</v>
      </c>
      <c r="C54" s="591">
        <f>SUM(D54,E54)</f>
        <v>2215000</v>
      </c>
      <c r="D54" s="591">
        <f>SUM(D55:D56)</f>
        <v>2215000</v>
      </c>
      <c r="E54" s="368"/>
      <c r="F54" s="368"/>
      <c r="G54" s="103"/>
    </row>
    <row r="55" spans="1:7" ht="27" thickTop="1" thickBot="1" x14ac:dyDescent="0.3">
      <c r="A55" s="592">
        <v>18030100</v>
      </c>
      <c r="B55" s="595" t="s">
        <v>80</v>
      </c>
      <c r="C55" s="588">
        <f>SUM(D55,E55)</f>
        <v>1050000</v>
      </c>
      <c r="D55" s="594">
        <v>1050000</v>
      </c>
      <c r="E55" s="371"/>
      <c r="F55" s="371"/>
      <c r="G55" s="103"/>
    </row>
    <row r="56" spans="1:7" ht="27" thickTop="1" thickBot="1" x14ac:dyDescent="0.3">
      <c r="A56" s="592">
        <v>18030200</v>
      </c>
      <c r="B56" s="595" t="s">
        <v>81</v>
      </c>
      <c r="C56" s="588">
        <f>SUM(D56,E56)</f>
        <v>1165000</v>
      </c>
      <c r="D56" s="594">
        <v>1165000</v>
      </c>
      <c r="E56" s="371"/>
      <c r="F56" s="371"/>
      <c r="G56" s="103"/>
    </row>
    <row r="57" spans="1:7" ht="16.5" thickTop="1" thickBot="1" x14ac:dyDescent="0.3">
      <c r="A57" s="589">
        <v>18050000</v>
      </c>
      <c r="B57" s="597" t="s">
        <v>82</v>
      </c>
      <c r="C57" s="591">
        <f>SUM(D57,E57)</f>
        <v>676700100</v>
      </c>
      <c r="D57" s="591">
        <f>SUM(D58:D60)</f>
        <v>676700100</v>
      </c>
      <c r="E57" s="374"/>
      <c r="F57" s="374"/>
      <c r="G57" s="103"/>
    </row>
    <row r="58" spans="1:7" ht="16.5" thickTop="1" thickBot="1" x14ac:dyDescent="0.3">
      <c r="A58" s="592">
        <v>18050300</v>
      </c>
      <c r="B58" s="593" t="s">
        <v>1023</v>
      </c>
      <c r="C58" s="588">
        <f t="shared" si="0"/>
        <v>121450000</v>
      </c>
      <c r="D58" s="594">
        <v>121450000</v>
      </c>
      <c r="E58" s="371"/>
      <c r="F58" s="371"/>
      <c r="G58" s="103"/>
    </row>
    <row r="59" spans="1:7" ht="15.75" thickTop="1" thickBot="1" x14ac:dyDescent="0.25">
      <c r="A59" s="592">
        <v>18050400</v>
      </c>
      <c r="B59" s="595" t="s">
        <v>83</v>
      </c>
      <c r="C59" s="588">
        <f t="shared" si="0"/>
        <v>550250000</v>
      </c>
      <c r="D59" s="594">
        <f>((473750000)+35000000)+41500000</f>
        <v>550250000</v>
      </c>
      <c r="E59" s="371"/>
      <c r="F59" s="371"/>
      <c r="G59" s="104"/>
    </row>
    <row r="60" spans="1:7" ht="65.25" thickTop="1" thickBot="1" x14ac:dyDescent="0.25">
      <c r="A60" s="592">
        <v>18050500</v>
      </c>
      <c r="B60" s="595" t="s">
        <v>538</v>
      </c>
      <c r="C60" s="588">
        <f t="shared" si="0"/>
        <v>5000100</v>
      </c>
      <c r="D60" s="594">
        <v>5000100</v>
      </c>
      <c r="E60" s="371"/>
      <c r="F60" s="371"/>
      <c r="G60" s="104"/>
    </row>
    <row r="61" spans="1:7" ht="31.7" customHeight="1" thickTop="1" thickBot="1" x14ac:dyDescent="0.25">
      <c r="A61" s="586">
        <v>19000000</v>
      </c>
      <c r="B61" s="600" t="s">
        <v>531</v>
      </c>
      <c r="C61" s="588">
        <f t="shared" si="0"/>
        <v>1200000</v>
      </c>
      <c r="D61" s="588"/>
      <c r="E61" s="588">
        <f>SUM(E63:E65)</f>
        <v>1200000</v>
      </c>
      <c r="F61" s="371"/>
      <c r="G61" s="104"/>
    </row>
    <row r="62" spans="1:7" ht="16.5" thickTop="1" thickBot="1" x14ac:dyDescent="0.3">
      <c r="A62" s="589">
        <v>1901000</v>
      </c>
      <c r="B62" s="590" t="s">
        <v>84</v>
      </c>
      <c r="C62" s="591">
        <f t="shared" si="0"/>
        <v>1200000</v>
      </c>
      <c r="D62" s="591">
        <f>SUM(D63:D65)</f>
        <v>0</v>
      </c>
      <c r="E62" s="591">
        <f>SUM(E63:E65)</f>
        <v>1200000</v>
      </c>
      <c r="F62" s="368"/>
      <c r="G62" s="103"/>
    </row>
    <row r="63" spans="1:7" ht="65.25" thickTop="1" thickBot="1" x14ac:dyDescent="0.3">
      <c r="A63" s="592">
        <v>19010100</v>
      </c>
      <c r="B63" s="593" t="s">
        <v>532</v>
      </c>
      <c r="C63" s="588">
        <f t="shared" si="0"/>
        <v>165850</v>
      </c>
      <c r="D63" s="594"/>
      <c r="E63" s="594">
        <v>165850</v>
      </c>
      <c r="F63" s="371"/>
      <c r="G63" s="103"/>
    </row>
    <row r="64" spans="1:7" ht="27" thickTop="1" thickBot="1" x14ac:dyDescent="0.25">
      <c r="A64" s="592">
        <v>19010200</v>
      </c>
      <c r="B64" s="593" t="s">
        <v>1254</v>
      </c>
      <c r="C64" s="588">
        <f t="shared" si="0"/>
        <v>318550</v>
      </c>
      <c r="D64" s="594"/>
      <c r="E64" s="594">
        <v>318550</v>
      </c>
      <c r="F64" s="371"/>
      <c r="G64" s="106"/>
    </row>
    <row r="65" spans="1:7" ht="52.5" thickTop="1" thickBot="1" x14ac:dyDescent="0.3">
      <c r="A65" s="592">
        <v>19010300</v>
      </c>
      <c r="B65" s="593" t="s">
        <v>1255</v>
      </c>
      <c r="C65" s="588">
        <f t="shared" si="0"/>
        <v>715600</v>
      </c>
      <c r="D65" s="594"/>
      <c r="E65" s="594">
        <v>715600</v>
      </c>
      <c r="F65" s="371"/>
      <c r="G65" s="103"/>
    </row>
    <row r="66" spans="1:7" ht="30" customHeight="1" thickTop="1" thickBot="1" x14ac:dyDescent="0.3">
      <c r="A66" s="659">
        <v>20000000</v>
      </c>
      <c r="B66" s="659" t="s">
        <v>85</v>
      </c>
      <c r="C66" s="660">
        <f t="shared" si="0"/>
        <v>361492776</v>
      </c>
      <c r="D66" s="660">
        <f>SUM(D67,D77,D90,D95)+D89</f>
        <v>129147600</v>
      </c>
      <c r="E66" s="660">
        <f>SUM(E67,E77,E90,E95)+E89</f>
        <v>232345176</v>
      </c>
      <c r="F66" s="660">
        <f>SUM(F67,F77,F90,F95)+F89</f>
        <v>3200024</v>
      </c>
      <c r="G66" s="103"/>
    </row>
    <row r="67" spans="1:7" ht="27" thickTop="1" thickBot="1" x14ac:dyDescent="0.3">
      <c r="A67" s="586">
        <v>21000000</v>
      </c>
      <c r="B67" s="586" t="s">
        <v>533</v>
      </c>
      <c r="C67" s="588">
        <f>SUM(D67,E67)</f>
        <v>41635000</v>
      </c>
      <c r="D67" s="588">
        <f>SUM(D68,D71,D70)</f>
        <v>41635000</v>
      </c>
      <c r="E67" s="367"/>
      <c r="F67" s="367"/>
      <c r="G67" s="103"/>
    </row>
    <row r="68" spans="1:7" ht="55.5" thickTop="1" thickBot="1" x14ac:dyDescent="0.3">
      <c r="A68" s="589">
        <v>21010000</v>
      </c>
      <c r="B68" s="597" t="s">
        <v>534</v>
      </c>
      <c r="C68" s="591">
        <f t="shared" si="0"/>
        <v>2500000</v>
      </c>
      <c r="D68" s="591">
        <f>D69</f>
        <v>2500000</v>
      </c>
      <c r="E68" s="368"/>
      <c r="F68" s="368"/>
      <c r="G68" s="103"/>
    </row>
    <row r="69" spans="1:7" ht="52.5" thickTop="1" thickBot="1" x14ac:dyDescent="0.3">
      <c r="A69" s="592">
        <v>21010300</v>
      </c>
      <c r="B69" s="595" t="s">
        <v>1380</v>
      </c>
      <c r="C69" s="588">
        <f t="shared" si="0"/>
        <v>2500000</v>
      </c>
      <c r="D69" s="594">
        <v>2500000</v>
      </c>
      <c r="E69" s="371"/>
      <c r="F69" s="371"/>
      <c r="G69" s="103"/>
    </row>
    <row r="70" spans="1:7" ht="28.5" thickTop="1" thickBot="1" x14ac:dyDescent="0.3">
      <c r="A70" s="589">
        <v>21050000</v>
      </c>
      <c r="B70" s="597" t="s">
        <v>86</v>
      </c>
      <c r="C70" s="591">
        <f t="shared" si="0"/>
        <v>13900000</v>
      </c>
      <c r="D70" s="591">
        <v>13900000</v>
      </c>
      <c r="E70" s="368"/>
      <c r="F70" s="368"/>
      <c r="G70" s="103"/>
    </row>
    <row r="71" spans="1:7" ht="15" thickTop="1" thickBot="1" x14ac:dyDescent="0.25">
      <c r="A71" s="589">
        <v>21080000</v>
      </c>
      <c r="B71" s="597" t="s">
        <v>1024</v>
      </c>
      <c r="C71" s="591">
        <f>SUM(D71,E71)</f>
        <v>25235000</v>
      </c>
      <c r="D71" s="591">
        <f>SUM(D72:D76)</f>
        <v>25235000</v>
      </c>
      <c r="E71" s="368"/>
      <c r="F71" s="368"/>
      <c r="G71" s="106"/>
    </row>
    <row r="72" spans="1:7" ht="16.5" thickTop="1" thickBot="1" x14ac:dyDescent="0.3">
      <c r="A72" s="592">
        <v>21081100</v>
      </c>
      <c r="B72" s="601" t="s">
        <v>87</v>
      </c>
      <c r="C72" s="588">
        <f t="shared" ref="C72:C108" si="2">SUM(D72,E72)</f>
        <v>5500000</v>
      </c>
      <c r="D72" s="594">
        <v>5500000</v>
      </c>
      <c r="E72" s="371"/>
      <c r="F72" s="371"/>
      <c r="G72" s="103"/>
    </row>
    <row r="73" spans="1:7" ht="90.75" thickTop="1" thickBot="1" x14ac:dyDescent="0.3">
      <c r="A73" s="592">
        <v>21081500</v>
      </c>
      <c r="B73" s="593" t="s">
        <v>1269</v>
      </c>
      <c r="C73" s="588">
        <f t="shared" si="2"/>
        <v>1055000</v>
      </c>
      <c r="D73" s="594">
        <v>1055000</v>
      </c>
      <c r="E73" s="371"/>
      <c r="F73" s="371"/>
      <c r="G73" s="103"/>
    </row>
    <row r="74" spans="1:7" ht="16.5" thickTop="1" thickBot="1" x14ac:dyDescent="0.3">
      <c r="A74" s="592">
        <v>21081700</v>
      </c>
      <c r="B74" s="593" t="s">
        <v>374</v>
      </c>
      <c r="C74" s="588">
        <f t="shared" si="2"/>
        <v>18000000</v>
      </c>
      <c r="D74" s="594">
        <v>18000000</v>
      </c>
      <c r="E74" s="371"/>
      <c r="F74" s="371"/>
      <c r="G74" s="107"/>
    </row>
    <row r="75" spans="1:7" ht="52.5" thickTop="1" thickBot="1" x14ac:dyDescent="0.3">
      <c r="A75" s="592">
        <v>21081800</v>
      </c>
      <c r="B75" s="593" t="s">
        <v>1512</v>
      </c>
      <c r="C75" s="588">
        <f t="shared" si="2"/>
        <v>650000</v>
      </c>
      <c r="D75" s="594">
        <v>650000</v>
      </c>
      <c r="E75" s="371"/>
      <c r="F75" s="371"/>
      <c r="G75" s="107"/>
    </row>
    <row r="76" spans="1:7" ht="78" thickTop="1" thickBot="1" x14ac:dyDescent="0.3">
      <c r="A76" s="592">
        <v>21082400</v>
      </c>
      <c r="B76" s="593" t="s">
        <v>1513</v>
      </c>
      <c r="C76" s="588">
        <f t="shared" si="2"/>
        <v>30000</v>
      </c>
      <c r="D76" s="594">
        <v>30000</v>
      </c>
      <c r="E76" s="371"/>
      <c r="F76" s="371"/>
      <c r="G76" s="107"/>
    </row>
    <row r="77" spans="1:7" ht="27" thickTop="1" thickBot="1" x14ac:dyDescent="0.3">
      <c r="A77" s="586">
        <v>22000000</v>
      </c>
      <c r="B77" s="586" t="s">
        <v>88</v>
      </c>
      <c r="C77" s="588">
        <f t="shared" si="2"/>
        <v>72151600</v>
      </c>
      <c r="D77" s="588">
        <f>SUM(D78,D84,D86,D82)</f>
        <v>72151600</v>
      </c>
      <c r="E77" s="371"/>
      <c r="F77" s="371"/>
      <c r="G77" s="103"/>
    </row>
    <row r="78" spans="1:7" ht="24.75" customHeight="1" thickTop="1" thickBot="1" x14ac:dyDescent="0.3">
      <c r="A78" s="589">
        <v>22010000</v>
      </c>
      <c r="B78" s="590" t="s">
        <v>535</v>
      </c>
      <c r="C78" s="591">
        <f t="shared" si="2"/>
        <v>45150000</v>
      </c>
      <c r="D78" s="591">
        <f>SUM(D79:D81)</f>
        <v>45150000</v>
      </c>
      <c r="E78" s="368"/>
      <c r="F78" s="368"/>
      <c r="G78" s="103"/>
    </row>
    <row r="79" spans="1:7" ht="52.5" thickTop="1" thickBot="1" x14ac:dyDescent="0.3">
      <c r="A79" s="592">
        <v>22010300</v>
      </c>
      <c r="B79" s="593" t="s">
        <v>147</v>
      </c>
      <c r="C79" s="588">
        <f t="shared" si="2"/>
        <v>1350300</v>
      </c>
      <c r="D79" s="594">
        <v>1350300</v>
      </c>
      <c r="E79" s="371"/>
      <c r="F79" s="371"/>
      <c r="G79" s="103"/>
    </row>
    <row r="80" spans="1:7" ht="27" thickTop="1" thickBot="1" x14ac:dyDescent="0.3">
      <c r="A80" s="592">
        <v>22012500</v>
      </c>
      <c r="B80" s="593" t="s">
        <v>90</v>
      </c>
      <c r="C80" s="588">
        <f t="shared" si="2"/>
        <v>40699700</v>
      </c>
      <c r="D80" s="594">
        <f>(26299700)+14400000</f>
        <v>40699700</v>
      </c>
      <c r="E80" s="371"/>
      <c r="F80" s="371"/>
      <c r="G80" s="103"/>
    </row>
    <row r="81" spans="1:7" ht="39.75" thickTop="1" thickBot="1" x14ac:dyDescent="0.3">
      <c r="A81" s="592">
        <v>22012600</v>
      </c>
      <c r="B81" s="593" t="s">
        <v>89</v>
      </c>
      <c r="C81" s="588">
        <f>SUM(D81,E81)</f>
        <v>3100000</v>
      </c>
      <c r="D81" s="594">
        <v>3100000</v>
      </c>
      <c r="E81" s="371"/>
      <c r="F81" s="371"/>
      <c r="G81" s="103"/>
    </row>
    <row r="82" spans="1:7" ht="55.5" thickTop="1" thickBot="1" x14ac:dyDescent="0.3">
      <c r="A82" s="589">
        <v>22020000</v>
      </c>
      <c r="B82" s="590" t="s">
        <v>1599</v>
      </c>
      <c r="C82" s="591">
        <f t="shared" ref="C82" si="3">SUM(D82,E82)</f>
        <v>1005000</v>
      </c>
      <c r="D82" s="591">
        <f>SUM(D83)</f>
        <v>1005000</v>
      </c>
      <c r="E82" s="368"/>
      <c r="F82" s="368"/>
      <c r="G82" s="103"/>
    </row>
    <row r="83" spans="1:7" ht="39.75" thickTop="1" thickBot="1" x14ac:dyDescent="0.3">
      <c r="A83" s="592">
        <v>22020400</v>
      </c>
      <c r="B83" s="593" t="s">
        <v>1600</v>
      </c>
      <c r="C83" s="588">
        <f>SUM(D83,E83)</f>
        <v>1005000</v>
      </c>
      <c r="D83" s="594">
        <v>1005000</v>
      </c>
      <c r="E83" s="371"/>
      <c r="F83" s="371"/>
      <c r="G83" s="103"/>
    </row>
    <row r="84" spans="1:7" ht="42" thickTop="1" thickBot="1" x14ac:dyDescent="0.3">
      <c r="A84" s="589">
        <v>2208000</v>
      </c>
      <c r="B84" s="590" t="s">
        <v>536</v>
      </c>
      <c r="C84" s="591">
        <f t="shared" si="2"/>
        <v>25486600</v>
      </c>
      <c r="D84" s="591">
        <f>D85</f>
        <v>25486600</v>
      </c>
      <c r="E84" s="368"/>
      <c r="F84" s="368"/>
      <c r="G84" s="103"/>
    </row>
    <row r="85" spans="1:7" ht="52.5" thickTop="1" thickBot="1" x14ac:dyDescent="0.3">
      <c r="A85" s="592">
        <v>22080400</v>
      </c>
      <c r="B85" s="601" t="s">
        <v>91</v>
      </c>
      <c r="C85" s="588">
        <f t="shared" si="2"/>
        <v>25486600</v>
      </c>
      <c r="D85" s="594">
        <v>25486600</v>
      </c>
      <c r="E85" s="371"/>
      <c r="F85" s="371"/>
      <c r="G85" s="103"/>
    </row>
    <row r="86" spans="1:7" ht="16.5" thickTop="1" thickBot="1" x14ac:dyDescent="0.3">
      <c r="A86" s="589">
        <v>22090000</v>
      </c>
      <c r="B86" s="602" t="s">
        <v>92</v>
      </c>
      <c r="C86" s="591">
        <f t="shared" si="2"/>
        <v>510000</v>
      </c>
      <c r="D86" s="591">
        <f>SUM(D87:D88)</f>
        <v>510000</v>
      </c>
      <c r="E86" s="368"/>
      <c r="F86" s="368"/>
      <c r="G86" s="103"/>
    </row>
    <row r="87" spans="1:7" ht="52.5" thickTop="1" thickBot="1" x14ac:dyDescent="0.3">
      <c r="A87" s="592">
        <v>22090100</v>
      </c>
      <c r="B87" s="595" t="s">
        <v>93</v>
      </c>
      <c r="C87" s="588">
        <f t="shared" si="2"/>
        <v>405000</v>
      </c>
      <c r="D87" s="594">
        <v>405000</v>
      </c>
      <c r="E87" s="371"/>
      <c r="F87" s="371"/>
      <c r="G87" s="103"/>
    </row>
    <row r="88" spans="1:7" ht="39.75" thickTop="1" thickBot="1" x14ac:dyDescent="0.25">
      <c r="A88" s="592">
        <v>22090400</v>
      </c>
      <c r="B88" s="595" t="s">
        <v>94</v>
      </c>
      <c r="C88" s="588">
        <f t="shared" si="2"/>
        <v>105000</v>
      </c>
      <c r="D88" s="594">
        <v>105000</v>
      </c>
      <c r="E88" s="371"/>
      <c r="F88" s="371"/>
      <c r="G88" s="105"/>
    </row>
    <row r="89" spans="1:7" ht="90.75" thickTop="1" thickBot="1" x14ac:dyDescent="0.25">
      <c r="A89" s="586">
        <v>22130000</v>
      </c>
      <c r="B89" s="603" t="s">
        <v>1514</v>
      </c>
      <c r="C89" s="588">
        <f t="shared" si="2"/>
        <v>61000</v>
      </c>
      <c r="D89" s="588">
        <v>61000</v>
      </c>
      <c r="E89" s="588"/>
      <c r="F89" s="588"/>
      <c r="G89" s="105"/>
    </row>
    <row r="90" spans="1:7" ht="20.25" customHeight="1" thickTop="1" thickBot="1" x14ac:dyDescent="0.3">
      <c r="A90" s="586">
        <v>24000000</v>
      </c>
      <c r="B90" s="603" t="s">
        <v>95</v>
      </c>
      <c r="C90" s="588">
        <f t="shared" si="2"/>
        <v>18500024</v>
      </c>
      <c r="D90" s="588">
        <f>D91+D92+D94+D93</f>
        <v>15300000</v>
      </c>
      <c r="E90" s="588">
        <f>E91+E92+E94+E93</f>
        <v>3200024</v>
      </c>
      <c r="F90" s="588">
        <f>F91+F92+F94+F93</f>
        <v>3200024</v>
      </c>
      <c r="G90" s="103"/>
    </row>
    <row r="91" spans="1:7" ht="16.5" thickTop="1" thickBot="1" x14ac:dyDescent="0.3">
      <c r="A91" s="592">
        <v>24060300</v>
      </c>
      <c r="B91" s="593" t="s">
        <v>96</v>
      </c>
      <c r="C91" s="588">
        <f t="shared" si="2"/>
        <v>13000000</v>
      </c>
      <c r="D91" s="594">
        <f>(10000000)+3000000</f>
        <v>13000000</v>
      </c>
      <c r="E91" s="594"/>
      <c r="F91" s="594"/>
      <c r="G91" s="103"/>
    </row>
    <row r="92" spans="1:7" ht="65.25" thickTop="1" thickBot="1" x14ac:dyDescent="0.3">
      <c r="A92" s="592">
        <v>24062200</v>
      </c>
      <c r="B92" s="593" t="s">
        <v>375</v>
      </c>
      <c r="C92" s="588">
        <f t="shared" si="2"/>
        <v>2300000</v>
      </c>
      <c r="D92" s="594">
        <f>(1000000)+1300000</f>
        <v>2300000</v>
      </c>
      <c r="E92" s="371"/>
      <c r="F92" s="371"/>
      <c r="G92" s="103"/>
    </row>
    <row r="93" spans="1:7" ht="39.75" thickTop="1" thickBot="1" x14ac:dyDescent="0.3">
      <c r="A93" s="592">
        <v>24110700</v>
      </c>
      <c r="B93" s="604" t="s">
        <v>587</v>
      </c>
      <c r="C93" s="588">
        <f t="shared" si="2"/>
        <v>24</v>
      </c>
      <c r="D93" s="594"/>
      <c r="E93" s="594">
        <v>24</v>
      </c>
      <c r="F93" s="594">
        <v>24</v>
      </c>
      <c r="G93" s="103"/>
    </row>
    <row r="94" spans="1:7" ht="27" thickTop="1" thickBot="1" x14ac:dyDescent="0.25">
      <c r="A94" s="592">
        <v>24170000</v>
      </c>
      <c r="B94" s="595" t="s">
        <v>97</v>
      </c>
      <c r="C94" s="588">
        <f t="shared" si="2"/>
        <v>3200000</v>
      </c>
      <c r="D94" s="594"/>
      <c r="E94" s="594">
        <f>(2000000)+1200000</f>
        <v>3200000</v>
      </c>
      <c r="F94" s="594">
        <f>(2000000)+1200000</f>
        <v>3200000</v>
      </c>
      <c r="G94" s="104"/>
    </row>
    <row r="95" spans="1:7" ht="16.5" thickTop="1" thickBot="1" x14ac:dyDescent="0.3">
      <c r="A95" s="586">
        <v>25000000</v>
      </c>
      <c r="B95" s="605" t="s">
        <v>98</v>
      </c>
      <c r="C95" s="588">
        <f t="shared" si="2"/>
        <v>229145152</v>
      </c>
      <c r="D95" s="588">
        <f>SUM(D96:D100,)</f>
        <v>0</v>
      </c>
      <c r="E95" s="588">
        <f>SUM(E96)</f>
        <v>229145152</v>
      </c>
      <c r="F95" s="367"/>
      <c r="G95" s="103"/>
    </row>
    <row r="96" spans="1:7" ht="42" thickTop="1" thickBot="1" x14ac:dyDescent="0.3">
      <c r="A96" s="589">
        <v>25010000</v>
      </c>
      <c r="B96" s="597" t="s">
        <v>99</v>
      </c>
      <c r="C96" s="591">
        <f t="shared" si="2"/>
        <v>229145152</v>
      </c>
      <c r="D96" s="591">
        <v>0</v>
      </c>
      <c r="E96" s="591">
        <f>SUM(E97:E100)</f>
        <v>229145152</v>
      </c>
      <c r="F96" s="368"/>
      <c r="G96" s="103"/>
    </row>
    <row r="97" spans="1:7" ht="27" thickTop="1" thickBot="1" x14ac:dyDescent="0.3">
      <c r="A97" s="592">
        <v>25010100</v>
      </c>
      <c r="B97" s="595" t="s">
        <v>100</v>
      </c>
      <c r="C97" s="588">
        <f t="shared" si="2"/>
        <v>212481555</v>
      </c>
      <c r="D97" s="594"/>
      <c r="E97" s="594">
        <f>((212809795)-19240)-309000</f>
        <v>212481555</v>
      </c>
      <c r="F97" s="371"/>
      <c r="G97" s="103"/>
    </row>
    <row r="98" spans="1:7" ht="27" thickTop="1" thickBot="1" x14ac:dyDescent="0.3">
      <c r="A98" s="592">
        <v>25010200</v>
      </c>
      <c r="B98" s="595" t="s">
        <v>101</v>
      </c>
      <c r="C98" s="588">
        <f t="shared" si="2"/>
        <v>13119770</v>
      </c>
      <c r="D98" s="594"/>
      <c r="E98" s="594">
        <f>(12810270)+309500</f>
        <v>13119770</v>
      </c>
      <c r="F98" s="371"/>
      <c r="G98" s="103"/>
    </row>
    <row r="99" spans="1:7" ht="16.5" thickTop="1" thickBot="1" x14ac:dyDescent="0.3">
      <c r="A99" s="592">
        <v>25010300</v>
      </c>
      <c r="B99" s="595" t="s">
        <v>102</v>
      </c>
      <c r="C99" s="588">
        <f t="shared" si="2"/>
        <v>3487527</v>
      </c>
      <c r="D99" s="594"/>
      <c r="E99" s="594">
        <f>((3462787)+25240)-500</f>
        <v>3487527</v>
      </c>
      <c r="F99" s="371"/>
      <c r="G99" s="103"/>
    </row>
    <row r="100" spans="1:7" ht="39.75" thickTop="1" thickBot="1" x14ac:dyDescent="0.3">
      <c r="A100" s="592">
        <v>25010400</v>
      </c>
      <c r="B100" s="595" t="s">
        <v>103</v>
      </c>
      <c r="C100" s="588">
        <f t="shared" si="2"/>
        <v>56300</v>
      </c>
      <c r="D100" s="594"/>
      <c r="E100" s="594">
        <f>(62300)-6000</f>
        <v>56300</v>
      </c>
      <c r="F100" s="371"/>
      <c r="G100" s="103"/>
    </row>
    <row r="101" spans="1:7" ht="24.75" customHeight="1" thickTop="1" thickBot="1" x14ac:dyDescent="0.25">
      <c r="A101" s="659">
        <v>30000000</v>
      </c>
      <c r="B101" s="659" t="s">
        <v>104</v>
      </c>
      <c r="C101" s="660">
        <f>SUM(D101,E101)</f>
        <v>57487979</v>
      </c>
      <c r="D101" s="660">
        <f>SUM(D102)+D106</f>
        <v>45000</v>
      </c>
      <c r="E101" s="660">
        <f>SUM(E102)+E106</f>
        <v>57442979</v>
      </c>
      <c r="F101" s="660">
        <f>SUM(F102)+F106</f>
        <v>57442979</v>
      </c>
      <c r="G101" s="105"/>
    </row>
    <row r="102" spans="1:7" ht="27" customHeight="1" thickTop="1" thickBot="1" x14ac:dyDescent="0.3">
      <c r="A102" s="586">
        <v>31000000</v>
      </c>
      <c r="B102" s="586" t="s">
        <v>105</v>
      </c>
      <c r="C102" s="588">
        <f>SUM(D102,E102)</f>
        <v>25545000</v>
      </c>
      <c r="D102" s="588">
        <f>D103+D105</f>
        <v>45000</v>
      </c>
      <c r="E102" s="588">
        <f>E103+E105</f>
        <v>25500000</v>
      </c>
      <c r="F102" s="588">
        <f>F103+F105</f>
        <v>25500000</v>
      </c>
      <c r="G102" s="103"/>
    </row>
    <row r="103" spans="1:7" ht="82.5" thickTop="1" thickBot="1" x14ac:dyDescent="0.3">
      <c r="A103" s="589">
        <v>3101000</v>
      </c>
      <c r="B103" s="590" t="s">
        <v>537</v>
      </c>
      <c r="C103" s="591">
        <f>SUM(D103,E103)</f>
        <v>45000</v>
      </c>
      <c r="D103" s="591">
        <f>D104</f>
        <v>45000</v>
      </c>
      <c r="E103" s="591"/>
      <c r="F103" s="591"/>
      <c r="G103" s="103"/>
    </row>
    <row r="104" spans="1:7" ht="78" thickTop="1" thickBot="1" x14ac:dyDescent="0.3">
      <c r="A104" s="592">
        <v>31010200</v>
      </c>
      <c r="B104" s="595" t="s">
        <v>106</v>
      </c>
      <c r="C104" s="588">
        <f>SUM(D104,E104)</f>
        <v>45000</v>
      </c>
      <c r="D104" s="594">
        <v>45000</v>
      </c>
      <c r="E104" s="594"/>
      <c r="F104" s="594"/>
      <c r="G104" s="103"/>
    </row>
    <row r="105" spans="1:7" ht="55.5" thickTop="1" thickBot="1" x14ac:dyDescent="0.3">
      <c r="A105" s="589">
        <v>31030000</v>
      </c>
      <c r="B105" s="597" t="s">
        <v>107</v>
      </c>
      <c r="C105" s="591">
        <f t="shared" si="2"/>
        <v>25500000</v>
      </c>
      <c r="D105" s="591"/>
      <c r="E105" s="591">
        <f>((800000)+9500000)+15200000</f>
        <v>25500000</v>
      </c>
      <c r="F105" s="591">
        <f>((800000)+9500000)+15200000</f>
        <v>25500000</v>
      </c>
      <c r="G105" s="103"/>
    </row>
    <row r="106" spans="1:7" ht="27" thickTop="1" thickBot="1" x14ac:dyDescent="0.3">
      <c r="A106" s="586">
        <v>33000000</v>
      </c>
      <c r="B106" s="586" t="s">
        <v>108</v>
      </c>
      <c r="C106" s="588">
        <f t="shared" si="2"/>
        <v>31942979</v>
      </c>
      <c r="D106" s="588">
        <f>SUM(D107)</f>
        <v>0</v>
      </c>
      <c r="E106" s="588">
        <f>SUM(E107)</f>
        <v>31942979</v>
      </c>
      <c r="F106" s="588">
        <f>SUM(F107)</f>
        <v>31942979</v>
      </c>
      <c r="G106" s="103"/>
    </row>
    <row r="107" spans="1:7" ht="16.5" thickTop="1" thickBot="1" x14ac:dyDescent="0.3">
      <c r="A107" s="589">
        <v>33010000</v>
      </c>
      <c r="B107" s="590" t="s">
        <v>109</v>
      </c>
      <c r="C107" s="591">
        <f>SUM(D107,E107)</f>
        <v>31942979</v>
      </c>
      <c r="D107" s="591">
        <f>SUM(D108:D110)</f>
        <v>0</v>
      </c>
      <c r="E107" s="591">
        <f>SUM(E108:E110)</f>
        <v>31942979</v>
      </c>
      <c r="F107" s="591">
        <f>SUM(F108:F110)</f>
        <v>31942979</v>
      </c>
      <c r="G107" s="103"/>
    </row>
    <row r="108" spans="1:7" ht="52.5" thickTop="1" thickBot="1" x14ac:dyDescent="0.3">
      <c r="A108" s="592">
        <v>33010100</v>
      </c>
      <c r="B108" s="595" t="s">
        <v>343</v>
      </c>
      <c r="C108" s="588">
        <f t="shared" si="2"/>
        <v>30517840</v>
      </c>
      <c r="D108" s="594"/>
      <c r="E108" s="594">
        <v>30517840</v>
      </c>
      <c r="F108" s="594">
        <v>30517840</v>
      </c>
      <c r="G108" s="103"/>
    </row>
    <row r="109" spans="1:7" ht="52.5" thickTop="1" thickBot="1" x14ac:dyDescent="0.3">
      <c r="A109" s="592">
        <v>33010200</v>
      </c>
      <c r="B109" s="595" t="s">
        <v>110</v>
      </c>
      <c r="C109" s="588">
        <f>SUM(D109,E109)</f>
        <v>1425139</v>
      </c>
      <c r="D109" s="594"/>
      <c r="E109" s="594">
        <v>1425139</v>
      </c>
      <c r="F109" s="594">
        <v>1425139</v>
      </c>
      <c r="G109" s="103"/>
    </row>
    <row r="110" spans="1:7" ht="78" hidden="1" thickTop="1" thickBot="1" x14ac:dyDescent="0.3">
      <c r="A110" s="369">
        <v>33010500</v>
      </c>
      <c r="B110" s="372" t="s">
        <v>1381</v>
      </c>
      <c r="C110" s="367">
        <f>SUM(D110,E110)</f>
        <v>0</v>
      </c>
      <c r="D110" s="371"/>
      <c r="E110" s="371">
        <v>0</v>
      </c>
      <c r="F110" s="371">
        <v>0</v>
      </c>
      <c r="G110" s="103"/>
    </row>
    <row r="111" spans="1:7" ht="27" customHeight="1" thickTop="1" thickBot="1" x14ac:dyDescent="0.3">
      <c r="A111" s="659">
        <v>50000000</v>
      </c>
      <c r="B111" s="659" t="s">
        <v>486</v>
      </c>
      <c r="C111" s="660">
        <f>SUM(D111,E111)</f>
        <v>6515800</v>
      </c>
      <c r="D111" s="660">
        <f>SUM(D112)</f>
        <v>0</v>
      </c>
      <c r="E111" s="660">
        <f>SUM(E112)</f>
        <v>6515800</v>
      </c>
      <c r="F111" s="660">
        <f>SUM(F112)</f>
        <v>0</v>
      </c>
      <c r="G111" s="103"/>
    </row>
    <row r="112" spans="1:7" ht="52.5" thickTop="1" thickBot="1" x14ac:dyDescent="0.3">
      <c r="A112" s="586">
        <v>50110000</v>
      </c>
      <c r="B112" s="600" t="s">
        <v>111</v>
      </c>
      <c r="C112" s="588">
        <f t="shared" ref="C112:C150" si="4">SUM(D112,E112)</f>
        <v>6515800</v>
      </c>
      <c r="D112" s="594"/>
      <c r="E112" s="588">
        <f>(5215800)+1300000</f>
        <v>6515800</v>
      </c>
      <c r="F112" s="594"/>
      <c r="G112" s="103"/>
    </row>
    <row r="113" spans="1:7" ht="45.75" customHeight="1" thickTop="1" thickBot="1" x14ac:dyDescent="0.25">
      <c r="A113" s="606"/>
      <c r="B113" s="607" t="s">
        <v>487</v>
      </c>
      <c r="C113" s="608">
        <f t="shared" si="4"/>
        <v>3765179320</v>
      </c>
      <c r="D113" s="608">
        <f>D111+D101+D66+D15</f>
        <v>3467675365</v>
      </c>
      <c r="E113" s="608">
        <f>E111+E101+E66+E15</f>
        <v>297503955</v>
      </c>
      <c r="F113" s="608">
        <f>F111+F101+F66+F15</f>
        <v>60643003</v>
      </c>
      <c r="G113" s="104"/>
    </row>
    <row r="114" spans="1:7" ht="34.5" customHeight="1" thickTop="1" thickBot="1" x14ac:dyDescent="0.25">
      <c r="A114" s="659">
        <v>40000000</v>
      </c>
      <c r="B114" s="659" t="s">
        <v>426</v>
      </c>
      <c r="C114" s="660">
        <f>SUM(D114,E114)</f>
        <v>962236338.52999997</v>
      </c>
      <c r="D114" s="660">
        <f>SUM(D120,D117,D115)</f>
        <v>946120073.52999997</v>
      </c>
      <c r="E114" s="660">
        <f>SUM(E120,E117,E115)</f>
        <v>16116265</v>
      </c>
      <c r="F114" s="660">
        <f>SUM(F120,F117,F115)</f>
        <v>0</v>
      </c>
      <c r="G114" s="104"/>
    </row>
    <row r="115" spans="1:7" ht="34.5" hidden="1" customHeight="1" thickTop="1" thickBot="1" x14ac:dyDescent="0.25">
      <c r="A115" s="366">
        <v>41020000</v>
      </c>
      <c r="B115" s="373" t="s">
        <v>1318</v>
      </c>
      <c r="C115" s="367">
        <f t="shared" ref="C115:C116" si="5">SUM(D115,E115)</f>
        <v>0</v>
      </c>
      <c r="D115" s="367">
        <f>SUM(D116)</f>
        <v>0</v>
      </c>
      <c r="E115" s="367"/>
      <c r="F115" s="367"/>
      <c r="G115" s="104"/>
    </row>
    <row r="116" spans="1:7" ht="103.5" hidden="1" thickTop="1" thickBot="1" x14ac:dyDescent="0.25">
      <c r="A116" s="369">
        <v>41021400</v>
      </c>
      <c r="B116" s="372" t="s">
        <v>1325</v>
      </c>
      <c r="C116" s="367">
        <f t="shared" si="5"/>
        <v>0</v>
      </c>
      <c r="D116" s="371">
        <v>0</v>
      </c>
      <c r="E116" s="367"/>
      <c r="F116" s="367"/>
      <c r="G116" s="104"/>
    </row>
    <row r="117" spans="1:7" ht="27" thickTop="1" thickBot="1" x14ac:dyDescent="0.25">
      <c r="A117" s="586">
        <v>41040000</v>
      </c>
      <c r="B117" s="596" t="s">
        <v>344</v>
      </c>
      <c r="C117" s="588">
        <f>SUM(D117,E117)</f>
        <v>7872158.5300000003</v>
      </c>
      <c r="D117" s="588">
        <f>SUM(D118:D119)</f>
        <v>7872158.5300000003</v>
      </c>
      <c r="E117" s="367"/>
      <c r="F117" s="367"/>
      <c r="G117" s="104"/>
    </row>
    <row r="118" spans="1:7" ht="66" customHeight="1" thickTop="1" thickBot="1" x14ac:dyDescent="0.25">
      <c r="A118" s="592">
        <v>41040200</v>
      </c>
      <c r="B118" s="595" t="s">
        <v>1141</v>
      </c>
      <c r="C118" s="588">
        <f t="shared" si="4"/>
        <v>7509500</v>
      </c>
      <c r="D118" s="594">
        <v>7509500</v>
      </c>
      <c r="E118" s="367"/>
      <c r="F118" s="367"/>
      <c r="G118" s="104"/>
    </row>
    <row r="119" spans="1:7" ht="15.75" thickTop="1" thickBot="1" x14ac:dyDescent="0.25">
      <c r="A119" s="592">
        <v>41040400</v>
      </c>
      <c r="B119" s="595" t="s">
        <v>1199</v>
      </c>
      <c r="C119" s="588">
        <f t="shared" si="4"/>
        <v>362658.53</v>
      </c>
      <c r="D119" s="594">
        <f>((140989.01)+73066.32+30269.34)+118333.86</f>
        <v>362658.53</v>
      </c>
      <c r="E119" s="367"/>
      <c r="F119" s="367"/>
      <c r="G119" s="104"/>
    </row>
    <row r="120" spans="1:7" s="580" customFormat="1" ht="15.75" thickTop="1" thickBot="1" x14ac:dyDescent="0.25">
      <c r="A120" s="586">
        <v>41000000</v>
      </c>
      <c r="B120" s="586" t="s">
        <v>112</v>
      </c>
      <c r="C120" s="588">
        <f t="shared" si="4"/>
        <v>954364180</v>
      </c>
      <c r="D120" s="588">
        <f>SUM(D121,D130)</f>
        <v>938247915</v>
      </c>
      <c r="E120" s="588">
        <f>SUM(E121,E130)</f>
        <v>16116265</v>
      </c>
      <c r="F120" s="588">
        <f>SUM(F121,F130)</f>
        <v>0</v>
      </c>
      <c r="G120" s="611"/>
    </row>
    <row r="121" spans="1:7" s="580" customFormat="1" ht="27" thickTop="1" thickBot="1" x14ac:dyDescent="0.3">
      <c r="A121" s="586">
        <v>41030000</v>
      </c>
      <c r="B121" s="605" t="s">
        <v>437</v>
      </c>
      <c r="C121" s="588">
        <f t="shared" si="4"/>
        <v>789936100</v>
      </c>
      <c r="D121" s="588">
        <f>SUM(D122:D129)</f>
        <v>789936100</v>
      </c>
      <c r="E121" s="588">
        <f>SUM(E122:E129)</f>
        <v>0</v>
      </c>
      <c r="F121" s="588">
        <f>SUM(F122:F129)</f>
        <v>0</v>
      </c>
      <c r="G121" s="587"/>
    </row>
    <row r="122" spans="1:7" ht="52.5" hidden="1" thickTop="1" thickBot="1" x14ac:dyDescent="0.3">
      <c r="A122" s="369">
        <v>41032300</v>
      </c>
      <c r="B122" s="370" t="s">
        <v>976</v>
      </c>
      <c r="C122" s="367">
        <f t="shared" si="4"/>
        <v>0</v>
      </c>
      <c r="D122" s="371">
        <v>0</v>
      </c>
      <c r="E122" s="367"/>
      <c r="F122" s="371"/>
      <c r="G122" s="103"/>
    </row>
    <row r="123" spans="1:7" ht="52.5" thickTop="1" thickBot="1" x14ac:dyDescent="0.3">
      <c r="A123" s="592">
        <v>41033300</v>
      </c>
      <c r="B123" s="662" t="s">
        <v>1622</v>
      </c>
      <c r="C123" s="663">
        <f t="shared" si="4"/>
        <v>27529800</v>
      </c>
      <c r="D123" s="594">
        <v>27529800</v>
      </c>
      <c r="E123" s="588"/>
      <c r="F123" s="594"/>
      <c r="G123" s="103"/>
    </row>
    <row r="124" spans="1:7" ht="52.5" thickTop="1" thickBot="1" x14ac:dyDescent="0.3">
      <c r="A124" s="661">
        <v>41033800</v>
      </c>
      <c r="B124" s="662" t="s">
        <v>1026</v>
      </c>
      <c r="C124" s="663">
        <f t="shared" si="4"/>
        <v>8649900</v>
      </c>
      <c r="D124" s="664">
        <f>(0)+8649900</f>
        <v>8649900</v>
      </c>
      <c r="E124" s="663"/>
      <c r="F124" s="664"/>
      <c r="G124" s="103"/>
    </row>
    <row r="125" spans="1:7" ht="27" thickTop="1" thickBot="1" x14ac:dyDescent="0.3">
      <c r="A125" s="592">
        <v>41033900</v>
      </c>
      <c r="B125" s="593" t="s">
        <v>113</v>
      </c>
      <c r="C125" s="588">
        <f t="shared" si="4"/>
        <v>753756400</v>
      </c>
      <c r="D125" s="594">
        <f>(752597500)+1158900</f>
        <v>753756400</v>
      </c>
      <c r="E125" s="594"/>
      <c r="F125" s="594"/>
      <c r="G125" s="103"/>
    </row>
    <row r="126" spans="1:7" ht="52.5" hidden="1" thickTop="1" thickBot="1" x14ac:dyDescent="0.3">
      <c r="A126" s="369">
        <v>41034500</v>
      </c>
      <c r="B126" s="370" t="s">
        <v>1027</v>
      </c>
      <c r="C126" s="367">
        <f t="shared" si="4"/>
        <v>0</v>
      </c>
      <c r="D126" s="371">
        <v>0</v>
      </c>
      <c r="E126" s="371">
        <v>0</v>
      </c>
      <c r="F126" s="371">
        <v>0</v>
      </c>
      <c r="G126" s="103"/>
    </row>
    <row r="127" spans="1:7" ht="52.5" hidden="1" thickTop="1" thickBot="1" x14ac:dyDescent="0.3">
      <c r="A127" s="369">
        <v>41035500</v>
      </c>
      <c r="B127" s="370" t="s">
        <v>978</v>
      </c>
      <c r="C127" s="367">
        <f t="shared" si="4"/>
        <v>0</v>
      </c>
      <c r="D127" s="371">
        <v>0</v>
      </c>
      <c r="E127" s="371"/>
      <c r="F127" s="371"/>
      <c r="G127" s="103"/>
    </row>
    <row r="128" spans="1:7" ht="65.25" hidden="1" thickTop="1" thickBot="1" x14ac:dyDescent="0.3">
      <c r="A128" s="369">
        <v>41035600</v>
      </c>
      <c r="B128" s="370" t="s">
        <v>995</v>
      </c>
      <c r="C128" s="367">
        <f t="shared" si="4"/>
        <v>0</v>
      </c>
      <c r="D128" s="371">
        <v>0</v>
      </c>
      <c r="E128" s="371"/>
      <c r="F128" s="371"/>
      <c r="G128" s="103"/>
    </row>
    <row r="129" spans="1:7" ht="39.75" hidden="1" thickTop="1" thickBot="1" x14ac:dyDescent="0.3">
      <c r="A129" s="369">
        <v>41035700</v>
      </c>
      <c r="B129" s="370" t="s">
        <v>969</v>
      </c>
      <c r="C129" s="367">
        <f t="shared" si="4"/>
        <v>0</v>
      </c>
      <c r="D129" s="371">
        <v>0</v>
      </c>
      <c r="E129" s="371"/>
      <c r="F129" s="371"/>
      <c r="G129" s="103"/>
    </row>
    <row r="130" spans="1:7" ht="27" thickTop="1" thickBot="1" x14ac:dyDescent="0.3">
      <c r="A130" s="586">
        <v>41050000</v>
      </c>
      <c r="B130" s="605" t="s">
        <v>472</v>
      </c>
      <c r="C130" s="588">
        <f t="shared" si="4"/>
        <v>164428080</v>
      </c>
      <c r="D130" s="588">
        <f>SUM(D131:D144)+D151+D152</f>
        <v>148311815</v>
      </c>
      <c r="E130" s="588">
        <f>SUM(E131:E144)</f>
        <v>16116265</v>
      </c>
      <c r="F130" s="588">
        <f>SUM(F131:F144)</f>
        <v>0</v>
      </c>
      <c r="G130" s="103"/>
    </row>
    <row r="131" spans="1:7" ht="333" thickTop="1" thickBot="1" x14ac:dyDescent="0.3">
      <c r="A131" s="592">
        <v>41050400</v>
      </c>
      <c r="B131" s="593" t="s">
        <v>1402</v>
      </c>
      <c r="C131" s="588">
        <f t="shared" si="4"/>
        <v>82535515</v>
      </c>
      <c r="D131" s="594">
        <f>(0)+82535515</f>
        <v>82535515</v>
      </c>
      <c r="E131" s="594"/>
      <c r="F131" s="594"/>
      <c r="G131" s="103"/>
    </row>
    <row r="132" spans="1:7" ht="231" thickTop="1" thickBot="1" x14ac:dyDescent="0.3">
      <c r="A132" s="592">
        <v>41050500</v>
      </c>
      <c r="B132" s="593" t="s">
        <v>1028</v>
      </c>
      <c r="C132" s="588">
        <f t="shared" si="4"/>
        <v>9627478</v>
      </c>
      <c r="D132" s="594">
        <f>(0)+9627478</f>
        <v>9627478</v>
      </c>
      <c r="E132" s="594"/>
      <c r="F132" s="594"/>
      <c r="G132" s="103"/>
    </row>
    <row r="133" spans="1:7" ht="320.25" thickTop="1" thickBot="1" x14ac:dyDescent="0.3">
      <c r="A133" s="592">
        <v>41050600</v>
      </c>
      <c r="B133" s="593" t="s">
        <v>1403</v>
      </c>
      <c r="C133" s="588">
        <f t="shared" si="4"/>
        <v>29419182</v>
      </c>
      <c r="D133" s="594">
        <f>(0)+29419182</f>
        <v>29419182</v>
      </c>
      <c r="E133" s="594"/>
      <c r="F133" s="594"/>
      <c r="G133" s="103"/>
    </row>
    <row r="134" spans="1:7" ht="116.25" hidden="1" thickTop="1" thickBot="1" x14ac:dyDescent="0.3">
      <c r="A134" s="375">
        <v>41050900</v>
      </c>
      <c r="B134" s="376" t="s">
        <v>1029</v>
      </c>
      <c r="C134" s="377">
        <f t="shared" si="4"/>
        <v>0</v>
      </c>
      <c r="D134" s="378">
        <v>0</v>
      </c>
      <c r="E134" s="378"/>
      <c r="F134" s="378"/>
      <c r="G134" s="103"/>
    </row>
    <row r="135" spans="1:7" ht="39.75" thickTop="1" thickBot="1" x14ac:dyDescent="0.3">
      <c r="A135" s="592">
        <v>41051000</v>
      </c>
      <c r="B135" s="593" t="s">
        <v>473</v>
      </c>
      <c r="C135" s="588">
        <f t="shared" si="4"/>
        <v>11127203</v>
      </c>
      <c r="D135" s="594">
        <v>11127203</v>
      </c>
      <c r="E135" s="371"/>
      <c r="F135" s="371"/>
      <c r="G135" s="103"/>
    </row>
    <row r="136" spans="1:7" ht="39.75" thickTop="1" thickBot="1" x14ac:dyDescent="0.3">
      <c r="A136" s="592">
        <v>41051100</v>
      </c>
      <c r="B136" s="593" t="s">
        <v>1560</v>
      </c>
      <c r="C136" s="588">
        <f t="shared" si="4"/>
        <v>16116265</v>
      </c>
      <c r="D136" s="594"/>
      <c r="E136" s="594">
        <f>(7672111)+8444154</f>
        <v>16116265</v>
      </c>
      <c r="F136" s="371"/>
      <c r="G136" s="103"/>
    </row>
    <row r="137" spans="1:7" ht="52.5" thickTop="1" thickBot="1" x14ac:dyDescent="0.3">
      <c r="A137" s="592">
        <v>41051200</v>
      </c>
      <c r="B137" s="593" t="s">
        <v>1271</v>
      </c>
      <c r="C137" s="588">
        <f>SUM(D137,E137)</f>
        <v>3668858</v>
      </c>
      <c r="D137" s="594">
        <v>3668858</v>
      </c>
      <c r="E137" s="371"/>
      <c r="F137" s="371"/>
      <c r="G137" s="103"/>
    </row>
    <row r="138" spans="1:7" ht="65.25" thickTop="1" thickBot="1" x14ac:dyDescent="0.3">
      <c r="A138" s="592">
        <v>41051400</v>
      </c>
      <c r="B138" s="593" t="s">
        <v>1609</v>
      </c>
      <c r="C138" s="588">
        <f t="shared" si="4"/>
        <v>10289256</v>
      </c>
      <c r="D138" s="594">
        <f>8348168+1367732+573356</f>
        <v>10289256</v>
      </c>
      <c r="E138" s="371"/>
      <c r="F138" s="371"/>
      <c r="G138" s="103"/>
    </row>
    <row r="139" spans="1:7" ht="65.25" thickTop="1" thickBot="1" x14ac:dyDescent="0.3">
      <c r="A139" s="592">
        <v>41051700</v>
      </c>
      <c r="B139" s="593" t="s">
        <v>940</v>
      </c>
      <c r="C139" s="588">
        <f t="shared" si="4"/>
        <v>532739</v>
      </c>
      <c r="D139" s="594">
        <v>532739</v>
      </c>
      <c r="E139" s="371"/>
      <c r="F139" s="371"/>
      <c r="G139" s="103"/>
    </row>
    <row r="140" spans="1:7" ht="103.5" hidden="1" thickTop="1" thickBot="1" x14ac:dyDescent="0.3">
      <c r="A140" s="375">
        <v>41056600</v>
      </c>
      <c r="B140" s="376" t="s">
        <v>1011</v>
      </c>
      <c r="C140" s="377">
        <f t="shared" si="4"/>
        <v>0</v>
      </c>
      <c r="D140" s="378">
        <f>10623233.82-10623233.82</f>
        <v>0</v>
      </c>
      <c r="E140" s="378"/>
      <c r="F140" s="378"/>
      <c r="G140" s="103"/>
    </row>
    <row r="141" spans="1:7" ht="52.5" hidden="1" thickTop="1" thickBot="1" x14ac:dyDescent="0.25">
      <c r="A141" s="375">
        <v>41055000</v>
      </c>
      <c r="B141" s="376" t="s">
        <v>1030</v>
      </c>
      <c r="C141" s="377">
        <f t="shared" si="4"/>
        <v>0</v>
      </c>
      <c r="D141" s="378">
        <v>0</v>
      </c>
      <c r="E141" s="378"/>
      <c r="F141" s="378"/>
      <c r="G141" s="104"/>
    </row>
    <row r="142" spans="1:7" ht="27" hidden="1" thickTop="1" thickBot="1" x14ac:dyDescent="0.25">
      <c r="A142" s="375">
        <v>41053600</v>
      </c>
      <c r="B142" s="376" t="s">
        <v>942</v>
      </c>
      <c r="C142" s="377">
        <f t="shared" si="4"/>
        <v>0</v>
      </c>
      <c r="D142" s="378"/>
      <c r="E142" s="378">
        <v>0</v>
      </c>
      <c r="F142" s="378"/>
      <c r="G142" s="104"/>
    </row>
    <row r="143" spans="1:7" ht="205.5" hidden="1" thickTop="1" thickBot="1" x14ac:dyDescent="0.25">
      <c r="A143" s="375">
        <v>41054200</v>
      </c>
      <c r="B143" s="376" t="s">
        <v>1031</v>
      </c>
      <c r="C143" s="377">
        <f t="shared" si="4"/>
        <v>0</v>
      </c>
      <c r="D143" s="378">
        <v>0</v>
      </c>
      <c r="E143" s="378"/>
      <c r="F143" s="378"/>
      <c r="G143" s="104"/>
    </row>
    <row r="144" spans="1:7" ht="27" thickTop="1" thickBot="1" x14ac:dyDescent="0.25">
      <c r="A144" s="592">
        <v>41053900</v>
      </c>
      <c r="B144" s="593" t="s">
        <v>896</v>
      </c>
      <c r="C144" s="588">
        <f t="shared" si="4"/>
        <v>1018034</v>
      </c>
      <c r="D144" s="588">
        <f>SUM(D145:D150)</f>
        <v>1018034</v>
      </c>
      <c r="E144" s="588">
        <f>SUM(E145:E150)</f>
        <v>0</v>
      </c>
      <c r="F144" s="588">
        <f>SUM(F145:F150)</f>
        <v>0</v>
      </c>
      <c r="G144" s="104"/>
    </row>
    <row r="145" spans="1:10" ht="15.75" hidden="1" thickTop="1" thickBot="1" x14ac:dyDescent="0.25">
      <c r="A145" s="592"/>
      <c r="B145" s="609" t="s">
        <v>943</v>
      </c>
      <c r="C145" s="591">
        <f>SUM(D145,E145)</f>
        <v>0</v>
      </c>
      <c r="D145" s="610"/>
      <c r="E145" s="374">
        <v>0</v>
      </c>
      <c r="F145" s="374">
        <v>0</v>
      </c>
      <c r="G145" s="104"/>
    </row>
    <row r="146" spans="1:10" ht="39.75" thickTop="1" thickBot="1" x14ac:dyDescent="0.25">
      <c r="A146" s="592"/>
      <c r="B146" s="609" t="s">
        <v>897</v>
      </c>
      <c r="C146" s="591">
        <f t="shared" si="4"/>
        <v>362971</v>
      </c>
      <c r="D146" s="610">
        <v>362971</v>
      </c>
      <c r="E146" s="374"/>
      <c r="F146" s="374"/>
      <c r="G146" s="104"/>
    </row>
    <row r="147" spans="1:10" ht="52.5" thickTop="1" thickBot="1" x14ac:dyDescent="0.25">
      <c r="A147" s="592"/>
      <c r="B147" s="609" t="s">
        <v>898</v>
      </c>
      <c r="C147" s="591">
        <f t="shared" si="4"/>
        <v>184607</v>
      </c>
      <c r="D147" s="610">
        <v>184607</v>
      </c>
      <c r="E147" s="374"/>
      <c r="F147" s="374"/>
      <c r="G147" s="104"/>
    </row>
    <row r="148" spans="1:10" ht="27" thickTop="1" thickBot="1" x14ac:dyDescent="0.25">
      <c r="A148" s="592"/>
      <c r="B148" s="609" t="s">
        <v>899</v>
      </c>
      <c r="C148" s="591">
        <f t="shared" si="4"/>
        <v>470456</v>
      </c>
      <c r="D148" s="610">
        <v>470456</v>
      </c>
      <c r="E148" s="374"/>
      <c r="F148" s="374"/>
      <c r="G148" s="104"/>
    </row>
    <row r="149" spans="1:10" ht="39.75" hidden="1" thickTop="1" thickBot="1" x14ac:dyDescent="0.25">
      <c r="A149" s="375"/>
      <c r="B149" s="379" t="s">
        <v>1068</v>
      </c>
      <c r="C149" s="108">
        <f t="shared" si="4"/>
        <v>0</v>
      </c>
      <c r="D149" s="109">
        <v>0</v>
      </c>
      <c r="E149" s="109"/>
      <c r="F149" s="109"/>
      <c r="G149" s="104"/>
    </row>
    <row r="150" spans="1:10" ht="27" hidden="1" thickTop="1" thickBot="1" x14ac:dyDescent="0.25">
      <c r="A150" s="375"/>
      <c r="B150" s="379" t="s">
        <v>1069</v>
      </c>
      <c r="C150" s="108">
        <f t="shared" si="4"/>
        <v>0</v>
      </c>
      <c r="D150" s="109"/>
      <c r="E150" s="109">
        <v>0</v>
      </c>
      <c r="F150" s="109">
        <v>0</v>
      </c>
      <c r="G150" s="104"/>
    </row>
    <row r="151" spans="1:10" ht="65.25" thickTop="1" thickBot="1" x14ac:dyDescent="0.25">
      <c r="A151" s="592">
        <v>41057700</v>
      </c>
      <c r="B151" s="593" t="s">
        <v>1357</v>
      </c>
      <c r="C151" s="588">
        <f>SUM(D151,E151)</f>
        <v>93550</v>
      </c>
      <c r="D151" s="594">
        <v>93550</v>
      </c>
      <c r="E151" s="371"/>
      <c r="F151" s="371"/>
      <c r="G151" s="104"/>
    </row>
    <row r="152" spans="1:10" ht="52.5" hidden="1" thickTop="1" thickBot="1" x14ac:dyDescent="0.25">
      <c r="A152" s="369">
        <v>41059000</v>
      </c>
      <c r="B152" s="370" t="s">
        <v>1382</v>
      </c>
      <c r="C152" s="367">
        <f>SUM(D152,E152)</f>
        <v>0</v>
      </c>
      <c r="D152" s="371">
        <v>0</v>
      </c>
      <c r="E152" s="371"/>
      <c r="F152" s="371"/>
      <c r="G152" s="104"/>
    </row>
    <row r="153" spans="1:10" ht="33.75" customHeight="1" thickTop="1" thickBot="1" x14ac:dyDescent="0.3">
      <c r="A153" s="606"/>
      <c r="B153" s="607" t="s">
        <v>1022</v>
      </c>
      <c r="C153" s="608">
        <f>SUM(D153,E153)</f>
        <v>4727415658.5299997</v>
      </c>
      <c r="D153" s="608">
        <f>SUM(D113,D114)</f>
        <v>4413795438.5299997</v>
      </c>
      <c r="E153" s="608">
        <f>SUM(E113,E114)</f>
        <v>313620220</v>
      </c>
      <c r="F153" s="608">
        <f>SUM(F113,F114)</f>
        <v>60643003</v>
      </c>
      <c r="G153" s="665" t="b">
        <f>C153=C148+C147+C146+C125+C118+C112+C105+C104+C100+C99+C98+C97+C94+C93+C92+C91+C88+C87+C85+C81+C80+C79+C74+C73+C72+C70+C69+C65+C64+C63+C60+C59+C58+C56+C55+C51+C50+C49+C48+C47+C46+C45+C44+C43+C42+C38+C36+C33+C31+C29+C25+C21+C20+C19+C18+C109+C108+C39+C53+C137+C135+C116+C151+C119+C152+C110+C133+C131+C132+C139+C89+C28+C23+C22+C76+C75+C136+C124+C83+C138+C123</f>
        <v>1</v>
      </c>
      <c r="H153" s="665" t="b">
        <f>D153=D148+D147+D146+D125+D118+D112+D105+D104+D100+D99+D98+D97+D94+D93+D92+D91+D88+D87+D85+D81+D80+D79+D74+D73+D72+D70+D69+D65+D64+D63+D60+D59+D58+D56+D55+D51+D50+D49+D48+D47+D46+D45+D44+D43+D42+D38+D36+D33+D31+D29+D25+D21+D20+D19+D18+D109+D108+D39+D53+D137+D135+D116+D151+D119+D152+D110+D133+D131+D132+D139+D89+D28+D23+D22+D76+D75+D136+D124+D83+D138+D123</f>
        <v>1</v>
      </c>
      <c r="I153" s="665" t="b">
        <f>E153=E148+E147+E146+E125+E118+E112+E105+E104+E100+E99+E98+E97+E94+E93+E92+E91+E88+E87+E85+E81+E80+E79+E74+E73+E72+E70+E69+E65+E64+E63+E60+E59+E58+E56+E55+E51+E50+E49+E48+E47+E46+E45+E44+E43+E42+E38+E36+E33+E31+E29+E25+E21+E20+E19+E18+E109+E108+E39+E53+E137+E135+E116+E151+E119+E152+E110+E133+E131+E132+E139+E89+E28+E23+E22+E76+E75+E136+E124+E83+E138+E123</f>
        <v>1</v>
      </c>
      <c r="J153" s="665" t="b">
        <f>F153=F148+F147+F146+F125+F118+F112+F105+F104+F100+F99+F98+F97+F94+F93+F92+F91+F88+F87+F85+F81+F80+F79+F74+F73+F72+F70+F69+F65+F64+F63+F60+F59+F58+F56+F55+F51+F50+F49+F48+F47+F46+F45+F44+F43+F42+F38+F36+F33+F31+F29+F25+F21+F20+F19+F18+F109+F108+F39+F53+F137+F135+F116+F151+F119+F152+F110+F133+F131+F132+F139+F89+F28+F23+F22+F76+F75+F136+F124+F83+F138+F123</f>
        <v>1</v>
      </c>
    </row>
    <row r="154" spans="1:10" ht="16.5" thickTop="1" x14ac:dyDescent="0.25">
      <c r="B154" s="110"/>
      <c r="G154" s="665" t="b">
        <f>((((((4196633892-[1]d2!C37-[1]d2!C22)+129600000)+1158900+4436136.01+7672111)+178202565)+73066.32+121612444.34)+131305000+344886.99)+116381543.86=C153</f>
        <v>1</v>
      </c>
    </row>
    <row r="155" spans="1:10" ht="15.75" hidden="1" x14ac:dyDescent="0.2">
      <c r="B155" s="361" t="s">
        <v>1458</v>
      </c>
      <c r="C155"/>
      <c r="D155"/>
      <c r="E155" s="362" t="s">
        <v>1459</v>
      </c>
      <c r="F155" s="112"/>
      <c r="G155" s="111"/>
    </row>
    <row r="156" spans="1:10" ht="15.75" x14ac:dyDescent="0.2">
      <c r="B156" s="361" t="s">
        <v>1423</v>
      </c>
      <c r="C156"/>
      <c r="D156"/>
      <c r="E156" s="362" t="s">
        <v>1424</v>
      </c>
      <c r="F156" s="112"/>
      <c r="G156" s="111"/>
    </row>
    <row r="157" spans="1:10" ht="15.75" x14ac:dyDescent="0.25">
      <c r="B157" s="1"/>
      <c r="C157" s="580"/>
      <c r="D157" s="580"/>
      <c r="E157" s="1"/>
    </row>
    <row r="158" spans="1:10" ht="15.75" x14ac:dyDescent="0.25">
      <c r="A158" s="113"/>
      <c r="B158" s="463" t="s">
        <v>522</v>
      </c>
      <c r="C158" s="1"/>
      <c r="D158" s="1"/>
      <c r="E158" s="1" t="s">
        <v>1326</v>
      </c>
      <c r="F158" s="113"/>
    </row>
    <row r="161" spans="3:6" x14ac:dyDescent="0.2">
      <c r="C161" s="111"/>
      <c r="D161" s="111"/>
      <c r="E161" s="111"/>
      <c r="F161" s="111"/>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2" location="_ftn1" display="_ftn1" xr:uid="{00000000-0004-0000-0900-000000000000}"/>
    <hyperlink ref="B101" location="_ftn1" display="_ftn1" xr:uid="{00000000-0004-0000-0900-000001000000}"/>
    <hyperlink ref="B88" location="_ftn1" display="_ftn1" xr:uid="{00000000-0004-0000-0900-000002000000}"/>
    <hyperlink ref="B20" location="_ftn1" display="_ftn1" xr:uid="{00000000-0004-0000-0900-000003000000}"/>
    <hyperlink ref="B19" location="_ftn1" display="_ftn1" xr:uid="{00000000-0004-0000-0900-000004000000}"/>
    <hyperlink ref="B64" location="_ftn1" display="_ftn1" xr:uid="{00000000-0004-0000-0900-000005000000}"/>
    <hyperlink ref="B106" location="_ftn1" display="_ftn1" xr:uid="{00000000-0004-0000-0900-000006000000}"/>
    <hyperlink ref="B107" location="_ftn1" display="_ftn1" xr:uid="{00000000-0004-0000-0900-000007000000}"/>
    <hyperlink ref="B72" location="_ftn1" display="_ftn1" xr:uid="{00000000-0004-0000-09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5"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pageSetUpPr fitToPage="1"/>
  </sheetPr>
  <dimension ref="A1:J161"/>
  <sheetViews>
    <sheetView view="pageBreakPreview" topLeftCell="A148" zoomScale="70" zoomScaleNormal="100" zoomScaleSheetLayoutView="70" workbookViewId="0">
      <selection activeCell="D149" sqref="D149"/>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580"/>
      <c r="B1" s="580"/>
      <c r="C1" s="580"/>
      <c r="D1" s="708" t="s">
        <v>56</v>
      </c>
      <c r="E1" s="709"/>
      <c r="F1" s="709"/>
      <c r="G1" s="709"/>
    </row>
    <row r="2" spans="1:7" ht="30" customHeight="1" x14ac:dyDescent="0.2">
      <c r="A2" s="580"/>
      <c r="B2" s="580"/>
      <c r="C2" s="581"/>
      <c r="D2" s="710" t="s">
        <v>1626</v>
      </c>
      <c r="E2" s="711"/>
      <c r="F2" s="711"/>
      <c r="G2" s="711"/>
    </row>
    <row r="3" spans="1:7" ht="6" hidden="1" customHeight="1" x14ac:dyDescent="0.2">
      <c r="A3" s="580"/>
      <c r="B3" s="580"/>
      <c r="C3" s="581"/>
      <c r="D3" s="708"/>
      <c r="E3" s="711"/>
      <c r="F3" s="711"/>
      <c r="G3" s="711"/>
    </row>
    <row r="4" spans="1:7" ht="12.75" customHeight="1" x14ac:dyDescent="0.2">
      <c r="A4" s="712"/>
      <c r="B4" s="712"/>
      <c r="C4" s="712"/>
      <c r="D4" s="712"/>
      <c r="E4" s="712"/>
      <c r="F4" s="580"/>
      <c r="G4" s="580"/>
    </row>
    <row r="5" spans="1:7" ht="20.25" x14ac:dyDescent="0.2">
      <c r="A5" s="712" t="s">
        <v>1093</v>
      </c>
      <c r="B5" s="713"/>
      <c r="C5" s="713"/>
      <c r="D5" s="713"/>
      <c r="E5" s="713"/>
      <c r="F5" s="713"/>
      <c r="G5" s="580"/>
    </row>
    <row r="6" spans="1:7" ht="20.25" x14ac:dyDescent="0.2">
      <c r="A6" s="712" t="s">
        <v>1507</v>
      </c>
      <c r="B6" s="713"/>
      <c r="C6" s="713"/>
      <c r="D6" s="713"/>
      <c r="E6" s="713"/>
      <c r="F6" s="713"/>
      <c r="G6" s="580"/>
    </row>
    <row r="7" spans="1:7" ht="20.25" x14ac:dyDescent="0.2">
      <c r="A7" s="582"/>
      <c r="B7" s="305"/>
      <c r="C7" s="305"/>
      <c r="D7" s="305"/>
      <c r="E7" s="305"/>
      <c r="F7" s="305"/>
      <c r="G7" s="580"/>
    </row>
    <row r="8" spans="1:7" ht="20.25" x14ac:dyDescent="0.2">
      <c r="A8" s="714">
        <v>2256400000</v>
      </c>
      <c r="B8" s="715"/>
      <c r="C8" s="715"/>
      <c r="D8" s="715"/>
      <c r="E8" s="715"/>
      <c r="F8" s="715"/>
      <c r="G8" s="580"/>
    </row>
    <row r="9" spans="1:7" ht="15.75" x14ac:dyDescent="0.2">
      <c r="A9" s="716" t="s">
        <v>489</v>
      </c>
      <c r="B9" s="717"/>
      <c r="C9" s="717"/>
      <c r="D9" s="717"/>
      <c r="E9" s="717"/>
      <c r="F9" s="717"/>
      <c r="G9" s="580"/>
    </row>
    <row r="10" spans="1:7" ht="20.25" x14ac:dyDescent="0.2">
      <c r="A10" s="582"/>
      <c r="B10" s="467"/>
      <c r="C10" s="467"/>
      <c r="D10" s="467"/>
      <c r="E10" s="467"/>
      <c r="F10" s="467"/>
      <c r="G10" s="580"/>
    </row>
    <row r="11" spans="1:7" ht="13.5" thickBot="1" x14ac:dyDescent="0.25">
      <c r="A11" s="580"/>
      <c r="B11" s="583"/>
      <c r="C11" s="583"/>
      <c r="D11" s="583"/>
      <c r="E11" s="583"/>
      <c r="F11" s="584" t="s">
        <v>404</v>
      </c>
      <c r="G11" s="580"/>
    </row>
    <row r="12" spans="1:7" ht="14.25" thickTop="1" thickBot="1" x14ac:dyDescent="0.25">
      <c r="A12" s="718" t="s">
        <v>57</v>
      </c>
      <c r="B12" s="718" t="s">
        <v>1508</v>
      </c>
      <c r="C12" s="718" t="s">
        <v>383</v>
      </c>
      <c r="D12" s="718" t="s">
        <v>12</v>
      </c>
      <c r="E12" s="718" t="s">
        <v>52</v>
      </c>
      <c r="F12" s="718"/>
      <c r="G12" s="585"/>
    </row>
    <row r="13" spans="1:7" ht="39.75" thickTop="1" thickBot="1" x14ac:dyDescent="0.3">
      <c r="A13" s="718"/>
      <c r="B13" s="718"/>
      <c r="C13" s="718"/>
      <c r="D13" s="718"/>
      <c r="E13" s="586" t="s">
        <v>384</v>
      </c>
      <c r="F13" s="586" t="s">
        <v>425</v>
      </c>
      <c r="G13" s="587"/>
    </row>
    <row r="14" spans="1:7" ht="16.5" thickTop="1" thickBot="1" x14ac:dyDescent="0.3">
      <c r="A14" s="586">
        <v>1</v>
      </c>
      <c r="B14" s="586">
        <v>2</v>
      </c>
      <c r="C14" s="586">
        <v>3</v>
      </c>
      <c r="D14" s="586">
        <v>4</v>
      </c>
      <c r="E14" s="586">
        <v>5</v>
      </c>
      <c r="F14" s="586">
        <v>6</v>
      </c>
      <c r="G14" s="587"/>
    </row>
    <row r="15" spans="1:7" ht="25.5" customHeight="1" thickTop="1" thickBot="1" x14ac:dyDescent="0.25">
      <c r="A15" s="659">
        <v>10000000</v>
      </c>
      <c r="B15" s="659" t="s">
        <v>58</v>
      </c>
      <c r="C15" s="660">
        <f t="shared" ref="C15:C66" si="0">SUM(D15,E15)</f>
        <v>39841421</v>
      </c>
      <c r="D15" s="660">
        <f>SUM(D16,D32,D40,D61,D26)</f>
        <v>39841421</v>
      </c>
      <c r="E15" s="660">
        <f>SUM(E16,E32,E40,E61,E26)</f>
        <v>0</v>
      </c>
      <c r="F15" s="660">
        <f>SUM(F16,F32,F40,F61,F26)</f>
        <v>0</v>
      </c>
      <c r="G15" s="104"/>
    </row>
    <row r="16" spans="1:7" ht="31.7" customHeight="1" thickTop="1" thickBot="1" x14ac:dyDescent="0.25">
      <c r="A16" s="586">
        <v>11000000</v>
      </c>
      <c r="B16" s="586" t="s">
        <v>59</v>
      </c>
      <c r="C16" s="588">
        <f>'d1'!C16-d1П!C16</f>
        <v>60000000</v>
      </c>
      <c r="D16" s="588">
        <f>'d1'!D16-d1П!D16</f>
        <v>60000000</v>
      </c>
      <c r="E16" s="588">
        <f>'d1'!E16-d1П!E16</f>
        <v>0</v>
      </c>
      <c r="F16" s="588">
        <f>'d1'!F16-d1П!F16</f>
        <v>0</v>
      </c>
      <c r="G16" s="105"/>
    </row>
    <row r="17" spans="1:7" ht="24.75" customHeight="1" thickTop="1" thickBot="1" x14ac:dyDescent="0.25">
      <c r="A17" s="589">
        <v>11010000</v>
      </c>
      <c r="B17" s="590" t="s">
        <v>60</v>
      </c>
      <c r="C17" s="588">
        <f>'d1'!C17-d1П!C17</f>
        <v>60000000</v>
      </c>
      <c r="D17" s="588">
        <f>'d1'!D17-d1П!D17</f>
        <v>60000000</v>
      </c>
      <c r="E17" s="588">
        <f>'d1'!E17-d1П!E17</f>
        <v>0</v>
      </c>
      <c r="F17" s="588">
        <f>'d1'!F17-d1П!F17</f>
        <v>0</v>
      </c>
      <c r="G17" s="105"/>
    </row>
    <row r="18" spans="1:7" ht="39.75" thickTop="1" thickBot="1" x14ac:dyDescent="0.25">
      <c r="A18" s="592">
        <v>11010100</v>
      </c>
      <c r="B18" s="593" t="s">
        <v>61</v>
      </c>
      <c r="C18" s="588">
        <f>'d1'!C18-d1П!C18</f>
        <v>60000000</v>
      </c>
      <c r="D18" s="588">
        <f>'d1'!D18-d1П!D18</f>
        <v>60000000</v>
      </c>
      <c r="E18" s="588">
        <f>'d1'!E18-d1П!E18</f>
        <v>0</v>
      </c>
      <c r="F18" s="588">
        <f>'d1'!F18-d1П!F18</f>
        <v>0</v>
      </c>
      <c r="G18" s="105"/>
    </row>
    <row r="19" spans="1:7" ht="65.25" hidden="1" thickTop="1" thickBot="1" x14ac:dyDescent="0.25">
      <c r="A19" s="369">
        <v>11010200</v>
      </c>
      <c r="B19" s="370" t="s">
        <v>62</v>
      </c>
      <c r="C19" s="588">
        <f>'d1'!C19-d1П!C19</f>
        <v>0</v>
      </c>
      <c r="D19" s="588">
        <f>'d1'!D19-d1П!D19</f>
        <v>0</v>
      </c>
      <c r="E19" s="588">
        <f>'d1'!E19-d1П!E19</f>
        <v>0</v>
      </c>
      <c r="F19" s="588">
        <f>'d1'!F19-d1П!F19</f>
        <v>0</v>
      </c>
      <c r="G19" s="105"/>
    </row>
    <row r="20" spans="1:7" ht="39.75" thickTop="1" thickBot="1" x14ac:dyDescent="0.25">
      <c r="A20" s="592">
        <v>11010400</v>
      </c>
      <c r="B20" s="593" t="s">
        <v>63</v>
      </c>
      <c r="C20" s="588">
        <f>'d1'!C20-d1П!C20</f>
        <v>0</v>
      </c>
      <c r="D20" s="588">
        <f>'d1'!D20-d1П!D20</f>
        <v>0</v>
      </c>
      <c r="E20" s="588">
        <f>'d1'!E20-d1П!E20</f>
        <v>0</v>
      </c>
      <c r="F20" s="588">
        <f>'d1'!F20-d1П!F20</f>
        <v>0</v>
      </c>
      <c r="G20" s="105"/>
    </row>
    <row r="21" spans="1:7" ht="39.75" thickTop="1" thickBot="1" x14ac:dyDescent="0.3">
      <c r="A21" s="592">
        <v>11010500</v>
      </c>
      <c r="B21" s="593" t="s">
        <v>64</v>
      </c>
      <c r="C21" s="588">
        <f>'d1'!C21-d1П!C21</f>
        <v>0</v>
      </c>
      <c r="D21" s="588">
        <f>'d1'!D21-d1П!D21</f>
        <v>0</v>
      </c>
      <c r="E21" s="588">
        <f>'d1'!E21-d1П!E21</f>
        <v>0</v>
      </c>
      <c r="F21" s="588">
        <f>'d1'!F21-d1П!F21</f>
        <v>0</v>
      </c>
      <c r="G21" s="103"/>
    </row>
    <row r="22" spans="1:7" ht="27" thickTop="1" thickBot="1" x14ac:dyDescent="0.3">
      <c r="A22" s="592">
        <v>11011200</v>
      </c>
      <c r="B22" s="593" t="s">
        <v>1509</v>
      </c>
      <c r="C22" s="588">
        <f>'d1'!C22-d1П!C22</f>
        <v>0</v>
      </c>
      <c r="D22" s="588">
        <f>'d1'!D22-d1П!D22</f>
        <v>0</v>
      </c>
      <c r="E22" s="588">
        <f>'d1'!E22-d1П!E22</f>
        <v>0</v>
      </c>
      <c r="F22" s="588">
        <f>'d1'!F22-d1П!F22</f>
        <v>0</v>
      </c>
      <c r="G22" s="103"/>
    </row>
    <row r="23" spans="1:7" ht="39.75" thickTop="1" thickBot="1" x14ac:dyDescent="0.3">
      <c r="A23" s="592">
        <v>11011300</v>
      </c>
      <c r="B23" s="593" t="s">
        <v>1510</v>
      </c>
      <c r="C23" s="588">
        <f>'d1'!C23-d1П!C23</f>
        <v>0</v>
      </c>
      <c r="D23" s="588">
        <f>'d1'!D23-d1П!D23</f>
        <v>0</v>
      </c>
      <c r="E23" s="588">
        <f>'d1'!E23-d1П!E23</f>
        <v>0</v>
      </c>
      <c r="F23" s="588">
        <f>'d1'!F23-d1П!F23</f>
        <v>0</v>
      </c>
      <c r="G23" s="103"/>
    </row>
    <row r="24" spans="1:7" ht="28.5" customHeight="1" thickTop="1" thickBot="1" x14ac:dyDescent="0.25">
      <c r="A24" s="589">
        <v>11020000</v>
      </c>
      <c r="B24" s="590" t="s">
        <v>65</v>
      </c>
      <c r="C24" s="588">
        <f>'d1'!C24-d1П!C24</f>
        <v>0</v>
      </c>
      <c r="D24" s="588">
        <f>'d1'!D24-d1П!D24</f>
        <v>0</v>
      </c>
      <c r="E24" s="588">
        <f>'d1'!E24-d1П!E24</f>
        <v>0</v>
      </c>
      <c r="F24" s="588">
        <f>'d1'!F24-d1П!F24</f>
        <v>0</v>
      </c>
      <c r="G24" s="104"/>
    </row>
    <row r="25" spans="1:7" ht="27" thickTop="1" thickBot="1" x14ac:dyDescent="0.3">
      <c r="A25" s="592">
        <v>11020200</v>
      </c>
      <c r="B25" s="595" t="s">
        <v>66</v>
      </c>
      <c r="C25" s="588">
        <f>'d1'!C25-d1П!C25</f>
        <v>0</v>
      </c>
      <c r="D25" s="588">
        <f>'d1'!D25-d1П!D25</f>
        <v>0</v>
      </c>
      <c r="E25" s="588">
        <f>'d1'!E25-d1П!E25</f>
        <v>0</v>
      </c>
      <c r="F25" s="588">
        <f>'d1'!F25-d1П!F25</f>
        <v>0</v>
      </c>
      <c r="G25" s="103"/>
    </row>
    <row r="26" spans="1:7" ht="27" thickTop="1" thickBot="1" x14ac:dyDescent="0.3">
      <c r="A26" s="586">
        <v>13000000</v>
      </c>
      <c r="B26" s="596" t="s">
        <v>525</v>
      </c>
      <c r="C26" s="588">
        <f>'d1'!C26-d1П!C26</f>
        <v>0</v>
      </c>
      <c r="D26" s="588">
        <f>'d1'!D26-d1П!D26</f>
        <v>0</v>
      </c>
      <c r="E26" s="588">
        <f>'d1'!E26-d1П!E26</f>
        <v>0</v>
      </c>
      <c r="F26" s="588">
        <f>'d1'!F26-d1П!F26</f>
        <v>0</v>
      </c>
      <c r="G26" s="103"/>
    </row>
    <row r="27" spans="1:7" ht="28.5" thickTop="1" thickBot="1" x14ac:dyDescent="0.3">
      <c r="A27" s="589">
        <v>13010000</v>
      </c>
      <c r="B27" s="597" t="s">
        <v>526</v>
      </c>
      <c r="C27" s="588">
        <f>'d1'!C27-d1П!C27</f>
        <v>0</v>
      </c>
      <c r="D27" s="588">
        <f>'d1'!D27-d1П!D27</f>
        <v>0</v>
      </c>
      <c r="E27" s="588">
        <f>'d1'!E27-d1П!E27</f>
        <v>0</v>
      </c>
      <c r="F27" s="588">
        <f>'d1'!F27-d1П!F27</f>
        <v>0</v>
      </c>
      <c r="G27" s="103"/>
    </row>
    <row r="28" spans="1:7" ht="52.5" thickTop="1" thickBot="1" x14ac:dyDescent="0.3">
      <c r="A28" s="592">
        <v>13010100</v>
      </c>
      <c r="B28" s="598" t="s">
        <v>1511</v>
      </c>
      <c r="C28" s="588">
        <f>'d1'!C28-d1П!C28</f>
        <v>0</v>
      </c>
      <c r="D28" s="588">
        <f>'d1'!D28-d1П!D28</f>
        <v>0</v>
      </c>
      <c r="E28" s="588">
        <f>'d1'!E28-d1П!E28</f>
        <v>0</v>
      </c>
      <c r="F28" s="588">
        <f>'d1'!F28-d1П!F28</f>
        <v>0</v>
      </c>
      <c r="G28" s="103"/>
    </row>
    <row r="29" spans="1:7" ht="65.25" thickTop="1" thickBot="1" x14ac:dyDescent="0.3">
      <c r="A29" s="592">
        <v>13010200</v>
      </c>
      <c r="B29" s="598" t="s">
        <v>527</v>
      </c>
      <c r="C29" s="588">
        <f>'d1'!C29-d1П!C29</f>
        <v>0</v>
      </c>
      <c r="D29" s="588">
        <f>'d1'!D29-d1П!D29</f>
        <v>0</v>
      </c>
      <c r="E29" s="588">
        <f>'d1'!E29-d1П!E29</f>
        <v>0</v>
      </c>
      <c r="F29" s="588">
        <f>'d1'!F29-d1П!F29</f>
        <v>0</v>
      </c>
      <c r="G29" s="103"/>
    </row>
    <row r="30" spans="1:7" ht="16.5" thickTop="1" thickBot="1" x14ac:dyDescent="0.3">
      <c r="A30" s="589">
        <v>13030000</v>
      </c>
      <c r="B30" s="599" t="s">
        <v>528</v>
      </c>
      <c r="C30" s="588">
        <f>'d1'!C30-d1П!C30</f>
        <v>0</v>
      </c>
      <c r="D30" s="588">
        <f>'d1'!D30-d1П!D30</f>
        <v>0</v>
      </c>
      <c r="E30" s="588">
        <f>'d1'!E30-d1П!E30</f>
        <v>0</v>
      </c>
      <c r="F30" s="588">
        <f>'d1'!F30-d1П!F30</f>
        <v>0</v>
      </c>
      <c r="G30" s="103"/>
    </row>
    <row r="31" spans="1:7" ht="39.75" thickTop="1" thickBot="1" x14ac:dyDescent="0.3">
      <c r="A31" s="592">
        <v>13030100</v>
      </c>
      <c r="B31" s="598" t="s">
        <v>529</v>
      </c>
      <c r="C31" s="588">
        <f>'d1'!C31-d1П!C31</f>
        <v>0</v>
      </c>
      <c r="D31" s="588">
        <f>'d1'!D31-d1П!D31</f>
        <v>0</v>
      </c>
      <c r="E31" s="588">
        <f>'d1'!E31-d1П!E31</f>
        <v>0</v>
      </c>
      <c r="F31" s="588">
        <f>'d1'!F31-d1П!F31</f>
        <v>0</v>
      </c>
      <c r="G31" s="103"/>
    </row>
    <row r="32" spans="1:7" ht="26.45" customHeight="1" thickTop="1" thickBot="1" x14ac:dyDescent="0.3">
      <c r="A32" s="586">
        <v>14000000</v>
      </c>
      <c r="B32" s="596" t="s">
        <v>530</v>
      </c>
      <c r="C32" s="588">
        <f>'d1'!C32-d1П!C32</f>
        <v>-55158579</v>
      </c>
      <c r="D32" s="588">
        <f>'d1'!D32-d1П!D32</f>
        <v>-55158579</v>
      </c>
      <c r="E32" s="588">
        <f>'d1'!E32-d1П!E32</f>
        <v>0</v>
      </c>
      <c r="F32" s="588">
        <f>'d1'!F32-d1П!F32</f>
        <v>0</v>
      </c>
      <c r="G32" s="103"/>
    </row>
    <row r="33" spans="1:7" ht="30" customHeight="1" thickTop="1" thickBot="1" x14ac:dyDescent="0.3">
      <c r="A33" s="589">
        <v>14020000</v>
      </c>
      <c r="B33" s="597" t="s">
        <v>620</v>
      </c>
      <c r="C33" s="588">
        <f>'d1'!C33-d1П!C33</f>
        <v>0</v>
      </c>
      <c r="D33" s="588">
        <f>'d1'!D33-d1П!D33</f>
        <v>0</v>
      </c>
      <c r="E33" s="588">
        <f>'d1'!E33-d1П!E33</f>
        <v>0</v>
      </c>
      <c r="F33" s="588">
        <f>'d1'!F33-d1П!F33</f>
        <v>0</v>
      </c>
      <c r="G33" s="103"/>
    </row>
    <row r="34" spans="1:7" ht="16.5" thickTop="1" thickBot="1" x14ac:dyDescent="0.3">
      <c r="A34" s="592">
        <v>14021900</v>
      </c>
      <c r="B34" s="595" t="s">
        <v>619</v>
      </c>
      <c r="C34" s="588">
        <f>'d1'!C34-d1П!C34</f>
        <v>0</v>
      </c>
      <c r="D34" s="588">
        <f>'d1'!D34-d1П!D34</f>
        <v>0</v>
      </c>
      <c r="E34" s="588">
        <f>'d1'!E34-d1П!E34</f>
        <v>0</v>
      </c>
      <c r="F34" s="588">
        <f>'d1'!F34-d1П!F34</f>
        <v>0</v>
      </c>
      <c r="G34" s="103"/>
    </row>
    <row r="35" spans="1:7" ht="42" thickTop="1" thickBot="1" x14ac:dyDescent="0.3">
      <c r="A35" s="589">
        <v>14030000</v>
      </c>
      <c r="B35" s="597" t="s">
        <v>621</v>
      </c>
      <c r="C35" s="588">
        <f>'d1'!C35-d1П!C35</f>
        <v>0</v>
      </c>
      <c r="D35" s="588">
        <f>'d1'!D35-d1П!D35</f>
        <v>0</v>
      </c>
      <c r="E35" s="588">
        <f>'d1'!E35-d1П!E35</f>
        <v>0</v>
      </c>
      <c r="F35" s="588">
        <f>'d1'!F35-d1П!F35</f>
        <v>0</v>
      </c>
      <c r="G35" s="103"/>
    </row>
    <row r="36" spans="1:7" ht="16.5" thickTop="1" thickBot="1" x14ac:dyDescent="0.3">
      <c r="A36" s="592">
        <v>14031900</v>
      </c>
      <c r="B36" s="595" t="s">
        <v>619</v>
      </c>
      <c r="C36" s="588">
        <f>'d1'!C36-d1П!C36</f>
        <v>0</v>
      </c>
      <c r="D36" s="588">
        <f>'d1'!D36-d1П!D36</f>
        <v>0</v>
      </c>
      <c r="E36" s="588">
        <f>'d1'!E36-d1П!E36</f>
        <v>0</v>
      </c>
      <c r="F36" s="588">
        <f>'d1'!F36-d1П!F36</f>
        <v>0</v>
      </c>
      <c r="G36" s="103"/>
    </row>
    <row r="37" spans="1:7" ht="42" thickTop="1" thickBot="1" x14ac:dyDescent="0.3">
      <c r="A37" s="589">
        <v>14040000</v>
      </c>
      <c r="B37" s="597" t="s">
        <v>1191</v>
      </c>
      <c r="C37" s="588">
        <f>'d1'!C37-d1П!C37</f>
        <v>-55158579</v>
      </c>
      <c r="D37" s="588">
        <f>'d1'!D37-d1П!D37</f>
        <v>-55158579</v>
      </c>
      <c r="E37" s="588">
        <f>'d1'!E37-d1П!E37</f>
        <v>0</v>
      </c>
      <c r="F37" s="588">
        <f>'d1'!F37-d1П!F37</f>
        <v>0</v>
      </c>
      <c r="G37" s="103"/>
    </row>
    <row r="38" spans="1:7" ht="103.5" thickTop="1" thickBot="1" x14ac:dyDescent="0.25">
      <c r="A38" s="592">
        <v>14040100</v>
      </c>
      <c r="B38" s="595" t="s">
        <v>1211</v>
      </c>
      <c r="C38" s="588">
        <f>'d1'!C38-d1П!C38</f>
        <v>-55158579</v>
      </c>
      <c r="D38" s="588">
        <f>'d1'!D38-d1П!D38</f>
        <v>-55158579</v>
      </c>
      <c r="E38" s="588">
        <f>'d1'!E38-d1П!E38</f>
        <v>0</v>
      </c>
      <c r="F38" s="588">
        <f>'d1'!F38-d1П!F38</f>
        <v>0</v>
      </c>
      <c r="G38" s="106"/>
    </row>
    <row r="39" spans="1:7" ht="78" thickTop="1" thickBot="1" x14ac:dyDescent="0.25">
      <c r="A39" s="592">
        <v>14040200</v>
      </c>
      <c r="B39" s="595" t="s">
        <v>1190</v>
      </c>
      <c r="C39" s="588">
        <f>'d1'!C39-d1П!C39</f>
        <v>0</v>
      </c>
      <c r="D39" s="588">
        <f>'d1'!D39-d1П!D39</f>
        <v>0</v>
      </c>
      <c r="E39" s="588">
        <f>'d1'!E39-d1П!E39</f>
        <v>0</v>
      </c>
      <c r="F39" s="588">
        <f>'d1'!F39-d1П!F39</f>
        <v>0</v>
      </c>
      <c r="G39" s="106"/>
    </row>
    <row r="40" spans="1:7" ht="29.25" customHeight="1" thickTop="1" thickBot="1" x14ac:dyDescent="0.3">
      <c r="A40" s="586">
        <v>18000000</v>
      </c>
      <c r="B40" s="586" t="s">
        <v>67</v>
      </c>
      <c r="C40" s="588">
        <f>'d1'!C40-d1П!C40</f>
        <v>35000000</v>
      </c>
      <c r="D40" s="588">
        <f>'d1'!D40-d1П!D40</f>
        <v>35000000</v>
      </c>
      <c r="E40" s="588">
        <f>'d1'!E40-d1П!E40</f>
        <v>0</v>
      </c>
      <c r="F40" s="588">
        <f>'d1'!F40-d1П!F40</f>
        <v>0</v>
      </c>
      <c r="G40" s="103"/>
    </row>
    <row r="41" spans="1:7" ht="16.5" thickTop="1" thickBot="1" x14ac:dyDescent="0.3">
      <c r="A41" s="589">
        <v>18010000</v>
      </c>
      <c r="B41" s="597" t="s">
        <v>68</v>
      </c>
      <c r="C41" s="588">
        <f>'d1'!C41-d1П!C41</f>
        <v>0</v>
      </c>
      <c r="D41" s="588">
        <f>'d1'!D41-d1П!D41</f>
        <v>0</v>
      </c>
      <c r="E41" s="588">
        <f>'d1'!E41-d1П!E41</f>
        <v>0</v>
      </c>
      <c r="F41" s="588">
        <f>'d1'!F41-d1П!F41</f>
        <v>0</v>
      </c>
      <c r="G41" s="103"/>
    </row>
    <row r="42" spans="1:7" ht="52.5" thickTop="1" thickBot="1" x14ac:dyDescent="0.3">
      <c r="A42" s="592">
        <v>18010100</v>
      </c>
      <c r="B42" s="595" t="s">
        <v>69</v>
      </c>
      <c r="C42" s="588">
        <f>'d1'!C42-d1П!C42</f>
        <v>0</v>
      </c>
      <c r="D42" s="588">
        <f>'d1'!D42-d1П!D42</f>
        <v>0</v>
      </c>
      <c r="E42" s="588">
        <f>'d1'!E42-d1П!E42</f>
        <v>0</v>
      </c>
      <c r="F42" s="588">
        <f>'d1'!F42-d1П!F42</f>
        <v>0</v>
      </c>
      <c r="G42" s="103"/>
    </row>
    <row r="43" spans="1:7" ht="52.5" thickTop="1" thickBot="1" x14ac:dyDescent="0.3">
      <c r="A43" s="592">
        <v>18010200</v>
      </c>
      <c r="B43" s="595" t="s">
        <v>70</v>
      </c>
      <c r="C43" s="588">
        <f>'d1'!C43-d1П!C43</f>
        <v>0</v>
      </c>
      <c r="D43" s="588">
        <f>'d1'!D43-d1П!D43</f>
        <v>0</v>
      </c>
      <c r="E43" s="588">
        <f>'d1'!E43-d1П!E43</f>
        <v>0</v>
      </c>
      <c r="F43" s="588">
        <f>'d1'!F43-d1П!F43</f>
        <v>0</v>
      </c>
      <c r="G43" s="103"/>
    </row>
    <row r="44" spans="1:7" ht="52.5" thickTop="1" thickBot="1" x14ac:dyDescent="0.3">
      <c r="A44" s="592">
        <v>18010300</v>
      </c>
      <c r="B44" s="595" t="s">
        <v>71</v>
      </c>
      <c r="C44" s="588">
        <f>'d1'!C44-d1П!C44</f>
        <v>0</v>
      </c>
      <c r="D44" s="588">
        <f>'d1'!D44-d1П!D44</f>
        <v>0</v>
      </c>
      <c r="E44" s="588">
        <f>'d1'!E44-d1П!E44</f>
        <v>0</v>
      </c>
      <c r="F44" s="588">
        <f>'d1'!F44-d1П!F44</f>
        <v>0</v>
      </c>
      <c r="G44" s="103"/>
    </row>
    <row r="45" spans="1:7" ht="52.5" thickTop="1" thickBot="1" x14ac:dyDescent="0.3">
      <c r="A45" s="592">
        <v>18010400</v>
      </c>
      <c r="B45" s="595" t="s">
        <v>72</v>
      </c>
      <c r="C45" s="588">
        <f>'d1'!C45-d1П!C45</f>
        <v>0</v>
      </c>
      <c r="D45" s="588">
        <f>'d1'!D45-d1П!D45</f>
        <v>0</v>
      </c>
      <c r="E45" s="588">
        <f>'d1'!E45-d1П!E45</f>
        <v>0</v>
      </c>
      <c r="F45" s="588">
        <f>'d1'!F45-d1П!F45</f>
        <v>0</v>
      </c>
      <c r="G45" s="103"/>
    </row>
    <row r="46" spans="1:7" ht="16.5" thickTop="1" thickBot="1" x14ac:dyDescent="0.3">
      <c r="A46" s="592">
        <v>18010500</v>
      </c>
      <c r="B46" s="595" t="s">
        <v>73</v>
      </c>
      <c r="C46" s="588">
        <f>'d1'!C46-d1П!C46</f>
        <v>0</v>
      </c>
      <c r="D46" s="588">
        <f>'d1'!D46-d1П!D46</f>
        <v>0</v>
      </c>
      <c r="E46" s="588">
        <f>'d1'!E46-d1П!E46</f>
        <v>0</v>
      </c>
      <c r="F46" s="588">
        <f>'d1'!F46-d1П!F46</f>
        <v>0</v>
      </c>
      <c r="G46" s="103"/>
    </row>
    <row r="47" spans="1:7" ht="16.5" thickTop="1" thickBot="1" x14ac:dyDescent="0.3">
      <c r="A47" s="592">
        <v>18010600</v>
      </c>
      <c r="B47" s="595" t="s">
        <v>74</v>
      </c>
      <c r="C47" s="588">
        <f>'d1'!C47-d1П!C47</f>
        <v>0</v>
      </c>
      <c r="D47" s="588">
        <f>'d1'!D47-d1П!D47</f>
        <v>0</v>
      </c>
      <c r="E47" s="588">
        <f>'d1'!E47-d1П!E47</f>
        <v>0</v>
      </c>
      <c r="F47" s="588">
        <f>'d1'!F47-d1П!F47</f>
        <v>0</v>
      </c>
      <c r="G47" s="103"/>
    </row>
    <row r="48" spans="1:7" ht="16.5" thickTop="1" thickBot="1" x14ac:dyDescent="0.3">
      <c r="A48" s="592">
        <v>18010700</v>
      </c>
      <c r="B48" s="595" t="s">
        <v>75</v>
      </c>
      <c r="C48" s="588">
        <f>'d1'!C48-d1П!C48</f>
        <v>0</v>
      </c>
      <c r="D48" s="588">
        <f>'d1'!D48-d1П!D48</f>
        <v>0</v>
      </c>
      <c r="E48" s="588">
        <f>'d1'!E48-d1П!E48</f>
        <v>0</v>
      </c>
      <c r="F48" s="588">
        <f>'d1'!F48-d1П!F48</f>
        <v>0</v>
      </c>
      <c r="G48" s="103"/>
    </row>
    <row r="49" spans="1:7" ht="16.5" thickTop="1" thickBot="1" x14ac:dyDescent="0.3">
      <c r="A49" s="592">
        <v>18010900</v>
      </c>
      <c r="B49" s="595" t="s">
        <v>76</v>
      </c>
      <c r="C49" s="588">
        <f>'d1'!C49-d1П!C49</f>
        <v>0</v>
      </c>
      <c r="D49" s="588">
        <f>'d1'!D49-d1П!D49</f>
        <v>0</v>
      </c>
      <c r="E49" s="588">
        <f>'d1'!E49-d1П!E49</f>
        <v>0</v>
      </c>
      <c r="F49" s="588">
        <f>'d1'!F49-d1П!F49</f>
        <v>0</v>
      </c>
      <c r="G49" s="103"/>
    </row>
    <row r="50" spans="1:7" ht="15.75" thickTop="1" thickBot="1" x14ac:dyDescent="0.25">
      <c r="A50" s="592">
        <v>18011000</v>
      </c>
      <c r="B50" s="595" t="s">
        <v>77</v>
      </c>
      <c r="C50" s="588">
        <f>'d1'!C50-d1П!C50</f>
        <v>0</v>
      </c>
      <c r="D50" s="588">
        <f>'d1'!D50-d1П!D50</f>
        <v>0</v>
      </c>
      <c r="E50" s="588">
        <f>'d1'!E50-d1П!E50</f>
        <v>0</v>
      </c>
      <c r="F50" s="588">
        <f>'d1'!F50-d1П!F50</f>
        <v>0</v>
      </c>
      <c r="G50" s="104"/>
    </row>
    <row r="51" spans="1:7" ht="16.5" thickTop="1" thickBot="1" x14ac:dyDescent="0.3">
      <c r="A51" s="592">
        <v>18011100</v>
      </c>
      <c r="B51" s="595" t="s">
        <v>78</v>
      </c>
      <c r="C51" s="588">
        <f>'d1'!C51-d1П!C51</f>
        <v>0</v>
      </c>
      <c r="D51" s="588">
        <f>'d1'!D51-d1П!D51</f>
        <v>0</v>
      </c>
      <c r="E51" s="588">
        <f>'d1'!E51-d1П!E51</f>
        <v>0</v>
      </c>
      <c r="F51" s="588">
        <f>'d1'!F51-d1П!F51</f>
        <v>0</v>
      </c>
      <c r="G51" s="103"/>
    </row>
    <row r="52" spans="1:7" ht="28.5" thickTop="1" thickBot="1" x14ac:dyDescent="0.3">
      <c r="A52" s="589">
        <v>18020000</v>
      </c>
      <c r="B52" s="597" t="s">
        <v>1139</v>
      </c>
      <c r="C52" s="588">
        <f>'d1'!C52-d1П!C52</f>
        <v>0</v>
      </c>
      <c r="D52" s="588">
        <f>'d1'!D52-d1П!D52</f>
        <v>0</v>
      </c>
      <c r="E52" s="588">
        <f>'d1'!E52-d1П!E52</f>
        <v>0</v>
      </c>
      <c r="F52" s="588">
        <f>'d1'!F52-d1П!F52</f>
        <v>0</v>
      </c>
      <c r="G52" s="103"/>
    </row>
    <row r="53" spans="1:7" ht="27" thickTop="1" thickBot="1" x14ac:dyDescent="0.3">
      <c r="A53" s="592">
        <v>180201000</v>
      </c>
      <c r="B53" s="595" t="s">
        <v>1140</v>
      </c>
      <c r="C53" s="588">
        <f>'d1'!C53-d1П!C53</f>
        <v>0</v>
      </c>
      <c r="D53" s="588">
        <f>'d1'!D53-d1П!D53</f>
        <v>0</v>
      </c>
      <c r="E53" s="588">
        <f>'d1'!E53-d1П!E53</f>
        <v>0</v>
      </c>
      <c r="F53" s="588">
        <f>'d1'!F53-d1П!F53</f>
        <v>0</v>
      </c>
      <c r="G53" s="103"/>
    </row>
    <row r="54" spans="1:7" ht="16.5" thickTop="1" thickBot="1" x14ac:dyDescent="0.3">
      <c r="A54" s="589">
        <v>18030000</v>
      </c>
      <c r="B54" s="597" t="s">
        <v>79</v>
      </c>
      <c r="C54" s="588">
        <f>'d1'!C54-d1П!C54</f>
        <v>0</v>
      </c>
      <c r="D54" s="588">
        <f>'d1'!D54-d1П!D54</f>
        <v>0</v>
      </c>
      <c r="E54" s="588">
        <f>'d1'!E54-d1П!E54</f>
        <v>0</v>
      </c>
      <c r="F54" s="588">
        <f>'d1'!F54-d1П!F54</f>
        <v>0</v>
      </c>
      <c r="G54" s="103"/>
    </row>
    <row r="55" spans="1:7" ht="27" thickTop="1" thickBot="1" x14ac:dyDescent="0.3">
      <c r="A55" s="592">
        <v>18030100</v>
      </c>
      <c r="B55" s="595" t="s">
        <v>80</v>
      </c>
      <c r="C55" s="588">
        <f>'d1'!C55-d1П!C55</f>
        <v>0</v>
      </c>
      <c r="D55" s="588">
        <f>'d1'!D55-d1П!D55</f>
        <v>0</v>
      </c>
      <c r="E55" s="588">
        <f>'d1'!E55-d1П!E55</f>
        <v>0</v>
      </c>
      <c r="F55" s="588">
        <f>'d1'!F55-d1П!F55</f>
        <v>0</v>
      </c>
      <c r="G55" s="103"/>
    </row>
    <row r="56" spans="1:7" ht="27" thickTop="1" thickBot="1" x14ac:dyDescent="0.3">
      <c r="A56" s="592">
        <v>18030200</v>
      </c>
      <c r="B56" s="595" t="s">
        <v>81</v>
      </c>
      <c r="C56" s="588">
        <f>'d1'!C56-d1П!C56</f>
        <v>0</v>
      </c>
      <c r="D56" s="588">
        <f>'d1'!D56-d1П!D56</f>
        <v>0</v>
      </c>
      <c r="E56" s="588">
        <f>'d1'!E56-d1П!E56</f>
        <v>0</v>
      </c>
      <c r="F56" s="588">
        <f>'d1'!F56-d1П!F56</f>
        <v>0</v>
      </c>
      <c r="G56" s="103"/>
    </row>
    <row r="57" spans="1:7" ht="16.5" thickTop="1" thickBot="1" x14ac:dyDescent="0.3">
      <c r="A57" s="589">
        <v>18050000</v>
      </c>
      <c r="B57" s="597" t="s">
        <v>82</v>
      </c>
      <c r="C57" s="588">
        <f>'d1'!C57-d1П!C57</f>
        <v>35000000</v>
      </c>
      <c r="D57" s="588">
        <f>'d1'!D57-d1П!D57</f>
        <v>35000000</v>
      </c>
      <c r="E57" s="588">
        <f>'d1'!E57-d1П!E57</f>
        <v>0</v>
      </c>
      <c r="F57" s="588">
        <f>'d1'!F57-d1П!F57</f>
        <v>0</v>
      </c>
      <c r="G57" s="103"/>
    </row>
    <row r="58" spans="1:7" ht="16.5" thickTop="1" thickBot="1" x14ac:dyDescent="0.3">
      <c r="A58" s="592">
        <v>18050300</v>
      </c>
      <c r="B58" s="593" t="s">
        <v>1023</v>
      </c>
      <c r="C58" s="588">
        <f>'d1'!C58-d1П!C58</f>
        <v>0</v>
      </c>
      <c r="D58" s="588">
        <f>'d1'!D58-d1П!D58</f>
        <v>0</v>
      </c>
      <c r="E58" s="588">
        <f>'d1'!E58-d1П!E58</f>
        <v>0</v>
      </c>
      <c r="F58" s="588">
        <f>'d1'!F58-d1П!F58</f>
        <v>0</v>
      </c>
      <c r="G58" s="103"/>
    </row>
    <row r="59" spans="1:7" ht="15.75" thickTop="1" thickBot="1" x14ac:dyDescent="0.25">
      <c r="A59" s="592">
        <v>18050400</v>
      </c>
      <c r="B59" s="595" t="s">
        <v>83</v>
      </c>
      <c r="C59" s="588">
        <f>'d1'!C59-d1П!C59</f>
        <v>35000000</v>
      </c>
      <c r="D59" s="588">
        <f>'d1'!D59-d1П!D59</f>
        <v>35000000</v>
      </c>
      <c r="E59" s="588">
        <f>'d1'!E59-d1П!E59</f>
        <v>0</v>
      </c>
      <c r="F59" s="588">
        <f>'d1'!F59-d1П!F59</f>
        <v>0</v>
      </c>
      <c r="G59" s="104"/>
    </row>
    <row r="60" spans="1:7" ht="65.25" thickTop="1" thickBot="1" x14ac:dyDescent="0.25">
      <c r="A60" s="592">
        <v>18050500</v>
      </c>
      <c r="B60" s="595" t="s">
        <v>538</v>
      </c>
      <c r="C60" s="588">
        <f>'d1'!C60-d1П!C60</f>
        <v>0</v>
      </c>
      <c r="D60" s="588">
        <f>'d1'!D60-d1П!D60</f>
        <v>0</v>
      </c>
      <c r="E60" s="588">
        <f>'d1'!E60-d1П!E60</f>
        <v>0</v>
      </c>
      <c r="F60" s="588">
        <f>'d1'!F60-d1П!F60</f>
        <v>0</v>
      </c>
      <c r="G60" s="104"/>
    </row>
    <row r="61" spans="1:7" ht="31.7" customHeight="1" thickTop="1" thickBot="1" x14ac:dyDescent="0.25">
      <c r="A61" s="586">
        <v>19000000</v>
      </c>
      <c r="B61" s="600" t="s">
        <v>531</v>
      </c>
      <c r="C61" s="588">
        <f>'d1'!C61-d1П!C61</f>
        <v>0</v>
      </c>
      <c r="D61" s="588">
        <f>'d1'!D61-d1П!D61</f>
        <v>0</v>
      </c>
      <c r="E61" s="588">
        <f>'d1'!E61-d1П!E61</f>
        <v>0</v>
      </c>
      <c r="F61" s="588">
        <f>'d1'!F61-d1П!F61</f>
        <v>0</v>
      </c>
      <c r="G61" s="104"/>
    </row>
    <row r="62" spans="1:7" ht="16.5" thickTop="1" thickBot="1" x14ac:dyDescent="0.3">
      <c r="A62" s="589">
        <v>1901000</v>
      </c>
      <c r="B62" s="590" t="s">
        <v>84</v>
      </c>
      <c r="C62" s="588">
        <f>'d1'!C62-d1П!C62</f>
        <v>0</v>
      </c>
      <c r="D62" s="588">
        <f>'d1'!D62-d1П!D62</f>
        <v>0</v>
      </c>
      <c r="E62" s="588">
        <f>'d1'!E62-d1П!E62</f>
        <v>0</v>
      </c>
      <c r="F62" s="588">
        <f>'d1'!F62-d1П!F62</f>
        <v>0</v>
      </c>
      <c r="G62" s="103"/>
    </row>
    <row r="63" spans="1:7" ht="52.5" thickTop="1" thickBot="1" x14ac:dyDescent="0.3">
      <c r="A63" s="592">
        <v>19010100</v>
      </c>
      <c r="B63" s="593" t="s">
        <v>532</v>
      </c>
      <c r="C63" s="588">
        <f>'d1'!C63-d1П!C63</f>
        <v>0</v>
      </c>
      <c r="D63" s="588">
        <f>'d1'!D63-d1П!D63</f>
        <v>0</v>
      </c>
      <c r="E63" s="588">
        <f>'d1'!E63-d1П!E63</f>
        <v>0</v>
      </c>
      <c r="F63" s="588">
        <f>'d1'!F63-d1П!F63</f>
        <v>0</v>
      </c>
      <c r="G63" s="103"/>
    </row>
    <row r="64" spans="1:7" ht="27" thickTop="1" thickBot="1" x14ac:dyDescent="0.25">
      <c r="A64" s="592">
        <v>19010200</v>
      </c>
      <c r="B64" s="593" t="s">
        <v>1254</v>
      </c>
      <c r="C64" s="588">
        <f>'d1'!C64-d1П!C64</f>
        <v>0</v>
      </c>
      <c r="D64" s="588">
        <f>'d1'!D64-d1П!D64</f>
        <v>0</v>
      </c>
      <c r="E64" s="588">
        <f>'d1'!E64-d1П!E64</f>
        <v>0</v>
      </c>
      <c r="F64" s="588">
        <f>'d1'!F64-d1П!F64</f>
        <v>0</v>
      </c>
      <c r="G64" s="106"/>
    </row>
    <row r="65" spans="1:7" ht="52.5" thickTop="1" thickBot="1" x14ac:dyDescent="0.3">
      <c r="A65" s="592">
        <v>19010300</v>
      </c>
      <c r="B65" s="593" t="s">
        <v>1255</v>
      </c>
      <c r="C65" s="588">
        <f>'d1'!C65-d1П!C65</f>
        <v>0</v>
      </c>
      <c r="D65" s="588">
        <f>'d1'!D65-d1П!D65</f>
        <v>0</v>
      </c>
      <c r="E65" s="588">
        <f>'d1'!E65-d1П!E65</f>
        <v>0</v>
      </c>
      <c r="F65" s="588">
        <f>'d1'!F65-d1П!F65</f>
        <v>0</v>
      </c>
      <c r="G65" s="103"/>
    </row>
    <row r="66" spans="1:7" ht="30" customHeight="1" thickTop="1" thickBot="1" x14ac:dyDescent="0.3">
      <c r="A66" s="659">
        <v>20000000</v>
      </c>
      <c r="B66" s="659" t="s">
        <v>85</v>
      </c>
      <c r="C66" s="660">
        <f t="shared" si="0"/>
        <v>-4000000</v>
      </c>
      <c r="D66" s="660">
        <f>SUM(D67,D77,D90,D95)+D89</f>
        <v>-4000000</v>
      </c>
      <c r="E66" s="660">
        <f>SUM(E67,E77,E90,E95)+E89</f>
        <v>0</v>
      </c>
      <c r="F66" s="660">
        <f>SUM(F67,F77,F90,F95)+F89</f>
        <v>0</v>
      </c>
      <c r="G66" s="103"/>
    </row>
    <row r="67" spans="1:7" ht="27" thickTop="1" thickBot="1" x14ac:dyDescent="0.3">
      <c r="A67" s="586">
        <v>21000000</v>
      </c>
      <c r="B67" s="586" t="s">
        <v>533</v>
      </c>
      <c r="C67" s="588">
        <f>'d1'!C67-d1П!C67</f>
        <v>-1000000</v>
      </c>
      <c r="D67" s="588">
        <f>'d1'!D67-d1П!D67</f>
        <v>-1000000</v>
      </c>
      <c r="E67" s="588">
        <f>'d1'!E67-d1П!E67</f>
        <v>0</v>
      </c>
      <c r="F67" s="588">
        <f>'d1'!F67-d1П!F67</f>
        <v>0</v>
      </c>
      <c r="G67" s="103"/>
    </row>
    <row r="68" spans="1:7" ht="55.5" thickTop="1" thickBot="1" x14ac:dyDescent="0.3">
      <c r="A68" s="589">
        <v>21010000</v>
      </c>
      <c r="B68" s="597" t="s">
        <v>534</v>
      </c>
      <c r="C68" s="588">
        <f>'d1'!C68-d1П!C68</f>
        <v>-1000000</v>
      </c>
      <c r="D68" s="588">
        <f>'d1'!D68-d1П!D68</f>
        <v>-1000000</v>
      </c>
      <c r="E68" s="588">
        <f>'d1'!E68-d1П!E68</f>
        <v>0</v>
      </c>
      <c r="F68" s="588">
        <f>'d1'!F68-d1П!F68</f>
        <v>0</v>
      </c>
      <c r="G68" s="103"/>
    </row>
    <row r="69" spans="1:7" ht="52.5" thickTop="1" thickBot="1" x14ac:dyDescent="0.3">
      <c r="A69" s="592">
        <v>21010300</v>
      </c>
      <c r="B69" s="595" t="s">
        <v>1380</v>
      </c>
      <c r="C69" s="588">
        <f>'d1'!C69-d1П!C69</f>
        <v>-1000000</v>
      </c>
      <c r="D69" s="588">
        <f>'d1'!D69-d1П!D69</f>
        <v>-1000000</v>
      </c>
      <c r="E69" s="588">
        <f>'d1'!E69-d1П!E69</f>
        <v>0</v>
      </c>
      <c r="F69" s="588">
        <f>'d1'!F69-d1П!F69</f>
        <v>0</v>
      </c>
      <c r="G69" s="103"/>
    </row>
    <row r="70" spans="1:7" ht="28.5" thickTop="1" thickBot="1" x14ac:dyDescent="0.3">
      <c r="A70" s="589">
        <v>21050000</v>
      </c>
      <c r="B70" s="597" t="s">
        <v>86</v>
      </c>
      <c r="C70" s="588">
        <f>'d1'!C70-d1П!C70</f>
        <v>0</v>
      </c>
      <c r="D70" s="588">
        <f>'d1'!D70-d1П!D70</f>
        <v>0</v>
      </c>
      <c r="E70" s="588">
        <f>'d1'!E70-d1П!E70</f>
        <v>0</v>
      </c>
      <c r="F70" s="588">
        <f>'d1'!F70-d1П!F70</f>
        <v>0</v>
      </c>
      <c r="G70" s="103"/>
    </row>
    <row r="71" spans="1:7" ht="15" thickTop="1" thickBot="1" x14ac:dyDescent="0.25">
      <c r="A71" s="589">
        <v>21080000</v>
      </c>
      <c r="B71" s="597" t="s">
        <v>1024</v>
      </c>
      <c r="C71" s="588">
        <f>'d1'!C71-d1П!C71</f>
        <v>0</v>
      </c>
      <c r="D71" s="588">
        <f>'d1'!D71-d1П!D71</f>
        <v>0</v>
      </c>
      <c r="E71" s="588">
        <f>'d1'!E71-d1П!E71</f>
        <v>0</v>
      </c>
      <c r="F71" s="588">
        <f>'d1'!F71-d1П!F71</f>
        <v>0</v>
      </c>
      <c r="G71" s="106"/>
    </row>
    <row r="72" spans="1:7" ht="16.5" thickTop="1" thickBot="1" x14ac:dyDescent="0.3">
      <c r="A72" s="592">
        <v>21081100</v>
      </c>
      <c r="B72" s="601" t="s">
        <v>87</v>
      </c>
      <c r="C72" s="588">
        <f>'d1'!C72-d1П!C72</f>
        <v>0</v>
      </c>
      <c r="D72" s="588">
        <f>'d1'!D72-d1П!D72</f>
        <v>0</v>
      </c>
      <c r="E72" s="588">
        <f>'d1'!E72-d1П!E72</f>
        <v>0</v>
      </c>
      <c r="F72" s="588">
        <f>'d1'!F72-d1П!F72</f>
        <v>0</v>
      </c>
      <c r="G72" s="103"/>
    </row>
    <row r="73" spans="1:7" ht="90.75" thickTop="1" thickBot="1" x14ac:dyDescent="0.3">
      <c r="A73" s="592">
        <v>21081500</v>
      </c>
      <c r="B73" s="593" t="s">
        <v>1269</v>
      </c>
      <c r="C73" s="588">
        <f>'d1'!C73-d1П!C73</f>
        <v>0</v>
      </c>
      <c r="D73" s="588">
        <f>'d1'!D73-d1П!D73</f>
        <v>0</v>
      </c>
      <c r="E73" s="588">
        <f>'d1'!E73-d1П!E73</f>
        <v>0</v>
      </c>
      <c r="F73" s="588">
        <f>'d1'!F73-d1П!F73</f>
        <v>0</v>
      </c>
      <c r="G73" s="103"/>
    </row>
    <row r="74" spans="1:7" ht="16.5" thickTop="1" thickBot="1" x14ac:dyDescent="0.3">
      <c r="A74" s="592">
        <v>21081700</v>
      </c>
      <c r="B74" s="593" t="s">
        <v>374</v>
      </c>
      <c r="C74" s="588">
        <f>'d1'!C74-d1П!C74</f>
        <v>0</v>
      </c>
      <c r="D74" s="588">
        <f>'d1'!D74-d1П!D74</f>
        <v>0</v>
      </c>
      <c r="E74" s="588">
        <f>'d1'!E74-d1П!E74</f>
        <v>0</v>
      </c>
      <c r="F74" s="588">
        <f>'d1'!F74-d1П!F74</f>
        <v>0</v>
      </c>
      <c r="G74" s="107"/>
    </row>
    <row r="75" spans="1:7" ht="52.5" thickTop="1" thickBot="1" x14ac:dyDescent="0.3">
      <c r="A75" s="592">
        <v>21081800</v>
      </c>
      <c r="B75" s="593" t="s">
        <v>1512</v>
      </c>
      <c r="C75" s="588">
        <f>'d1'!C75-d1П!C75</f>
        <v>0</v>
      </c>
      <c r="D75" s="588">
        <f>'d1'!D75-d1П!D75</f>
        <v>0</v>
      </c>
      <c r="E75" s="588">
        <f>'d1'!E75-d1П!E75</f>
        <v>0</v>
      </c>
      <c r="F75" s="588">
        <f>'d1'!F75-d1П!F75</f>
        <v>0</v>
      </c>
      <c r="G75" s="107"/>
    </row>
    <row r="76" spans="1:7" ht="78" thickTop="1" thickBot="1" x14ac:dyDescent="0.3">
      <c r="A76" s="592">
        <v>21082400</v>
      </c>
      <c r="B76" s="593" t="s">
        <v>1513</v>
      </c>
      <c r="C76" s="588">
        <f>'d1'!C76-d1П!C76</f>
        <v>0</v>
      </c>
      <c r="D76" s="588">
        <f>'d1'!D76-d1П!D76</f>
        <v>0</v>
      </c>
      <c r="E76" s="588">
        <f>'d1'!E76-d1П!E76</f>
        <v>0</v>
      </c>
      <c r="F76" s="588">
        <f>'d1'!F76-d1П!F76</f>
        <v>0</v>
      </c>
      <c r="G76" s="107"/>
    </row>
    <row r="77" spans="1:7" ht="27" thickTop="1" thickBot="1" x14ac:dyDescent="0.3">
      <c r="A77" s="586">
        <v>22000000</v>
      </c>
      <c r="B77" s="586" t="s">
        <v>88</v>
      </c>
      <c r="C77" s="588">
        <f>'d1'!C77-d1П!C77</f>
        <v>-3000000</v>
      </c>
      <c r="D77" s="588">
        <f>'d1'!D77-d1П!D77</f>
        <v>-3000000</v>
      </c>
      <c r="E77" s="588">
        <f>'d1'!E77-d1П!E77</f>
        <v>0</v>
      </c>
      <c r="F77" s="588">
        <f>'d1'!F77-d1П!F77</f>
        <v>0</v>
      </c>
      <c r="G77" s="103"/>
    </row>
    <row r="78" spans="1:7" ht="24.75" customHeight="1" thickTop="1" thickBot="1" x14ac:dyDescent="0.3">
      <c r="A78" s="589">
        <v>22010000</v>
      </c>
      <c r="B78" s="590" t="s">
        <v>535</v>
      </c>
      <c r="C78" s="588">
        <f>'d1'!C78-d1П!C78</f>
        <v>-3000000</v>
      </c>
      <c r="D78" s="588">
        <f>'d1'!D78-d1П!D78</f>
        <v>-3000000</v>
      </c>
      <c r="E78" s="588">
        <f>'d1'!E78-d1П!E78</f>
        <v>0</v>
      </c>
      <c r="F78" s="588">
        <f>'d1'!F78-d1П!F78</f>
        <v>0</v>
      </c>
      <c r="G78" s="103"/>
    </row>
    <row r="79" spans="1:7" ht="39.75" thickTop="1" thickBot="1" x14ac:dyDescent="0.3">
      <c r="A79" s="592">
        <v>22010300</v>
      </c>
      <c r="B79" s="593" t="s">
        <v>147</v>
      </c>
      <c r="C79" s="588">
        <f>'d1'!C79-d1П!C79</f>
        <v>0</v>
      </c>
      <c r="D79" s="588">
        <f>'d1'!D79-d1П!D79</f>
        <v>0</v>
      </c>
      <c r="E79" s="588">
        <f>'d1'!E79-d1П!E79</f>
        <v>0</v>
      </c>
      <c r="F79" s="588">
        <f>'d1'!F79-d1П!F79</f>
        <v>0</v>
      </c>
      <c r="G79" s="103"/>
    </row>
    <row r="80" spans="1:7" ht="27" thickTop="1" thickBot="1" x14ac:dyDescent="0.3">
      <c r="A80" s="592">
        <v>22012500</v>
      </c>
      <c r="B80" s="593" t="s">
        <v>90</v>
      </c>
      <c r="C80" s="588">
        <f>'d1'!C80-d1П!C80</f>
        <v>-3000000</v>
      </c>
      <c r="D80" s="588">
        <f>'d1'!D80-d1П!D80</f>
        <v>-3000000</v>
      </c>
      <c r="E80" s="588">
        <f>'d1'!E80-d1П!E80</f>
        <v>0</v>
      </c>
      <c r="F80" s="588">
        <f>'d1'!F80-d1П!F80</f>
        <v>0</v>
      </c>
      <c r="G80" s="103"/>
    </row>
    <row r="81" spans="1:7" ht="39.75" thickTop="1" thickBot="1" x14ac:dyDescent="0.3">
      <c r="A81" s="592">
        <v>22012600</v>
      </c>
      <c r="B81" s="593" t="s">
        <v>89</v>
      </c>
      <c r="C81" s="588">
        <f>'d1'!C81-d1П!C81</f>
        <v>0</v>
      </c>
      <c r="D81" s="588">
        <f>'d1'!D81-d1П!D81</f>
        <v>0</v>
      </c>
      <c r="E81" s="588">
        <f>'d1'!E81-d1П!E81</f>
        <v>0</v>
      </c>
      <c r="F81" s="588">
        <f>'d1'!F81-d1П!F81</f>
        <v>0</v>
      </c>
      <c r="G81" s="103"/>
    </row>
    <row r="82" spans="1:7" ht="42" thickTop="1" thickBot="1" x14ac:dyDescent="0.3">
      <c r="A82" s="589">
        <v>22020000</v>
      </c>
      <c r="B82" s="590" t="s">
        <v>1599</v>
      </c>
      <c r="C82" s="588">
        <f>'d1'!C82-d1П!C82</f>
        <v>0</v>
      </c>
      <c r="D82" s="588">
        <f>'d1'!D82-d1П!D82</f>
        <v>0</v>
      </c>
      <c r="E82" s="588">
        <f>'d1'!E82-d1П!E82</f>
        <v>0</v>
      </c>
      <c r="F82" s="588">
        <f>'d1'!F82-d1П!F82</f>
        <v>0</v>
      </c>
      <c r="G82" s="103"/>
    </row>
    <row r="83" spans="1:7" ht="39.75" thickTop="1" thickBot="1" x14ac:dyDescent="0.3">
      <c r="A83" s="592">
        <v>22020400</v>
      </c>
      <c r="B83" s="593" t="s">
        <v>1600</v>
      </c>
      <c r="C83" s="588">
        <f>'d1'!C83-d1П!C83</f>
        <v>0</v>
      </c>
      <c r="D83" s="588">
        <f>'d1'!D83-d1П!D83</f>
        <v>0</v>
      </c>
      <c r="E83" s="588">
        <f>'d1'!E83-d1П!E83</f>
        <v>0</v>
      </c>
      <c r="F83" s="588">
        <f>'d1'!F83-d1П!F83</f>
        <v>0</v>
      </c>
      <c r="G83" s="103"/>
    </row>
    <row r="84" spans="1:7" ht="42" thickTop="1" thickBot="1" x14ac:dyDescent="0.3">
      <c r="A84" s="589">
        <v>2208000</v>
      </c>
      <c r="B84" s="590" t="s">
        <v>536</v>
      </c>
      <c r="C84" s="588">
        <f>'d1'!C84-d1П!C84</f>
        <v>0</v>
      </c>
      <c r="D84" s="588">
        <f>'d1'!D84-d1П!D84</f>
        <v>0</v>
      </c>
      <c r="E84" s="588">
        <f>'d1'!E84-d1П!E84</f>
        <v>0</v>
      </c>
      <c r="F84" s="588">
        <f>'d1'!F84-d1П!F84</f>
        <v>0</v>
      </c>
      <c r="G84" s="103"/>
    </row>
    <row r="85" spans="1:7" ht="52.5" thickTop="1" thickBot="1" x14ac:dyDescent="0.3">
      <c r="A85" s="592">
        <v>22080400</v>
      </c>
      <c r="B85" s="601" t="s">
        <v>91</v>
      </c>
      <c r="C85" s="588">
        <f>'d1'!C85-d1П!C85</f>
        <v>0</v>
      </c>
      <c r="D85" s="588">
        <f>'d1'!D85-d1П!D85</f>
        <v>0</v>
      </c>
      <c r="E85" s="588">
        <f>'d1'!E85-d1П!E85</f>
        <v>0</v>
      </c>
      <c r="F85" s="588">
        <f>'d1'!F85-d1П!F85</f>
        <v>0</v>
      </c>
      <c r="G85" s="103"/>
    </row>
    <row r="86" spans="1:7" ht="16.5" thickTop="1" thickBot="1" x14ac:dyDescent="0.3">
      <c r="A86" s="589">
        <v>22090000</v>
      </c>
      <c r="B86" s="602" t="s">
        <v>92</v>
      </c>
      <c r="C86" s="588">
        <f>'d1'!C86-d1П!C86</f>
        <v>0</v>
      </c>
      <c r="D86" s="588">
        <f>'d1'!D86-d1П!D86</f>
        <v>0</v>
      </c>
      <c r="E86" s="588">
        <f>'d1'!E86-d1П!E86</f>
        <v>0</v>
      </c>
      <c r="F86" s="588">
        <f>'d1'!F86-d1П!F86</f>
        <v>0</v>
      </c>
      <c r="G86" s="103"/>
    </row>
    <row r="87" spans="1:7" ht="52.5" thickTop="1" thickBot="1" x14ac:dyDescent="0.3">
      <c r="A87" s="592">
        <v>22090100</v>
      </c>
      <c r="B87" s="595" t="s">
        <v>93</v>
      </c>
      <c r="C87" s="588">
        <f>'d1'!C87-d1П!C87</f>
        <v>0</v>
      </c>
      <c r="D87" s="588">
        <f>'d1'!D87-d1П!D87</f>
        <v>0</v>
      </c>
      <c r="E87" s="588">
        <f>'d1'!E87-d1П!E87</f>
        <v>0</v>
      </c>
      <c r="F87" s="588">
        <f>'d1'!F87-d1П!F87</f>
        <v>0</v>
      </c>
      <c r="G87" s="103"/>
    </row>
    <row r="88" spans="1:7" ht="39.75" thickTop="1" thickBot="1" x14ac:dyDescent="0.25">
      <c r="A88" s="592">
        <v>22090400</v>
      </c>
      <c r="B88" s="595" t="s">
        <v>94</v>
      </c>
      <c r="C88" s="588">
        <f>'d1'!C88-d1П!C88</f>
        <v>0</v>
      </c>
      <c r="D88" s="588">
        <f>'d1'!D88-d1П!D88</f>
        <v>0</v>
      </c>
      <c r="E88" s="588">
        <f>'d1'!E88-d1П!E88</f>
        <v>0</v>
      </c>
      <c r="F88" s="588">
        <f>'d1'!F88-d1П!F88</f>
        <v>0</v>
      </c>
      <c r="G88" s="105"/>
    </row>
    <row r="89" spans="1:7" ht="90.75" thickTop="1" thickBot="1" x14ac:dyDescent="0.25">
      <c r="A89" s="586">
        <v>22130000</v>
      </c>
      <c r="B89" s="603" t="s">
        <v>1514</v>
      </c>
      <c r="C89" s="588">
        <f>'d1'!C89-d1П!C89</f>
        <v>0</v>
      </c>
      <c r="D89" s="588">
        <f>'d1'!D89-d1П!D89</f>
        <v>0</v>
      </c>
      <c r="E89" s="588">
        <f>'d1'!E89-d1П!E89</f>
        <v>0</v>
      </c>
      <c r="F89" s="588">
        <f>'d1'!F89-d1П!F89</f>
        <v>0</v>
      </c>
      <c r="G89" s="105"/>
    </row>
    <row r="90" spans="1:7" ht="20.25" customHeight="1" thickTop="1" thickBot="1" x14ac:dyDescent="0.3">
      <c r="A90" s="586">
        <v>24000000</v>
      </c>
      <c r="B90" s="603" t="s">
        <v>95</v>
      </c>
      <c r="C90" s="588">
        <f>'d1'!C90-d1П!C90</f>
        <v>0</v>
      </c>
      <c r="D90" s="588">
        <f>'d1'!D90-d1П!D90</f>
        <v>0</v>
      </c>
      <c r="E90" s="588">
        <f>'d1'!E90-d1П!E90</f>
        <v>0</v>
      </c>
      <c r="F90" s="588">
        <f>'d1'!F90-d1П!F90</f>
        <v>0</v>
      </c>
      <c r="G90" s="103"/>
    </row>
    <row r="91" spans="1:7" ht="16.5" thickTop="1" thickBot="1" x14ac:dyDescent="0.3">
      <c r="A91" s="592">
        <v>24060300</v>
      </c>
      <c r="B91" s="593" t="s">
        <v>96</v>
      </c>
      <c r="C91" s="588">
        <f>'d1'!C91-d1П!C91</f>
        <v>0</v>
      </c>
      <c r="D91" s="588">
        <f>'d1'!D91-d1П!D91</f>
        <v>0</v>
      </c>
      <c r="E91" s="588">
        <f>'d1'!E91-d1П!E91</f>
        <v>0</v>
      </c>
      <c r="F91" s="588">
        <f>'d1'!F91-d1П!F91</f>
        <v>0</v>
      </c>
      <c r="G91" s="103"/>
    </row>
    <row r="92" spans="1:7" ht="65.25" thickTop="1" thickBot="1" x14ac:dyDescent="0.3">
      <c r="A92" s="592">
        <v>24062200</v>
      </c>
      <c r="B92" s="593" t="s">
        <v>375</v>
      </c>
      <c r="C92" s="588">
        <f>'d1'!C92-d1П!C92</f>
        <v>0</v>
      </c>
      <c r="D92" s="588">
        <f>'d1'!D92-d1П!D92</f>
        <v>0</v>
      </c>
      <c r="E92" s="588">
        <f>'d1'!E92-d1П!E92</f>
        <v>0</v>
      </c>
      <c r="F92" s="588">
        <f>'d1'!F92-d1П!F92</f>
        <v>0</v>
      </c>
      <c r="G92" s="103"/>
    </row>
    <row r="93" spans="1:7" ht="39.75" thickTop="1" thickBot="1" x14ac:dyDescent="0.3">
      <c r="A93" s="592">
        <v>24110700</v>
      </c>
      <c r="B93" s="604" t="s">
        <v>587</v>
      </c>
      <c r="C93" s="588">
        <f>'d1'!C93-d1П!C93</f>
        <v>0</v>
      </c>
      <c r="D93" s="588">
        <f>'d1'!D93-d1П!D93</f>
        <v>0</v>
      </c>
      <c r="E93" s="588">
        <f>'d1'!E93-d1П!E93</f>
        <v>0</v>
      </c>
      <c r="F93" s="588">
        <f>'d1'!F93-d1П!F93</f>
        <v>0</v>
      </c>
      <c r="G93" s="103"/>
    </row>
    <row r="94" spans="1:7" ht="27" thickTop="1" thickBot="1" x14ac:dyDescent="0.25">
      <c r="A94" s="592">
        <v>24170000</v>
      </c>
      <c r="B94" s="595" t="s">
        <v>97</v>
      </c>
      <c r="C94" s="588">
        <f>'d1'!C94-d1П!C94</f>
        <v>0</v>
      </c>
      <c r="D94" s="588">
        <f>'d1'!D94-d1П!D94</f>
        <v>0</v>
      </c>
      <c r="E94" s="588">
        <f>'d1'!E94-d1П!E94</f>
        <v>0</v>
      </c>
      <c r="F94" s="588">
        <f>'d1'!F94-d1П!F94</f>
        <v>0</v>
      </c>
      <c r="G94" s="104"/>
    </row>
    <row r="95" spans="1:7" ht="16.5" thickTop="1" thickBot="1" x14ac:dyDescent="0.3">
      <c r="A95" s="586">
        <v>25000000</v>
      </c>
      <c r="B95" s="605" t="s">
        <v>98</v>
      </c>
      <c r="C95" s="588">
        <f>'d1'!C95-d1П!C95</f>
        <v>0</v>
      </c>
      <c r="D95" s="588">
        <f>'d1'!D95-d1П!D95</f>
        <v>0</v>
      </c>
      <c r="E95" s="588">
        <f>'d1'!E95-d1П!E95</f>
        <v>0</v>
      </c>
      <c r="F95" s="588">
        <f>'d1'!F95-d1П!F95</f>
        <v>0</v>
      </c>
      <c r="G95" s="103"/>
    </row>
    <row r="96" spans="1:7" ht="42" thickTop="1" thickBot="1" x14ac:dyDescent="0.3">
      <c r="A96" s="589">
        <v>25010000</v>
      </c>
      <c r="B96" s="597" t="s">
        <v>99</v>
      </c>
      <c r="C96" s="588">
        <f>'d1'!C96-d1П!C96</f>
        <v>0</v>
      </c>
      <c r="D96" s="588">
        <f>'d1'!D96-d1П!D96</f>
        <v>0</v>
      </c>
      <c r="E96" s="588">
        <f>'d1'!E96-d1П!E96</f>
        <v>0</v>
      </c>
      <c r="F96" s="588">
        <f>'d1'!F96-d1П!F96</f>
        <v>0</v>
      </c>
      <c r="G96" s="103"/>
    </row>
    <row r="97" spans="1:7" ht="27" thickTop="1" thickBot="1" x14ac:dyDescent="0.3">
      <c r="A97" s="592">
        <v>25010100</v>
      </c>
      <c r="B97" s="595" t="s">
        <v>100</v>
      </c>
      <c r="C97" s="588">
        <f>'d1'!C97-d1П!C97</f>
        <v>0</v>
      </c>
      <c r="D97" s="588">
        <f>'d1'!D97-d1П!D97</f>
        <v>0</v>
      </c>
      <c r="E97" s="588">
        <f>'d1'!E97-d1П!E97</f>
        <v>0</v>
      </c>
      <c r="F97" s="588">
        <f>'d1'!F97-d1П!F97</f>
        <v>0</v>
      </c>
      <c r="G97" s="103"/>
    </row>
    <row r="98" spans="1:7" ht="27" thickTop="1" thickBot="1" x14ac:dyDescent="0.3">
      <c r="A98" s="592">
        <v>25010200</v>
      </c>
      <c r="B98" s="595" t="s">
        <v>101</v>
      </c>
      <c r="C98" s="588">
        <f>'d1'!C98-d1П!C98</f>
        <v>0</v>
      </c>
      <c r="D98" s="588">
        <f>'d1'!D98-d1П!D98</f>
        <v>0</v>
      </c>
      <c r="E98" s="588">
        <f>'d1'!E98-d1П!E98</f>
        <v>0</v>
      </c>
      <c r="F98" s="588">
        <f>'d1'!F98-d1П!F98</f>
        <v>0</v>
      </c>
      <c r="G98" s="103"/>
    </row>
    <row r="99" spans="1:7" ht="16.5" thickTop="1" thickBot="1" x14ac:dyDescent="0.3">
      <c r="A99" s="592">
        <v>25010300</v>
      </c>
      <c r="B99" s="595" t="s">
        <v>102</v>
      </c>
      <c r="C99" s="588">
        <f>'d1'!C99-d1П!C99</f>
        <v>0</v>
      </c>
      <c r="D99" s="588">
        <f>'d1'!D99-d1П!D99</f>
        <v>0</v>
      </c>
      <c r="E99" s="588">
        <f>'d1'!E99-d1П!E99</f>
        <v>0</v>
      </c>
      <c r="F99" s="588">
        <f>'d1'!F99-d1П!F99</f>
        <v>0</v>
      </c>
      <c r="G99" s="103"/>
    </row>
    <row r="100" spans="1:7" ht="39.75" thickTop="1" thickBot="1" x14ac:dyDescent="0.3">
      <c r="A100" s="592">
        <v>25010400</v>
      </c>
      <c r="B100" s="595" t="s">
        <v>103</v>
      </c>
      <c r="C100" s="588">
        <f>'d1'!C100-d1П!C100</f>
        <v>0</v>
      </c>
      <c r="D100" s="588">
        <f>'d1'!D100-d1П!D100</f>
        <v>0</v>
      </c>
      <c r="E100" s="588">
        <f>'d1'!E100-d1П!E100</f>
        <v>0</v>
      </c>
      <c r="F100" s="588">
        <f>'d1'!F100-d1П!F100</f>
        <v>0</v>
      </c>
      <c r="G100" s="103"/>
    </row>
    <row r="101" spans="1:7" ht="24.75" customHeight="1" thickTop="1" thickBot="1" x14ac:dyDescent="0.25">
      <c r="A101" s="659">
        <v>30000000</v>
      </c>
      <c r="B101" s="659" t="s">
        <v>104</v>
      </c>
      <c r="C101" s="660">
        <f>SUM(D101,E101)</f>
        <v>0</v>
      </c>
      <c r="D101" s="660">
        <f>SUM(D102)+D106</f>
        <v>0</v>
      </c>
      <c r="E101" s="660">
        <f>SUM(E102)+E106</f>
        <v>0</v>
      </c>
      <c r="F101" s="660">
        <f>SUM(F102)+F106</f>
        <v>0</v>
      </c>
      <c r="G101" s="105"/>
    </row>
    <row r="102" spans="1:7" ht="27" customHeight="1" thickTop="1" thickBot="1" x14ac:dyDescent="0.3">
      <c r="A102" s="586">
        <v>31000000</v>
      </c>
      <c r="B102" s="586" t="s">
        <v>105</v>
      </c>
      <c r="C102" s="588">
        <f>'d1'!C102-d1П!C102</f>
        <v>0</v>
      </c>
      <c r="D102" s="588">
        <f>'d1'!D102-d1П!D102</f>
        <v>0</v>
      </c>
      <c r="E102" s="588">
        <f>'d1'!E102-d1П!E102</f>
        <v>0</v>
      </c>
      <c r="F102" s="588">
        <f>'d1'!F102-d1П!F102</f>
        <v>0</v>
      </c>
      <c r="G102" s="103"/>
    </row>
    <row r="103" spans="1:7" ht="82.5" thickTop="1" thickBot="1" x14ac:dyDescent="0.3">
      <c r="A103" s="589">
        <v>3101000</v>
      </c>
      <c r="B103" s="590" t="s">
        <v>537</v>
      </c>
      <c r="C103" s="588">
        <f>'d1'!C103-d1П!C103</f>
        <v>0</v>
      </c>
      <c r="D103" s="588">
        <f>'d1'!D103-d1П!D103</f>
        <v>0</v>
      </c>
      <c r="E103" s="588">
        <f>'d1'!E103-d1П!E103</f>
        <v>0</v>
      </c>
      <c r="F103" s="588">
        <f>'d1'!F103-d1П!F103</f>
        <v>0</v>
      </c>
      <c r="G103" s="103"/>
    </row>
    <row r="104" spans="1:7" ht="78" thickTop="1" thickBot="1" x14ac:dyDescent="0.3">
      <c r="A104" s="592">
        <v>31010200</v>
      </c>
      <c r="B104" s="595" t="s">
        <v>106</v>
      </c>
      <c r="C104" s="588">
        <f>'d1'!C104-d1П!C104</f>
        <v>0</v>
      </c>
      <c r="D104" s="588">
        <f>'d1'!D104-d1П!D104</f>
        <v>0</v>
      </c>
      <c r="E104" s="588">
        <f>'d1'!E104-d1П!E104</f>
        <v>0</v>
      </c>
      <c r="F104" s="588">
        <f>'d1'!F104-d1П!F104</f>
        <v>0</v>
      </c>
      <c r="G104" s="103"/>
    </row>
    <row r="105" spans="1:7" ht="55.5" thickTop="1" thickBot="1" x14ac:dyDescent="0.3">
      <c r="A105" s="589">
        <v>31030000</v>
      </c>
      <c r="B105" s="597" t="s">
        <v>107</v>
      </c>
      <c r="C105" s="588">
        <f>'d1'!C105-d1П!C105</f>
        <v>0</v>
      </c>
      <c r="D105" s="588">
        <f>'d1'!D105-d1П!D105</f>
        <v>0</v>
      </c>
      <c r="E105" s="588">
        <f>'d1'!E105-d1П!E105</f>
        <v>0</v>
      </c>
      <c r="F105" s="588">
        <f>'d1'!F105-d1П!F105</f>
        <v>0</v>
      </c>
      <c r="G105" s="103"/>
    </row>
    <row r="106" spans="1:7" ht="27" thickTop="1" thickBot="1" x14ac:dyDescent="0.3">
      <c r="A106" s="586">
        <v>33000000</v>
      </c>
      <c r="B106" s="586" t="s">
        <v>108</v>
      </c>
      <c r="C106" s="588">
        <f>'d1'!C106-d1П!C106</f>
        <v>0</v>
      </c>
      <c r="D106" s="588">
        <f>'d1'!D106-d1П!D106</f>
        <v>0</v>
      </c>
      <c r="E106" s="588">
        <f>'d1'!E106-d1П!E106</f>
        <v>0</v>
      </c>
      <c r="F106" s="588">
        <f>'d1'!F106-d1П!F106</f>
        <v>0</v>
      </c>
      <c r="G106" s="103"/>
    </row>
    <row r="107" spans="1:7" ht="16.5" thickTop="1" thickBot="1" x14ac:dyDescent="0.3">
      <c r="A107" s="589">
        <v>33010000</v>
      </c>
      <c r="B107" s="590" t="s">
        <v>109</v>
      </c>
      <c r="C107" s="588">
        <f>'d1'!C107-d1П!C107</f>
        <v>0</v>
      </c>
      <c r="D107" s="588">
        <f>'d1'!D107-d1П!D107</f>
        <v>0</v>
      </c>
      <c r="E107" s="588">
        <f>'d1'!E107-d1П!E107</f>
        <v>0</v>
      </c>
      <c r="F107" s="588">
        <f>'d1'!F107-d1П!F107</f>
        <v>0</v>
      </c>
      <c r="G107" s="103"/>
    </row>
    <row r="108" spans="1:7" ht="52.5" thickTop="1" thickBot="1" x14ac:dyDescent="0.3">
      <c r="A108" s="592">
        <v>33010100</v>
      </c>
      <c r="B108" s="595" t="s">
        <v>343</v>
      </c>
      <c r="C108" s="588">
        <f>'d1'!C108-d1П!C108</f>
        <v>0</v>
      </c>
      <c r="D108" s="588">
        <f>'d1'!D108-d1П!D108</f>
        <v>0</v>
      </c>
      <c r="E108" s="588">
        <f>'d1'!E108-d1П!E108</f>
        <v>0</v>
      </c>
      <c r="F108" s="588">
        <f>'d1'!F108-d1П!F108</f>
        <v>0</v>
      </c>
      <c r="G108" s="103"/>
    </row>
    <row r="109" spans="1:7" ht="52.5" thickTop="1" thickBot="1" x14ac:dyDescent="0.3">
      <c r="A109" s="592">
        <v>33010200</v>
      </c>
      <c r="B109" s="595" t="s">
        <v>110</v>
      </c>
      <c r="C109" s="588">
        <f>'d1'!C109-d1П!C109</f>
        <v>0</v>
      </c>
      <c r="D109" s="588">
        <f>'d1'!D109-d1П!D109</f>
        <v>0</v>
      </c>
      <c r="E109" s="588">
        <f>'d1'!E109-d1П!E109</f>
        <v>0</v>
      </c>
      <c r="F109" s="588">
        <f>'d1'!F109-d1П!F109</f>
        <v>0</v>
      </c>
      <c r="G109" s="103"/>
    </row>
    <row r="110" spans="1:7" ht="65.25" hidden="1" thickTop="1" thickBot="1" x14ac:dyDescent="0.3">
      <c r="A110" s="369">
        <v>33010500</v>
      </c>
      <c r="B110" s="372" t="s">
        <v>1381</v>
      </c>
      <c r="C110" s="367">
        <f>SUM(D110,E110)</f>
        <v>0</v>
      </c>
      <c r="D110" s="371"/>
      <c r="E110" s="371">
        <v>0</v>
      </c>
      <c r="F110" s="371">
        <v>0</v>
      </c>
      <c r="G110" s="103"/>
    </row>
    <row r="111" spans="1:7" ht="27" customHeight="1" thickTop="1" thickBot="1" x14ac:dyDescent="0.3">
      <c r="A111" s="659">
        <v>50000000</v>
      </c>
      <c r="B111" s="659" t="s">
        <v>486</v>
      </c>
      <c r="C111" s="660">
        <f>SUM(D111,E111)</f>
        <v>0</v>
      </c>
      <c r="D111" s="660">
        <f>SUM(D112)</f>
        <v>0</v>
      </c>
      <c r="E111" s="660">
        <f>SUM(E112)</f>
        <v>0</v>
      </c>
      <c r="F111" s="660">
        <f>SUM(F112)</f>
        <v>0</v>
      </c>
      <c r="G111" s="103"/>
    </row>
    <row r="112" spans="1:7" ht="52.5" thickTop="1" thickBot="1" x14ac:dyDescent="0.3">
      <c r="A112" s="586">
        <v>50110000</v>
      </c>
      <c r="B112" s="600" t="s">
        <v>111</v>
      </c>
      <c r="C112" s="588">
        <f>'d1'!C112-d1П!C112</f>
        <v>0</v>
      </c>
      <c r="D112" s="588">
        <f>'d1'!D112-d1П!D112</f>
        <v>0</v>
      </c>
      <c r="E112" s="588">
        <f>'d1'!E112-d1П!E112</f>
        <v>0</v>
      </c>
      <c r="F112" s="588">
        <f>'d1'!F112-d1П!F112</f>
        <v>0</v>
      </c>
      <c r="G112" s="103"/>
    </row>
    <row r="113" spans="1:7" ht="45.75" customHeight="1" thickTop="1" thickBot="1" x14ac:dyDescent="0.25">
      <c r="A113" s="606"/>
      <c r="B113" s="607" t="s">
        <v>487</v>
      </c>
      <c r="C113" s="608">
        <f t="shared" ref="C113" si="1">SUM(D113,E113)</f>
        <v>35841421</v>
      </c>
      <c r="D113" s="608">
        <f>D111+D101+D66+D15</f>
        <v>35841421</v>
      </c>
      <c r="E113" s="608">
        <f>E111+E101+E66+E15</f>
        <v>0</v>
      </c>
      <c r="F113" s="608">
        <f>F111+F101+F66+F15</f>
        <v>0</v>
      </c>
      <c r="G113" s="104"/>
    </row>
    <row r="114" spans="1:7" ht="34.5" customHeight="1" thickTop="1" thickBot="1" x14ac:dyDescent="0.25">
      <c r="A114" s="659">
        <v>40000000</v>
      </c>
      <c r="B114" s="659" t="s">
        <v>426</v>
      </c>
      <c r="C114" s="660">
        <f>SUM(D114,E114)</f>
        <v>100184320.98999996</v>
      </c>
      <c r="D114" s="660">
        <f>SUM(D120,D117,D115)</f>
        <v>100184320.98999996</v>
      </c>
      <c r="E114" s="660">
        <f>SUM(E120,E117,E115)</f>
        <v>0</v>
      </c>
      <c r="F114" s="660">
        <f>SUM(F120,F117,F115)</f>
        <v>0</v>
      </c>
      <c r="G114" s="104"/>
    </row>
    <row r="115" spans="1:7" ht="34.5" hidden="1" customHeight="1" thickTop="1" thickBot="1" x14ac:dyDescent="0.25">
      <c r="A115" s="366">
        <v>41020000</v>
      </c>
      <c r="B115" s="373" t="s">
        <v>1318</v>
      </c>
      <c r="C115" s="367">
        <f t="shared" ref="C115:C116" si="2">SUM(D115,E115)</f>
        <v>0</v>
      </c>
      <c r="D115" s="367">
        <f>SUM(D116)</f>
        <v>0</v>
      </c>
      <c r="E115" s="367"/>
      <c r="F115" s="367"/>
      <c r="G115" s="104"/>
    </row>
    <row r="116" spans="1:7" ht="103.5" hidden="1" thickTop="1" thickBot="1" x14ac:dyDescent="0.25">
      <c r="A116" s="369">
        <v>41021400</v>
      </c>
      <c r="B116" s="372" t="s">
        <v>1325</v>
      </c>
      <c r="C116" s="367">
        <f t="shared" si="2"/>
        <v>0</v>
      </c>
      <c r="D116" s="371">
        <v>0</v>
      </c>
      <c r="E116" s="367"/>
      <c r="F116" s="367"/>
      <c r="G116" s="104"/>
    </row>
    <row r="117" spans="1:7" ht="27" thickTop="1" thickBot="1" x14ac:dyDescent="0.25">
      <c r="A117" s="586">
        <v>41040000</v>
      </c>
      <c r="B117" s="596" t="s">
        <v>344</v>
      </c>
      <c r="C117" s="588">
        <f>'d1'!C117-d1П!C117</f>
        <v>32570.709999999963</v>
      </c>
      <c r="D117" s="588">
        <f>'d1'!D117-d1П!D117</f>
        <v>32570.709999999963</v>
      </c>
      <c r="E117" s="588">
        <f>'d1'!E117-d1П!E117</f>
        <v>0</v>
      </c>
      <c r="F117" s="588">
        <f>'d1'!F117-d1П!F117</f>
        <v>0</v>
      </c>
      <c r="G117" s="104"/>
    </row>
    <row r="118" spans="1:7" ht="66" customHeight="1" thickTop="1" thickBot="1" x14ac:dyDescent="0.25">
      <c r="A118" s="592">
        <v>41040200</v>
      </c>
      <c r="B118" s="595" t="s">
        <v>1141</v>
      </c>
      <c r="C118" s="588">
        <f>'d1'!C118-d1П!C118</f>
        <v>0</v>
      </c>
      <c r="D118" s="588">
        <f>'d1'!D118-d1П!D118</f>
        <v>0</v>
      </c>
      <c r="E118" s="588">
        <f>'d1'!E118-d1П!E118</f>
        <v>0</v>
      </c>
      <c r="F118" s="588">
        <f>'d1'!F118-d1П!F118</f>
        <v>0</v>
      </c>
      <c r="G118" s="104"/>
    </row>
    <row r="119" spans="1:7" ht="15.75" thickTop="1" thickBot="1" x14ac:dyDescent="0.25">
      <c r="A119" s="592">
        <v>41040400</v>
      </c>
      <c r="B119" s="595" t="s">
        <v>1199</v>
      </c>
      <c r="C119" s="588">
        <f>'d1'!C119-d1П!C119</f>
        <v>32570.710000000021</v>
      </c>
      <c r="D119" s="588">
        <f>'d1'!D119-d1П!D119</f>
        <v>32570.710000000021</v>
      </c>
      <c r="E119" s="588">
        <f>'d1'!E119-d1П!E119</f>
        <v>0</v>
      </c>
      <c r="F119" s="588">
        <f>'d1'!F119-d1П!F119</f>
        <v>0</v>
      </c>
      <c r="G119" s="104"/>
    </row>
    <row r="120" spans="1:7" s="580" customFormat="1" ht="15.75" thickTop="1" thickBot="1" x14ac:dyDescent="0.25">
      <c r="A120" s="586">
        <v>41000000</v>
      </c>
      <c r="B120" s="586" t="s">
        <v>112</v>
      </c>
      <c r="C120" s="588">
        <f>'d1'!C120-d1П!C120</f>
        <v>100151750.27999997</v>
      </c>
      <c r="D120" s="588">
        <f>'d1'!D120-d1П!D120</f>
        <v>100151750.27999997</v>
      </c>
      <c r="E120" s="588">
        <f>'d1'!E120-d1П!E120</f>
        <v>0</v>
      </c>
      <c r="F120" s="588">
        <f>'d1'!F120-d1П!F120</f>
        <v>0</v>
      </c>
      <c r="G120" s="611"/>
    </row>
    <row r="121" spans="1:7" s="580" customFormat="1" ht="27" thickTop="1" thickBot="1" x14ac:dyDescent="0.3">
      <c r="A121" s="586">
        <v>41030000</v>
      </c>
      <c r="B121" s="605" t="s">
        <v>437</v>
      </c>
      <c r="C121" s="588">
        <f>'d1'!C121-d1П!C121</f>
        <v>7887800</v>
      </c>
      <c r="D121" s="588">
        <f>'d1'!D121-d1П!D121</f>
        <v>7887800</v>
      </c>
      <c r="E121" s="588">
        <f>'d1'!E121-d1П!E121</f>
        <v>0</v>
      </c>
      <c r="F121" s="588">
        <f>'d1'!F121-d1П!F121</f>
        <v>0</v>
      </c>
      <c r="G121" s="587"/>
    </row>
    <row r="122" spans="1:7" ht="52.5" hidden="1" thickTop="1" thickBot="1" x14ac:dyDescent="0.3">
      <c r="A122" s="369">
        <v>41032300</v>
      </c>
      <c r="B122" s="370" t="s">
        <v>976</v>
      </c>
      <c r="C122" s="588">
        <f>'d1'!C122-d1П!C122</f>
        <v>0</v>
      </c>
      <c r="D122" s="588">
        <f>'d1'!D122-d1П!D122</f>
        <v>0</v>
      </c>
      <c r="E122" s="588">
        <f>'d1'!E122-d1П!E122</f>
        <v>0</v>
      </c>
      <c r="F122" s="588">
        <f>'d1'!F122-d1П!F122</f>
        <v>0</v>
      </c>
      <c r="G122" s="103"/>
    </row>
    <row r="123" spans="1:7" ht="52.5" thickTop="1" thickBot="1" x14ac:dyDescent="0.3">
      <c r="A123" s="592">
        <v>41033300</v>
      </c>
      <c r="B123" s="662" t="s">
        <v>1622</v>
      </c>
      <c r="C123" s="588">
        <f>'d1'!C123-d1П!C123</f>
        <v>7887800</v>
      </c>
      <c r="D123" s="588">
        <f>'d1'!D123-d1П!D123</f>
        <v>7887800</v>
      </c>
      <c r="E123" s="588">
        <f>'d1'!E123-d1П!E123</f>
        <v>0</v>
      </c>
      <c r="F123" s="588">
        <f>'d1'!F123-d1П!F123</f>
        <v>0</v>
      </c>
      <c r="G123" s="103"/>
    </row>
    <row r="124" spans="1:7" ht="52.5" thickTop="1" thickBot="1" x14ac:dyDescent="0.3">
      <c r="A124" s="661">
        <v>41033800</v>
      </c>
      <c r="B124" s="662" t="s">
        <v>1026</v>
      </c>
      <c r="C124" s="588">
        <f>'d1'!C124-d1П!C124</f>
        <v>0</v>
      </c>
      <c r="D124" s="588">
        <f>'d1'!D124-d1П!D124</f>
        <v>0</v>
      </c>
      <c r="E124" s="588">
        <f>'d1'!E124-d1П!E124</f>
        <v>0</v>
      </c>
      <c r="F124" s="588">
        <f>'d1'!F124-d1П!F124</f>
        <v>0</v>
      </c>
      <c r="G124" s="103"/>
    </row>
    <row r="125" spans="1:7" ht="27" thickTop="1" thickBot="1" x14ac:dyDescent="0.3">
      <c r="A125" s="592">
        <v>41033900</v>
      </c>
      <c r="B125" s="593" t="s">
        <v>113</v>
      </c>
      <c r="C125" s="588">
        <f>'d1'!C125-d1П!C125</f>
        <v>0</v>
      </c>
      <c r="D125" s="588">
        <f>'d1'!D125-d1П!D125</f>
        <v>0</v>
      </c>
      <c r="E125" s="588">
        <f>'d1'!E125-d1П!E125</f>
        <v>0</v>
      </c>
      <c r="F125" s="588">
        <f>'d1'!F125-d1П!F125</f>
        <v>0</v>
      </c>
      <c r="G125" s="103"/>
    </row>
    <row r="126" spans="1:7" ht="52.5" hidden="1" thickTop="1" thickBot="1" x14ac:dyDescent="0.3">
      <c r="A126" s="369">
        <v>41034500</v>
      </c>
      <c r="B126" s="370" t="s">
        <v>1027</v>
      </c>
      <c r="C126" s="588">
        <f>'d1'!C126-d1П!C126</f>
        <v>0</v>
      </c>
      <c r="D126" s="588">
        <f>'d1'!D126-d1П!D126</f>
        <v>0</v>
      </c>
      <c r="E126" s="588">
        <f>'d1'!E126-d1П!E126</f>
        <v>0</v>
      </c>
      <c r="F126" s="588">
        <f>'d1'!F126-d1П!F126</f>
        <v>0</v>
      </c>
      <c r="G126" s="103"/>
    </row>
    <row r="127" spans="1:7" ht="52.5" hidden="1" thickTop="1" thickBot="1" x14ac:dyDescent="0.3">
      <c r="A127" s="369">
        <v>41035500</v>
      </c>
      <c r="B127" s="370" t="s">
        <v>978</v>
      </c>
      <c r="C127" s="588">
        <f>'d1'!C127-d1П!C127</f>
        <v>0</v>
      </c>
      <c r="D127" s="588">
        <f>'d1'!D127-d1П!D127</f>
        <v>0</v>
      </c>
      <c r="E127" s="588">
        <f>'d1'!E127-d1П!E127</f>
        <v>0</v>
      </c>
      <c r="F127" s="588">
        <f>'d1'!F127-d1П!F127</f>
        <v>0</v>
      </c>
      <c r="G127" s="103"/>
    </row>
    <row r="128" spans="1:7" ht="65.25" hidden="1" thickTop="1" thickBot="1" x14ac:dyDescent="0.3">
      <c r="A128" s="369">
        <v>41035600</v>
      </c>
      <c r="B128" s="370" t="s">
        <v>995</v>
      </c>
      <c r="C128" s="588">
        <f>'d1'!C128-d1П!C128</f>
        <v>0</v>
      </c>
      <c r="D128" s="588">
        <f>'d1'!D128-d1П!D128</f>
        <v>0</v>
      </c>
      <c r="E128" s="588">
        <f>'d1'!E128-d1П!E128</f>
        <v>0</v>
      </c>
      <c r="F128" s="588">
        <f>'d1'!F128-d1П!F128</f>
        <v>0</v>
      </c>
      <c r="G128" s="103"/>
    </row>
    <row r="129" spans="1:7" ht="39.75" hidden="1" thickTop="1" thickBot="1" x14ac:dyDescent="0.3">
      <c r="A129" s="369">
        <v>41035700</v>
      </c>
      <c r="B129" s="370" t="s">
        <v>969</v>
      </c>
      <c r="C129" s="588">
        <f>'d1'!C129-d1П!C129</f>
        <v>0</v>
      </c>
      <c r="D129" s="588">
        <f>'d1'!D129-d1П!D129</f>
        <v>0</v>
      </c>
      <c r="E129" s="588">
        <f>'d1'!E129-d1П!E129</f>
        <v>0</v>
      </c>
      <c r="F129" s="588">
        <f>'d1'!F129-d1П!F129</f>
        <v>0</v>
      </c>
      <c r="G129" s="103"/>
    </row>
    <row r="130" spans="1:7" ht="27" thickTop="1" thickBot="1" x14ac:dyDescent="0.3">
      <c r="A130" s="586">
        <v>41050000</v>
      </c>
      <c r="B130" s="605" t="s">
        <v>472</v>
      </c>
      <c r="C130" s="588">
        <f>'d1'!C130-d1П!C130</f>
        <v>92263950.280000001</v>
      </c>
      <c r="D130" s="588">
        <f>'d1'!D130-d1П!D130</f>
        <v>92263950.280000001</v>
      </c>
      <c r="E130" s="588">
        <f>'d1'!E130-d1П!E130</f>
        <v>0</v>
      </c>
      <c r="F130" s="588">
        <f>'d1'!F130-d1П!F130</f>
        <v>0</v>
      </c>
      <c r="G130" s="103"/>
    </row>
    <row r="131" spans="1:7" ht="307.5" thickTop="1" thickBot="1" x14ac:dyDescent="0.3">
      <c r="A131" s="592">
        <v>41050400</v>
      </c>
      <c r="B131" s="593" t="s">
        <v>1402</v>
      </c>
      <c r="C131" s="588">
        <f>'d1'!C131-d1П!C131</f>
        <v>26937130.870000005</v>
      </c>
      <c r="D131" s="588">
        <f>'d1'!D131-d1П!D131</f>
        <v>26937130.870000005</v>
      </c>
      <c r="E131" s="588">
        <f>'d1'!E131-d1П!E131</f>
        <v>0</v>
      </c>
      <c r="F131" s="588">
        <f>'d1'!F131-d1П!F131</f>
        <v>0</v>
      </c>
      <c r="G131" s="103"/>
    </row>
    <row r="132" spans="1:7" ht="218.25" thickTop="1" thickBot="1" x14ac:dyDescent="0.3">
      <c r="A132" s="592">
        <v>41050500</v>
      </c>
      <c r="B132" s="593" t="s">
        <v>1028</v>
      </c>
      <c r="C132" s="588">
        <f>'d1'!C132-d1П!C132</f>
        <v>8130380.3099999987</v>
      </c>
      <c r="D132" s="588">
        <f>'d1'!D132-d1П!D132</f>
        <v>8130380.3099999987</v>
      </c>
      <c r="E132" s="588">
        <f>'d1'!E132-d1П!E132</f>
        <v>0</v>
      </c>
      <c r="F132" s="588">
        <f>'d1'!F132-d1П!F132</f>
        <v>0</v>
      </c>
      <c r="G132" s="103"/>
    </row>
    <row r="133" spans="1:7" ht="320.25" thickTop="1" thickBot="1" x14ac:dyDescent="0.3">
      <c r="A133" s="592">
        <v>41050600</v>
      </c>
      <c r="B133" s="593" t="s">
        <v>1403</v>
      </c>
      <c r="C133" s="588">
        <f>'d1'!C133-d1П!C133</f>
        <v>46863206.099999994</v>
      </c>
      <c r="D133" s="588">
        <f>'d1'!D133-d1П!D133</f>
        <v>46863206.099999994</v>
      </c>
      <c r="E133" s="588">
        <f>'d1'!E133-d1П!E133</f>
        <v>0</v>
      </c>
      <c r="F133" s="588">
        <f>'d1'!F133-d1П!F133</f>
        <v>0</v>
      </c>
      <c r="G133" s="103"/>
    </row>
    <row r="134" spans="1:7" ht="138" customHeight="1" thickTop="1" thickBot="1" x14ac:dyDescent="0.3">
      <c r="A134" s="592">
        <v>41050900</v>
      </c>
      <c r="B134" s="593" t="s">
        <v>1029</v>
      </c>
      <c r="C134" s="588">
        <f>'d1'!C134-d1П!C134</f>
        <v>6996382</v>
      </c>
      <c r="D134" s="588">
        <f>'d1'!D134-d1П!D134</f>
        <v>6996382</v>
      </c>
      <c r="E134" s="588">
        <f>'d1'!E134-d1П!E134</f>
        <v>0</v>
      </c>
      <c r="F134" s="588">
        <f>'d1'!F134-d1П!F134</f>
        <v>0</v>
      </c>
      <c r="G134" s="103"/>
    </row>
    <row r="135" spans="1:7" ht="39.75" thickTop="1" thickBot="1" x14ac:dyDescent="0.3">
      <c r="A135" s="592">
        <v>41051000</v>
      </c>
      <c r="B135" s="593" t="s">
        <v>473</v>
      </c>
      <c r="C135" s="588">
        <f>'d1'!C135-d1П!C135</f>
        <v>0</v>
      </c>
      <c r="D135" s="588">
        <f>'d1'!D135-d1П!D135</f>
        <v>0</v>
      </c>
      <c r="E135" s="588">
        <f>'d1'!E135-d1П!E135</f>
        <v>0</v>
      </c>
      <c r="F135" s="588">
        <f>'d1'!F135-d1П!F135</f>
        <v>0</v>
      </c>
      <c r="G135" s="103"/>
    </row>
    <row r="136" spans="1:7" ht="39.75" thickTop="1" thickBot="1" x14ac:dyDescent="0.3">
      <c r="A136" s="592">
        <v>41051100</v>
      </c>
      <c r="B136" s="593" t="s">
        <v>1560</v>
      </c>
      <c r="C136" s="588">
        <f>'d1'!C136-d1П!C136</f>
        <v>0</v>
      </c>
      <c r="D136" s="588">
        <f>'d1'!D136-d1П!D136</f>
        <v>0</v>
      </c>
      <c r="E136" s="588">
        <f>'d1'!E136-d1П!E136</f>
        <v>0</v>
      </c>
      <c r="F136" s="588">
        <f>'d1'!F136-d1П!F136</f>
        <v>0</v>
      </c>
      <c r="G136" s="103"/>
    </row>
    <row r="137" spans="1:7" ht="52.5" thickTop="1" thickBot="1" x14ac:dyDescent="0.3">
      <c r="A137" s="592">
        <v>41051200</v>
      </c>
      <c r="B137" s="593" t="s">
        <v>1271</v>
      </c>
      <c r="C137" s="588">
        <f>'d1'!C137-d1П!C137</f>
        <v>3336851</v>
      </c>
      <c r="D137" s="588">
        <f>'d1'!D137-d1П!D137</f>
        <v>3336851</v>
      </c>
      <c r="E137" s="588">
        <f>'d1'!E137-d1П!E137</f>
        <v>0</v>
      </c>
      <c r="F137" s="588">
        <f>'d1'!F137-d1П!F137</f>
        <v>0</v>
      </c>
      <c r="G137" s="103"/>
    </row>
    <row r="138" spans="1:7" ht="65.25" thickTop="1" thickBot="1" x14ac:dyDescent="0.3">
      <c r="A138" s="592">
        <v>41051400</v>
      </c>
      <c r="B138" s="593" t="s">
        <v>1609</v>
      </c>
      <c r="C138" s="588">
        <f>'d1'!C138-d1П!C138</f>
        <v>0</v>
      </c>
      <c r="D138" s="588">
        <f>'d1'!D138-d1П!D138</f>
        <v>0</v>
      </c>
      <c r="E138" s="588">
        <f>'d1'!E138-d1П!E138</f>
        <v>0</v>
      </c>
      <c r="F138" s="588">
        <f>'d1'!F138-d1П!F138</f>
        <v>0</v>
      </c>
      <c r="G138" s="103"/>
    </row>
    <row r="139" spans="1:7" ht="65.25" thickTop="1" thickBot="1" x14ac:dyDescent="0.3">
      <c r="A139" s="592">
        <v>41051700</v>
      </c>
      <c r="B139" s="593" t="s">
        <v>940</v>
      </c>
      <c r="C139" s="588">
        <f>'d1'!C139-d1П!C139</f>
        <v>0</v>
      </c>
      <c r="D139" s="588">
        <f>'d1'!D139-d1П!D139</f>
        <v>0</v>
      </c>
      <c r="E139" s="588">
        <f>'d1'!E139-d1П!E139</f>
        <v>0</v>
      </c>
      <c r="F139" s="588">
        <f>'d1'!F139-d1П!F139</f>
        <v>0</v>
      </c>
      <c r="G139" s="103"/>
    </row>
    <row r="140" spans="1:7" ht="90.75" hidden="1" thickTop="1" thickBot="1" x14ac:dyDescent="0.3">
      <c r="A140" s="375">
        <v>41056600</v>
      </c>
      <c r="B140" s="376" t="s">
        <v>1011</v>
      </c>
      <c r="C140" s="588">
        <f>'d1'!C140-d1П!C140</f>
        <v>0</v>
      </c>
      <c r="D140" s="588">
        <f>'d1'!D140-d1П!D140</f>
        <v>0</v>
      </c>
      <c r="E140" s="588">
        <f>'d1'!E140-d1П!E140</f>
        <v>0</v>
      </c>
      <c r="F140" s="588">
        <f>'d1'!F140-d1П!F140</f>
        <v>0</v>
      </c>
      <c r="G140" s="103"/>
    </row>
    <row r="141" spans="1:7" ht="52.5" hidden="1" thickTop="1" thickBot="1" x14ac:dyDescent="0.25">
      <c r="A141" s="375">
        <v>41055000</v>
      </c>
      <c r="B141" s="376" t="s">
        <v>1030</v>
      </c>
      <c r="C141" s="588">
        <f>'d1'!C141-d1П!C141</f>
        <v>0</v>
      </c>
      <c r="D141" s="588">
        <f>'d1'!D141-d1П!D141</f>
        <v>0</v>
      </c>
      <c r="E141" s="588">
        <f>'d1'!E141-d1П!E141</f>
        <v>0</v>
      </c>
      <c r="F141" s="588">
        <f>'d1'!F141-d1П!F141</f>
        <v>0</v>
      </c>
      <c r="G141" s="104"/>
    </row>
    <row r="142" spans="1:7" ht="27" hidden="1" thickTop="1" thickBot="1" x14ac:dyDescent="0.25">
      <c r="A142" s="375">
        <v>41053600</v>
      </c>
      <c r="B142" s="376" t="s">
        <v>942</v>
      </c>
      <c r="C142" s="588">
        <f>'d1'!C142-d1П!C142</f>
        <v>0</v>
      </c>
      <c r="D142" s="588">
        <f>'d1'!D142-d1П!D142</f>
        <v>0</v>
      </c>
      <c r="E142" s="588">
        <f>'d1'!E142-d1П!E142</f>
        <v>0</v>
      </c>
      <c r="F142" s="588">
        <f>'d1'!F142-d1П!F142</f>
        <v>0</v>
      </c>
      <c r="G142" s="104"/>
    </row>
    <row r="143" spans="1:7" ht="205.5" hidden="1" thickTop="1" thickBot="1" x14ac:dyDescent="0.25">
      <c r="A143" s="375">
        <v>41054200</v>
      </c>
      <c r="B143" s="376" t="s">
        <v>1031</v>
      </c>
      <c r="C143" s="588">
        <f>'d1'!C143-d1П!C143</f>
        <v>0</v>
      </c>
      <c r="D143" s="588">
        <f>'d1'!D143-d1П!D143</f>
        <v>0</v>
      </c>
      <c r="E143" s="588">
        <f>'d1'!E143-d1П!E143</f>
        <v>0</v>
      </c>
      <c r="F143" s="588">
        <f>'d1'!F143-d1П!F143</f>
        <v>0</v>
      </c>
      <c r="G143" s="104"/>
    </row>
    <row r="144" spans="1:7" ht="27" thickTop="1" thickBot="1" x14ac:dyDescent="0.25">
      <c r="A144" s="592">
        <v>41053900</v>
      </c>
      <c r="B144" s="593" t="s">
        <v>896</v>
      </c>
      <c r="C144" s="588">
        <f>'d1'!C144-d1П!C144</f>
        <v>0</v>
      </c>
      <c r="D144" s="588">
        <f>'d1'!D144-d1П!D144</f>
        <v>0</v>
      </c>
      <c r="E144" s="588">
        <f>'d1'!E144-d1П!E144</f>
        <v>0</v>
      </c>
      <c r="F144" s="588">
        <f>'d1'!F144-d1П!F144</f>
        <v>0</v>
      </c>
      <c r="G144" s="104"/>
    </row>
    <row r="145" spans="1:10" ht="15.75" hidden="1" thickTop="1" thickBot="1" x14ac:dyDescent="0.25">
      <c r="A145" s="592"/>
      <c r="B145" s="609" t="s">
        <v>943</v>
      </c>
      <c r="C145" s="588">
        <f>'d1'!C145-d1П!C145</f>
        <v>0</v>
      </c>
      <c r="D145" s="588">
        <f>'d1'!D145-d1П!D145</f>
        <v>0</v>
      </c>
      <c r="E145" s="588">
        <f>'d1'!E145-d1П!E145</f>
        <v>0</v>
      </c>
      <c r="F145" s="588">
        <f>'d1'!F145-d1П!F145</f>
        <v>0</v>
      </c>
      <c r="G145" s="104"/>
    </row>
    <row r="146" spans="1:10" ht="39.75" thickTop="1" thickBot="1" x14ac:dyDescent="0.25">
      <c r="A146" s="592"/>
      <c r="B146" s="609" t="s">
        <v>897</v>
      </c>
      <c r="C146" s="588">
        <f>'d1'!C146-d1П!C146</f>
        <v>0</v>
      </c>
      <c r="D146" s="588">
        <f>'d1'!D146-d1П!D146</f>
        <v>0</v>
      </c>
      <c r="E146" s="588">
        <f>'d1'!E146-d1П!E146</f>
        <v>0</v>
      </c>
      <c r="F146" s="588">
        <f>'d1'!F146-d1П!F146</f>
        <v>0</v>
      </c>
      <c r="G146" s="104"/>
    </row>
    <row r="147" spans="1:10" ht="52.5" thickTop="1" thickBot="1" x14ac:dyDescent="0.25">
      <c r="A147" s="592"/>
      <c r="B147" s="609" t="s">
        <v>898</v>
      </c>
      <c r="C147" s="588">
        <f>'d1'!C147-d1П!C147</f>
        <v>0</v>
      </c>
      <c r="D147" s="588">
        <f>'d1'!D147-d1П!D147</f>
        <v>0</v>
      </c>
      <c r="E147" s="588">
        <f>'d1'!E147-d1П!E147</f>
        <v>0</v>
      </c>
      <c r="F147" s="588">
        <f>'d1'!F147-d1П!F147</f>
        <v>0</v>
      </c>
      <c r="G147" s="104"/>
    </row>
    <row r="148" spans="1:10" ht="27" thickTop="1" thickBot="1" x14ac:dyDescent="0.25">
      <c r="A148" s="592"/>
      <c r="B148" s="609" t="s">
        <v>899</v>
      </c>
      <c r="C148" s="588">
        <f>'d1'!C148-d1П!C148</f>
        <v>0</v>
      </c>
      <c r="D148" s="588">
        <f>'d1'!D148-d1П!D148</f>
        <v>0</v>
      </c>
      <c r="E148" s="588">
        <f>'d1'!E148-d1П!E148</f>
        <v>0</v>
      </c>
      <c r="F148" s="588">
        <f>'d1'!F148-d1П!F148</f>
        <v>0</v>
      </c>
      <c r="G148" s="104"/>
    </row>
    <row r="149" spans="1:10" ht="39.75" hidden="1" thickTop="1" thickBot="1" x14ac:dyDescent="0.25">
      <c r="A149" s="375"/>
      <c r="B149" s="379" t="s">
        <v>1068</v>
      </c>
      <c r="C149" s="588">
        <f>'d1'!C149-d1П!C149</f>
        <v>0</v>
      </c>
      <c r="D149" s="588">
        <f>'d1'!D149-d1П!D149</f>
        <v>0</v>
      </c>
      <c r="E149" s="588">
        <f>'d1'!E149-d1П!E149</f>
        <v>0</v>
      </c>
      <c r="F149" s="588">
        <f>'d1'!F149-d1П!F149</f>
        <v>0</v>
      </c>
      <c r="G149" s="104"/>
    </row>
    <row r="150" spans="1:10" ht="27" hidden="1" thickTop="1" thickBot="1" x14ac:dyDescent="0.25">
      <c r="A150" s="375"/>
      <c r="B150" s="379" t="s">
        <v>1069</v>
      </c>
      <c r="C150" s="588">
        <f>'d1'!C150-d1П!C150</f>
        <v>0</v>
      </c>
      <c r="D150" s="588">
        <f>'d1'!D150-d1П!D150</f>
        <v>0</v>
      </c>
      <c r="E150" s="588">
        <f>'d1'!E150-d1П!E150</f>
        <v>0</v>
      </c>
      <c r="F150" s="588">
        <f>'d1'!F150-d1П!F150</f>
        <v>0</v>
      </c>
      <c r="G150" s="104"/>
    </row>
    <row r="151" spans="1:10" ht="65.25" thickTop="1" thickBot="1" x14ac:dyDescent="0.25">
      <c r="A151" s="592">
        <v>41057700</v>
      </c>
      <c r="B151" s="593" t="s">
        <v>1357</v>
      </c>
      <c r="C151" s="588">
        <f>'d1'!C151-d1П!C151</f>
        <v>0</v>
      </c>
      <c r="D151" s="588">
        <f>'d1'!D151-d1П!D151</f>
        <v>0</v>
      </c>
      <c r="E151" s="588">
        <f>'d1'!E151-d1П!E151</f>
        <v>0</v>
      </c>
      <c r="F151" s="588">
        <f>'d1'!F151-d1П!F151</f>
        <v>0</v>
      </c>
      <c r="G151" s="104"/>
    </row>
    <row r="152" spans="1:10" ht="52.5" hidden="1" thickTop="1" thickBot="1" x14ac:dyDescent="0.25">
      <c r="A152" s="369">
        <v>41059000</v>
      </c>
      <c r="B152" s="370" t="s">
        <v>1382</v>
      </c>
      <c r="C152" s="367">
        <f>SUM(D152,E152)</f>
        <v>0</v>
      </c>
      <c r="D152" s="371">
        <v>0</v>
      </c>
      <c r="E152" s="371"/>
      <c r="F152" s="371"/>
      <c r="G152" s="104"/>
    </row>
    <row r="153" spans="1:10" ht="33.75" customHeight="1" thickTop="1" thickBot="1" x14ac:dyDescent="0.3">
      <c r="A153" s="606"/>
      <c r="B153" s="607" t="s">
        <v>1022</v>
      </c>
      <c r="C153" s="608">
        <f>SUM(D153,E153)</f>
        <v>136025741.98999995</v>
      </c>
      <c r="D153" s="608">
        <f>SUM(D113,D114)</f>
        <v>136025741.98999995</v>
      </c>
      <c r="E153" s="608">
        <f>SUM(E113,E114)</f>
        <v>0</v>
      </c>
      <c r="F153" s="608">
        <f>SUM(F113,F114)</f>
        <v>0</v>
      </c>
      <c r="G153" s="665" t="b">
        <f>C153=C148+C147+C146+C125+C118+C112+C105+C104+C100+C99+C98+C97+C94+C93+C92+C91+C88+C87+C85+C81+C80+C79+C74+C73+C72+C70+C69+C65+C64+C63+C60+C59+C58+C56+C55+C51+C50+C49+C48+C47+C46+C45+C44+C43+C42+C38+C36+C33+C31+C29+C25+C21+C20+C19+C18+C109+C108+C39+C53+C137+C135+C116+C151+C119+C152+C110+C133+C131+C132+C139+C89+C28+C23+C22+C76+C75+C136+C124+C83+C138+C123+C134</f>
        <v>1</v>
      </c>
      <c r="H153" s="665" t="b">
        <f>D153=D148+D147+D146+D125+D118+D112+D105+D104+D100+D99+D98+D97+D94+D93+D92+D91+D88+D87+D85+D81+D80+D79+D74+D73+D72+D70+D69+D65+D64+D63+D60+D59+D58+D56+D55+D51+D50+D49+D48+D47+D46+D45+D44+D43+D42+D38+D36+D33+D31+D29+D25+D21+D20+D19+D18+D109+D108+D39+D53+D137+D135+D116+D151+D119+D152+D110+D133+D131+D132+D139+D89+D28+D23+D22+D76+D75+D136+D124+D83+D138+D123+D134</f>
        <v>1</v>
      </c>
      <c r="I153" s="665" t="b">
        <f>E153=E148+E147+E146+E125+E118+E112+E105+E104+E100+E99+E98+E97+E94+E93+E92+E91+E88+E87+E85+E81+E80+E79+E74+E73+E72+E70+E69+E65+E64+E63+E60+E59+E58+E56+E55+E51+E50+E49+E48+E47+E46+E45+E44+E43+E42+E38+E36+E33+E31+E29+E25+E21+E20+E19+E18+E109+E108+E39+E53+E137+E135+E116+E151+E119+E152+E110+E133+E131+E132+E139+E89+E28+E23+E22+E76+E75+E136+E124+E83+E138+E123+E134</f>
        <v>1</v>
      </c>
      <c r="J153" s="665" t="b">
        <f>F153=F148+F147+F146+F125+F118+F112+F105+F104+F100+F99+F98+F97+F94+F93+F92+F91+F88+F87+F85+F81+F80+F79+F74+F73+F72+F70+F69+F65+F64+F63+F60+F59+F58+F56+F55+F51+F50+F49+F48+F47+F46+F45+F44+F43+F42+F38+F36+F33+F31+F29+F25+F21+F20+F19+F18+F109+F108+F39+F53+F137+F135+F116+F151+F119+F152+F110+F133+F131+F132+F139+F89+F28+F23+F22+F76+F75+F136+F124+F83+F138+F123+F134</f>
        <v>1</v>
      </c>
    </row>
    <row r="154" spans="1:10" ht="16.5" thickTop="1" x14ac:dyDescent="0.25">
      <c r="B154" s="110"/>
      <c r="G154" s="665" t="b">
        <f>(((((((4196633892-'d2'!C37-'d2'!C22)+129600000)+1158900+4436136.01+7672111)+178202565)+73066.32+121612444.34)+131305000+344886.99)+116381543.86)+6996382+8130380.31=C153</f>
        <v>0</v>
      </c>
    </row>
    <row r="155" spans="1:10" ht="15.75" hidden="1" x14ac:dyDescent="0.2">
      <c r="B155" s="361" t="s">
        <v>1458</v>
      </c>
      <c r="C155"/>
      <c r="D155"/>
      <c r="E155" s="362" t="s">
        <v>1459</v>
      </c>
      <c r="F155" s="112"/>
      <c r="G155" s="111"/>
    </row>
    <row r="156" spans="1:10" ht="15.75" x14ac:dyDescent="0.2">
      <c r="B156" s="361" t="s">
        <v>1423</v>
      </c>
      <c r="C156"/>
      <c r="D156"/>
      <c r="E156" s="362" t="s">
        <v>1424</v>
      </c>
      <c r="F156" s="112"/>
      <c r="G156" s="111"/>
    </row>
    <row r="157" spans="1:10" ht="15.75" x14ac:dyDescent="0.25">
      <c r="B157" s="1"/>
      <c r="C157" s="580"/>
      <c r="D157" s="580"/>
      <c r="E157" s="1"/>
    </row>
    <row r="158" spans="1:10" ht="15.75" x14ac:dyDescent="0.25">
      <c r="A158" s="113"/>
      <c r="B158" s="463" t="s">
        <v>522</v>
      </c>
      <c r="C158" s="1"/>
      <c r="D158" s="1"/>
      <c r="E158" s="1" t="s">
        <v>1326</v>
      </c>
      <c r="F158" s="113"/>
    </row>
    <row r="161" spans="3:6" x14ac:dyDescent="0.2">
      <c r="C161" s="111"/>
      <c r="D161" s="111"/>
      <c r="E161" s="111"/>
      <c r="F161" s="111"/>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2" location="_ftn1" display="_ftn1" xr:uid="{00000000-0004-0000-0A00-000000000000}"/>
    <hyperlink ref="B101" location="_ftn1" display="_ftn1" xr:uid="{00000000-0004-0000-0A00-000001000000}"/>
    <hyperlink ref="B88" location="_ftn1" display="_ftn1" xr:uid="{00000000-0004-0000-0A00-000002000000}"/>
    <hyperlink ref="B20" location="_ftn1" display="_ftn1" xr:uid="{00000000-0004-0000-0A00-000003000000}"/>
    <hyperlink ref="B19" location="_ftn1" display="_ftn1" xr:uid="{00000000-0004-0000-0A00-000004000000}"/>
    <hyperlink ref="B64" location="_ftn1" display="_ftn1" xr:uid="{00000000-0004-0000-0A00-000005000000}"/>
    <hyperlink ref="B106" location="_ftn1" display="_ftn1" xr:uid="{00000000-0004-0000-0A00-000006000000}"/>
    <hyperlink ref="B107" location="_ftn1" display="_ftn1" xr:uid="{00000000-0004-0000-0A00-000007000000}"/>
    <hyperlink ref="B72" location="_ftn1" display="_ftn1" xr:uid="{00000000-0004-0000-0A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5"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T457"/>
  <sheetViews>
    <sheetView view="pageBreakPreview" zoomScale="24" zoomScaleNormal="25" zoomScaleSheetLayoutView="24" zoomScalePageLayoutView="10" workbookViewId="0">
      <pane ySplit="14" topLeftCell="A15" activePane="bottomLeft" state="frozen"/>
      <selection activeCell="D149" sqref="D149"/>
      <selection pane="bottomLeft" activeCell="D149" sqref="D149"/>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58" t="s">
        <v>492</v>
      </c>
      <c r="O1" s="759"/>
      <c r="P1" s="759"/>
      <c r="Q1" s="759"/>
    </row>
    <row r="2" spans="1:18" ht="45.75" x14ac:dyDescent="0.2">
      <c r="A2" s="76"/>
      <c r="B2" s="76"/>
      <c r="C2" s="76"/>
      <c r="D2" s="76"/>
      <c r="E2" s="77"/>
      <c r="F2" s="78"/>
      <c r="G2" s="77"/>
      <c r="H2" s="77"/>
      <c r="I2" s="77"/>
      <c r="J2" s="77"/>
      <c r="K2" s="77"/>
      <c r="L2" s="77"/>
      <c r="M2" s="77"/>
      <c r="N2" s="758" t="s">
        <v>1627</v>
      </c>
      <c r="O2" s="760"/>
      <c r="P2" s="760"/>
      <c r="Q2" s="760"/>
    </row>
    <row r="3" spans="1:18" ht="40.700000000000003" customHeight="1" x14ac:dyDescent="0.2">
      <c r="A3" s="76"/>
      <c r="B3" s="76"/>
      <c r="C3" s="76"/>
      <c r="D3" s="76"/>
      <c r="E3" s="77"/>
      <c r="F3" s="78"/>
      <c r="G3" s="77"/>
      <c r="H3" s="77"/>
      <c r="I3" s="77"/>
      <c r="J3" s="77"/>
      <c r="K3" s="77"/>
      <c r="L3" s="77"/>
      <c r="M3" s="77"/>
      <c r="N3" s="77"/>
      <c r="O3" s="758"/>
      <c r="P3" s="761"/>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2" t="s">
        <v>564</v>
      </c>
      <c r="B5" s="762"/>
      <c r="C5" s="762"/>
      <c r="D5" s="762"/>
      <c r="E5" s="762"/>
      <c r="F5" s="762"/>
      <c r="G5" s="762"/>
      <c r="H5" s="762"/>
      <c r="I5" s="762"/>
      <c r="J5" s="762"/>
      <c r="K5" s="762"/>
      <c r="L5" s="762"/>
      <c r="M5" s="762"/>
      <c r="N5" s="762"/>
      <c r="O5" s="762"/>
      <c r="P5" s="762"/>
      <c r="Q5" s="80"/>
    </row>
    <row r="6" spans="1:18" ht="45" x14ac:dyDescent="0.2">
      <c r="A6" s="762" t="s">
        <v>1473</v>
      </c>
      <c r="B6" s="762"/>
      <c r="C6" s="762"/>
      <c r="D6" s="762"/>
      <c r="E6" s="762"/>
      <c r="F6" s="762"/>
      <c r="G6" s="762"/>
      <c r="H6" s="762"/>
      <c r="I6" s="762"/>
      <c r="J6" s="762"/>
      <c r="K6" s="762"/>
      <c r="L6" s="762"/>
      <c r="M6" s="762"/>
      <c r="N6" s="762"/>
      <c r="O6" s="762"/>
      <c r="P6" s="762"/>
      <c r="Q6" s="80"/>
    </row>
    <row r="7" spans="1:18" ht="45" x14ac:dyDescent="0.2">
      <c r="A7" s="77"/>
      <c r="B7" s="77"/>
      <c r="C7" s="77"/>
      <c r="D7" s="77"/>
      <c r="E7" s="77"/>
      <c r="F7" s="77"/>
      <c r="G7" s="77"/>
      <c r="H7" s="77"/>
      <c r="I7" s="77"/>
      <c r="J7" s="77"/>
      <c r="K7" s="77"/>
      <c r="L7" s="77"/>
      <c r="M7" s="77"/>
      <c r="N7" s="77"/>
      <c r="O7" s="77"/>
      <c r="P7" s="77"/>
      <c r="Q7" s="80"/>
    </row>
    <row r="8" spans="1:18" ht="45.75" x14ac:dyDescent="0.65">
      <c r="A8" s="763">
        <v>2256400000</v>
      </c>
      <c r="B8" s="764"/>
      <c r="C8" s="77"/>
      <c r="D8" s="393"/>
      <c r="E8" s="393"/>
      <c r="F8" s="393"/>
      <c r="G8" s="393"/>
      <c r="H8" s="393"/>
      <c r="I8" s="393"/>
      <c r="J8" s="393"/>
      <c r="K8" s="393"/>
      <c r="L8" s="393"/>
      <c r="M8" s="393"/>
      <c r="N8" s="393"/>
      <c r="O8" s="393"/>
      <c r="P8" s="393"/>
      <c r="Q8" s="13"/>
    </row>
    <row r="9" spans="1:18" ht="45.75" x14ac:dyDescent="0.2">
      <c r="A9" s="768" t="s">
        <v>489</v>
      </c>
      <c r="B9" s="769"/>
      <c r="C9" s="77"/>
      <c r="D9" s="393"/>
      <c r="E9" s="393"/>
      <c r="F9" s="393"/>
      <c r="G9" s="393"/>
      <c r="H9" s="393"/>
      <c r="I9" s="393"/>
      <c r="J9" s="393"/>
      <c r="K9" s="393"/>
      <c r="L9" s="393"/>
      <c r="M9" s="393"/>
      <c r="N9" s="393"/>
      <c r="O9" s="393"/>
      <c r="P9" s="393"/>
      <c r="Q9" s="13"/>
    </row>
    <row r="10" spans="1:18" ht="53.45" customHeight="1" thickBot="1" x14ac:dyDescent="0.25">
      <c r="A10" s="77"/>
      <c r="B10" s="77"/>
      <c r="C10" s="77"/>
      <c r="D10" s="393"/>
      <c r="E10" s="393"/>
      <c r="F10" s="394"/>
      <c r="G10" s="393"/>
      <c r="H10" s="393"/>
      <c r="I10" s="393"/>
      <c r="J10" s="393"/>
      <c r="K10" s="393"/>
      <c r="L10" s="393"/>
      <c r="M10" s="393"/>
      <c r="N10" s="393"/>
      <c r="O10" s="393"/>
      <c r="P10" s="313" t="s">
        <v>404</v>
      </c>
      <c r="Q10" s="13"/>
    </row>
    <row r="11" spans="1:18" ht="62.45" customHeight="1" thickTop="1" thickBot="1" x14ac:dyDescent="0.25">
      <c r="A11" s="767" t="s">
        <v>490</v>
      </c>
      <c r="B11" s="767" t="s">
        <v>491</v>
      </c>
      <c r="C11" s="767" t="s">
        <v>390</v>
      </c>
      <c r="D11" s="767" t="s">
        <v>572</v>
      </c>
      <c r="E11" s="765" t="s">
        <v>12</v>
      </c>
      <c r="F11" s="765"/>
      <c r="G11" s="765"/>
      <c r="H11" s="765"/>
      <c r="I11" s="765"/>
      <c r="J11" s="765" t="s">
        <v>52</v>
      </c>
      <c r="K11" s="765"/>
      <c r="L11" s="765"/>
      <c r="M11" s="765"/>
      <c r="N11" s="765"/>
      <c r="O11" s="766"/>
      <c r="P11" s="765" t="s">
        <v>11</v>
      </c>
      <c r="Q11" s="20"/>
    </row>
    <row r="12" spans="1:18" ht="96" customHeight="1" thickTop="1" thickBot="1" x14ac:dyDescent="0.25">
      <c r="A12" s="765"/>
      <c r="B12" s="770"/>
      <c r="C12" s="770"/>
      <c r="D12" s="765"/>
      <c r="E12" s="767" t="s">
        <v>384</v>
      </c>
      <c r="F12" s="767" t="s">
        <v>53</v>
      </c>
      <c r="G12" s="767" t="s">
        <v>13</v>
      </c>
      <c r="H12" s="767"/>
      <c r="I12" s="767" t="s">
        <v>55</v>
      </c>
      <c r="J12" s="767" t="s">
        <v>384</v>
      </c>
      <c r="K12" s="767" t="s">
        <v>385</v>
      </c>
      <c r="L12" s="767" t="s">
        <v>53</v>
      </c>
      <c r="M12" s="767" t="s">
        <v>13</v>
      </c>
      <c r="N12" s="767"/>
      <c r="O12" s="767" t="s">
        <v>55</v>
      </c>
      <c r="P12" s="765"/>
      <c r="Q12" s="20"/>
    </row>
    <row r="13" spans="1:18" ht="328.7" customHeight="1" thickTop="1" thickBot="1" x14ac:dyDescent="0.25">
      <c r="A13" s="770"/>
      <c r="B13" s="770"/>
      <c r="C13" s="770"/>
      <c r="D13" s="770"/>
      <c r="E13" s="767"/>
      <c r="F13" s="767"/>
      <c r="G13" s="314" t="s">
        <v>54</v>
      </c>
      <c r="H13" s="314" t="s">
        <v>15</v>
      </c>
      <c r="I13" s="767"/>
      <c r="J13" s="767"/>
      <c r="K13" s="767"/>
      <c r="L13" s="767"/>
      <c r="M13" s="314" t="s">
        <v>54</v>
      </c>
      <c r="N13" s="314" t="s">
        <v>15</v>
      </c>
      <c r="O13" s="767"/>
      <c r="P13" s="765"/>
      <c r="Q13" s="20"/>
    </row>
    <row r="14" spans="1:18" s="24" customFormat="1" ht="47.25" thickTop="1" thickBot="1" x14ac:dyDescent="0.25">
      <c r="A14" s="308" t="s">
        <v>2</v>
      </c>
      <c r="B14" s="308" t="s">
        <v>3</v>
      </c>
      <c r="C14" s="308" t="s">
        <v>14</v>
      </c>
      <c r="D14" s="308" t="s">
        <v>5</v>
      </c>
      <c r="E14" s="308" t="s">
        <v>392</v>
      </c>
      <c r="F14" s="308" t="s">
        <v>393</v>
      </c>
      <c r="G14" s="308" t="s">
        <v>394</v>
      </c>
      <c r="H14" s="308" t="s">
        <v>395</v>
      </c>
      <c r="I14" s="308" t="s">
        <v>396</v>
      </c>
      <c r="J14" s="308" t="s">
        <v>397</v>
      </c>
      <c r="K14" s="308" t="s">
        <v>398</v>
      </c>
      <c r="L14" s="308" t="s">
        <v>399</v>
      </c>
      <c r="M14" s="308" t="s">
        <v>400</v>
      </c>
      <c r="N14" s="308" t="s">
        <v>401</v>
      </c>
      <c r="O14" s="308" t="s">
        <v>402</v>
      </c>
      <c r="P14" s="308" t="s">
        <v>403</v>
      </c>
      <c r="Q14" s="124"/>
      <c r="R14" s="23"/>
    </row>
    <row r="15" spans="1:18" s="24" customFormat="1" ht="120" customHeight="1" thickTop="1" thickBot="1" x14ac:dyDescent="0.25">
      <c r="A15" s="689" t="s">
        <v>148</v>
      </c>
      <c r="B15" s="689"/>
      <c r="C15" s="689"/>
      <c r="D15" s="690" t="s">
        <v>150</v>
      </c>
      <c r="E15" s="691">
        <f>E16</f>
        <v>365810123.04000002</v>
      </c>
      <c r="F15" s="692">
        <f t="shared" ref="F15:N15" si="0">F16</f>
        <v>365810123.04000002</v>
      </c>
      <c r="G15" s="692">
        <f t="shared" si="0"/>
        <v>102452900</v>
      </c>
      <c r="H15" s="692">
        <f t="shared" si="0"/>
        <v>6286293</v>
      </c>
      <c r="I15" s="692">
        <f t="shared" si="0"/>
        <v>0</v>
      </c>
      <c r="J15" s="691">
        <f t="shared" si="0"/>
        <v>350430640.30000007</v>
      </c>
      <c r="K15" s="692">
        <f t="shared" si="0"/>
        <v>343914840.30000007</v>
      </c>
      <c r="L15" s="692">
        <f t="shared" si="0"/>
        <v>6150400</v>
      </c>
      <c r="M15" s="692">
        <f t="shared" si="0"/>
        <v>0</v>
      </c>
      <c r="N15" s="692">
        <f t="shared" si="0"/>
        <v>0</v>
      </c>
      <c r="O15" s="691">
        <f>O16</f>
        <v>344280240.30000007</v>
      </c>
      <c r="P15" s="692">
        <f t="shared" ref="P15" si="1">P16</f>
        <v>716240763.34000015</v>
      </c>
      <c r="Q15" s="25"/>
      <c r="R15" s="25"/>
    </row>
    <row r="16" spans="1:18" s="24" customFormat="1" ht="120" customHeight="1" thickTop="1" thickBot="1" x14ac:dyDescent="0.25">
      <c r="A16" s="693" t="s">
        <v>149</v>
      </c>
      <c r="B16" s="693"/>
      <c r="C16" s="693"/>
      <c r="D16" s="694" t="s">
        <v>151</v>
      </c>
      <c r="E16" s="695">
        <f>E17+E25+E36+E42+E22</f>
        <v>365810123.04000002</v>
      </c>
      <c r="F16" s="695">
        <f>F17+F25+F36+F42+F22</f>
        <v>365810123.04000002</v>
      </c>
      <c r="G16" s="695">
        <f>G17+G25+G36+G42+G22</f>
        <v>102452900</v>
      </c>
      <c r="H16" s="695">
        <f>H17+H25+H36+H42+H22</f>
        <v>6286293</v>
      </c>
      <c r="I16" s="695">
        <f>I17+I25+I36+I42+I22</f>
        <v>0</v>
      </c>
      <c r="J16" s="695">
        <f>L16+O16</f>
        <v>350430640.30000007</v>
      </c>
      <c r="K16" s="695">
        <f>K17+K25+K36+K42+K22</f>
        <v>343914840.30000007</v>
      </c>
      <c r="L16" s="695">
        <f>L17+L25+L36+L42+L22</f>
        <v>6150400</v>
      </c>
      <c r="M16" s="695">
        <f>M17+M25+M36+M42+M22</f>
        <v>0</v>
      </c>
      <c r="N16" s="695">
        <f>N17+N25+N36+N42+N22</f>
        <v>0</v>
      </c>
      <c r="O16" s="695">
        <f>O17+O25+O36+O42+O22</f>
        <v>344280240.30000007</v>
      </c>
      <c r="P16" s="695">
        <f>E16+J16</f>
        <v>716240763.34000015</v>
      </c>
      <c r="Q16" s="549" t="b">
        <f>P16=P18+P21+P27+P31+P33+P35+P38+P39+P41+P44+P45+P46+P24</f>
        <v>1</v>
      </c>
      <c r="R16" s="26"/>
    </row>
    <row r="17" spans="1:18" s="28" customFormat="1" ht="47.25" thickTop="1" thickBot="1" x14ac:dyDescent="0.25">
      <c r="A17" s="308" t="s">
        <v>679</v>
      </c>
      <c r="B17" s="308" t="s">
        <v>680</v>
      </c>
      <c r="C17" s="308"/>
      <c r="D17" s="308" t="s">
        <v>681</v>
      </c>
      <c r="E17" s="324">
        <f>SUM(E18:E21)</f>
        <v>172207366</v>
      </c>
      <c r="F17" s="324">
        <f>SUM(F18:F21)</f>
        <v>172207366</v>
      </c>
      <c r="G17" s="324">
        <f t="shared" ref="G17:P17" si="2">SUM(G18:G21)</f>
        <v>102452900</v>
      </c>
      <c r="H17" s="324">
        <f t="shared" si="2"/>
        <v>6286293</v>
      </c>
      <c r="I17" s="324">
        <f t="shared" si="2"/>
        <v>0</v>
      </c>
      <c r="J17" s="324">
        <f t="shared" si="2"/>
        <v>465000</v>
      </c>
      <c r="K17" s="324">
        <f t="shared" si="2"/>
        <v>465000</v>
      </c>
      <c r="L17" s="324">
        <f t="shared" si="2"/>
        <v>0</v>
      </c>
      <c r="M17" s="324">
        <f t="shared" si="2"/>
        <v>0</v>
      </c>
      <c r="N17" s="324">
        <f t="shared" si="2"/>
        <v>0</v>
      </c>
      <c r="O17" s="324">
        <f t="shared" si="2"/>
        <v>465000</v>
      </c>
      <c r="P17" s="324">
        <f t="shared" si="2"/>
        <v>172672366</v>
      </c>
      <c r="Q17" s="31"/>
      <c r="R17" s="27"/>
    </row>
    <row r="18" spans="1:18" ht="173.25" customHeight="1" thickTop="1" thickBot="1" x14ac:dyDescent="0.25">
      <c r="A18" s="101" t="s">
        <v>232</v>
      </c>
      <c r="B18" s="101" t="s">
        <v>233</v>
      </c>
      <c r="C18" s="101" t="s">
        <v>234</v>
      </c>
      <c r="D18" s="101" t="s">
        <v>231</v>
      </c>
      <c r="E18" s="324">
        <f t="shared" ref="E18:E46" si="3">F18</f>
        <v>138215646</v>
      </c>
      <c r="F18" s="322">
        <f>((130683646)-502260+110000+3000000)+8424260-3500000</f>
        <v>138215646</v>
      </c>
      <c r="G18" s="322">
        <f>((95820900)+3000000)+7132000-3500000</f>
        <v>102452900</v>
      </c>
      <c r="H18" s="322">
        <f>(3417000+111000+2275293+350000+88000)+45000</f>
        <v>6286293</v>
      </c>
      <c r="I18" s="322"/>
      <c r="J18" s="324">
        <f t="shared" ref="J18:J31" si="4">L18+O18</f>
        <v>465000</v>
      </c>
      <c r="K18" s="322">
        <f>((0)+435000)+30000</f>
        <v>465000</v>
      </c>
      <c r="L18" s="449"/>
      <c r="M18" s="548"/>
      <c r="N18" s="548"/>
      <c r="O18" s="450">
        <f t="shared" ref="O18:O31" si="5">K18</f>
        <v>465000</v>
      </c>
      <c r="P18" s="324">
        <f>+J18+E18</f>
        <v>138680646</v>
      </c>
      <c r="Q18" s="131"/>
      <c r="R18" s="29"/>
    </row>
    <row r="19" spans="1:18" ht="93" hidden="1" thickTop="1" thickBot="1" x14ac:dyDescent="0.25">
      <c r="A19" s="126" t="s">
        <v>583</v>
      </c>
      <c r="B19" s="126" t="s">
        <v>236</v>
      </c>
      <c r="C19" s="126" t="s">
        <v>234</v>
      </c>
      <c r="D19" s="126" t="s">
        <v>235</v>
      </c>
      <c r="E19" s="125">
        <f t="shared" si="3"/>
        <v>0</v>
      </c>
      <c r="F19" s="127"/>
      <c r="G19" s="127"/>
      <c r="H19" s="127"/>
      <c r="I19" s="127"/>
      <c r="J19" s="125">
        <f t="shared" si="4"/>
        <v>0</v>
      </c>
      <c r="K19" s="127"/>
      <c r="L19" s="128"/>
      <c r="M19" s="129"/>
      <c r="N19" s="129"/>
      <c r="O19" s="130">
        <f t="shared" si="5"/>
        <v>0</v>
      </c>
      <c r="P19" s="125">
        <f>+J19+E19</f>
        <v>0</v>
      </c>
      <c r="Q19" s="131"/>
      <c r="R19" s="29"/>
    </row>
    <row r="20" spans="1:18" ht="93" hidden="1" thickTop="1" thickBot="1" x14ac:dyDescent="0.25">
      <c r="A20" s="126" t="s">
        <v>622</v>
      </c>
      <c r="B20" s="126" t="s">
        <v>362</v>
      </c>
      <c r="C20" s="126" t="s">
        <v>623</v>
      </c>
      <c r="D20" s="126" t="s">
        <v>624</v>
      </c>
      <c r="E20" s="125">
        <f t="shared" si="3"/>
        <v>0</v>
      </c>
      <c r="F20" s="127">
        <v>0</v>
      </c>
      <c r="G20" s="127"/>
      <c r="H20" s="127"/>
      <c r="I20" s="127"/>
      <c r="J20" s="125">
        <f t="shared" si="4"/>
        <v>0</v>
      </c>
      <c r="K20" s="127"/>
      <c r="L20" s="128"/>
      <c r="M20" s="129"/>
      <c r="N20" s="129"/>
      <c r="O20" s="130">
        <f t="shared" si="5"/>
        <v>0</v>
      </c>
      <c r="P20" s="125">
        <f>+J20+E20</f>
        <v>0</v>
      </c>
      <c r="Q20" s="131"/>
      <c r="R20" s="30"/>
    </row>
    <row r="21" spans="1:18" ht="48" thickTop="1" thickBot="1" x14ac:dyDescent="0.25">
      <c r="A21" s="101" t="s">
        <v>247</v>
      </c>
      <c r="B21" s="101" t="s">
        <v>43</v>
      </c>
      <c r="C21" s="101" t="s">
        <v>42</v>
      </c>
      <c r="D21" s="101" t="s">
        <v>248</v>
      </c>
      <c r="E21" s="324">
        <f t="shared" si="3"/>
        <v>33991720</v>
      </c>
      <c r="F21" s="453">
        <f>((((105141400+20000000-10000000+32000000-67690000+1000000-2000000+30000000)-23310000)-36450000)-7182000)-7517680</f>
        <v>33991720</v>
      </c>
      <c r="G21" s="453"/>
      <c r="H21" s="453"/>
      <c r="I21" s="453"/>
      <c r="J21" s="324">
        <f t="shared" si="4"/>
        <v>0</v>
      </c>
      <c r="K21" s="453"/>
      <c r="L21" s="453"/>
      <c r="M21" s="453"/>
      <c r="N21" s="453"/>
      <c r="O21" s="450">
        <f t="shared" si="5"/>
        <v>0</v>
      </c>
      <c r="P21" s="324">
        <f>E21+J21</f>
        <v>33991720</v>
      </c>
      <c r="Q21" s="131"/>
      <c r="R21" s="30"/>
    </row>
    <row r="22" spans="1:18" ht="47.25" thickTop="1" thickBot="1" x14ac:dyDescent="0.25">
      <c r="A22" s="308" t="s">
        <v>1592</v>
      </c>
      <c r="B22" s="308" t="s">
        <v>707</v>
      </c>
      <c r="C22" s="308"/>
      <c r="D22" s="308" t="s">
        <v>708</v>
      </c>
      <c r="E22" s="324">
        <f>E23</f>
        <v>2173000</v>
      </c>
      <c r="F22" s="324">
        <f t="shared" ref="F22:P23" si="6">F23</f>
        <v>2173000</v>
      </c>
      <c r="G22" s="324">
        <f t="shared" si="6"/>
        <v>0</v>
      </c>
      <c r="H22" s="324">
        <f t="shared" si="6"/>
        <v>0</v>
      </c>
      <c r="I22" s="324">
        <f t="shared" si="6"/>
        <v>0</v>
      </c>
      <c r="J22" s="324">
        <f t="shared" si="6"/>
        <v>0</v>
      </c>
      <c r="K22" s="324">
        <f t="shared" si="6"/>
        <v>0</v>
      </c>
      <c r="L22" s="324">
        <f t="shared" si="6"/>
        <v>0</v>
      </c>
      <c r="M22" s="324">
        <f t="shared" si="6"/>
        <v>0</v>
      </c>
      <c r="N22" s="324">
        <f t="shared" si="6"/>
        <v>0</v>
      </c>
      <c r="O22" s="324">
        <f t="shared" si="6"/>
        <v>0</v>
      </c>
      <c r="P22" s="324">
        <f t="shared" si="6"/>
        <v>2173000</v>
      </c>
      <c r="Q22" s="131"/>
      <c r="R22" s="30"/>
    </row>
    <row r="23" spans="1:18" ht="48" thickTop="1" thickBot="1" x14ac:dyDescent="0.25">
      <c r="A23" s="325" t="s">
        <v>1593</v>
      </c>
      <c r="B23" s="325" t="s">
        <v>735</v>
      </c>
      <c r="C23" s="325"/>
      <c r="D23" s="325" t="s">
        <v>736</v>
      </c>
      <c r="E23" s="321">
        <f>E24</f>
        <v>2173000</v>
      </c>
      <c r="F23" s="321">
        <f t="shared" si="6"/>
        <v>2173000</v>
      </c>
      <c r="G23" s="321">
        <f t="shared" si="6"/>
        <v>0</v>
      </c>
      <c r="H23" s="321">
        <f t="shared" si="6"/>
        <v>0</v>
      </c>
      <c r="I23" s="321">
        <f t="shared" si="6"/>
        <v>0</v>
      </c>
      <c r="J23" s="321">
        <f t="shared" si="6"/>
        <v>0</v>
      </c>
      <c r="K23" s="321">
        <f t="shared" si="6"/>
        <v>0</v>
      </c>
      <c r="L23" s="321">
        <f t="shared" si="6"/>
        <v>0</v>
      </c>
      <c r="M23" s="321">
        <f t="shared" si="6"/>
        <v>0</v>
      </c>
      <c r="N23" s="321">
        <f t="shared" si="6"/>
        <v>0</v>
      </c>
      <c r="O23" s="321">
        <f t="shared" si="6"/>
        <v>0</v>
      </c>
      <c r="P23" s="321">
        <f t="shared" si="6"/>
        <v>2173000</v>
      </c>
      <c r="Q23" s="131"/>
      <c r="R23" s="30"/>
    </row>
    <row r="24" spans="1:18" ht="93" thickTop="1" thickBot="1" x14ac:dyDescent="0.25">
      <c r="A24" s="101" t="s">
        <v>1594</v>
      </c>
      <c r="B24" s="101" t="s">
        <v>329</v>
      </c>
      <c r="C24" s="101" t="s">
        <v>191</v>
      </c>
      <c r="D24" s="461" t="s">
        <v>331</v>
      </c>
      <c r="E24" s="324">
        <f t="shared" ref="E24" si="7">F24</f>
        <v>2173000</v>
      </c>
      <c r="F24" s="453">
        <f>((1000000)+900000)+273000</f>
        <v>2173000</v>
      </c>
      <c r="G24" s="322"/>
      <c r="H24" s="322"/>
      <c r="I24" s="453"/>
      <c r="J24" s="324">
        <f t="shared" ref="J24" si="8">L24+O24</f>
        <v>0</v>
      </c>
      <c r="K24" s="453"/>
      <c r="L24" s="453"/>
      <c r="M24" s="453"/>
      <c r="N24" s="453"/>
      <c r="O24" s="450">
        <f>(K24)</f>
        <v>0</v>
      </c>
      <c r="P24" s="324">
        <f t="shared" ref="P24" si="9">E24+J24</f>
        <v>2173000</v>
      </c>
      <c r="Q24" s="131"/>
      <c r="R24" s="30"/>
    </row>
    <row r="25" spans="1:18" s="28" customFormat="1" ht="47.25" thickTop="1" thickBot="1" x14ac:dyDescent="0.3">
      <c r="A25" s="308" t="s">
        <v>743</v>
      </c>
      <c r="B25" s="308" t="s">
        <v>744</v>
      </c>
      <c r="C25" s="308"/>
      <c r="D25" s="308" t="s">
        <v>745</v>
      </c>
      <c r="E25" s="324">
        <f t="shared" ref="E25:P25" si="10">SUM(E26:E35)-E26-E29-E32</f>
        <v>8276735</v>
      </c>
      <c r="F25" s="324">
        <f t="shared" si="10"/>
        <v>8276735</v>
      </c>
      <c r="G25" s="324">
        <f t="shared" si="10"/>
        <v>0</v>
      </c>
      <c r="H25" s="324">
        <f t="shared" si="10"/>
        <v>0</v>
      </c>
      <c r="I25" s="324">
        <f t="shared" si="10"/>
        <v>0</v>
      </c>
      <c r="J25" s="324">
        <f t="shared" si="10"/>
        <v>6515800</v>
      </c>
      <c r="K25" s="324">
        <f t="shared" si="10"/>
        <v>0</v>
      </c>
      <c r="L25" s="324">
        <f t="shared" si="10"/>
        <v>6150400</v>
      </c>
      <c r="M25" s="324">
        <f t="shared" si="10"/>
        <v>0</v>
      </c>
      <c r="N25" s="324">
        <f t="shared" si="10"/>
        <v>0</v>
      </c>
      <c r="O25" s="324">
        <f t="shared" si="10"/>
        <v>365400</v>
      </c>
      <c r="P25" s="324">
        <f t="shared" si="10"/>
        <v>14792535</v>
      </c>
      <c r="Q25" s="133"/>
      <c r="R25" s="31"/>
    </row>
    <row r="26" spans="1:18" s="33" customFormat="1" ht="47.25" thickTop="1" thickBot="1" x14ac:dyDescent="0.25">
      <c r="A26" s="310" t="s">
        <v>682</v>
      </c>
      <c r="B26" s="310" t="s">
        <v>683</v>
      </c>
      <c r="C26" s="310"/>
      <c r="D26" s="310" t="s">
        <v>684</v>
      </c>
      <c r="E26" s="312">
        <f t="shared" ref="E26:P26" si="11">SUM(E27:E28)</f>
        <v>5585400</v>
      </c>
      <c r="F26" s="312">
        <f t="shared" si="11"/>
        <v>5585400</v>
      </c>
      <c r="G26" s="312">
        <f t="shared" si="11"/>
        <v>0</v>
      </c>
      <c r="H26" s="312">
        <f t="shared" si="11"/>
        <v>0</v>
      </c>
      <c r="I26" s="312">
        <f t="shared" si="11"/>
        <v>0</v>
      </c>
      <c r="J26" s="312">
        <f t="shared" si="11"/>
        <v>0</v>
      </c>
      <c r="K26" s="312">
        <f t="shared" si="11"/>
        <v>0</v>
      </c>
      <c r="L26" s="312">
        <f t="shared" si="11"/>
        <v>0</v>
      </c>
      <c r="M26" s="312">
        <f t="shared" si="11"/>
        <v>0</v>
      </c>
      <c r="N26" s="312">
        <f t="shared" si="11"/>
        <v>0</v>
      </c>
      <c r="O26" s="312">
        <f t="shared" si="11"/>
        <v>0</v>
      </c>
      <c r="P26" s="312">
        <f t="shared" si="11"/>
        <v>5585400</v>
      </c>
      <c r="Q26" s="136"/>
      <c r="R26" s="32"/>
    </row>
    <row r="27" spans="1:18" ht="48" thickTop="1" thickBot="1" x14ac:dyDescent="0.25">
      <c r="A27" s="101" t="s">
        <v>238</v>
      </c>
      <c r="B27" s="101" t="s">
        <v>239</v>
      </c>
      <c r="C27" s="101" t="s">
        <v>240</v>
      </c>
      <c r="D27" s="101" t="s">
        <v>237</v>
      </c>
      <c r="E27" s="324">
        <f t="shared" si="3"/>
        <v>5585400</v>
      </c>
      <c r="F27" s="453">
        <f>((4883000)+500000)+202400</f>
        <v>5585400</v>
      </c>
      <c r="G27" s="453"/>
      <c r="H27" s="453"/>
      <c r="I27" s="453"/>
      <c r="J27" s="324">
        <f t="shared" si="4"/>
        <v>0</v>
      </c>
      <c r="K27" s="453"/>
      <c r="L27" s="453"/>
      <c r="M27" s="453"/>
      <c r="N27" s="453"/>
      <c r="O27" s="450">
        <f t="shared" si="5"/>
        <v>0</v>
      </c>
      <c r="P27" s="324">
        <f>+J27+E27</f>
        <v>5585400</v>
      </c>
      <c r="Q27" s="131"/>
      <c r="R27" s="29"/>
    </row>
    <row r="28" spans="1:18" ht="93" hidden="1" thickTop="1" thickBot="1" x14ac:dyDescent="0.25">
      <c r="A28" s="41" t="s">
        <v>971</v>
      </c>
      <c r="B28" s="41" t="s">
        <v>972</v>
      </c>
      <c r="C28" s="41" t="s">
        <v>240</v>
      </c>
      <c r="D28" s="41" t="s">
        <v>973</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310" t="s">
        <v>686</v>
      </c>
      <c r="B29" s="310" t="s">
        <v>687</v>
      </c>
      <c r="C29" s="310"/>
      <c r="D29" s="310" t="s">
        <v>685</v>
      </c>
      <c r="E29" s="312">
        <f>SUM(E31)+E32+E30</f>
        <v>2691335</v>
      </c>
      <c r="F29" s="312">
        <f t="shared" ref="F29:P29" si="12">SUM(F31)+F32+F30</f>
        <v>2691335</v>
      </c>
      <c r="G29" s="312">
        <f t="shared" si="12"/>
        <v>0</v>
      </c>
      <c r="H29" s="312">
        <f t="shared" si="12"/>
        <v>0</v>
      </c>
      <c r="I29" s="312">
        <f t="shared" si="12"/>
        <v>0</v>
      </c>
      <c r="J29" s="312">
        <f t="shared" si="12"/>
        <v>6515800</v>
      </c>
      <c r="K29" s="312">
        <f t="shared" si="12"/>
        <v>0</v>
      </c>
      <c r="L29" s="312">
        <f t="shared" si="12"/>
        <v>6150400</v>
      </c>
      <c r="M29" s="312">
        <f t="shared" si="12"/>
        <v>0</v>
      </c>
      <c r="N29" s="312">
        <f t="shared" si="12"/>
        <v>0</v>
      </c>
      <c r="O29" s="312">
        <f t="shared" si="12"/>
        <v>365400</v>
      </c>
      <c r="P29" s="312">
        <f t="shared" si="12"/>
        <v>9207135</v>
      </c>
      <c r="Q29" s="137"/>
      <c r="R29" s="34"/>
    </row>
    <row r="30" spans="1:18" ht="48" hidden="1" thickTop="1" thickBot="1" x14ac:dyDescent="0.25">
      <c r="A30" s="101" t="s">
        <v>1384</v>
      </c>
      <c r="B30" s="101" t="s">
        <v>212</v>
      </c>
      <c r="C30" s="101" t="s">
        <v>213</v>
      </c>
      <c r="D30" s="101" t="s">
        <v>41</v>
      </c>
      <c r="E30" s="324">
        <f t="shared" si="3"/>
        <v>0</v>
      </c>
      <c r="F30" s="453"/>
      <c r="G30" s="453"/>
      <c r="H30" s="453"/>
      <c r="I30" s="453"/>
      <c r="J30" s="324">
        <f t="shared" si="4"/>
        <v>0</v>
      </c>
      <c r="K30" s="453"/>
      <c r="L30" s="453"/>
      <c r="M30" s="453"/>
      <c r="N30" s="453"/>
      <c r="O30" s="450">
        <f t="shared" si="5"/>
        <v>0</v>
      </c>
      <c r="P30" s="324">
        <f>+J30+E30</f>
        <v>0</v>
      </c>
      <c r="Q30" s="137"/>
      <c r="R30" s="34"/>
    </row>
    <row r="31" spans="1:18" ht="48" thickTop="1" thickBot="1" x14ac:dyDescent="0.25">
      <c r="A31" s="101" t="s">
        <v>299</v>
      </c>
      <c r="B31" s="101" t="s">
        <v>300</v>
      </c>
      <c r="C31" s="101" t="s">
        <v>170</v>
      </c>
      <c r="D31" s="101" t="s">
        <v>441</v>
      </c>
      <c r="E31" s="324">
        <f t="shared" si="3"/>
        <v>329335</v>
      </c>
      <c r="F31" s="453">
        <v>329335</v>
      </c>
      <c r="G31" s="453"/>
      <c r="H31" s="453"/>
      <c r="I31" s="453"/>
      <c r="J31" s="324">
        <f t="shared" si="4"/>
        <v>0</v>
      </c>
      <c r="K31" s="453"/>
      <c r="L31" s="453"/>
      <c r="M31" s="453"/>
      <c r="N31" s="453"/>
      <c r="O31" s="450">
        <f t="shared" si="5"/>
        <v>0</v>
      </c>
      <c r="P31" s="324">
        <f>+J31+E31</f>
        <v>329335</v>
      </c>
      <c r="Q31" s="131"/>
      <c r="R31" s="30"/>
    </row>
    <row r="32" spans="1:18" ht="48" thickTop="1" thickBot="1" x14ac:dyDescent="0.25">
      <c r="A32" s="325" t="s">
        <v>689</v>
      </c>
      <c r="B32" s="325" t="s">
        <v>690</v>
      </c>
      <c r="C32" s="325"/>
      <c r="D32" s="550" t="s">
        <v>688</v>
      </c>
      <c r="E32" s="321">
        <f>SUM(E33:E35)</f>
        <v>2362000</v>
      </c>
      <c r="F32" s="321">
        <f t="shared" ref="F32:O32" si="13">SUM(F33:F35)</f>
        <v>2362000</v>
      </c>
      <c r="G32" s="321">
        <f t="shared" si="13"/>
        <v>0</v>
      </c>
      <c r="H32" s="321">
        <f t="shared" si="13"/>
        <v>0</v>
      </c>
      <c r="I32" s="321">
        <f t="shared" si="13"/>
        <v>0</v>
      </c>
      <c r="J32" s="321">
        <f t="shared" si="13"/>
        <v>6515800</v>
      </c>
      <c r="K32" s="321">
        <f t="shared" si="13"/>
        <v>0</v>
      </c>
      <c r="L32" s="321">
        <f t="shared" si="13"/>
        <v>6150400</v>
      </c>
      <c r="M32" s="321">
        <f t="shared" si="13"/>
        <v>0</v>
      </c>
      <c r="N32" s="321">
        <f t="shared" si="13"/>
        <v>0</v>
      </c>
      <c r="O32" s="321">
        <f t="shared" si="13"/>
        <v>365400</v>
      </c>
      <c r="P32" s="321">
        <f>E32+J32</f>
        <v>8877800</v>
      </c>
      <c r="Q32" s="137"/>
      <c r="R32" s="35"/>
    </row>
    <row r="33" spans="1:18" s="33" customFormat="1" ht="156.75" customHeight="1" thickTop="1" thickBot="1" x14ac:dyDescent="0.7">
      <c r="A33" s="732" t="s">
        <v>339</v>
      </c>
      <c r="B33" s="732" t="s">
        <v>338</v>
      </c>
      <c r="C33" s="732" t="s">
        <v>170</v>
      </c>
      <c r="D33" s="551" t="s">
        <v>439</v>
      </c>
      <c r="E33" s="734">
        <f t="shared" si="3"/>
        <v>0</v>
      </c>
      <c r="F33" s="735"/>
      <c r="G33" s="735"/>
      <c r="H33" s="735"/>
      <c r="I33" s="735"/>
      <c r="J33" s="737">
        <f>L33+O33</f>
        <v>6515800</v>
      </c>
      <c r="K33" s="735"/>
      <c r="L33" s="735">
        <f>(2604400+176000+570000+1000000)+3400000-1500000-50000-50000</f>
        <v>6150400</v>
      </c>
      <c r="M33" s="735"/>
      <c r="N33" s="735"/>
      <c r="O33" s="752">
        <f>(865400)-500000</f>
        <v>365400</v>
      </c>
      <c r="P33" s="754">
        <f>E33+J33</f>
        <v>6515800</v>
      </c>
      <c r="Q33" s="140"/>
      <c r="R33" s="36"/>
    </row>
    <row r="34" spans="1:18" s="33" customFormat="1" ht="120.75" customHeight="1" thickTop="1" thickBot="1" x14ac:dyDescent="0.25">
      <c r="A34" s="733"/>
      <c r="B34" s="743"/>
      <c r="C34" s="733"/>
      <c r="D34" s="552" t="s">
        <v>440</v>
      </c>
      <c r="E34" s="733"/>
      <c r="F34" s="736"/>
      <c r="G34" s="736"/>
      <c r="H34" s="736"/>
      <c r="I34" s="736"/>
      <c r="J34" s="738"/>
      <c r="K34" s="736"/>
      <c r="L34" s="736"/>
      <c r="M34" s="736"/>
      <c r="N34" s="736"/>
      <c r="O34" s="753"/>
      <c r="P34" s="755"/>
      <c r="Q34" s="36"/>
      <c r="R34" s="36"/>
    </row>
    <row r="35" spans="1:18" s="33" customFormat="1" ht="79.5" customHeight="1" thickTop="1" thickBot="1" x14ac:dyDescent="0.25">
      <c r="A35" s="101" t="s">
        <v>909</v>
      </c>
      <c r="B35" s="101" t="s">
        <v>257</v>
      </c>
      <c r="C35" s="101" t="s">
        <v>170</v>
      </c>
      <c r="D35" s="101" t="s">
        <v>255</v>
      </c>
      <c r="E35" s="324">
        <f>F35</f>
        <v>2362000</v>
      </c>
      <c r="F35" s="453">
        <v>2362000</v>
      </c>
      <c r="G35" s="453"/>
      <c r="H35" s="453"/>
      <c r="I35" s="453"/>
      <c r="J35" s="324">
        <f>L35+O35</f>
        <v>0</v>
      </c>
      <c r="K35" s="453"/>
      <c r="L35" s="453"/>
      <c r="M35" s="453"/>
      <c r="N35" s="453"/>
      <c r="O35" s="450"/>
      <c r="P35" s="324">
        <f>E35+J35</f>
        <v>2362000</v>
      </c>
      <c r="Q35" s="36"/>
      <c r="R35" s="36"/>
    </row>
    <row r="36" spans="1:18" s="33" customFormat="1" ht="65.25" customHeight="1" thickTop="1" thickBot="1" x14ac:dyDescent="0.25">
      <c r="A36" s="308" t="s">
        <v>691</v>
      </c>
      <c r="B36" s="308" t="s">
        <v>692</v>
      </c>
      <c r="C36" s="308"/>
      <c r="D36" s="308" t="s">
        <v>693</v>
      </c>
      <c r="E36" s="324">
        <f t="shared" ref="E36:P36" si="14">E40+E37</f>
        <v>59328104.5</v>
      </c>
      <c r="F36" s="324">
        <f t="shared" si="14"/>
        <v>59328104.5</v>
      </c>
      <c r="G36" s="324">
        <f t="shared" si="14"/>
        <v>0</v>
      </c>
      <c r="H36" s="324">
        <f t="shared" si="14"/>
        <v>0</v>
      </c>
      <c r="I36" s="324">
        <f t="shared" si="14"/>
        <v>0</v>
      </c>
      <c r="J36" s="324">
        <f t="shared" si="14"/>
        <v>154046300.84</v>
      </c>
      <c r="K36" s="324">
        <f t="shared" si="14"/>
        <v>154046300.84</v>
      </c>
      <c r="L36" s="324">
        <f t="shared" si="14"/>
        <v>0</v>
      </c>
      <c r="M36" s="324">
        <f t="shared" si="14"/>
        <v>0</v>
      </c>
      <c r="N36" s="324">
        <f t="shared" si="14"/>
        <v>0</v>
      </c>
      <c r="O36" s="324">
        <f t="shared" si="14"/>
        <v>154046300.84</v>
      </c>
      <c r="P36" s="324">
        <f t="shared" si="14"/>
        <v>213374405.34</v>
      </c>
      <c r="Q36" s="36"/>
      <c r="R36" s="36"/>
    </row>
    <row r="37" spans="1:18" s="33" customFormat="1" ht="75.75" customHeight="1" thickTop="1" thickBot="1" x14ac:dyDescent="0.25">
      <c r="A37" s="310" t="s">
        <v>1167</v>
      </c>
      <c r="B37" s="310" t="s">
        <v>1168</v>
      </c>
      <c r="C37" s="310"/>
      <c r="D37" s="310" t="s">
        <v>1166</v>
      </c>
      <c r="E37" s="312">
        <f t="shared" ref="E37:P37" si="15">SUM(E38:E39)</f>
        <v>48908104.5</v>
      </c>
      <c r="F37" s="312">
        <f t="shared" si="15"/>
        <v>48908104.5</v>
      </c>
      <c r="G37" s="312">
        <f t="shared" si="15"/>
        <v>0</v>
      </c>
      <c r="H37" s="312">
        <f t="shared" si="15"/>
        <v>0</v>
      </c>
      <c r="I37" s="312">
        <f t="shared" si="15"/>
        <v>0</v>
      </c>
      <c r="J37" s="312">
        <f t="shared" si="15"/>
        <v>154046300.84</v>
      </c>
      <c r="K37" s="312">
        <f t="shared" si="15"/>
        <v>154046300.84</v>
      </c>
      <c r="L37" s="312">
        <f t="shared" si="15"/>
        <v>0</v>
      </c>
      <c r="M37" s="312">
        <f t="shared" si="15"/>
        <v>0</v>
      </c>
      <c r="N37" s="312">
        <f t="shared" si="15"/>
        <v>0</v>
      </c>
      <c r="O37" s="312">
        <f t="shared" si="15"/>
        <v>154046300.84</v>
      </c>
      <c r="P37" s="312">
        <f t="shared" si="15"/>
        <v>202954405.34</v>
      </c>
      <c r="Q37" s="36"/>
      <c r="R37" s="36"/>
    </row>
    <row r="38" spans="1:18" s="33" customFormat="1" ht="60.75" customHeight="1" thickTop="1" thickBot="1" x14ac:dyDescent="0.25">
      <c r="A38" s="101" t="s">
        <v>1194</v>
      </c>
      <c r="B38" s="101" t="s">
        <v>1195</v>
      </c>
      <c r="C38" s="101" t="s">
        <v>1170</v>
      </c>
      <c r="D38" s="101" t="s">
        <v>1196</v>
      </c>
      <c r="E38" s="324">
        <f>F38</f>
        <v>42074105.5</v>
      </c>
      <c r="F38" s="453">
        <f>((5000000+3000000+8000000+10000000)+6000000)+1074105.5+9000000</f>
        <v>42074105.5</v>
      </c>
      <c r="G38" s="453"/>
      <c r="H38" s="453"/>
      <c r="I38" s="453"/>
      <c r="J38" s="324">
        <f>L38+O38</f>
        <v>150425894.5</v>
      </c>
      <c r="K38" s="453">
        <f>((((25000000+15000000)+60500000)+25000000)-1074105.5+16000000)+10000000</f>
        <v>150425894.5</v>
      </c>
      <c r="L38" s="453"/>
      <c r="M38" s="453"/>
      <c r="N38" s="453"/>
      <c r="O38" s="450">
        <f>K38</f>
        <v>150425894.5</v>
      </c>
      <c r="P38" s="324">
        <f>E38+J38</f>
        <v>192500000</v>
      </c>
      <c r="Q38" s="36"/>
      <c r="R38" s="36"/>
    </row>
    <row r="39" spans="1:18" s="33" customFormat="1" ht="72.75" customHeight="1" thickTop="1" thickBot="1" x14ac:dyDescent="0.25">
      <c r="A39" s="101" t="s">
        <v>1171</v>
      </c>
      <c r="B39" s="101" t="s">
        <v>1172</v>
      </c>
      <c r="C39" s="101" t="s">
        <v>1170</v>
      </c>
      <c r="D39" s="101" t="s">
        <v>1169</v>
      </c>
      <c r="E39" s="324">
        <f>F39</f>
        <v>6833999</v>
      </c>
      <c r="F39" s="453">
        <f>(((8862000)+760769+200000+370480+40000+435000+49750)+230000)-4718000+365000+200000+39000</f>
        <v>6833999</v>
      </c>
      <c r="G39" s="453"/>
      <c r="H39" s="453"/>
      <c r="I39" s="453"/>
      <c r="J39" s="324">
        <f>L39+O39</f>
        <v>3620406.34</v>
      </c>
      <c r="K39" s="453">
        <f>(((0)+739231+1266175.34+1250000+124000+25000+485000)-230000)-39000</f>
        <v>3620406.34</v>
      </c>
      <c r="L39" s="453"/>
      <c r="M39" s="453"/>
      <c r="N39" s="453"/>
      <c r="O39" s="450">
        <f>K39</f>
        <v>3620406.34</v>
      </c>
      <c r="P39" s="324">
        <f>E39+J39</f>
        <v>10454405.34</v>
      </c>
      <c r="Q39" s="36"/>
      <c r="R39" s="36"/>
    </row>
    <row r="40" spans="1:18" s="33" customFormat="1" ht="47.25" thickTop="1" thickBot="1" x14ac:dyDescent="0.25">
      <c r="A40" s="310" t="s">
        <v>694</v>
      </c>
      <c r="B40" s="310" t="s">
        <v>695</v>
      </c>
      <c r="C40" s="310"/>
      <c r="D40" s="310" t="s">
        <v>696</v>
      </c>
      <c r="E40" s="312">
        <f>SUM(E41)</f>
        <v>10420000</v>
      </c>
      <c r="F40" s="312">
        <f t="shared" ref="F40:P40" si="16">SUM(F41)</f>
        <v>10420000</v>
      </c>
      <c r="G40" s="312">
        <f t="shared" si="16"/>
        <v>0</v>
      </c>
      <c r="H40" s="312">
        <f t="shared" si="16"/>
        <v>0</v>
      </c>
      <c r="I40" s="312">
        <f t="shared" si="16"/>
        <v>0</v>
      </c>
      <c r="J40" s="312">
        <f t="shared" si="16"/>
        <v>0</v>
      </c>
      <c r="K40" s="312">
        <f t="shared" si="16"/>
        <v>0</v>
      </c>
      <c r="L40" s="312">
        <f t="shared" si="16"/>
        <v>0</v>
      </c>
      <c r="M40" s="312">
        <f t="shared" si="16"/>
        <v>0</v>
      </c>
      <c r="N40" s="312">
        <f t="shared" si="16"/>
        <v>0</v>
      </c>
      <c r="O40" s="312">
        <f t="shared" si="16"/>
        <v>0</v>
      </c>
      <c r="P40" s="312">
        <f t="shared" si="16"/>
        <v>10420000</v>
      </c>
      <c r="Q40" s="36"/>
    </row>
    <row r="41" spans="1:18" ht="48" thickTop="1" thickBot="1" x14ac:dyDescent="0.25">
      <c r="A41" s="101" t="s">
        <v>241</v>
      </c>
      <c r="B41" s="101" t="s">
        <v>242</v>
      </c>
      <c r="C41" s="101" t="s">
        <v>243</v>
      </c>
      <c r="D41" s="101" t="s">
        <v>244</v>
      </c>
      <c r="E41" s="324">
        <f>F41</f>
        <v>10420000</v>
      </c>
      <c r="F41" s="453">
        <f>(10200000)+220000</f>
        <v>10420000</v>
      </c>
      <c r="G41" s="453"/>
      <c r="H41" s="453"/>
      <c r="I41" s="453"/>
      <c r="J41" s="324">
        <f>L41+O41</f>
        <v>0</v>
      </c>
      <c r="K41" s="453">
        <v>0</v>
      </c>
      <c r="L41" s="453"/>
      <c r="M41" s="453"/>
      <c r="N41" s="453"/>
      <c r="O41" s="450">
        <f>K41</f>
        <v>0</v>
      </c>
      <c r="P41" s="324">
        <f>E41+J41</f>
        <v>10420000</v>
      </c>
      <c r="Q41" s="20"/>
    </row>
    <row r="42" spans="1:18" ht="72" customHeight="1" thickTop="1" thickBot="1" x14ac:dyDescent="0.25">
      <c r="A42" s="308" t="s">
        <v>697</v>
      </c>
      <c r="B42" s="308" t="s">
        <v>698</v>
      </c>
      <c r="C42" s="308"/>
      <c r="D42" s="308" t="s">
        <v>699</v>
      </c>
      <c r="E42" s="324">
        <f>E43+E46</f>
        <v>123824917.54000001</v>
      </c>
      <c r="F42" s="324">
        <f t="shared" ref="F42:P42" si="17">F43+F46</f>
        <v>123824917.54000001</v>
      </c>
      <c r="G42" s="324">
        <f t="shared" si="17"/>
        <v>0</v>
      </c>
      <c r="H42" s="324">
        <f t="shared" si="17"/>
        <v>0</v>
      </c>
      <c r="I42" s="324">
        <f t="shared" si="17"/>
        <v>0</v>
      </c>
      <c r="J42" s="324">
        <f t="shared" si="17"/>
        <v>189403539.46000004</v>
      </c>
      <c r="K42" s="324">
        <f t="shared" si="17"/>
        <v>189403539.46000004</v>
      </c>
      <c r="L42" s="324">
        <f t="shared" si="17"/>
        <v>0</v>
      </c>
      <c r="M42" s="324">
        <f t="shared" si="17"/>
        <v>0</v>
      </c>
      <c r="N42" s="324">
        <f t="shared" si="17"/>
        <v>0</v>
      </c>
      <c r="O42" s="324">
        <f t="shared" si="17"/>
        <v>189403539.46000004</v>
      </c>
      <c r="P42" s="324">
        <f t="shared" si="17"/>
        <v>313228457.00000006</v>
      </c>
      <c r="Q42" s="20"/>
    </row>
    <row r="43" spans="1:18" s="33" customFormat="1" ht="91.5" thickTop="1" thickBot="1" x14ac:dyDescent="0.25">
      <c r="A43" s="310" t="s">
        <v>700</v>
      </c>
      <c r="B43" s="310" t="s">
        <v>701</v>
      </c>
      <c r="C43" s="310"/>
      <c r="D43" s="310" t="s">
        <v>702</v>
      </c>
      <c r="E43" s="312">
        <f>SUM(E44:E45)</f>
        <v>1333600</v>
      </c>
      <c r="F43" s="312">
        <f t="shared" ref="F43:P43" si="18">SUM(F44:F45)</f>
        <v>1333600</v>
      </c>
      <c r="G43" s="312">
        <f t="shared" si="18"/>
        <v>0</v>
      </c>
      <c r="H43" s="312">
        <f t="shared" si="18"/>
        <v>0</v>
      </c>
      <c r="I43" s="312">
        <f t="shared" si="18"/>
        <v>0</v>
      </c>
      <c r="J43" s="312">
        <f t="shared" si="18"/>
        <v>0</v>
      </c>
      <c r="K43" s="312">
        <f t="shared" si="18"/>
        <v>0</v>
      </c>
      <c r="L43" s="312">
        <f t="shared" si="18"/>
        <v>0</v>
      </c>
      <c r="M43" s="312">
        <f t="shared" si="18"/>
        <v>0</v>
      </c>
      <c r="N43" s="312">
        <f t="shared" si="18"/>
        <v>0</v>
      </c>
      <c r="O43" s="312">
        <f t="shared" si="18"/>
        <v>0</v>
      </c>
      <c r="P43" s="312">
        <f t="shared" si="18"/>
        <v>1333600</v>
      </c>
      <c r="Q43" s="36"/>
      <c r="R43" s="36"/>
    </row>
    <row r="44" spans="1:18" ht="138.75" thickTop="1" thickBot="1" x14ac:dyDescent="0.25">
      <c r="A44" s="101" t="s">
        <v>245</v>
      </c>
      <c r="B44" s="101" t="s">
        <v>246</v>
      </c>
      <c r="C44" s="101" t="s">
        <v>43</v>
      </c>
      <c r="D44" s="101" t="s">
        <v>442</v>
      </c>
      <c r="E44" s="324">
        <f t="shared" si="3"/>
        <v>1178000</v>
      </c>
      <c r="F44" s="453">
        <v>1178000</v>
      </c>
      <c r="G44" s="453"/>
      <c r="H44" s="453"/>
      <c r="I44" s="453"/>
      <c r="J44" s="324">
        <f>L44+O44</f>
        <v>0</v>
      </c>
      <c r="K44" s="453"/>
      <c r="L44" s="453"/>
      <c r="M44" s="453"/>
      <c r="N44" s="453"/>
      <c r="O44" s="450">
        <f>K44</f>
        <v>0</v>
      </c>
      <c r="P44" s="324">
        <f>E44+J44</f>
        <v>1178000</v>
      </c>
      <c r="Q44" s="20"/>
    </row>
    <row r="45" spans="1:18" ht="48" thickTop="1" thickBot="1" x14ac:dyDescent="0.25">
      <c r="A45" s="101" t="s">
        <v>574</v>
      </c>
      <c r="B45" s="101" t="s">
        <v>363</v>
      </c>
      <c r="C45" s="101" t="s">
        <v>43</v>
      </c>
      <c r="D45" s="101" t="s">
        <v>364</v>
      </c>
      <c r="E45" s="324">
        <f t="shared" si="3"/>
        <v>155600</v>
      </c>
      <c r="F45" s="453">
        <v>155600</v>
      </c>
      <c r="G45" s="453"/>
      <c r="H45" s="453"/>
      <c r="I45" s="453"/>
      <c r="J45" s="324">
        <f>L45+O45</f>
        <v>0</v>
      </c>
      <c r="K45" s="453">
        <f>(1000000)-1000000</f>
        <v>0</v>
      </c>
      <c r="L45" s="453"/>
      <c r="M45" s="453"/>
      <c r="N45" s="453"/>
      <c r="O45" s="450">
        <f>K45</f>
        <v>0</v>
      </c>
      <c r="P45" s="324">
        <f>E45+J45</f>
        <v>155600</v>
      </c>
      <c r="Q45" s="20"/>
    </row>
    <row r="46" spans="1:18" ht="91.5" thickTop="1" thickBot="1" x14ac:dyDescent="0.25">
      <c r="A46" s="310" t="s">
        <v>512</v>
      </c>
      <c r="B46" s="310" t="s">
        <v>513</v>
      </c>
      <c r="C46" s="310" t="s">
        <v>43</v>
      </c>
      <c r="D46" s="310" t="s">
        <v>514</v>
      </c>
      <c r="E46" s="312">
        <f t="shared" si="3"/>
        <v>122491317.54000001</v>
      </c>
      <c r="F46" s="312">
        <f>(((((40873318.14-300000+2000000)+58713600)+5262218-400000+225000-600000)-4000000+3000000-1000000+1000000+421000+280000)+16496035+1000000)-13000+1000000-8260.6+8607+200000+150000+100000+150000+150000+199000+199000+52000+60000+1000000-3000000+200000-927200</f>
        <v>122491317.54000001</v>
      </c>
      <c r="G46" s="135"/>
      <c r="H46" s="135"/>
      <c r="I46" s="135"/>
      <c r="J46" s="312">
        <f>L46+O46</f>
        <v>189403539.46000004</v>
      </c>
      <c r="K46" s="453">
        <f>(((((26816681.86-700000)+100285900)+28871250-800000-10025000+9800000+600000+300000)+4000000-3000000+6155000+326000+280000-280000)+13887124)+500000-1986250+1999250+1000000+3276301.58-9900-139500.98-117000-200-1440-3000000-119085+110478+1600000+3000000+190000+4656730+1000000+927200</f>
        <v>189403539.46000004</v>
      </c>
      <c r="L46" s="312"/>
      <c r="M46" s="312"/>
      <c r="N46" s="312"/>
      <c r="O46" s="312">
        <f>K46</f>
        <v>189403539.46000004</v>
      </c>
      <c r="P46" s="312">
        <f>E46+J46</f>
        <v>311894857.00000006</v>
      </c>
      <c r="Q46" s="20"/>
      <c r="R46" s="26"/>
    </row>
    <row r="47" spans="1:18" ht="120" customHeight="1" thickTop="1" thickBot="1" x14ac:dyDescent="0.25">
      <c r="A47" s="689" t="s">
        <v>152</v>
      </c>
      <c r="B47" s="689"/>
      <c r="C47" s="689"/>
      <c r="D47" s="690" t="s">
        <v>0</v>
      </c>
      <c r="E47" s="691">
        <f>E48</f>
        <v>2147514956.46</v>
      </c>
      <c r="F47" s="692">
        <f t="shared" ref="F47" si="19">F48</f>
        <v>2147514956.46</v>
      </c>
      <c r="G47" s="692">
        <f>G48</f>
        <v>1424741453.73</v>
      </c>
      <c r="H47" s="692">
        <f>H48</f>
        <v>170686405.73000002</v>
      </c>
      <c r="I47" s="692">
        <f t="shared" ref="I47" si="20">I48</f>
        <v>0</v>
      </c>
      <c r="J47" s="691">
        <f>J48</f>
        <v>399503930.98000002</v>
      </c>
      <c r="K47" s="692">
        <f>K48</f>
        <v>172884376.83000001</v>
      </c>
      <c r="L47" s="692">
        <f>L48</f>
        <v>209228042.55000001</v>
      </c>
      <c r="M47" s="692">
        <f t="shared" ref="M47" si="21">M48</f>
        <v>53430813</v>
      </c>
      <c r="N47" s="692">
        <f>N48</f>
        <v>17707720</v>
      </c>
      <c r="O47" s="691">
        <f>O48</f>
        <v>190275888.43000001</v>
      </c>
      <c r="P47" s="692">
        <f t="shared" ref="P47" si="22">P48</f>
        <v>2547018887.4400001</v>
      </c>
      <c r="Q47" s="20"/>
    </row>
    <row r="48" spans="1:18" ht="120" customHeight="1" thickTop="1" thickBot="1" x14ac:dyDescent="0.25">
      <c r="A48" s="693" t="s">
        <v>153</v>
      </c>
      <c r="B48" s="693"/>
      <c r="C48" s="693"/>
      <c r="D48" s="694" t="s">
        <v>1</v>
      </c>
      <c r="E48" s="695">
        <f>E49+E90+E102+E93+E99</f>
        <v>2147514956.46</v>
      </c>
      <c r="F48" s="695">
        <f>F49+F90+F102+F93+F99</f>
        <v>2147514956.46</v>
      </c>
      <c r="G48" s="695">
        <f>G49+G90+G102+G93+G99</f>
        <v>1424741453.73</v>
      </c>
      <c r="H48" s="695">
        <f>H49+H90+H102+H93+H99</f>
        <v>170686405.73000002</v>
      </c>
      <c r="I48" s="695">
        <f>I49+I90+I102+I93+I99</f>
        <v>0</v>
      </c>
      <c r="J48" s="695">
        <f>L48+O48</f>
        <v>399503930.98000002</v>
      </c>
      <c r="K48" s="695">
        <f>K49+K90+K102+K93+K99</f>
        <v>172884376.83000001</v>
      </c>
      <c r="L48" s="695">
        <f>L49+L90+L102+L93+L99</f>
        <v>209228042.55000001</v>
      </c>
      <c r="M48" s="695">
        <f>M49+M90+M102+M93+M99</f>
        <v>53430813</v>
      </c>
      <c r="N48" s="695">
        <f>N49+N90+N102+N93+N99</f>
        <v>17707720</v>
      </c>
      <c r="O48" s="695">
        <f>O49+O90+O102+O93+O99</f>
        <v>190275888.43000001</v>
      </c>
      <c r="P48" s="695">
        <f>E48+J48</f>
        <v>2547018887.4400001</v>
      </c>
      <c r="Q48" s="549" t="b">
        <f>P48=P50+P52+P53+P54+P56+P57+P60+P62+P63+P65+P66+P68+P69+P70+P80+P91+P92+P96+P98+P59+P86+P87+P74+P75+P77+P78+P72+P73+P89</f>
        <v>1</v>
      </c>
      <c r="R48" s="26"/>
    </row>
    <row r="49" spans="1:20" ht="47.25" thickTop="1" thickBot="1" x14ac:dyDescent="0.25">
      <c r="A49" s="308" t="s">
        <v>703</v>
      </c>
      <c r="B49" s="308" t="s">
        <v>704</v>
      </c>
      <c r="C49" s="308"/>
      <c r="D49" s="308" t="s">
        <v>705</v>
      </c>
      <c r="E49" s="324">
        <f t="shared" ref="E49:P49" si="23">E50+E51+E55+E60+E61+E64+E67+E70+E71+E74+E58+E75+E76+E79+E82+E85+E88</f>
        <v>2145903834.6400001</v>
      </c>
      <c r="F49" s="324">
        <f t="shared" si="23"/>
        <v>2145903834.6400001</v>
      </c>
      <c r="G49" s="324">
        <f t="shared" si="23"/>
        <v>1424741453.73</v>
      </c>
      <c r="H49" s="324">
        <f t="shared" si="23"/>
        <v>170269324.92000002</v>
      </c>
      <c r="I49" s="324">
        <f t="shared" si="23"/>
        <v>0</v>
      </c>
      <c r="J49" s="324">
        <f t="shared" si="23"/>
        <v>311842093.93000001</v>
      </c>
      <c r="K49" s="324">
        <f t="shared" si="23"/>
        <v>85222539.780000001</v>
      </c>
      <c r="L49" s="324">
        <f t="shared" si="23"/>
        <v>209228042.55000001</v>
      </c>
      <c r="M49" s="324">
        <f t="shared" si="23"/>
        <v>53430813</v>
      </c>
      <c r="N49" s="324">
        <f t="shared" si="23"/>
        <v>17707720</v>
      </c>
      <c r="O49" s="324">
        <f t="shared" si="23"/>
        <v>102614051.38</v>
      </c>
      <c r="P49" s="324">
        <f t="shared" si="23"/>
        <v>2457745928.5700002</v>
      </c>
      <c r="Q49" s="30"/>
      <c r="R49" s="26"/>
    </row>
    <row r="50" spans="1:20" ht="48" thickTop="1" thickBot="1" x14ac:dyDescent="0.6">
      <c r="A50" s="101" t="s">
        <v>198</v>
      </c>
      <c r="B50" s="101" t="s">
        <v>199</v>
      </c>
      <c r="C50" s="101" t="s">
        <v>201</v>
      </c>
      <c r="D50" s="101" t="s">
        <v>202</v>
      </c>
      <c r="E50" s="324">
        <f>F50</f>
        <v>593001711.45000005</v>
      </c>
      <c r="F50" s="453">
        <f>(((518100000+6834000+121810+46482400+5516000+34247960+1883491+20029153+1410722+1453964+1539752+121850+3930+500000+95000+100000+300000-5000000-45500000-36876000)+44459370+694434-60000+199000+190036+107781+500000)-3725+60000+39744+76095+126083+46659+30889+50000+100000+81631+29892+47038+235238+334730)-6066900+110000+28003.98+100000+121680.47</f>
        <v>593001711.45000005</v>
      </c>
      <c r="G50" s="453">
        <f>((424700000-45500000)+20333842)-9400000</f>
        <v>390133842</v>
      </c>
      <c r="H50" s="453">
        <f>(34247960+1883491+20029153+1410722+1453964+1539752)+110000</f>
        <v>60675042</v>
      </c>
      <c r="I50" s="453"/>
      <c r="J50" s="324">
        <f t="shared" ref="J50:J75" si="24">L50+O50</f>
        <v>96363434.019999996</v>
      </c>
      <c r="K50" s="453">
        <f>(((500000)+60000)+100000+14768)-28003.98+30000</f>
        <v>676764.02</v>
      </c>
      <c r="L50" s="453">
        <f>(((94139890)+89700+22385+83361-7100-626500+413055-1000-4500-500)-200270)-37820+12300</f>
        <v>93883001</v>
      </c>
      <c r="M50" s="453">
        <f>((17927390)+89700)-257700</f>
        <v>17759390</v>
      </c>
      <c r="N50" s="453">
        <f>(4628330)+11000-6000+3000</f>
        <v>4636330</v>
      </c>
      <c r="O50" s="450">
        <f>(((K50+1546780)+31099)+200270)+25520</f>
        <v>2480433.02</v>
      </c>
      <c r="P50" s="324">
        <f t="shared" ref="P50:P63" si="25">E50+J50</f>
        <v>689365145.47000003</v>
      </c>
      <c r="Q50" s="141"/>
      <c r="R50" s="26"/>
    </row>
    <row r="51" spans="1:20" ht="48" thickTop="1" thickBot="1" x14ac:dyDescent="0.6">
      <c r="A51" s="325" t="s">
        <v>203</v>
      </c>
      <c r="B51" s="325" t="s">
        <v>200</v>
      </c>
      <c r="C51" s="325"/>
      <c r="D51" s="325" t="s">
        <v>641</v>
      </c>
      <c r="E51" s="321">
        <f>E52+E53+E54</f>
        <v>520896154.72000003</v>
      </c>
      <c r="F51" s="321">
        <f>F52+F53+F54</f>
        <v>520896154.72000003</v>
      </c>
      <c r="G51" s="321">
        <f t="shared" ref="G51:O51" si="26">G52+G53+G54</f>
        <v>279639514.96000004</v>
      </c>
      <c r="H51" s="321">
        <f t="shared" si="26"/>
        <v>81868146</v>
      </c>
      <c r="I51" s="321">
        <f t="shared" si="26"/>
        <v>0</v>
      </c>
      <c r="J51" s="321">
        <f t="shared" si="26"/>
        <v>104210770.23</v>
      </c>
      <c r="K51" s="321">
        <f t="shared" si="26"/>
        <v>26416400.23</v>
      </c>
      <c r="L51" s="321">
        <f t="shared" si="26"/>
        <v>76229122</v>
      </c>
      <c r="M51" s="321">
        <f t="shared" si="26"/>
        <v>24306843</v>
      </c>
      <c r="N51" s="321">
        <f t="shared" si="26"/>
        <v>1908470</v>
      </c>
      <c r="O51" s="321">
        <f t="shared" si="26"/>
        <v>27981648.23</v>
      </c>
      <c r="P51" s="321">
        <f>E51+J51</f>
        <v>625106924.95000005</v>
      </c>
      <c r="Q51" s="141"/>
      <c r="R51" s="37"/>
    </row>
    <row r="52" spans="1:20" ht="93" thickTop="1" thickBot="1" x14ac:dyDescent="0.6">
      <c r="A52" s="101" t="s">
        <v>639</v>
      </c>
      <c r="B52" s="101" t="s">
        <v>640</v>
      </c>
      <c r="C52" s="101" t="s">
        <v>204</v>
      </c>
      <c r="D52" s="101" t="s">
        <v>1257</v>
      </c>
      <c r="E52" s="324">
        <f t="shared" ref="E52:E63" si="27">F52</f>
        <v>470919875.72000003</v>
      </c>
      <c r="F52" s="453">
        <f>((((291024550+15000600+229878+80712500+7004000+45443420+1405040+21980904+4836961+2727144+242950+6050+666880+10740+500000+90000+200000+500000-5000000+100000000-36500000-29674000)+45137822.62+6050+1224752-95530-50000+5596)+835955.14+133640+257600+353974+405200+600000+150000+120000+150000-11725+1000000)-39440527.66+28196+289630+108000-14319+391210+6400+252942+100000+130000+38016+28312+150000+82720+24382+4000)-28100000+340000+89488-3880+3080+253960+24390-252942-41000-286434.62-12997500-6019198.76-1900000+6000000</f>
        <v>470919875.72000003</v>
      </c>
      <c r="G52" s="453">
        <f>(((238511902+82000000-36500000)+23163291.62)-39440527.66)-16500000</f>
        <v>251234665.96000001</v>
      </c>
      <c r="H52" s="453">
        <f>(45443420+1405040+21980904+4836961+2727144)+340000</f>
        <v>76733469</v>
      </c>
      <c r="I52" s="453"/>
      <c r="J52" s="324">
        <f t="shared" si="24"/>
        <v>103190754.23</v>
      </c>
      <c r="K52" s="453">
        <f>((((500000+500000+500000+483297.98+449851.94+260000+1158336+669262+663111+879754+412299+5700000+1750000+3800000)+873801.16-100000-500000-483297.98+1249446.24+95530+50000)+236960-353974+1000000+1371885.29+900000+11725+400000+69420+1500000)+14319-141525.5-500000+108790+594900+300000+78800+7840+51768)+2134+372050.04+361526.8-24390+252942+26800+97150+99880+25218+198000-9741-395334.74</f>
        <v>25568534.23</v>
      </c>
      <c r="L52" s="453">
        <f>((76269610)+42800+11040-238120-4000-200000+354442+5000+2198+25240)-211238</f>
        <v>76056972</v>
      </c>
      <c r="M52" s="453">
        <f>((24386640)+42800)-122597</f>
        <v>24306843</v>
      </c>
      <c r="N52" s="453">
        <f>(1771070)+48500-6000+14350</f>
        <v>1827920</v>
      </c>
      <c r="O52" s="450">
        <f>((K52+1352610)+7400-6000)+211238</f>
        <v>27133782.23</v>
      </c>
      <c r="P52" s="324">
        <f t="shared" si="25"/>
        <v>574110629.95000005</v>
      </c>
      <c r="Q52" s="141"/>
      <c r="R52" s="26"/>
      <c r="T52" s="38"/>
    </row>
    <row r="53" spans="1:20" ht="138.75" thickTop="1" thickBot="1" x14ac:dyDescent="0.25">
      <c r="A53" s="101" t="s">
        <v>648</v>
      </c>
      <c r="B53" s="101" t="s">
        <v>649</v>
      </c>
      <c r="C53" s="101" t="s">
        <v>207</v>
      </c>
      <c r="D53" s="101" t="s">
        <v>1258</v>
      </c>
      <c r="E53" s="324">
        <f t="shared" si="27"/>
        <v>29316988</v>
      </c>
      <c r="F53" s="453">
        <f>(((28544020+292110+8100+1142200+237500+2100+1338370+19817+268500+10435+41600+5920+200000+10000+10660)+103949)+5370+900)-2850000+3500-78063</f>
        <v>29316988</v>
      </c>
      <c r="G53" s="453">
        <f>(23779110)-2500000</f>
        <v>21279110</v>
      </c>
      <c r="H53" s="453">
        <f>(1338370+19817+268500+10435)+3500</f>
        <v>1640622</v>
      </c>
      <c r="I53" s="453"/>
      <c r="J53" s="324">
        <f t="shared" si="24"/>
        <v>270016</v>
      </c>
      <c r="K53" s="453">
        <f>((0)+100000)-2134</f>
        <v>97866</v>
      </c>
      <c r="L53" s="453">
        <v>172150</v>
      </c>
      <c r="M53" s="453"/>
      <c r="N53" s="453">
        <v>80550</v>
      </c>
      <c r="O53" s="450">
        <f>K53</f>
        <v>97866</v>
      </c>
      <c r="P53" s="324">
        <f t="shared" si="25"/>
        <v>29587004</v>
      </c>
      <c r="Q53" s="20"/>
      <c r="R53" s="27"/>
    </row>
    <row r="54" spans="1:20" ht="93" thickTop="1" thickBot="1" x14ac:dyDescent="0.25">
      <c r="A54" s="101" t="s">
        <v>989</v>
      </c>
      <c r="B54" s="101" t="s">
        <v>990</v>
      </c>
      <c r="C54" s="101" t="s">
        <v>207</v>
      </c>
      <c r="D54" s="101" t="s">
        <v>1259</v>
      </c>
      <c r="E54" s="324">
        <f t="shared" si="27"/>
        <v>20659291</v>
      </c>
      <c r="F54" s="453">
        <f>(((8569752+424160+12728+6393800+359900+300000+2400640+93745+970870+18800+9450+2960+200000+5000+35000)+751686)+50000+50000)+10000+800</f>
        <v>20659291</v>
      </c>
      <c r="G54" s="453">
        <v>7125739</v>
      </c>
      <c r="H54" s="453">
        <f>(2400640+93745+970870+18800)+10000</f>
        <v>3494055</v>
      </c>
      <c r="I54" s="453"/>
      <c r="J54" s="324">
        <f t="shared" si="24"/>
        <v>750000</v>
      </c>
      <c r="K54" s="453">
        <f>300000+250000+200000</f>
        <v>750000</v>
      </c>
      <c r="L54" s="453"/>
      <c r="M54" s="453"/>
      <c r="N54" s="453"/>
      <c r="O54" s="450">
        <f>K54</f>
        <v>750000</v>
      </c>
      <c r="P54" s="324">
        <f t="shared" si="25"/>
        <v>21409291</v>
      </c>
      <c r="Q54" s="20"/>
      <c r="R54" s="27"/>
    </row>
    <row r="55" spans="1:20" ht="48" thickTop="1" thickBot="1" x14ac:dyDescent="0.25">
      <c r="A55" s="325" t="s">
        <v>497</v>
      </c>
      <c r="B55" s="325" t="s">
        <v>205</v>
      </c>
      <c r="C55" s="325"/>
      <c r="D55" s="325" t="s">
        <v>654</v>
      </c>
      <c r="E55" s="321">
        <f>SUM(E56:E57)</f>
        <v>736020903</v>
      </c>
      <c r="F55" s="321">
        <f>SUM(F56:F57)</f>
        <v>736020903</v>
      </c>
      <c r="G55" s="321">
        <f>SUM(G56:G57)</f>
        <v>598322650</v>
      </c>
      <c r="H55" s="321">
        <f>SUM(H56:H57)</f>
        <v>0</v>
      </c>
      <c r="I55" s="321">
        <f>SUM(I56:I57)</f>
        <v>0</v>
      </c>
      <c r="J55" s="321">
        <f t="shared" ref="J55:P55" si="28">SUM(J56:J57)</f>
        <v>0</v>
      </c>
      <c r="K55" s="321">
        <f t="shared" si="28"/>
        <v>0</v>
      </c>
      <c r="L55" s="321">
        <f t="shared" si="28"/>
        <v>0</v>
      </c>
      <c r="M55" s="321">
        <f t="shared" si="28"/>
        <v>0</v>
      </c>
      <c r="N55" s="321">
        <f t="shared" si="28"/>
        <v>0</v>
      </c>
      <c r="O55" s="321">
        <f t="shared" si="28"/>
        <v>0</v>
      </c>
      <c r="P55" s="321">
        <f t="shared" si="28"/>
        <v>736020903</v>
      </c>
      <c r="Q55" s="20"/>
      <c r="R55" s="35"/>
    </row>
    <row r="56" spans="1:20" ht="93" thickTop="1" thickBot="1" x14ac:dyDescent="0.25">
      <c r="A56" s="101" t="s">
        <v>655</v>
      </c>
      <c r="B56" s="101" t="s">
        <v>656</v>
      </c>
      <c r="C56" s="101" t="s">
        <v>204</v>
      </c>
      <c r="D56" s="101" t="s">
        <v>1260</v>
      </c>
      <c r="E56" s="324">
        <f t="shared" ref="E56:E57" si="29">F56</f>
        <v>726494653</v>
      </c>
      <c r="F56" s="453">
        <f>(723235253)+3259400</f>
        <v>726494653</v>
      </c>
      <c r="G56" s="453">
        <f>(587733920)+2660700</f>
        <v>590394620</v>
      </c>
      <c r="H56" s="453"/>
      <c r="I56" s="453"/>
      <c r="J56" s="324">
        <f t="shared" ref="J56:J57" si="30">L56+O56</f>
        <v>0</v>
      </c>
      <c r="K56" s="453"/>
      <c r="L56" s="453"/>
      <c r="M56" s="453"/>
      <c r="N56" s="453"/>
      <c r="O56" s="450">
        <f>K56</f>
        <v>0</v>
      </c>
      <c r="P56" s="324">
        <f t="shared" ref="P56:P59" si="31">E56+J56</f>
        <v>726494653</v>
      </c>
      <c r="Q56" s="20"/>
      <c r="R56" s="30"/>
    </row>
    <row r="57" spans="1:20" ht="93" thickTop="1" thickBot="1" x14ac:dyDescent="0.25">
      <c r="A57" s="101" t="s">
        <v>1112</v>
      </c>
      <c r="B57" s="339" t="s">
        <v>1113</v>
      </c>
      <c r="C57" s="101" t="s">
        <v>207</v>
      </c>
      <c r="D57" s="101" t="s">
        <v>1261</v>
      </c>
      <c r="E57" s="324">
        <f t="shared" si="29"/>
        <v>9526250</v>
      </c>
      <c r="F57" s="538">
        <f>(10990650)-1464400</f>
        <v>9526250</v>
      </c>
      <c r="G57" s="538">
        <f>(9008730)-1080700</f>
        <v>7928030</v>
      </c>
      <c r="H57" s="538"/>
      <c r="I57" s="538"/>
      <c r="J57" s="324">
        <f t="shared" si="30"/>
        <v>0</v>
      </c>
      <c r="K57" s="538"/>
      <c r="L57" s="538"/>
      <c r="M57" s="538"/>
      <c r="N57" s="538"/>
      <c r="O57" s="539"/>
      <c r="P57" s="324">
        <f t="shared" si="31"/>
        <v>9526250</v>
      </c>
      <c r="Q57" s="20"/>
      <c r="R57" s="30"/>
    </row>
    <row r="58" spans="1:20" ht="276" thickTop="1" thickBot="1" x14ac:dyDescent="0.25">
      <c r="A58" s="550" t="s">
        <v>925</v>
      </c>
      <c r="B58" s="550" t="s">
        <v>50</v>
      </c>
      <c r="C58" s="550"/>
      <c r="D58" s="634" t="s">
        <v>1538</v>
      </c>
      <c r="E58" s="635">
        <f t="shared" ref="E58:O58" si="32">E59</f>
        <v>128512.77</v>
      </c>
      <c r="F58" s="635">
        <f t="shared" si="32"/>
        <v>128512.77</v>
      </c>
      <c r="G58" s="635">
        <f t="shared" si="32"/>
        <v>105342.77</v>
      </c>
      <c r="H58" s="635">
        <f t="shared" si="32"/>
        <v>0</v>
      </c>
      <c r="I58" s="635">
        <f t="shared" si="32"/>
        <v>0</v>
      </c>
      <c r="J58" s="635">
        <f t="shared" si="32"/>
        <v>0</v>
      </c>
      <c r="K58" s="635">
        <f t="shared" si="32"/>
        <v>0</v>
      </c>
      <c r="L58" s="635">
        <f t="shared" si="32"/>
        <v>0</v>
      </c>
      <c r="M58" s="635">
        <f t="shared" si="32"/>
        <v>0</v>
      </c>
      <c r="N58" s="635">
        <f t="shared" si="32"/>
        <v>0</v>
      </c>
      <c r="O58" s="635">
        <f t="shared" si="32"/>
        <v>0</v>
      </c>
      <c r="P58" s="635">
        <f>E58+J58</f>
        <v>128512.77</v>
      </c>
      <c r="Q58" s="20"/>
      <c r="R58" s="30"/>
    </row>
    <row r="59" spans="1:20" ht="310.7" customHeight="1" thickTop="1" thickBot="1" x14ac:dyDescent="0.25">
      <c r="A59" s="101" t="s">
        <v>926</v>
      </c>
      <c r="B59" s="101" t="s">
        <v>927</v>
      </c>
      <c r="C59" s="101" t="s">
        <v>204</v>
      </c>
      <c r="D59" s="101" t="s">
        <v>1539</v>
      </c>
      <c r="E59" s="324">
        <f t="shared" ref="E59" si="33">F59</f>
        <v>128512.77</v>
      </c>
      <c r="F59" s="453">
        <v>128512.77</v>
      </c>
      <c r="G59" s="453">
        <v>105342.77</v>
      </c>
      <c r="H59" s="453"/>
      <c r="I59" s="453"/>
      <c r="J59" s="324">
        <f t="shared" ref="J59" si="34">L59+O59</f>
        <v>0</v>
      </c>
      <c r="K59" s="453"/>
      <c r="L59" s="453"/>
      <c r="M59" s="453"/>
      <c r="N59" s="453"/>
      <c r="O59" s="450">
        <f>K59</f>
        <v>0</v>
      </c>
      <c r="P59" s="324">
        <f t="shared" si="31"/>
        <v>128512.77</v>
      </c>
      <c r="Q59" s="20"/>
      <c r="R59" s="26"/>
    </row>
    <row r="60" spans="1:20" ht="93" thickTop="1" thickBot="1" x14ac:dyDescent="0.25">
      <c r="A60" s="101" t="s">
        <v>657</v>
      </c>
      <c r="B60" s="101" t="s">
        <v>206</v>
      </c>
      <c r="C60" s="101" t="s">
        <v>181</v>
      </c>
      <c r="D60" s="101" t="s">
        <v>498</v>
      </c>
      <c r="E60" s="324">
        <f t="shared" si="27"/>
        <v>34779196</v>
      </c>
      <c r="F60" s="453">
        <f>((33713454+543690+17600+529000+174450+2166040+44713+824782+82818+13383+5450+213660+320+50000)+487838+1486)-4020000+20000-89488</f>
        <v>34779196</v>
      </c>
      <c r="G60" s="453">
        <f>(27858536)-3400000</f>
        <v>24458536</v>
      </c>
      <c r="H60" s="453">
        <f>(2166040+44713+824782+82818+13383)+20000</f>
        <v>3151736</v>
      </c>
      <c r="I60" s="453"/>
      <c r="J60" s="324">
        <f t="shared" si="24"/>
        <v>3479494</v>
      </c>
      <c r="K60" s="453">
        <f>((0)+1000000+75834)+1300000</f>
        <v>2375834</v>
      </c>
      <c r="L60" s="453">
        <v>745660</v>
      </c>
      <c r="M60" s="453">
        <v>38710</v>
      </c>
      <c r="N60" s="453">
        <v>117220</v>
      </c>
      <c r="O60" s="450">
        <f>(K60+358000)</f>
        <v>2733834</v>
      </c>
      <c r="P60" s="324">
        <f t="shared" si="25"/>
        <v>38258690</v>
      </c>
      <c r="Q60" s="20"/>
      <c r="R60" s="26"/>
    </row>
    <row r="61" spans="1:20" ht="93" thickTop="1" thickBot="1" x14ac:dyDescent="0.25">
      <c r="A61" s="325" t="s">
        <v>208</v>
      </c>
      <c r="B61" s="325" t="s">
        <v>191</v>
      </c>
      <c r="C61" s="325"/>
      <c r="D61" s="325" t="s">
        <v>499</v>
      </c>
      <c r="E61" s="321">
        <f>E62+E63</f>
        <v>189973686.24999997</v>
      </c>
      <c r="F61" s="321">
        <f t="shared" ref="F61:O61" si="35">F62+F63</f>
        <v>189973686.24999997</v>
      </c>
      <c r="G61" s="321">
        <f t="shared" si="35"/>
        <v>103198899</v>
      </c>
      <c r="H61" s="321">
        <f t="shared" si="35"/>
        <v>22339466.920000006</v>
      </c>
      <c r="I61" s="321">
        <f t="shared" si="35"/>
        <v>0</v>
      </c>
      <c r="J61" s="321">
        <f t="shared" si="35"/>
        <v>36655878</v>
      </c>
      <c r="K61" s="321">
        <f t="shared" si="35"/>
        <v>1617818</v>
      </c>
      <c r="L61" s="321">
        <f t="shared" si="35"/>
        <v>34688060</v>
      </c>
      <c r="M61" s="321">
        <f t="shared" si="35"/>
        <v>11325870</v>
      </c>
      <c r="N61" s="321">
        <f t="shared" si="35"/>
        <v>11045700</v>
      </c>
      <c r="O61" s="321">
        <f t="shared" si="35"/>
        <v>1967818</v>
      </c>
      <c r="P61" s="321">
        <f t="shared" si="25"/>
        <v>226629564.24999997</v>
      </c>
      <c r="Q61" s="20"/>
      <c r="R61" s="35"/>
    </row>
    <row r="62" spans="1:20" ht="93" thickTop="1" thickBot="1" x14ac:dyDescent="0.25">
      <c r="A62" s="101" t="s">
        <v>658</v>
      </c>
      <c r="B62" s="101" t="s">
        <v>659</v>
      </c>
      <c r="C62" s="101" t="s">
        <v>209</v>
      </c>
      <c r="D62" s="101" t="s">
        <v>660</v>
      </c>
      <c r="E62" s="324">
        <f t="shared" si="27"/>
        <v>166038286.24999997</v>
      </c>
      <c r="F62" s="453">
        <f>(((166319425.51)+60257.19+27737.76)+107923+26316-729671.33+158722.33)+67575.79</f>
        <v>166038286.24999997</v>
      </c>
      <c r="G62" s="453">
        <v>83514099</v>
      </c>
      <c r="H62" s="453">
        <f>(((22961117.51)+60257.19+27737.76)-729671.33)+67575.79-47550</f>
        <v>22339466.920000006</v>
      </c>
      <c r="I62" s="453"/>
      <c r="J62" s="324">
        <f>L62+O62</f>
        <v>36655878</v>
      </c>
      <c r="K62" s="453">
        <f>((300000)+320808+570949+391061)+35000</f>
        <v>1617818</v>
      </c>
      <c r="L62" s="453">
        <f>(34808060)-266000-58520+200000+22600-5000-13080-5000-2000+15000-8000</f>
        <v>34688060</v>
      </c>
      <c r="M62" s="453">
        <f>(11591870)-266000</f>
        <v>11325870</v>
      </c>
      <c r="N62" s="453">
        <f>(10739700)+120000+60000+120000+6000</f>
        <v>11045700</v>
      </c>
      <c r="O62" s="450">
        <f>(K62+230000)+120000</f>
        <v>1967818</v>
      </c>
      <c r="P62" s="324">
        <f t="shared" si="25"/>
        <v>202694164.24999997</v>
      </c>
      <c r="Q62" s="20"/>
      <c r="R62" s="26"/>
    </row>
    <row r="63" spans="1:20" ht="93" thickTop="1" thickBot="1" x14ac:dyDescent="0.25">
      <c r="A63" s="101" t="s">
        <v>662</v>
      </c>
      <c r="B63" s="101" t="s">
        <v>661</v>
      </c>
      <c r="C63" s="101" t="s">
        <v>209</v>
      </c>
      <c r="D63" s="101" t="s">
        <v>663</v>
      </c>
      <c r="E63" s="324">
        <f t="shared" si="27"/>
        <v>23935400</v>
      </c>
      <c r="F63" s="453">
        <f>(25730400)-1795000</f>
        <v>23935400</v>
      </c>
      <c r="G63" s="453">
        <f>(21264800)-1580000</f>
        <v>19684800</v>
      </c>
      <c r="H63" s="453"/>
      <c r="I63" s="453"/>
      <c r="J63" s="324">
        <f>L63+O63</f>
        <v>0</v>
      </c>
      <c r="K63" s="453"/>
      <c r="L63" s="453"/>
      <c r="M63" s="453"/>
      <c r="N63" s="453"/>
      <c r="O63" s="450"/>
      <c r="P63" s="324">
        <f t="shared" si="25"/>
        <v>23935400</v>
      </c>
      <c r="Q63" s="20"/>
      <c r="R63" s="30"/>
    </row>
    <row r="64" spans="1:20" ht="48" thickTop="1" thickBot="1" x14ac:dyDescent="0.25">
      <c r="A64" s="325" t="s">
        <v>665</v>
      </c>
      <c r="B64" s="325" t="s">
        <v>664</v>
      </c>
      <c r="C64" s="325"/>
      <c r="D64" s="325" t="s">
        <v>666</v>
      </c>
      <c r="E64" s="321">
        <f>E65+E66</f>
        <v>28477334</v>
      </c>
      <c r="F64" s="321">
        <f t="shared" ref="F64:O64" si="36">F65+F66</f>
        <v>28477334</v>
      </c>
      <c r="G64" s="321">
        <f t="shared" si="36"/>
        <v>18564976</v>
      </c>
      <c r="H64" s="321">
        <f t="shared" si="36"/>
        <v>1790626</v>
      </c>
      <c r="I64" s="321">
        <f t="shared" si="36"/>
        <v>0</v>
      </c>
      <c r="J64" s="321">
        <f t="shared" si="36"/>
        <v>638596.13000000012</v>
      </c>
      <c r="K64" s="321">
        <f t="shared" si="36"/>
        <v>426756.13000000012</v>
      </c>
      <c r="L64" s="321">
        <f t="shared" si="36"/>
        <v>211840</v>
      </c>
      <c r="M64" s="321">
        <f t="shared" si="36"/>
        <v>0</v>
      </c>
      <c r="N64" s="321">
        <f t="shared" si="36"/>
        <v>0</v>
      </c>
      <c r="O64" s="321">
        <f t="shared" si="36"/>
        <v>426756.13000000012</v>
      </c>
      <c r="P64" s="321">
        <f>E64+J64</f>
        <v>29115930.129999999</v>
      </c>
      <c r="Q64" s="20"/>
      <c r="R64" s="35"/>
    </row>
    <row r="65" spans="1:18" ht="48" thickTop="1" thickBot="1" x14ac:dyDescent="0.25">
      <c r="A65" s="101" t="s">
        <v>667</v>
      </c>
      <c r="B65" s="101" t="s">
        <v>668</v>
      </c>
      <c r="C65" s="101" t="s">
        <v>210</v>
      </c>
      <c r="D65" s="101" t="s">
        <v>500</v>
      </c>
      <c r="E65" s="324">
        <f>F65</f>
        <v>27825034</v>
      </c>
      <c r="F65" s="453">
        <f>((((19846132+754290+2035+1354150+1028432+15761+726715+19718+1550+100000)+2560000+98632+1042739)+55800)+18600+33570)+96480+70430</f>
        <v>27825034</v>
      </c>
      <c r="G65" s="453">
        <f>(16464976)+2100000</f>
        <v>18564976</v>
      </c>
      <c r="H65" s="453">
        <f>1028432+15761+726715+19718</f>
        <v>1790626</v>
      </c>
      <c r="I65" s="453"/>
      <c r="J65" s="324">
        <f>L65+O65</f>
        <v>638596.13000000012</v>
      </c>
      <c r="K65" s="453">
        <f>(((300000)+1133704.59-993704.59)+126756.13)-140000</f>
        <v>426756.13000000012</v>
      </c>
      <c r="L65" s="453">
        <v>211840</v>
      </c>
      <c r="M65" s="453"/>
      <c r="N65" s="453"/>
      <c r="O65" s="450">
        <f>K65</f>
        <v>426756.13000000012</v>
      </c>
      <c r="P65" s="324">
        <f>E65+J65</f>
        <v>28463630.129999999</v>
      </c>
      <c r="Q65" s="20"/>
      <c r="R65" s="30"/>
    </row>
    <row r="66" spans="1:18" ht="48" thickTop="1" thickBot="1" x14ac:dyDescent="0.25">
      <c r="A66" s="101" t="s">
        <v>669</v>
      </c>
      <c r="B66" s="101" t="s">
        <v>670</v>
      </c>
      <c r="C66" s="101" t="s">
        <v>210</v>
      </c>
      <c r="D66" s="101" t="s">
        <v>337</v>
      </c>
      <c r="E66" s="324">
        <f>F66</f>
        <v>652300</v>
      </c>
      <c r="F66" s="453">
        <f>(534300)+118000</f>
        <v>652300</v>
      </c>
      <c r="G66" s="453"/>
      <c r="H66" s="453"/>
      <c r="I66" s="453"/>
      <c r="J66" s="324">
        <f>L66+O66</f>
        <v>0</v>
      </c>
      <c r="K66" s="453"/>
      <c r="L66" s="453"/>
      <c r="M66" s="453"/>
      <c r="N66" s="453"/>
      <c r="O66" s="450">
        <f>K66</f>
        <v>0</v>
      </c>
      <c r="P66" s="324">
        <f>E66+J66</f>
        <v>652300</v>
      </c>
      <c r="Q66" s="20"/>
      <c r="R66" s="30"/>
    </row>
    <row r="67" spans="1:18" ht="48" thickTop="1" thickBot="1" x14ac:dyDescent="0.25">
      <c r="A67" s="325" t="s">
        <v>671</v>
      </c>
      <c r="B67" s="325" t="s">
        <v>672</v>
      </c>
      <c r="C67" s="325"/>
      <c r="D67" s="325" t="s">
        <v>428</v>
      </c>
      <c r="E67" s="321">
        <f>E68+E69</f>
        <v>6283923</v>
      </c>
      <c r="F67" s="321">
        <f>F68+F69</f>
        <v>6283923</v>
      </c>
      <c r="G67" s="321">
        <f t="shared" ref="G67:O67" si="37">G68+G69</f>
        <v>4633370</v>
      </c>
      <c r="H67" s="321">
        <f t="shared" si="37"/>
        <v>373442</v>
      </c>
      <c r="I67" s="321">
        <f t="shared" si="37"/>
        <v>0</v>
      </c>
      <c r="J67" s="321">
        <f t="shared" si="37"/>
        <v>21119</v>
      </c>
      <c r="K67" s="321">
        <f t="shared" si="37"/>
        <v>21119</v>
      </c>
      <c r="L67" s="321">
        <f t="shared" si="37"/>
        <v>0</v>
      </c>
      <c r="M67" s="321">
        <f t="shared" si="37"/>
        <v>0</v>
      </c>
      <c r="N67" s="321">
        <f t="shared" si="37"/>
        <v>0</v>
      </c>
      <c r="O67" s="321">
        <f t="shared" si="37"/>
        <v>21119</v>
      </c>
      <c r="P67" s="321">
        <f>E67+J67</f>
        <v>6305042</v>
      </c>
      <c r="Q67" s="20"/>
      <c r="R67" s="35"/>
    </row>
    <row r="68" spans="1:18" ht="93" thickTop="1" thickBot="1" x14ac:dyDescent="0.25">
      <c r="A68" s="101" t="s">
        <v>673</v>
      </c>
      <c r="B68" s="101" t="s">
        <v>674</v>
      </c>
      <c r="C68" s="101" t="s">
        <v>210</v>
      </c>
      <c r="D68" s="101" t="s">
        <v>675</v>
      </c>
      <c r="E68" s="324">
        <f>F68</f>
        <v>1356623</v>
      </c>
      <c r="F68" s="453">
        <f>((694997+184000+3254+67900+5480+126800+3835+24307+2000+1550)+216000)+26000+500</f>
        <v>1356623</v>
      </c>
      <c r="G68" s="453">
        <f>(573200)+21400</f>
        <v>594600</v>
      </c>
      <c r="H68" s="453">
        <f>((126800+3835+24307+2000)+216000)+500</f>
        <v>373442</v>
      </c>
      <c r="I68" s="453"/>
      <c r="J68" s="324">
        <f>L68+O68</f>
        <v>21119</v>
      </c>
      <c r="K68" s="453">
        <f>(0)+21119</f>
        <v>21119</v>
      </c>
      <c r="L68" s="453"/>
      <c r="M68" s="453"/>
      <c r="N68" s="453"/>
      <c r="O68" s="450">
        <f>K68</f>
        <v>21119</v>
      </c>
      <c r="P68" s="324">
        <f>E68+J68</f>
        <v>1377742</v>
      </c>
      <c r="Q68" s="20"/>
      <c r="R68" s="26"/>
    </row>
    <row r="69" spans="1:18" ht="93" thickTop="1" thickBot="1" x14ac:dyDescent="0.25">
      <c r="A69" s="101" t="s">
        <v>676</v>
      </c>
      <c r="B69" s="101" t="s">
        <v>677</v>
      </c>
      <c r="C69" s="101" t="s">
        <v>210</v>
      </c>
      <c r="D69" s="101" t="s">
        <v>678</v>
      </c>
      <c r="E69" s="324">
        <f>F69</f>
        <v>4927300</v>
      </c>
      <c r="F69" s="453">
        <f>4927300</f>
        <v>4927300</v>
      </c>
      <c r="G69" s="453">
        <v>4038770</v>
      </c>
      <c r="H69" s="453"/>
      <c r="I69" s="453"/>
      <c r="J69" s="324">
        <f t="shared" ref="J69:J70" si="38">L69+O69</f>
        <v>0</v>
      </c>
      <c r="K69" s="453"/>
      <c r="L69" s="453"/>
      <c r="M69" s="453"/>
      <c r="N69" s="453"/>
      <c r="O69" s="450">
        <f t="shared" ref="O69:O70" si="39">K69</f>
        <v>0</v>
      </c>
      <c r="P69" s="324">
        <f t="shared" ref="P69:P75" si="40">E69+J69</f>
        <v>4927300</v>
      </c>
      <c r="Q69" s="20"/>
      <c r="R69" s="30"/>
    </row>
    <row r="70" spans="1:18" ht="93" thickTop="1" thickBot="1" x14ac:dyDescent="0.25">
      <c r="A70" s="101" t="s">
        <v>645</v>
      </c>
      <c r="B70" s="101" t="s">
        <v>646</v>
      </c>
      <c r="C70" s="101" t="s">
        <v>210</v>
      </c>
      <c r="D70" s="101" t="s">
        <v>647</v>
      </c>
      <c r="E70" s="324">
        <f t="shared" ref="E70:E92" si="41">F70</f>
        <v>3123713</v>
      </c>
      <c r="F70" s="453">
        <f>(3648277+246000+47200+10970+37890+5200+24476+800+400)-900000+2500</f>
        <v>3123713</v>
      </c>
      <c r="G70" s="453">
        <f>(2990391)-750000</f>
        <v>2240391</v>
      </c>
      <c r="H70" s="453">
        <f>(37890+5200+24476+800)+2500</f>
        <v>70866</v>
      </c>
      <c r="I70" s="453"/>
      <c r="J70" s="324">
        <f t="shared" si="38"/>
        <v>0</v>
      </c>
      <c r="K70" s="453"/>
      <c r="L70" s="453"/>
      <c r="M70" s="453"/>
      <c r="N70" s="453"/>
      <c r="O70" s="450">
        <f t="shared" si="39"/>
        <v>0</v>
      </c>
      <c r="P70" s="324">
        <f t="shared" si="40"/>
        <v>3123713</v>
      </c>
      <c r="Q70" s="20"/>
      <c r="R70" s="26"/>
    </row>
    <row r="71" spans="1:18" s="33" customFormat="1" ht="93" thickTop="1" thickBot="1" x14ac:dyDescent="0.25">
      <c r="A71" s="325" t="s">
        <v>650</v>
      </c>
      <c r="B71" s="325" t="s">
        <v>651</v>
      </c>
      <c r="C71" s="325"/>
      <c r="D71" s="325" t="s">
        <v>1610</v>
      </c>
      <c r="E71" s="321">
        <f t="shared" si="41"/>
        <v>0</v>
      </c>
      <c r="F71" s="321">
        <f>SUM(F72:F73)</f>
        <v>0</v>
      </c>
      <c r="G71" s="321">
        <f t="shared" ref="G71:I71" si="42">SUM(G72:G73)</f>
        <v>0</v>
      </c>
      <c r="H71" s="321">
        <f t="shared" si="42"/>
        <v>0</v>
      </c>
      <c r="I71" s="321">
        <f t="shared" si="42"/>
        <v>0</v>
      </c>
      <c r="J71" s="321">
        <f t="shared" si="24"/>
        <v>14698938</v>
      </c>
      <c r="K71" s="321">
        <f>SUM(K72:K73)</f>
        <v>14698938</v>
      </c>
      <c r="L71" s="321">
        <f t="shared" ref="L71:N71" si="43">SUM(L72:L73)</f>
        <v>0</v>
      </c>
      <c r="M71" s="321">
        <f t="shared" si="43"/>
        <v>0</v>
      </c>
      <c r="N71" s="321">
        <f t="shared" si="43"/>
        <v>0</v>
      </c>
      <c r="O71" s="321">
        <f>SUM(O72:O73)</f>
        <v>14698938</v>
      </c>
      <c r="P71" s="321">
        <f t="shared" si="40"/>
        <v>14698938</v>
      </c>
      <c r="Q71" s="36"/>
      <c r="R71" s="37"/>
    </row>
    <row r="72" spans="1:18" s="33" customFormat="1" ht="180.75" customHeight="1" thickTop="1" thickBot="1" x14ac:dyDescent="0.25">
      <c r="A72" s="101" t="s">
        <v>652</v>
      </c>
      <c r="B72" s="101" t="s">
        <v>653</v>
      </c>
      <c r="C72" s="101" t="s">
        <v>210</v>
      </c>
      <c r="D72" s="101" t="s">
        <v>1611</v>
      </c>
      <c r="E72" s="324">
        <f t="shared" si="41"/>
        <v>0</v>
      </c>
      <c r="F72" s="453"/>
      <c r="G72" s="453"/>
      <c r="H72" s="453"/>
      <c r="I72" s="453"/>
      <c r="J72" s="324">
        <f t="shared" si="24"/>
        <v>4409682</v>
      </c>
      <c r="K72" s="453">
        <v>4409682</v>
      </c>
      <c r="L72" s="453"/>
      <c r="M72" s="453"/>
      <c r="N72" s="453"/>
      <c r="O72" s="450">
        <f t="shared" ref="O72:O75" si="44">K72</f>
        <v>4409682</v>
      </c>
      <c r="P72" s="324">
        <f t="shared" si="40"/>
        <v>4409682</v>
      </c>
      <c r="Q72" s="36"/>
      <c r="R72" s="26"/>
    </row>
    <row r="73" spans="1:18" s="33" customFormat="1" ht="171.75" customHeight="1" thickTop="1" thickBot="1" x14ac:dyDescent="0.25">
      <c r="A73" s="101" t="s">
        <v>974</v>
      </c>
      <c r="B73" s="101" t="s">
        <v>975</v>
      </c>
      <c r="C73" s="101" t="s">
        <v>210</v>
      </c>
      <c r="D73" s="101" t="s">
        <v>1612</v>
      </c>
      <c r="E73" s="324">
        <f t="shared" si="41"/>
        <v>0</v>
      </c>
      <c r="F73" s="453"/>
      <c r="G73" s="453"/>
      <c r="H73" s="453"/>
      <c r="I73" s="453"/>
      <c r="J73" s="324">
        <f t="shared" si="24"/>
        <v>10289256</v>
      </c>
      <c r="K73" s="453">
        <f>(8348168+1367732+573356)</f>
        <v>10289256</v>
      </c>
      <c r="L73" s="453"/>
      <c r="M73" s="453"/>
      <c r="N73" s="453"/>
      <c r="O73" s="450">
        <f t="shared" si="44"/>
        <v>10289256</v>
      </c>
      <c r="P73" s="324">
        <f t="shared" si="40"/>
        <v>10289256</v>
      </c>
      <c r="Q73" s="36"/>
      <c r="R73" s="26"/>
    </row>
    <row r="74" spans="1:18" s="33" customFormat="1" ht="93" thickTop="1" thickBot="1" x14ac:dyDescent="0.25">
      <c r="A74" s="101" t="s">
        <v>642</v>
      </c>
      <c r="B74" s="101" t="s">
        <v>643</v>
      </c>
      <c r="C74" s="101" t="s">
        <v>210</v>
      </c>
      <c r="D74" s="101" t="s">
        <v>644</v>
      </c>
      <c r="E74" s="324">
        <f t="shared" si="41"/>
        <v>3668858</v>
      </c>
      <c r="F74" s="453">
        <v>3668858</v>
      </c>
      <c r="G74" s="453">
        <v>3007261</v>
      </c>
      <c r="H74" s="453"/>
      <c r="I74" s="453"/>
      <c r="J74" s="324">
        <f t="shared" si="24"/>
        <v>0</v>
      </c>
      <c r="K74" s="453"/>
      <c r="L74" s="453"/>
      <c r="M74" s="453"/>
      <c r="N74" s="453"/>
      <c r="O74" s="450">
        <f t="shared" si="44"/>
        <v>0</v>
      </c>
      <c r="P74" s="324">
        <f t="shared" si="40"/>
        <v>3668858</v>
      </c>
      <c r="Q74" s="36"/>
      <c r="R74" s="26"/>
    </row>
    <row r="75" spans="1:18" s="33" customFormat="1" ht="160.5" customHeight="1" thickTop="1" thickBot="1" x14ac:dyDescent="0.25">
      <c r="A75" s="101" t="s">
        <v>936</v>
      </c>
      <c r="B75" s="101" t="s">
        <v>937</v>
      </c>
      <c r="C75" s="101" t="s">
        <v>210</v>
      </c>
      <c r="D75" s="101" t="s">
        <v>1427</v>
      </c>
      <c r="E75" s="324">
        <f t="shared" si="41"/>
        <v>532739</v>
      </c>
      <c r="F75" s="453">
        <v>532739</v>
      </c>
      <c r="G75" s="453">
        <v>436671</v>
      </c>
      <c r="H75" s="453"/>
      <c r="I75" s="453"/>
      <c r="J75" s="324">
        <f t="shared" si="24"/>
        <v>0</v>
      </c>
      <c r="K75" s="453">
        <v>0</v>
      </c>
      <c r="L75" s="453"/>
      <c r="M75" s="453"/>
      <c r="N75" s="453"/>
      <c r="O75" s="450">
        <f t="shared" si="44"/>
        <v>0</v>
      </c>
      <c r="P75" s="324">
        <f t="shared" si="40"/>
        <v>532739</v>
      </c>
      <c r="Q75" s="36"/>
      <c r="R75" s="26"/>
    </row>
    <row r="76" spans="1:18" s="33" customFormat="1" ht="93" thickTop="1" thickBot="1" x14ac:dyDescent="0.25">
      <c r="A76" s="325" t="s">
        <v>991</v>
      </c>
      <c r="B76" s="325" t="s">
        <v>993</v>
      </c>
      <c r="C76" s="325"/>
      <c r="D76" s="325" t="s">
        <v>1419</v>
      </c>
      <c r="E76" s="321">
        <f>F76</f>
        <v>0</v>
      </c>
      <c r="F76" s="321">
        <f>SUM(F77:F78)</f>
        <v>0</v>
      </c>
      <c r="G76" s="321">
        <f>SUM(G77:G78)</f>
        <v>0</v>
      </c>
      <c r="H76" s="321">
        <f>SUM(H77:H78)</f>
        <v>0</v>
      </c>
      <c r="I76" s="321">
        <f>SUM(I77:I78)</f>
        <v>0</v>
      </c>
      <c r="J76" s="321">
        <f>L76+O76</f>
        <v>14416500</v>
      </c>
      <c r="K76" s="321">
        <f>SUM(K77:K78)</f>
        <v>14416500</v>
      </c>
      <c r="L76" s="321">
        <f>SUM(L77:L78)</f>
        <v>0</v>
      </c>
      <c r="M76" s="321">
        <f>SUM(M77:M78)</f>
        <v>0</v>
      </c>
      <c r="N76" s="321">
        <f>SUM(N77:N78)</f>
        <v>0</v>
      </c>
      <c r="O76" s="321">
        <f>SUM(O77:O78)</f>
        <v>14416500</v>
      </c>
      <c r="P76" s="321">
        <f>E76+J76</f>
        <v>14416500</v>
      </c>
      <c r="Q76" s="36"/>
      <c r="R76" s="26"/>
    </row>
    <row r="77" spans="1:18" s="33" customFormat="1" ht="189" customHeight="1" thickTop="1" thickBot="1" x14ac:dyDescent="0.25">
      <c r="A77" s="101" t="s">
        <v>992</v>
      </c>
      <c r="B77" s="101" t="s">
        <v>994</v>
      </c>
      <c r="C77" s="101" t="s">
        <v>210</v>
      </c>
      <c r="D77" s="101" t="s">
        <v>1233</v>
      </c>
      <c r="E77" s="324">
        <f>F77</f>
        <v>0</v>
      </c>
      <c r="F77" s="453"/>
      <c r="G77" s="453"/>
      <c r="H77" s="453"/>
      <c r="I77" s="453"/>
      <c r="J77" s="324">
        <f t="shared" ref="J77:J78" si="45">L77+O77</f>
        <v>5766600</v>
      </c>
      <c r="K77" s="453">
        <v>5766600</v>
      </c>
      <c r="L77" s="453"/>
      <c r="M77" s="453"/>
      <c r="N77" s="453"/>
      <c r="O77" s="450">
        <f t="shared" ref="O77:O78" si="46">K77</f>
        <v>5766600</v>
      </c>
      <c r="P77" s="324">
        <f>E77+J77</f>
        <v>5766600</v>
      </c>
      <c r="Q77" s="36"/>
      <c r="R77" s="26"/>
    </row>
    <row r="78" spans="1:18" s="33" customFormat="1" ht="176.25" customHeight="1" thickTop="1" thickBot="1" x14ac:dyDescent="0.25">
      <c r="A78" s="101" t="s">
        <v>1032</v>
      </c>
      <c r="B78" s="101" t="s">
        <v>1033</v>
      </c>
      <c r="C78" s="101" t="s">
        <v>210</v>
      </c>
      <c r="D78" s="101" t="s">
        <v>1564</v>
      </c>
      <c r="E78" s="324">
        <f>F78</f>
        <v>0</v>
      </c>
      <c r="F78" s="453">
        <f>(553900)-553900</f>
        <v>0</v>
      </c>
      <c r="G78" s="453"/>
      <c r="H78" s="453"/>
      <c r="I78" s="453"/>
      <c r="J78" s="324">
        <f t="shared" si="45"/>
        <v>8649900</v>
      </c>
      <c r="K78" s="453">
        <v>8649900</v>
      </c>
      <c r="L78" s="453"/>
      <c r="M78" s="453"/>
      <c r="N78" s="453"/>
      <c r="O78" s="450">
        <f t="shared" si="46"/>
        <v>8649900</v>
      </c>
      <c r="P78" s="324">
        <f>E78+J78</f>
        <v>8649900</v>
      </c>
      <c r="Q78" s="36"/>
      <c r="R78" s="26"/>
    </row>
    <row r="79" spans="1:18" s="33" customFormat="1" ht="114.75" customHeight="1" thickTop="1" thickBot="1" x14ac:dyDescent="0.25">
      <c r="A79" s="325" t="s">
        <v>1371</v>
      </c>
      <c r="B79" s="325" t="s">
        <v>1372</v>
      </c>
      <c r="C79" s="325"/>
      <c r="D79" s="325" t="s">
        <v>1527</v>
      </c>
      <c r="E79" s="321">
        <f>SUM(E80:E81)</f>
        <v>0</v>
      </c>
      <c r="F79" s="321">
        <f t="shared" ref="F79:P79" si="47">SUM(F80:F81)</f>
        <v>0</v>
      </c>
      <c r="G79" s="321">
        <f t="shared" si="47"/>
        <v>0</v>
      </c>
      <c r="H79" s="321">
        <f t="shared" si="47"/>
        <v>0</v>
      </c>
      <c r="I79" s="321">
        <f t="shared" si="47"/>
        <v>0</v>
      </c>
      <c r="J79" s="321">
        <f t="shared" si="47"/>
        <v>19000000</v>
      </c>
      <c r="K79" s="321">
        <f t="shared" si="47"/>
        <v>19000000</v>
      </c>
      <c r="L79" s="321">
        <f t="shared" si="47"/>
        <v>0</v>
      </c>
      <c r="M79" s="321">
        <f t="shared" si="47"/>
        <v>0</v>
      </c>
      <c r="N79" s="321">
        <f t="shared" si="47"/>
        <v>0</v>
      </c>
      <c r="O79" s="321">
        <f t="shared" si="47"/>
        <v>19000000</v>
      </c>
      <c r="P79" s="321">
        <f t="shared" si="47"/>
        <v>19000000</v>
      </c>
      <c r="Q79" s="36"/>
      <c r="R79" s="26"/>
    </row>
    <row r="80" spans="1:18" s="33" customFormat="1" ht="163.5" customHeight="1" thickTop="1" thickBot="1" x14ac:dyDescent="0.25">
      <c r="A80" s="101" t="s">
        <v>1373</v>
      </c>
      <c r="B80" s="101" t="s">
        <v>1374</v>
      </c>
      <c r="C80" s="101" t="s">
        <v>210</v>
      </c>
      <c r="D80" s="101" t="s">
        <v>1528</v>
      </c>
      <c r="E80" s="324">
        <f>F80</f>
        <v>0</v>
      </c>
      <c r="F80" s="453"/>
      <c r="G80" s="453"/>
      <c r="H80" s="453"/>
      <c r="I80" s="453"/>
      <c r="J80" s="324">
        <f t="shared" ref="J80:J81" si="48">L80+O80</f>
        <v>19000000</v>
      </c>
      <c r="K80" s="453">
        <f>((((5000000)+10000000)+12000000)-10000000)+2000000</f>
        <v>19000000</v>
      </c>
      <c r="L80" s="453"/>
      <c r="M80" s="453"/>
      <c r="N80" s="453"/>
      <c r="O80" s="450">
        <f t="shared" ref="O80:O81" si="49">K80</f>
        <v>19000000</v>
      </c>
      <c r="P80" s="324">
        <f>E80+J80</f>
        <v>19000000</v>
      </c>
      <c r="Q80" s="36"/>
      <c r="R80" s="26"/>
    </row>
    <row r="81" spans="1:18" s="33" customFormat="1" ht="138.75" hidden="1" thickTop="1" thickBot="1" x14ac:dyDescent="0.25">
      <c r="A81" s="126" t="s">
        <v>1375</v>
      </c>
      <c r="B81" s="126" t="s">
        <v>1376</v>
      </c>
      <c r="C81" s="126" t="s">
        <v>210</v>
      </c>
      <c r="D81" s="126" t="s">
        <v>1377</v>
      </c>
      <c r="E81" s="125">
        <f>F81</f>
        <v>0</v>
      </c>
      <c r="F81" s="132"/>
      <c r="G81" s="132"/>
      <c r="H81" s="132"/>
      <c r="I81" s="132"/>
      <c r="J81" s="125">
        <f t="shared" si="48"/>
        <v>0</v>
      </c>
      <c r="K81" s="132"/>
      <c r="L81" s="132"/>
      <c r="M81" s="132"/>
      <c r="N81" s="132"/>
      <c r="O81" s="130">
        <f t="shared" si="49"/>
        <v>0</v>
      </c>
      <c r="P81" s="125">
        <f>E81+J81</f>
        <v>0</v>
      </c>
      <c r="Q81" s="36"/>
      <c r="R81" s="26"/>
    </row>
    <row r="82" spans="1:18" s="33" customFormat="1" ht="138.75" hidden="1" thickTop="1" thickBot="1" x14ac:dyDescent="0.25">
      <c r="A82" s="138" t="s">
        <v>1440</v>
      </c>
      <c r="B82" s="138" t="s">
        <v>1439</v>
      </c>
      <c r="C82" s="138"/>
      <c r="D82" s="138" t="s">
        <v>1441</v>
      </c>
      <c r="E82" s="139">
        <f>SUM(E83:E84)</f>
        <v>0</v>
      </c>
      <c r="F82" s="139">
        <f t="shared" ref="F82:O82" si="50">SUM(F83:F84)</f>
        <v>0</v>
      </c>
      <c r="G82" s="139">
        <f t="shared" si="50"/>
        <v>0</v>
      </c>
      <c r="H82" s="139">
        <f t="shared" si="50"/>
        <v>0</v>
      </c>
      <c r="I82" s="139">
        <f t="shared" si="50"/>
        <v>0</v>
      </c>
      <c r="J82" s="139">
        <f t="shared" si="50"/>
        <v>0</v>
      </c>
      <c r="K82" s="139">
        <f t="shared" si="50"/>
        <v>0</v>
      </c>
      <c r="L82" s="139">
        <f t="shared" si="50"/>
        <v>0</v>
      </c>
      <c r="M82" s="139">
        <f t="shared" si="50"/>
        <v>0</v>
      </c>
      <c r="N82" s="139">
        <f t="shared" si="50"/>
        <v>0</v>
      </c>
      <c r="O82" s="139">
        <f t="shared" si="50"/>
        <v>0</v>
      </c>
      <c r="P82" s="139">
        <f>SUM(P83:P84)</f>
        <v>0</v>
      </c>
      <c r="Q82" s="36"/>
      <c r="R82" s="26"/>
    </row>
    <row r="83" spans="1:18" s="33" customFormat="1" ht="93" hidden="1" thickTop="1" thickBot="1" x14ac:dyDescent="0.25">
      <c r="A83" s="126" t="s">
        <v>1442</v>
      </c>
      <c r="B83" s="126" t="s">
        <v>1443</v>
      </c>
      <c r="C83" s="126" t="s">
        <v>210</v>
      </c>
      <c r="D83" s="126" t="s">
        <v>1447</v>
      </c>
      <c r="E83" s="125">
        <f t="shared" ref="E83:E84" si="51">F83</f>
        <v>0</v>
      </c>
      <c r="F83" s="132">
        <v>0</v>
      </c>
      <c r="G83" s="132"/>
      <c r="H83" s="132"/>
      <c r="I83" s="132"/>
      <c r="J83" s="125">
        <f t="shared" ref="J83:J84" si="52">L83+O83</f>
        <v>0</v>
      </c>
      <c r="K83" s="132"/>
      <c r="L83" s="132"/>
      <c r="M83" s="132"/>
      <c r="N83" s="132"/>
      <c r="O83" s="130">
        <f t="shared" ref="O83" si="53">K83</f>
        <v>0</v>
      </c>
      <c r="P83" s="125">
        <f t="shared" ref="P83:P84" si="54">E83+J83</f>
        <v>0</v>
      </c>
      <c r="Q83" s="36"/>
      <c r="R83" s="26"/>
    </row>
    <row r="84" spans="1:18" s="33" customFormat="1" ht="93" hidden="1" thickTop="1" thickBot="1" x14ac:dyDescent="0.25">
      <c r="A84" s="126" t="s">
        <v>1444</v>
      </c>
      <c r="B84" s="126" t="s">
        <v>1445</v>
      </c>
      <c r="C84" s="126" t="s">
        <v>210</v>
      </c>
      <c r="D84" s="126" t="s">
        <v>1446</v>
      </c>
      <c r="E84" s="125">
        <f t="shared" si="51"/>
        <v>0</v>
      </c>
      <c r="F84" s="132"/>
      <c r="G84" s="132"/>
      <c r="H84" s="132"/>
      <c r="I84" s="132"/>
      <c r="J84" s="125">
        <f t="shared" si="52"/>
        <v>0</v>
      </c>
      <c r="K84" s="132"/>
      <c r="L84" s="132"/>
      <c r="M84" s="132"/>
      <c r="N84" s="132"/>
      <c r="O84" s="130">
        <f>K84</f>
        <v>0</v>
      </c>
      <c r="P84" s="125">
        <f t="shared" si="54"/>
        <v>0</v>
      </c>
      <c r="Q84" s="36"/>
      <c r="R84" s="26"/>
    </row>
    <row r="85" spans="1:18" s="33" customFormat="1" ht="213" customHeight="1" thickTop="1" thickBot="1" x14ac:dyDescent="0.25">
      <c r="A85" s="325" t="s">
        <v>1541</v>
      </c>
      <c r="B85" s="325" t="s">
        <v>1543</v>
      </c>
      <c r="C85" s="126"/>
      <c r="D85" s="325" t="s">
        <v>1540</v>
      </c>
      <c r="E85" s="321">
        <f>SUM(E86:E87)</f>
        <v>1487303.4500000002</v>
      </c>
      <c r="F85" s="321">
        <f t="shared" ref="F85:O85" si="55">SUM(F86:F87)</f>
        <v>1487303.4500000002</v>
      </c>
      <c r="G85" s="321">
        <f t="shared" si="55"/>
        <v>0</v>
      </c>
      <c r="H85" s="321">
        <f t="shared" si="55"/>
        <v>0</v>
      </c>
      <c r="I85" s="321">
        <f t="shared" si="55"/>
        <v>0</v>
      </c>
      <c r="J85" s="321">
        <f t="shared" si="55"/>
        <v>22357364.549999997</v>
      </c>
      <c r="K85" s="321">
        <f t="shared" si="55"/>
        <v>5572410.4000000004</v>
      </c>
      <c r="L85" s="321">
        <f t="shared" si="55"/>
        <v>3470359.55</v>
      </c>
      <c r="M85" s="321">
        <f t="shared" si="55"/>
        <v>0</v>
      </c>
      <c r="N85" s="321">
        <f t="shared" si="55"/>
        <v>0</v>
      </c>
      <c r="O85" s="321">
        <f t="shared" si="55"/>
        <v>18887005</v>
      </c>
      <c r="P85" s="321">
        <f>SUM(P86:P87)</f>
        <v>23844668</v>
      </c>
      <c r="Q85" s="36"/>
      <c r="R85" s="26"/>
    </row>
    <row r="86" spans="1:18" s="33" customFormat="1" ht="184.5" thickTop="1" thickBot="1" x14ac:dyDescent="0.25">
      <c r="A86" s="101" t="s">
        <v>1544</v>
      </c>
      <c r="B86" s="101" t="s">
        <v>1542</v>
      </c>
      <c r="C86" s="101" t="s">
        <v>210</v>
      </c>
      <c r="D86" s="101" t="s">
        <v>1545</v>
      </c>
      <c r="E86" s="324">
        <f>F86</f>
        <v>1487303.4500000002</v>
      </c>
      <c r="F86" s="453">
        <f>(2032.85)+1485270.6</f>
        <v>1487303.4500000002</v>
      </c>
      <c r="G86" s="453"/>
      <c r="H86" s="453"/>
      <c r="I86" s="453"/>
      <c r="J86" s="324">
        <f t="shared" ref="J86:J87" si="56">L86+O86</f>
        <v>5572410.4000000004</v>
      </c>
      <c r="K86" s="453">
        <f>((150704)+3288050)+2133656.4</f>
        <v>5572410.4000000004</v>
      </c>
      <c r="L86" s="453"/>
      <c r="M86" s="453"/>
      <c r="N86" s="453"/>
      <c r="O86" s="450">
        <f t="shared" ref="O86" si="57">K86</f>
        <v>5572410.4000000004</v>
      </c>
      <c r="P86" s="324">
        <f>E86+J86</f>
        <v>7059713.8500000006</v>
      </c>
      <c r="Q86" s="36"/>
      <c r="R86" s="26"/>
    </row>
    <row r="87" spans="1:18" s="33" customFormat="1" ht="219" customHeight="1" thickTop="1" thickBot="1" x14ac:dyDescent="0.25">
      <c r="A87" s="101" t="s">
        <v>1546</v>
      </c>
      <c r="B87" s="101" t="s">
        <v>1547</v>
      </c>
      <c r="C87" s="101" t="s">
        <v>210</v>
      </c>
      <c r="D87" s="101" t="s">
        <v>1548</v>
      </c>
      <c r="E87" s="324">
        <f>F87</f>
        <v>0</v>
      </c>
      <c r="F87" s="453"/>
      <c r="G87" s="453"/>
      <c r="H87" s="453"/>
      <c r="I87" s="453"/>
      <c r="J87" s="324">
        <f t="shared" si="56"/>
        <v>16784954.149999999</v>
      </c>
      <c r="K87" s="453"/>
      <c r="L87" s="453">
        <f>(4737.15)+3465622.4</f>
        <v>3470359.55</v>
      </c>
      <c r="M87" s="453"/>
      <c r="N87" s="453"/>
      <c r="O87" s="450">
        <f>(K87+8336063)+4978531.6</f>
        <v>13314594.6</v>
      </c>
      <c r="P87" s="324">
        <f>E87+J87</f>
        <v>16784954.149999999</v>
      </c>
      <c r="Q87" s="36"/>
      <c r="R87" s="26"/>
    </row>
    <row r="88" spans="1:18" s="33" customFormat="1" ht="93" thickTop="1" thickBot="1" x14ac:dyDescent="0.25">
      <c r="A88" s="325" t="s">
        <v>1616</v>
      </c>
      <c r="B88" s="325" t="s">
        <v>1619</v>
      </c>
      <c r="C88" s="126"/>
      <c r="D88" s="325" t="s">
        <v>1620</v>
      </c>
      <c r="E88" s="321">
        <f>E89</f>
        <v>27529800</v>
      </c>
      <c r="F88" s="321">
        <f t="shared" ref="F88:P88" si="58">F89</f>
        <v>27529800</v>
      </c>
      <c r="G88" s="321">
        <f t="shared" si="58"/>
        <v>0</v>
      </c>
      <c r="H88" s="321">
        <f t="shared" si="58"/>
        <v>0</v>
      </c>
      <c r="I88" s="321">
        <f t="shared" si="58"/>
        <v>0</v>
      </c>
      <c r="J88" s="321">
        <f t="shared" si="58"/>
        <v>0</v>
      </c>
      <c r="K88" s="321">
        <f t="shared" si="58"/>
        <v>0</v>
      </c>
      <c r="L88" s="321">
        <f t="shared" si="58"/>
        <v>0</v>
      </c>
      <c r="M88" s="321">
        <f t="shared" si="58"/>
        <v>0</v>
      </c>
      <c r="N88" s="321">
        <f t="shared" si="58"/>
        <v>0</v>
      </c>
      <c r="O88" s="321">
        <f t="shared" si="58"/>
        <v>0</v>
      </c>
      <c r="P88" s="321">
        <f t="shared" si="58"/>
        <v>27529800</v>
      </c>
      <c r="Q88" s="36"/>
      <c r="R88" s="26"/>
    </row>
    <row r="89" spans="1:18" s="33" customFormat="1" ht="93" thickTop="1" thickBot="1" x14ac:dyDescent="0.25">
      <c r="A89" s="101" t="s">
        <v>1617</v>
      </c>
      <c r="B89" s="101" t="s">
        <v>1618</v>
      </c>
      <c r="C89" s="101" t="s">
        <v>210</v>
      </c>
      <c r="D89" s="101" t="s">
        <v>1621</v>
      </c>
      <c r="E89" s="324">
        <f>F89</f>
        <v>27529800</v>
      </c>
      <c r="F89" s="453">
        <v>27529800</v>
      </c>
      <c r="G89" s="453"/>
      <c r="H89" s="453"/>
      <c r="I89" s="453"/>
      <c r="J89" s="324">
        <f t="shared" ref="J89" si="59">L89+O89</f>
        <v>0</v>
      </c>
      <c r="K89" s="453"/>
      <c r="L89" s="453"/>
      <c r="M89" s="453"/>
      <c r="N89" s="453"/>
      <c r="O89" s="450">
        <f t="shared" ref="O89" si="60">K89</f>
        <v>0</v>
      </c>
      <c r="P89" s="324">
        <f>E89+J89</f>
        <v>27529800</v>
      </c>
      <c r="Q89" s="36"/>
      <c r="R89" s="26"/>
    </row>
    <row r="90" spans="1:18" s="33" customFormat="1" ht="47.25" thickTop="1" thickBot="1" x14ac:dyDescent="0.25">
      <c r="A90" s="308" t="s">
        <v>706</v>
      </c>
      <c r="B90" s="308" t="s">
        <v>707</v>
      </c>
      <c r="C90" s="308"/>
      <c r="D90" s="308" t="s">
        <v>708</v>
      </c>
      <c r="E90" s="324">
        <f>SUM(E91:E92)</f>
        <v>1611121.8199999998</v>
      </c>
      <c r="F90" s="324">
        <f t="shared" ref="F90:P90" si="61">SUM(F91:F92)</f>
        <v>1611121.8199999998</v>
      </c>
      <c r="G90" s="324">
        <f t="shared" si="61"/>
        <v>0</v>
      </c>
      <c r="H90" s="324">
        <f t="shared" si="61"/>
        <v>417080.81000000006</v>
      </c>
      <c r="I90" s="324">
        <f t="shared" si="61"/>
        <v>0</v>
      </c>
      <c r="J90" s="324">
        <f t="shared" si="61"/>
        <v>0</v>
      </c>
      <c r="K90" s="324">
        <f t="shared" si="61"/>
        <v>0</v>
      </c>
      <c r="L90" s="324">
        <f t="shared" si="61"/>
        <v>0</v>
      </c>
      <c r="M90" s="324">
        <f t="shared" si="61"/>
        <v>0</v>
      </c>
      <c r="N90" s="324">
        <f t="shared" si="61"/>
        <v>0</v>
      </c>
      <c r="O90" s="324">
        <f t="shared" si="61"/>
        <v>0</v>
      </c>
      <c r="P90" s="324">
        <f t="shared" si="61"/>
        <v>1611121.8199999998</v>
      </c>
      <c r="Q90" s="36"/>
      <c r="R90" s="26"/>
    </row>
    <row r="91" spans="1:18" s="33" customFormat="1" ht="167.25" customHeight="1" thickTop="1" thickBot="1" x14ac:dyDescent="0.25">
      <c r="A91" s="101" t="s">
        <v>430</v>
      </c>
      <c r="B91" s="101" t="s">
        <v>431</v>
      </c>
      <c r="C91" s="101" t="s">
        <v>185</v>
      </c>
      <c r="D91" s="101" t="s">
        <v>429</v>
      </c>
      <c r="E91" s="324">
        <f t="shared" si="41"/>
        <v>715000</v>
      </c>
      <c r="F91" s="453">
        <v>715000</v>
      </c>
      <c r="G91" s="453"/>
      <c r="H91" s="453"/>
      <c r="I91" s="453"/>
      <c r="J91" s="324">
        <f>L91+O91</f>
        <v>0</v>
      </c>
      <c r="K91" s="453"/>
      <c r="L91" s="453"/>
      <c r="M91" s="453"/>
      <c r="N91" s="453"/>
      <c r="O91" s="450">
        <f>K91</f>
        <v>0</v>
      </c>
      <c r="P91" s="324">
        <f>E91+J91</f>
        <v>715000</v>
      </c>
      <c r="Q91" s="36"/>
      <c r="R91" s="39"/>
    </row>
    <row r="92" spans="1:18" s="33" customFormat="1" ht="114.75" customHeight="1" thickTop="1" thickBot="1" x14ac:dyDescent="0.25">
      <c r="A92" s="101" t="s">
        <v>1215</v>
      </c>
      <c r="B92" s="101" t="s">
        <v>1182</v>
      </c>
      <c r="C92" s="101" t="s">
        <v>206</v>
      </c>
      <c r="D92" s="461" t="s">
        <v>1183</v>
      </c>
      <c r="E92" s="324">
        <f t="shared" si="41"/>
        <v>896121.82</v>
      </c>
      <c r="F92" s="453">
        <f>(1759600)-863478.18</f>
        <v>896121.82</v>
      </c>
      <c r="G92" s="453"/>
      <c r="H92" s="453">
        <f>(590600)-108207.43-55573.35-9738.41</f>
        <v>417080.81000000006</v>
      </c>
      <c r="I92" s="453"/>
      <c r="J92" s="324">
        <f>L92+O92</f>
        <v>0</v>
      </c>
      <c r="K92" s="453"/>
      <c r="L92" s="453"/>
      <c r="M92" s="453"/>
      <c r="N92" s="453"/>
      <c r="O92" s="450">
        <f>K92</f>
        <v>0</v>
      </c>
      <c r="P92" s="324">
        <f>E92+J92</f>
        <v>896121.82</v>
      </c>
      <c r="Q92" s="36"/>
      <c r="R92" s="39"/>
    </row>
    <row r="93" spans="1:18" s="33" customFormat="1" ht="57" customHeight="1" thickTop="1" thickBot="1" x14ac:dyDescent="0.25">
      <c r="A93" s="308" t="s">
        <v>1072</v>
      </c>
      <c r="B93" s="308" t="s">
        <v>744</v>
      </c>
      <c r="C93" s="308"/>
      <c r="D93" s="308" t="s">
        <v>1071</v>
      </c>
      <c r="E93" s="324">
        <f>E94+E97</f>
        <v>0</v>
      </c>
      <c r="F93" s="324">
        <f t="shared" ref="F93:P93" si="62">F94+F97</f>
        <v>0</v>
      </c>
      <c r="G93" s="324">
        <f t="shared" si="62"/>
        <v>0</v>
      </c>
      <c r="H93" s="324">
        <f t="shared" si="62"/>
        <v>0</v>
      </c>
      <c r="I93" s="324">
        <f t="shared" si="62"/>
        <v>0</v>
      </c>
      <c r="J93" s="324">
        <f t="shared" si="62"/>
        <v>87661837.050000012</v>
      </c>
      <c r="K93" s="324">
        <f t="shared" si="62"/>
        <v>87661837.050000012</v>
      </c>
      <c r="L93" s="324">
        <f t="shared" si="62"/>
        <v>0</v>
      </c>
      <c r="M93" s="324">
        <f t="shared" si="62"/>
        <v>0</v>
      </c>
      <c r="N93" s="324">
        <f t="shared" si="62"/>
        <v>0</v>
      </c>
      <c r="O93" s="324">
        <f t="shared" si="62"/>
        <v>87661837.050000012</v>
      </c>
      <c r="P93" s="324">
        <f t="shared" si="62"/>
        <v>87661837.050000012</v>
      </c>
      <c r="Q93" s="36"/>
      <c r="R93" s="26"/>
    </row>
    <row r="94" spans="1:18" s="33" customFormat="1" ht="57" customHeight="1" thickTop="1" thickBot="1" x14ac:dyDescent="0.25">
      <c r="A94" s="310" t="s">
        <v>1070</v>
      </c>
      <c r="B94" s="310" t="s">
        <v>799</v>
      </c>
      <c r="C94" s="310"/>
      <c r="D94" s="310" t="s">
        <v>800</v>
      </c>
      <c r="E94" s="312">
        <f>E95</f>
        <v>0</v>
      </c>
      <c r="F94" s="312">
        <f t="shared" ref="F94:P95" si="63">F95</f>
        <v>0</v>
      </c>
      <c r="G94" s="312">
        <f t="shared" si="63"/>
        <v>0</v>
      </c>
      <c r="H94" s="312">
        <f t="shared" si="63"/>
        <v>0</v>
      </c>
      <c r="I94" s="312">
        <f t="shared" si="63"/>
        <v>0</v>
      </c>
      <c r="J94" s="312">
        <f t="shared" si="63"/>
        <v>47468761.830000006</v>
      </c>
      <c r="K94" s="312">
        <f t="shared" si="63"/>
        <v>47468761.830000006</v>
      </c>
      <c r="L94" s="312">
        <f t="shared" si="63"/>
        <v>0</v>
      </c>
      <c r="M94" s="312">
        <f t="shared" si="63"/>
        <v>0</v>
      </c>
      <c r="N94" s="312">
        <f t="shared" si="63"/>
        <v>0</v>
      </c>
      <c r="O94" s="312">
        <f t="shared" si="63"/>
        <v>47468761.830000006</v>
      </c>
      <c r="P94" s="312">
        <f t="shared" si="63"/>
        <v>47468761.830000006</v>
      </c>
      <c r="Q94" s="36"/>
      <c r="R94" s="26"/>
    </row>
    <row r="95" spans="1:18" s="33" customFormat="1" ht="54" thickTop="1" thickBot="1" x14ac:dyDescent="0.25">
      <c r="A95" s="325" t="s">
        <v>1073</v>
      </c>
      <c r="B95" s="325" t="s">
        <v>817</v>
      </c>
      <c r="C95" s="325"/>
      <c r="D95" s="325" t="s">
        <v>1499</v>
      </c>
      <c r="E95" s="321">
        <f>E96</f>
        <v>0</v>
      </c>
      <c r="F95" s="321">
        <f t="shared" si="63"/>
        <v>0</v>
      </c>
      <c r="G95" s="321">
        <f t="shared" si="63"/>
        <v>0</v>
      </c>
      <c r="H95" s="321">
        <f t="shared" si="63"/>
        <v>0</v>
      </c>
      <c r="I95" s="321">
        <f t="shared" si="63"/>
        <v>0</v>
      </c>
      <c r="J95" s="321">
        <f t="shared" si="63"/>
        <v>47468761.830000006</v>
      </c>
      <c r="K95" s="321">
        <f t="shared" si="63"/>
        <v>47468761.830000006</v>
      </c>
      <c r="L95" s="321">
        <f t="shared" si="63"/>
        <v>0</v>
      </c>
      <c r="M95" s="321">
        <f t="shared" si="63"/>
        <v>0</v>
      </c>
      <c r="N95" s="321">
        <f t="shared" si="63"/>
        <v>0</v>
      </c>
      <c r="O95" s="321">
        <f t="shared" si="63"/>
        <v>47468761.830000006</v>
      </c>
      <c r="P95" s="321">
        <f t="shared" si="63"/>
        <v>47468761.830000006</v>
      </c>
      <c r="Q95" s="36"/>
      <c r="R95" s="26"/>
    </row>
    <row r="96" spans="1:18" s="33" customFormat="1" ht="57" customHeight="1" thickTop="1" thickBot="1" x14ac:dyDescent="0.25">
      <c r="A96" s="101" t="s">
        <v>1085</v>
      </c>
      <c r="B96" s="101" t="s">
        <v>311</v>
      </c>
      <c r="C96" s="101" t="s">
        <v>304</v>
      </c>
      <c r="D96" s="101" t="s">
        <v>1479</v>
      </c>
      <c r="E96" s="324">
        <f t="shared" ref="E96" si="64">F96</f>
        <v>0</v>
      </c>
      <c r="F96" s="453"/>
      <c r="G96" s="453"/>
      <c r="H96" s="453"/>
      <c r="I96" s="453"/>
      <c r="J96" s="324">
        <f t="shared" ref="J96" si="65">L96+O96</f>
        <v>47468761.830000006</v>
      </c>
      <c r="K96" s="453">
        <f>((((2000000+5000000+2000000+2000000)+20260227.26)-400000)+6500000+108534.57)+10000000</f>
        <v>47468761.830000006</v>
      </c>
      <c r="L96" s="453"/>
      <c r="M96" s="453"/>
      <c r="N96" s="453"/>
      <c r="O96" s="450">
        <f t="shared" ref="O96" si="66">K96</f>
        <v>47468761.830000006</v>
      </c>
      <c r="P96" s="324">
        <f>E96+J96</f>
        <v>47468761.830000006</v>
      </c>
      <c r="Q96" s="30"/>
      <c r="R96" s="26"/>
    </row>
    <row r="97" spans="1:18" s="33" customFormat="1" ht="57" customHeight="1" thickTop="1" thickBot="1" x14ac:dyDescent="0.25">
      <c r="A97" s="310" t="s">
        <v>1074</v>
      </c>
      <c r="B97" s="310" t="s">
        <v>687</v>
      </c>
      <c r="C97" s="310"/>
      <c r="D97" s="310" t="s">
        <v>685</v>
      </c>
      <c r="E97" s="312">
        <f>E98</f>
        <v>0</v>
      </c>
      <c r="F97" s="312">
        <f t="shared" ref="F97:P97" si="67">F98</f>
        <v>0</v>
      </c>
      <c r="G97" s="312">
        <f t="shared" si="67"/>
        <v>0</v>
      </c>
      <c r="H97" s="312">
        <f t="shared" si="67"/>
        <v>0</v>
      </c>
      <c r="I97" s="312">
        <f t="shared" si="67"/>
        <v>0</v>
      </c>
      <c r="J97" s="312">
        <f t="shared" si="67"/>
        <v>40193075.220000006</v>
      </c>
      <c r="K97" s="312">
        <f t="shared" si="67"/>
        <v>40193075.220000006</v>
      </c>
      <c r="L97" s="312">
        <f t="shared" si="67"/>
        <v>0</v>
      </c>
      <c r="M97" s="312">
        <f t="shared" si="67"/>
        <v>0</v>
      </c>
      <c r="N97" s="312">
        <f t="shared" si="67"/>
        <v>0</v>
      </c>
      <c r="O97" s="312">
        <f t="shared" si="67"/>
        <v>40193075.220000006</v>
      </c>
      <c r="P97" s="312">
        <f t="shared" si="67"/>
        <v>40193075.220000006</v>
      </c>
      <c r="Q97" s="30"/>
      <c r="R97" s="26"/>
    </row>
    <row r="98" spans="1:18" s="33" customFormat="1" ht="57" customHeight="1" thickTop="1" thickBot="1" x14ac:dyDescent="0.25">
      <c r="A98" s="101" t="s">
        <v>1075</v>
      </c>
      <c r="B98" s="101" t="s">
        <v>212</v>
      </c>
      <c r="C98" s="101" t="s">
        <v>213</v>
      </c>
      <c r="D98" s="101" t="s">
        <v>41</v>
      </c>
      <c r="E98" s="324">
        <f t="shared" ref="E98" si="68">F98</f>
        <v>0</v>
      </c>
      <c r="F98" s="453"/>
      <c r="G98" s="453"/>
      <c r="H98" s="453"/>
      <c r="I98" s="453"/>
      <c r="J98" s="324">
        <f t="shared" ref="J98" si="69">L98+O98</f>
        <v>40193075.220000006</v>
      </c>
      <c r="K98" s="453">
        <f>((((7500000+7500000)+3455977.12)+4000000+5000000+1199278.78)+5500000)+6037819.32</f>
        <v>40193075.220000006</v>
      </c>
      <c r="L98" s="453"/>
      <c r="M98" s="453"/>
      <c r="N98" s="453"/>
      <c r="O98" s="450">
        <f t="shared" ref="O98" si="70">K98</f>
        <v>40193075.220000006</v>
      </c>
      <c r="P98" s="324">
        <f>E98+J98</f>
        <v>40193075.220000006</v>
      </c>
      <c r="Q98" s="30"/>
      <c r="R98" s="26"/>
    </row>
    <row r="99" spans="1:18" s="33" customFormat="1" ht="47.25" hidden="1" thickTop="1" thickBot="1" x14ac:dyDescent="0.25">
      <c r="A99" s="123" t="s">
        <v>1206</v>
      </c>
      <c r="B99" s="123" t="s">
        <v>692</v>
      </c>
      <c r="C99" s="123"/>
      <c r="D99" s="123" t="s">
        <v>693</v>
      </c>
      <c r="E99" s="125">
        <f t="shared" ref="E99:P100" si="71">E100</f>
        <v>0</v>
      </c>
      <c r="F99" s="125">
        <f t="shared" si="71"/>
        <v>0</v>
      </c>
      <c r="G99" s="125">
        <f t="shared" si="71"/>
        <v>0</v>
      </c>
      <c r="H99" s="125">
        <f t="shared" si="71"/>
        <v>0</v>
      </c>
      <c r="I99" s="125">
        <f t="shared" si="71"/>
        <v>0</v>
      </c>
      <c r="J99" s="125">
        <f t="shared" si="71"/>
        <v>0</v>
      </c>
      <c r="K99" s="125">
        <f t="shared" si="71"/>
        <v>0</v>
      </c>
      <c r="L99" s="125">
        <f t="shared" si="71"/>
        <v>0</v>
      </c>
      <c r="M99" s="125">
        <f t="shared" si="71"/>
        <v>0</v>
      </c>
      <c r="N99" s="125">
        <f t="shared" si="71"/>
        <v>0</v>
      </c>
      <c r="O99" s="125">
        <f t="shared" si="71"/>
        <v>0</v>
      </c>
      <c r="P99" s="125">
        <f t="shared" si="71"/>
        <v>0</v>
      </c>
      <c r="Q99" s="30"/>
      <c r="R99" s="26"/>
    </row>
    <row r="100" spans="1:18" s="33" customFormat="1" ht="47.25" hidden="1" thickTop="1" thickBot="1" x14ac:dyDescent="0.25">
      <c r="A100" s="134" t="s">
        <v>1207</v>
      </c>
      <c r="B100" s="134" t="s">
        <v>1168</v>
      </c>
      <c r="C100" s="134"/>
      <c r="D100" s="134" t="s">
        <v>1166</v>
      </c>
      <c r="E100" s="135">
        <f t="shared" si="71"/>
        <v>0</v>
      </c>
      <c r="F100" s="135">
        <f t="shared" si="71"/>
        <v>0</v>
      </c>
      <c r="G100" s="135">
        <f t="shared" si="71"/>
        <v>0</v>
      </c>
      <c r="H100" s="135">
        <f t="shared" si="71"/>
        <v>0</v>
      </c>
      <c r="I100" s="135">
        <f t="shared" si="71"/>
        <v>0</v>
      </c>
      <c r="J100" s="135">
        <f t="shared" si="71"/>
        <v>0</v>
      </c>
      <c r="K100" s="135">
        <f t="shared" si="71"/>
        <v>0</v>
      </c>
      <c r="L100" s="135">
        <f t="shared" si="71"/>
        <v>0</v>
      </c>
      <c r="M100" s="135">
        <f t="shared" si="71"/>
        <v>0</v>
      </c>
      <c r="N100" s="135">
        <f t="shared" si="71"/>
        <v>0</v>
      </c>
      <c r="O100" s="135">
        <f t="shared" si="71"/>
        <v>0</v>
      </c>
      <c r="P100" s="135">
        <f t="shared" si="71"/>
        <v>0</v>
      </c>
      <c r="Q100" s="30"/>
      <c r="R100" s="26"/>
    </row>
    <row r="101" spans="1:18" s="33" customFormat="1" ht="48" hidden="1" thickTop="1" thickBot="1" x14ac:dyDescent="0.25">
      <c r="A101" s="126" t="s">
        <v>1208</v>
      </c>
      <c r="B101" s="126" t="s">
        <v>1172</v>
      </c>
      <c r="C101" s="126" t="s">
        <v>1170</v>
      </c>
      <c r="D101" s="126" t="s">
        <v>1169</v>
      </c>
      <c r="E101" s="125">
        <f>F101</f>
        <v>0</v>
      </c>
      <c r="F101" s="132"/>
      <c r="G101" s="132"/>
      <c r="H101" s="132"/>
      <c r="I101" s="132"/>
      <c r="J101" s="125">
        <f>L101+O101</f>
        <v>0</v>
      </c>
      <c r="K101" s="132">
        <v>0</v>
      </c>
      <c r="L101" s="132"/>
      <c r="M101" s="132"/>
      <c r="N101" s="132"/>
      <c r="O101" s="130">
        <f>K101</f>
        <v>0</v>
      </c>
      <c r="P101" s="125">
        <f>E101+J101</f>
        <v>0</v>
      </c>
      <c r="Q101" s="30"/>
      <c r="R101" s="26"/>
    </row>
    <row r="102" spans="1:18" s="33" customFormat="1" ht="47.25" hidden="1" customHeight="1" thickTop="1" thickBot="1" x14ac:dyDescent="0.25">
      <c r="A102" s="144" t="s">
        <v>1012</v>
      </c>
      <c r="B102" s="144" t="s">
        <v>698</v>
      </c>
      <c r="C102" s="144"/>
      <c r="D102" s="144" t="s">
        <v>699</v>
      </c>
      <c r="E102" s="42">
        <f>E103</f>
        <v>0</v>
      </c>
      <c r="F102" s="42">
        <f t="shared" ref="F102:P103" si="72">F103</f>
        <v>0</v>
      </c>
      <c r="G102" s="42">
        <f t="shared" si="72"/>
        <v>0</v>
      </c>
      <c r="H102" s="42">
        <f t="shared" si="72"/>
        <v>0</v>
      </c>
      <c r="I102" s="42">
        <f t="shared" si="72"/>
        <v>0</v>
      </c>
      <c r="J102" s="42">
        <f t="shared" si="72"/>
        <v>0</v>
      </c>
      <c r="K102" s="42">
        <f t="shared" si="72"/>
        <v>0</v>
      </c>
      <c r="L102" s="42">
        <f t="shared" si="72"/>
        <v>0</v>
      </c>
      <c r="M102" s="42">
        <f t="shared" si="72"/>
        <v>0</v>
      </c>
      <c r="N102" s="42">
        <f t="shared" si="72"/>
        <v>0</v>
      </c>
      <c r="O102" s="42">
        <f t="shared" si="72"/>
        <v>0</v>
      </c>
      <c r="P102" s="42">
        <f t="shared" si="72"/>
        <v>0</v>
      </c>
      <c r="Q102" s="36"/>
      <c r="R102" s="26"/>
    </row>
    <row r="103" spans="1:18" s="33" customFormat="1" ht="91.5" hidden="1" thickTop="1" thickBot="1" x14ac:dyDescent="0.25">
      <c r="A103" s="145" t="s">
        <v>1013</v>
      </c>
      <c r="B103" s="145" t="s">
        <v>701</v>
      </c>
      <c r="C103" s="145"/>
      <c r="D103" s="145" t="s">
        <v>702</v>
      </c>
      <c r="E103" s="146">
        <f>E104</f>
        <v>0</v>
      </c>
      <c r="F103" s="146">
        <f t="shared" si="72"/>
        <v>0</v>
      </c>
      <c r="G103" s="146">
        <f t="shared" si="72"/>
        <v>0</v>
      </c>
      <c r="H103" s="146">
        <f t="shared" si="72"/>
        <v>0</v>
      </c>
      <c r="I103" s="146">
        <f t="shared" si="72"/>
        <v>0</v>
      </c>
      <c r="J103" s="146">
        <f t="shared" si="72"/>
        <v>0</v>
      </c>
      <c r="K103" s="146">
        <f t="shared" si="72"/>
        <v>0</v>
      </c>
      <c r="L103" s="146">
        <f t="shared" si="72"/>
        <v>0</v>
      </c>
      <c r="M103" s="146">
        <f t="shared" si="72"/>
        <v>0</v>
      </c>
      <c r="N103" s="146">
        <f t="shared" si="72"/>
        <v>0</v>
      </c>
      <c r="O103" s="146">
        <f t="shared" si="72"/>
        <v>0</v>
      </c>
      <c r="P103" s="146">
        <f t="shared" si="72"/>
        <v>0</v>
      </c>
      <c r="Q103" s="36"/>
      <c r="R103" s="26"/>
    </row>
    <row r="104" spans="1:18" s="33" customFormat="1" ht="48" hidden="1" thickTop="1" thickBot="1" x14ac:dyDescent="0.25">
      <c r="A104" s="41" t="s">
        <v>1014</v>
      </c>
      <c r="B104" s="41" t="s">
        <v>363</v>
      </c>
      <c r="C104" s="41" t="s">
        <v>43</v>
      </c>
      <c r="D104" s="41" t="s">
        <v>364</v>
      </c>
      <c r="E104" s="42">
        <f t="shared" ref="E104" si="73">F104</f>
        <v>0</v>
      </c>
      <c r="F104" s="43"/>
      <c r="G104" s="43"/>
      <c r="H104" s="43"/>
      <c r="I104" s="43"/>
      <c r="J104" s="42">
        <f>L104+O104</f>
        <v>0</v>
      </c>
      <c r="K104" s="43"/>
      <c r="L104" s="43"/>
      <c r="M104" s="43"/>
      <c r="N104" s="43"/>
      <c r="O104" s="44">
        <f>K104</f>
        <v>0</v>
      </c>
      <c r="P104" s="42">
        <f>E104+J104</f>
        <v>0</v>
      </c>
      <c r="Q104" s="36"/>
      <c r="R104" s="26"/>
    </row>
    <row r="105" spans="1:18" ht="120" customHeight="1" thickTop="1" thickBot="1" x14ac:dyDescent="0.25">
      <c r="A105" s="689" t="s">
        <v>154</v>
      </c>
      <c r="B105" s="689"/>
      <c r="C105" s="689"/>
      <c r="D105" s="690" t="s">
        <v>18</v>
      </c>
      <c r="E105" s="691">
        <f>E106</f>
        <v>109323392</v>
      </c>
      <c r="F105" s="692">
        <f t="shared" ref="F105:G105" si="74">F106</f>
        <v>109323392</v>
      </c>
      <c r="G105" s="692">
        <f t="shared" si="74"/>
        <v>5926981</v>
      </c>
      <c r="H105" s="692">
        <f>H106</f>
        <v>399960</v>
      </c>
      <c r="I105" s="692">
        <f t="shared" ref="I105" si="75">I106</f>
        <v>0</v>
      </c>
      <c r="J105" s="691">
        <f>J106</f>
        <v>41029159.370000005</v>
      </c>
      <c r="K105" s="692">
        <f>K106</f>
        <v>41029159.370000005</v>
      </c>
      <c r="L105" s="692">
        <f>L106</f>
        <v>0</v>
      </c>
      <c r="M105" s="692">
        <f t="shared" ref="M105" si="76">M106</f>
        <v>0</v>
      </c>
      <c r="N105" s="692">
        <f>N106</f>
        <v>0</v>
      </c>
      <c r="O105" s="691">
        <f>O106</f>
        <v>41029159.370000005</v>
      </c>
      <c r="P105" s="692">
        <f>P106</f>
        <v>150352551.37</v>
      </c>
      <c r="Q105" s="20"/>
    </row>
    <row r="106" spans="1:18" ht="120" customHeight="1" thickTop="1" thickBot="1" x14ac:dyDescent="0.25">
      <c r="A106" s="693" t="s">
        <v>155</v>
      </c>
      <c r="B106" s="693"/>
      <c r="C106" s="693"/>
      <c r="D106" s="694" t="s">
        <v>36</v>
      </c>
      <c r="E106" s="695">
        <f>E107+E110+E127+E125</f>
        <v>109323392</v>
      </c>
      <c r="F106" s="695">
        <f t="shared" ref="F106:P106" si="77">F107+F110+F127+F125</f>
        <v>109323392</v>
      </c>
      <c r="G106" s="695">
        <f t="shared" si="77"/>
        <v>5926981</v>
      </c>
      <c r="H106" s="695">
        <f t="shared" si="77"/>
        <v>399960</v>
      </c>
      <c r="I106" s="695">
        <f t="shared" si="77"/>
        <v>0</v>
      </c>
      <c r="J106" s="695">
        <f t="shared" si="77"/>
        <v>41029159.370000005</v>
      </c>
      <c r="K106" s="695">
        <f t="shared" si="77"/>
        <v>41029159.370000005</v>
      </c>
      <c r="L106" s="695">
        <f t="shared" si="77"/>
        <v>0</v>
      </c>
      <c r="M106" s="695">
        <f t="shared" si="77"/>
        <v>0</v>
      </c>
      <c r="N106" s="695">
        <f t="shared" si="77"/>
        <v>0</v>
      </c>
      <c r="O106" s="695">
        <f t="shared" si="77"/>
        <v>41029159.370000005</v>
      </c>
      <c r="P106" s="695">
        <f t="shared" si="77"/>
        <v>150352551.37</v>
      </c>
      <c r="Q106" s="549" t="b">
        <f>P106=P108+P111+P112+P113+P114+P117+P121+P122+P126+P130+P124+P134</f>
        <v>1</v>
      </c>
      <c r="R106" s="26"/>
    </row>
    <row r="107" spans="1:18" ht="47.25" thickTop="1" thickBot="1" x14ac:dyDescent="0.25">
      <c r="A107" s="308" t="s">
        <v>709</v>
      </c>
      <c r="B107" s="308" t="s">
        <v>680</v>
      </c>
      <c r="C107" s="308"/>
      <c r="D107" s="308" t="s">
        <v>681</v>
      </c>
      <c r="E107" s="324">
        <f>SUM(E108:E109)</f>
        <v>3607111</v>
      </c>
      <c r="F107" s="324">
        <f t="shared" ref="F107:P107" si="78">SUM(F108:F109)</f>
        <v>3607111</v>
      </c>
      <c r="G107" s="324">
        <f t="shared" si="78"/>
        <v>2657100</v>
      </c>
      <c r="H107" s="324">
        <f t="shared" si="78"/>
        <v>191160</v>
      </c>
      <c r="I107" s="324">
        <f t="shared" si="78"/>
        <v>0</v>
      </c>
      <c r="J107" s="324">
        <f t="shared" si="78"/>
        <v>0</v>
      </c>
      <c r="K107" s="324">
        <f t="shared" si="78"/>
        <v>0</v>
      </c>
      <c r="L107" s="324">
        <f t="shared" si="78"/>
        <v>0</v>
      </c>
      <c r="M107" s="324">
        <f t="shared" si="78"/>
        <v>0</v>
      </c>
      <c r="N107" s="324">
        <f t="shared" si="78"/>
        <v>0</v>
      </c>
      <c r="O107" s="324">
        <f t="shared" si="78"/>
        <v>0</v>
      </c>
      <c r="P107" s="324">
        <f t="shared" si="78"/>
        <v>3607111</v>
      </c>
      <c r="Q107" s="30"/>
      <c r="R107" s="26"/>
    </row>
    <row r="108" spans="1:18" ht="93" thickTop="1" thickBot="1" x14ac:dyDescent="0.25">
      <c r="A108" s="101" t="s">
        <v>415</v>
      </c>
      <c r="B108" s="101" t="s">
        <v>236</v>
      </c>
      <c r="C108" s="101" t="s">
        <v>234</v>
      </c>
      <c r="D108" s="101" t="s">
        <v>235</v>
      </c>
      <c r="E108" s="324">
        <f>F108</f>
        <v>3607111</v>
      </c>
      <c r="F108" s="453">
        <f>(3390311)+216800</f>
        <v>3607111</v>
      </c>
      <c r="G108" s="453">
        <f>(2480000)+177100</f>
        <v>2657100</v>
      </c>
      <c r="H108" s="453">
        <v>191160</v>
      </c>
      <c r="I108" s="453"/>
      <c r="J108" s="324">
        <f t="shared" ref="J108:J136" si="79">L108+O108</f>
        <v>0</v>
      </c>
      <c r="K108" s="453">
        <v>0</v>
      </c>
      <c r="L108" s="453"/>
      <c r="M108" s="453"/>
      <c r="N108" s="453"/>
      <c r="O108" s="450">
        <f>K108</f>
        <v>0</v>
      </c>
      <c r="P108" s="324">
        <f t="shared" ref="P108:P136" si="80">E108+J108</f>
        <v>3607111</v>
      </c>
      <c r="Q108" s="39"/>
      <c r="R108" s="26"/>
    </row>
    <row r="109" spans="1:18" ht="93" hidden="1" thickTop="1" thickBot="1" x14ac:dyDescent="0.25">
      <c r="A109" s="126" t="s">
        <v>1239</v>
      </c>
      <c r="B109" s="126" t="s">
        <v>362</v>
      </c>
      <c r="C109" s="126" t="s">
        <v>623</v>
      </c>
      <c r="D109" s="126" t="s">
        <v>624</v>
      </c>
      <c r="E109" s="125">
        <f>F109</f>
        <v>0</v>
      </c>
      <c r="F109" s="132">
        <v>0</v>
      </c>
      <c r="G109" s="132"/>
      <c r="H109" s="132"/>
      <c r="I109" s="132"/>
      <c r="J109" s="125">
        <f t="shared" si="79"/>
        <v>0</v>
      </c>
      <c r="K109" s="132"/>
      <c r="L109" s="132"/>
      <c r="M109" s="132"/>
      <c r="N109" s="132"/>
      <c r="O109" s="130">
        <f>K109</f>
        <v>0</v>
      </c>
      <c r="P109" s="125">
        <f t="shared" si="80"/>
        <v>0</v>
      </c>
      <c r="Q109" s="39"/>
      <c r="R109" s="26"/>
    </row>
    <row r="110" spans="1:18" ht="47.25" thickTop="1" thickBot="1" x14ac:dyDescent="0.25">
      <c r="A110" s="308" t="s">
        <v>710</v>
      </c>
      <c r="B110" s="308" t="s">
        <v>711</v>
      </c>
      <c r="C110" s="308"/>
      <c r="D110" s="308" t="s">
        <v>712</v>
      </c>
      <c r="E110" s="324">
        <f>SUM(E111:E124)-E116-E118-E120-E123</f>
        <v>105616281</v>
      </c>
      <c r="F110" s="324">
        <f t="shared" ref="F110:P110" si="81">SUM(F111:F124)-F116-F118-F120-F123</f>
        <v>105616281</v>
      </c>
      <c r="G110" s="324">
        <f t="shared" si="81"/>
        <v>3269881</v>
      </c>
      <c r="H110" s="324">
        <f t="shared" si="81"/>
        <v>208800</v>
      </c>
      <c r="I110" s="324">
        <f t="shared" si="81"/>
        <v>0</v>
      </c>
      <c r="J110" s="324">
        <f t="shared" si="81"/>
        <v>37984734.380000003</v>
      </c>
      <c r="K110" s="324">
        <f t="shared" si="81"/>
        <v>37984734.380000003</v>
      </c>
      <c r="L110" s="324">
        <f t="shared" si="81"/>
        <v>0</v>
      </c>
      <c r="M110" s="324">
        <f t="shared" si="81"/>
        <v>0</v>
      </c>
      <c r="N110" s="324">
        <f t="shared" si="81"/>
        <v>0</v>
      </c>
      <c r="O110" s="324">
        <f t="shared" si="81"/>
        <v>37984734.380000003</v>
      </c>
      <c r="P110" s="324">
        <f t="shared" si="81"/>
        <v>143601015.38</v>
      </c>
      <c r="Q110" s="39"/>
      <c r="R110" s="39"/>
    </row>
    <row r="111" spans="1:18" ht="48" thickTop="1" thickBot="1" x14ac:dyDescent="0.25">
      <c r="A111" s="101" t="s">
        <v>214</v>
      </c>
      <c r="B111" s="101" t="s">
        <v>211</v>
      </c>
      <c r="C111" s="101" t="s">
        <v>215</v>
      </c>
      <c r="D111" s="101" t="s">
        <v>19</v>
      </c>
      <c r="E111" s="324">
        <f>F111</f>
        <v>24035580</v>
      </c>
      <c r="F111" s="453">
        <f>((24239100-5400000)+625000)+4500000+71480</f>
        <v>24035580</v>
      </c>
      <c r="G111" s="453"/>
      <c r="H111" s="453"/>
      <c r="I111" s="453"/>
      <c r="J111" s="324">
        <f t="shared" si="79"/>
        <v>21870800</v>
      </c>
      <c r="K111" s="453">
        <f>(((((6800000)+5212000)+1000000)+2994000+254700)+2000000)-148300-172000-69600+3000000+1000000</f>
        <v>21870800</v>
      </c>
      <c r="L111" s="453"/>
      <c r="M111" s="453"/>
      <c r="N111" s="453"/>
      <c r="O111" s="450">
        <f>K111</f>
        <v>21870800</v>
      </c>
      <c r="P111" s="324">
        <f t="shared" si="80"/>
        <v>45906380</v>
      </c>
      <c r="Q111" s="20"/>
      <c r="R111" s="30"/>
    </row>
    <row r="112" spans="1:18" ht="48" thickTop="1" thickBot="1" x14ac:dyDescent="0.25">
      <c r="A112" s="101" t="s">
        <v>504</v>
      </c>
      <c r="B112" s="101" t="s">
        <v>507</v>
      </c>
      <c r="C112" s="101" t="s">
        <v>506</v>
      </c>
      <c r="D112" s="101" t="s">
        <v>505</v>
      </c>
      <c r="E112" s="324">
        <f>F112</f>
        <v>14036600</v>
      </c>
      <c r="F112" s="453">
        <f>(((10860600-1200000)+450000+426000)+1000000+1000000)+1500000</f>
        <v>14036600</v>
      </c>
      <c r="G112" s="453"/>
      <c r="H112" s="453"/>
      <c r="I112" s="453"/>
      <c r="J112" s="324">
        <f t="shared" si="79"/>
        <v>0</v>
      </c>
      <c r="K112" s="453"/>
      <c r="L112" s="453"/>
      <c r="M112" s="453"/>
      <c r="N112" s="453"/>
      <c r="O112" s="450">
        <f>K112</f>
        <v>0</v>
      </c>
      <c r="P112" s="324">
        <f t="shared" si="80"/>
        <v>14036600</v>
      </c>
      <c r="Q112" s="20"/>
      <c r="R112" s="39"/>
    </row>
    <row r="113" spans="1:18" ht="48" thickTop="1" thickBot="1" x14ac:dyDescent="0.25">
      <c r="A113" s="101" t="s">
        <v>216</v>
      </c>
      <c r="B113" s="101" t="s">
        <v>217</v>
      </c>
      <c r="C113" s="101" t="s">
        <v>218</v>
      </c>
      <c r="D113" s="101" t="s">
        <v>219</v>
      </c>
      <c r="E113" s="324">
        <f t="shared" ref="E113:E136" si="82">F113</f>
        <v>12721900</v>
      </c>
      <c r="F113" s="453">
        <f>(((9381900-1300000)+1500000+300000+500000)+840000)+1500000</f>
        <v>12721900</v>
      </c>
      <c r="G113" s="453"/>
      <c r="H113" s="453"/>
      <c r="I113" s="453"/>
      <c r="J113" s="324">
        <f t="shared" si="79"/>
        <v>14221075.380000001</v>
      </c>
      <c r="K113" s="453">
        <f>(((2400000)+4029711)+1089138+1606348+2108584+2000000)-1078649.38+2065943.76</f>
        <v>14221075.380000001</v>
      </c>
      <c r="L113" s="453"/>
      <c r="M113" s="453"/>
      <c r="N113" s="453"/>
      <c r="O113" s="450">
        <f>K113</f>
        <v>14221075.380000001</v>
      </c>
      <c r="P113" s="324">
        <f t="shared" si="80"/>
        <v>26942975.380000003</v>
      </c>
      <c r="Q113" s="20"/>
      <c r="R113" s="39"/>
    </row>
    <row r="114" spans="1:18" ht="93" thickTop="1" thickBot="1" x14ac:dyDescent="0.25">
      <c r="A114" s="101" t="s">
        <v>220</v>
      </c>
      <c r="B114" s="101" t="s">
        <v>221</v>
      </c>
      <c r="C114" s="101" t="s">
        <v>222</v>
      </c>
      <c r="D114" s="101" t="s">
        <v>345</v>
      </c>
      <c r="E114" s="324">
        <f t="shared" si="82"/>
        <v>25545146</v>
      </c>
      <c r="F114" s="453">
        <f>((26512900-1500000)+500000+39246)-1000000+43000+950000</f>
        <v>25545146</v>
      </c>
      <c r="G114" s="132"/>
      <c r="H114" s="132"/>
      <c r="I114" s="132"/>
      <c r="J114" s="324">
        <f t="shared" si="79"/>
        <v>892859</v>
      </c>
      <c r="K114" s="453">
        <f>((0)+308038+233750)+351071</f>
        <v>892859</v>
      </c>
      <c r="L114" s="453"/>
      <c r="M114" s="453"/>
      <c r="N114" s="453"/>
      <c r="O114" s="450">
        <f>K114</f>
        <v>892859</v>
      </c>
      <c r="P114" s="324">
        <f t="shared" si="80"/>
        <v>26438005</v>
      </c>
      <c r="Q114" s="20"/>
      <c r="R114" s="39"/>
    </row>
    <row r="115" spans="1:18" ht="48" hidden="1" thickTop="1" thickBot="1" x14ac:dyDescent="0.25">
      <c r="A115" s="126" t="s">
        <v>223</v>
      </c>
      <c r="B115" s="126" t="s">
        <v>224</v>
      </c>
      <c r="C115" s="126" t="s">
        <v>225</v>
      </c>
      <c r="D115" s="126" t="s">
        <v>226</v>
      </c>
      <c r="E115" s="125">
        <f t="shared" si="82"/>
        <v>0</v>
      </c>
      <c r="F115" s="132">
        <f>(7556300)-7556300</f>
        <v>0</v>
      </c>
      <c r="G115" s="132"/>
      <c r="H115" s="132"/>
      <c r="I115" s="132"/>
      <c r="J115" s="324">
        <f t="shared" si="79"/>
        <v>0</v>
      </c>
      <c r="K115" s="453">
        <f>(200000)-200000</f>
        <v>0</v>
      </c>
      <c r="L115" s="453"/>
      <c r="M115" s="453"/>
      <c r="N115" s="453"/>
      <c r="O115" s="450">
        <f>K115</f>
        <v>0</v>
      </c>
      <c r="P115" s="324">
        <f t="shared" si="80"/>
        <v>0</v>
      </c>
      <c r="Q115" s="20"/>
      <c r="R115" s="39"/>
    </row>
    <row r="116" spans="1:18" ht="48" thickTop="1" thickBot="1" x14ac:dyDescent="0.25">
      <c r="A116" s="325" t="s">
        <v>713</v>
      </c>
      <c r="B116" s="325" t="s">
        <v>714</v>
      </c>
      <c r="C116" s="325"/>
      <c r="D116" s="325" t="s">
        <v>715</v>
      </c>
      <c r="E116" s="321">
        <f>E117</f>
        <v>19427800</v>
      </c>
      <c r="F116" s="321">
        <f t="shared" ref="F116:P116" si="83">F117</f>
        <v>19427800</v>
      </c>
      <c r="G116" s="321">
        <f t="shared" si="83"/>
        <v>0</v>
      </c>
      <c r="H116" s="321">
        <f t="shared" si="83"/>
        <v>0</v>
      </c>
      <c r="I116" s="321">
        <f t="shared" si="83"/>
        <v>0</v>
      </c>
      <c r="J116" s="321">
        <f t="shared" si="83"/>
        <v>1000000</v>
      </c>
      <c r="K116" s="321">
        <f t="shared" si="83"/>
        <v>1000000</v>
      </c>
      <c r="L116" s="321">
        <f t="shared" si="83"/>
        <v>0</v>
      </c>
      <c r="M116" s="321">
        <f t="shared" si="83"/>
        <v>0</v>
      </c>
      <c r="N116" s="321">
        <f t="shared" si="83"/>
        <v>0</v>
      </c>
      <c r="O116" s="321">
        <f t="shared" si="83"/>
        <v>1000000</v>
      </c>
      <c r="P116" s="321">
        <f t="shared" si="83"/>
        <v>20427800</v>
      </c>
      <c r="Q116" s="20"/>
      <c r="R116" s="39"/>
    </row>
    <row r="117" spans="1:18" ht="93" thickTop="1" thickBot="1" x14ac:dyDescent="0.25">
      <c r="A117" s="101" t="s">
        <v>227</v>
      </c>
      <c r="B117" s="101" t="s">
        <v>228</v>
      </c>
      <c r="C117" s="101" t="s">
        <v>346</v>
      </c>
      <c r="D117" s="101" t="s">
        <v>229</v>
      </c>
      <c r="E117" s="324">
        <f t="shared" si="82"/>
        <v>19427800</v>
      </c>
      <c r="F117" s="453">
        <f>(19727800-600000)+300000</f>
        <v>19427800</v>
      </c>
      <c r="G117" s="453"/>
      <c r="H117" s="453"/>
      <c r="I117" s="453"/>
      <c r="J117" s="324">
        <f t="shared" si="79"/>
        <v>1000000</v>
      </c>
      <c r="K117" s="453">
        <f>(0)+1000000</f>
        <v>1000000</v>
      </c>
      <c r="L117" s="453"/>
      <c r="M117" s="453"/>
      <c r="N117" s="453"/>
      <c r="O117" s="450">
        <f t="shared" ref="O117:O136" si="84">K117</f>
        <v>1000000</v>
      </c>
      <c r="P117" s="324">
        <f t="shared" si="80"/>
        <v>20427800</v>
      </c>
      <c r="Q117" s="20"/>
      <c r="R117" s="39"/>
    </row>
    <row r="118" spans="1:18" ht="48" hidden="1" thickTop="1" thickBot="1" x14ac:dyDescent="0.25">
      <c r="A118" s="138" t="s">
        <v>716</v>
      </c>
      <c r="B118" s="138" t="s">
        <v>717</v>
      </c>
      <c r="C118" s="138"/>
      <c r="D118" s="138" t="s">
        <v>718</v>
      </c>
      <c r="E118" s="139">
        <f>E119</f>
        <v>0</v>
      </c>
      <c r="F118" s="139">
        <f t="shared" ref="F118:P118" si="85">F119</f>
        <v>0</v>
      </c>
      <c r="G118" s="139">
        <f t="shared" si="85"/>
        <v>0</v>
      </c>
      <c r="H118" s="139">
        <f t="shared" si="85"/>
        <v>0</v>
      </c>
      <c r="I118" s="139">
        <f t="shared" si="85"/>
        <v>0</v>
      </c>
      <c r="J118" s="575">
        <f t="shared" si="85"/>
        <v>0</v>
      </c>
      <c r="K118" s="575">
        <f t="shared" si="85"/>
        <v>0</v>
      </c>
      <c r="L118" s="575">
        <f t="shared" si="85"/>
        <v>0</v>
      </c>
      <c r="M118" s="575">
        <f t="shared" si="85"/>
        <v>0</v>
      </c>
      <c r="N118" s="575">
        <f t="shared" si="85"/>
        <v>0</v>
      </c>
      <c r="O118" s="575">
        <f t="shared" si="85"/>
        <v>0</v>
      </c>
      <c r="P118" s="575">
        <f t="shared" si="85"/>
        <v>0</v>
      </c>
      <c r="Q118" s="20"/>
      <c r="R118" s="39"/>
    </row>
    <row r="119" spans="1:18" ht="48" hidden="1" thickTop="1" thickBot="1" x14ac:dyDescent="0.25">
      <c r="A119" s="126" t="s">
        <v>474</v>
      </c>
      <c r="B119" s="126" t="s">
        <v>475</v>
      </c>
      <c r="C119" s="126" t="s">
        <v>230</v>
      </c>
      <c r="D119" s="126" t="s">
        <v>476</v>
      </c>
      <c r="E119" s="125">
        <f t="shared" si="82"/>
        <v>0</v>
      </c>
      <c r="F119" s="132">
        <v>0</v>
      </c>
      <c r="G119" s="132"/>
      <c r="H119" s="132"/>
      <c r="I119" s="132"/>
      <c r="J119" s="576">
        <f t="shared" si="79"/>
        <v>0</v>
      </c>
      <c r="K119" s="577"/>
      <c r="L119" s="577"/>
      <c r="M119" s="577"/>
      <c r="N119" s="577"/>
      <c r="O119" s="578">
        <f t="shared" si="84"/>
        <v>0</v>
      </c>
      <c r="P119" s="576">
        <f t="shared" si="80"/>
        <v>0</v>
      </c>
      <c r="Q119" s="20"/>
      <c r="R119" s="39"/>
    </row>
    <row r="120" spans="1:18" ht="48" thickTop="1" thickBot="1" x14ac:dyDescent="0.25">
      <c r="A120" s="325" t="s">
        <v>719</v>
      </c>
      <c r="B120" s="325" t="s">
        <v>720</v>
      </c>
      <c r="C120" s="325"/>
      <c r="D120" s="325" t="s">
        <v>721</v>
      </c>
      <c r="E120" s="321">
        <f>SUM(E121:E122)</f>
        <v>9849255</v>
      </c>
      <c r="F120" s="321">
        <f t="shared" ref="F120:P120" si="86">SUM(F121:F122)</f>
        <v>9849255</v>
      </c>
      <c r="G120" s="321">
        <f t="shared" si="86"/>
        <v>3269881</v>
      </c>
      <c r="H120" s="321">
        <f t="shared" si="86"/>
        <v>208800</v>
      </c>
      <c r="I120" s="321">
        <f t="shared" si="86"/>
        <v>0</v>
      </c>
      <c r="J120" s="321">
        <f t="shared" si="86"/>
        <v>0</v>
      </c>
      <c r="K120" s="321">
        <f t="shared" si="86"/>
        <v>0</v>
      </c>
      <c r="L120" s="321">
        <f t="shared" si="86"/>
        <v>0</v>
      </c>
      <c r="M120" s="321">
        <f t="shared" si="86"/>
        <v>0</v>
      </c>
      <c r="N120" s="321">
        <f t="shared" si="86"/>
        <v>0</v>
      </c>
      <c r="O120" s="321">
        <f t="shared" si="86"/>
        <v>0</v>
      </c>
      <c r="P120" s="321">
        <f t="shared" si="86"/>
        <v>9849255</v>
      </c>
      <c r="Q120" s="20"/>
      <c r="R120" s="39"/>
    </row>
    <row r="121" spans="1:18" s="33" customFormat="1" ht="48" thickTop="1" thickBot="1" x14ac:dyDescent="0.25">
      <c r="A121" s="101" t="s">
        <v>321</v>
      </c>
      <c r="B121" s="101" t="s">
        <v>323</v>
      </c>
      <c r="C121" s="101" t="s">
        <v>230</v>
      </c>
      <c r="D121" s="461" t="s">
        <v>319</v>
      </c>
      <c r="E121" s="324">
        <f t="shared" si="82"/>
        <v>4423055</v>
      </c>
      <c r="F121" s="453">
        <v>4423055</v>
      </c>
      <c r="G121" s="453">
        <v>3269881</v>
      </c>
      <c r="H121" s="453">
        <v>208800</v>
      </c>
      <c r="I121" s="453"/>
      <c r="J121" s="324">
        <f t="shared" si="79"/>
        <v>0</v>
      </c>
      <c r="K121" s="453"/>
      <c r="L121" s="453"/>
      <c r="M121" s="453"/>
      <c r="N121" s="453"/>
      <c r="O121" s="450">
        <f t="shared" si="84"/>
        <v>0</v>
      </c>
      <c r="P121" s="324">
        <f t="shared" si="80"/>
        <v>4423055</v>
      </c>
      <c r="Q121" s="36"/>
      <c r="R121" s="26"/>
    </row>
    <row r="122" spans="1:18" s="33" customFormat="1" ht="48" thickTop="1" thickBot="1" x14ac:dyDescent="0.25">
      <c r="A122" s="101" t="s">
        <v>322</v>
      </c>
      <c r="B122" s="101" t="s">
        <v>324</v>
      </c>
      <c r="C122" s="101" t="s">
        <v>230</v>
      </c>
      <c r="D122" s="461" t="s">
        <v>320</v>
      </c>
      <c r="E122" s="324">
        <f t="shared" si="82"/>
        <v>5426200</v>
      </c>
      <c r="F122" s="453">
        <v>5426200</v>
      </c>
      <c r="G122" s="453"/>
      <c r="H122" s="453"/>
      <c r="I122" s="453"/>
      <c r="J122" s="324">
        <f t="shared" si="79"/>
        <v>0</v>
      </c>
      <c r="K122" s="453"/>
      <c r="L122" s="453"/>
      <c r="M122" s="453"/>
      <c r="N122" s="453"/>
      <c r="O122" s="450">
        <f t="shared" si="84"/>
        <v>0</v>
      </c>
      <c r="P122" s="324">
        <f t="shared" si="80"/>
        <v>5426200</v>
      </c>
      <c r="Q122" s="36"/>
      <c r="R122" s="39"/>
    </row>
    <row r="123" spans="1:18" s="33" customFormat="1" ht="127.5" hidden="1" customHeight="1" thickTop="1" thickBot="1" x14ac:dyDescent="0.25">
      <c r="A123" s="325" t="s">
        <v>1566</v>
      </c>
      <c r="B123" s="325" t="s">
        <v>1567</v>
      </c>
      <c r="C123" s="325"/>
      <c r="D123" s="325" t="s">
        <v>1565</v>
      </c>
      <c r="E123" s="321">
        <f>E124</f>
        <v>0</v>
      </c>
      <c r="F123" s="321">
        <f t="shared" ref="F123:P123" si="87">F124</f>
        <v>0</v>
      </c>
      <c r="G123" s="321">
        <f t="shared" si="87"/>
        <v>0</v>
      </c>
      <c r="H123" s="321">
        <f t="shared" si="87"/>
        <v>0</v>
      </c>
      <c r="I123" s="321">
        <f t="shared" si="87"/>
        <v>0</v>
      </c>
      <c r="J123" s="321">
        <f t="shared" si="87"/>
        <v>0</v>
      </c>
      <c r="K123" s="321">
        <f t="shared" si="87"/>
        <v>0</v>
      </c>
      <c r="L123" s="321">
        <f t="shared" si="87"/>
        <v>0</v>
      </c>
      <c r="M123" s="321">
        <f t="shared" si="87"/>
        <v>0</v>
      </c>
      <c r="N123" s="321">
        <f t="shared" si="87"/>
        <v>0</v>
      </c>
      <c r="O123" s="321">
        <f t="shared" si="87"/>
        <v>0</v>
      </c>
      <c r="P123" s="321">
        <f t="shared" si="87"/>
        <v>0</v>
      </c>
      <c r="Q123" s="36"/>
      <c r="R123" s="39"/>
    </row>
    <row r="124" spans="1:18" s="684" customFormat="1" ht="138.75" hidden="1" thickTop="1" thickBot="1" x14ac:dyDescent="0.25">
      <c r="A124" s="101" t="s">
        <v>1569</v>
      </c>
      <c r="B124" s="101" t="s">
        <v>1570</v>
      </c>
      <c r="C124" s="101" t="s">
        <v>230</v>
      </c>
      <c r="D124" s="461" t="s">
        <v>1568</v>
      </c>
      <c r="E124" s="324">
        <f t="shared" ref="E124" si="88">F124</f>
        <v>0</v>
      </c>
      <c r="F124" s="453"/>
      <c r="G124" s="453"/>
      <c r="H124" s="453"/>
      <c r="I124" s="453"/>
      <c r="J124" s="324">
        <f t="shared" ref="J124" si="89">L124+O124</f>
        <v>0</v>
      </c>
      <c r="K124" s="453">
        <f>(2994000)-2994000</f>
        <v>0</v>
      </c>
      <c r="L124" s="453"/>
      <c r="M124" s="453"/>
      <c r="N124" s="453"/>
      <c r="O124" s="450">
        <f t="shared" ref="O124" si="90">K124</f>
        <v>0</v>
      </c>
      <c r="P124" s="324">
        <f t="shared" ref="P124" si="91">E124+J124</f>
        <v>0</v>
      </c>
      <c r="Q124" s="682"/>
      <c r="R124" s="683"/>
    </row>
    <row r="125" spans="1:18" s="33" customFormat="1" ht="47.25" thickTop="1" thickBot="1" x14ac:dyDescent="0.25">
      <c r="A125" s="308" t="s">
        <v>1180</v>
      </c>
      <c r="B125" s="308" t="s">
        <v>707</v>
      </c>
      <c r="C125" s="308"/>
      <c r="D125" s="308" t="s">
        <v>708</v>
      </c>
      <c r="E125" s="324">
        <f>E126</f>
        <v>100000</v>
      </c>
      <c r="F125" s="324">
        <f t="shared" ref="F125:P125" si="92">F126</f>
        <v>100000</v>
      </c>
      <c r="G125" s="324">
        <f t="shared" si="92"/>
        <v>0</v>
      </c>
      <c r="H125" s="324">
        <f t="shared" si="92"/>
        <v>0</v>
      </c>
      <c r="I125" s="324">
        <f t="shared" si="92"/>
        <v>0</v>
      </c>
      <c r="J125" s="324">
        <f t="shared" si="92"/>
        <v>0</v>
      </c>
      <c r="K125" s="324">
        <f t="shared" si="92"/>
        <v>0</v>
      </c>
      <c r="L125" s="324">
        <f t="shared" si="92"/>
        <v>0</v>
      </c>
      <c r="M125" s="324">
        <f t="shared" si="92"/>
        <v>0</v>
      </c>
      <c r="N125" s="324">
        <f t="shared" si="92"/>
        <v>0</v>
      </c>
      <c r="O125" s="324">
        <f t="shared" si="92"/>
        <v>0</v>
      </c>
      <c r="P125" s="324">
        <f t="shared" si="92"/>
        <v>100000</v>
      </c>
      <c r="Q125" s="36"/>
      <c r="R125" s="39"/>
    </row>
    <row r="126" spans="1:18" s="33" customFormat="1" ht="93" thickTop="1" thickBot="1" x14ac:dyDescent="0.25">
      <c r="A126" s="101" t="s">
        <v>1181</v>
      </c>
      <c r="B126" s="101" t="s">
        <v>1182</v>
      </c>
      <c r="C126" s="101" t="s">
        <v>206</v>
      </c>
      <c r="D126" s="461" t="s">
        <v>1183</v>
      </c>
      <c r="E126" s="324">
        <f t="shared" ref="E126" si="93">F126</f>
        <v>100000</v>
      </c>
      <c r="F126" s="453">
        <v>100000</v>
      </c>
      <c r="G126" s="453"/>
      <c r="H126" s="453"/>
      <c r="I126" s="453"/>
      <c r="J126" s="324">
        <f t="shared" ref="J126" si="94">L126+O126</f>
        <v>0</v>
      </c>
      <c r="K126" s="453"/>
      <c r="L126" s="453"/>
      <c r="M126" s="453"/>
      <c r="N126" s="453"/>
      <c r="O126" s="450">
        <f t="shared" ref="O126" si="95">K126</f>
        <v>0</v>
      </c>
      <c r="P126" s="324">
        <f t="shared" ref="P126" si="96">E126+J126</f>
        <v>100000</v>
      </c>
      <c r="Q126" s="36"/>
      <c r="R126" s="39"/>
    </row>
    <row r="127" spans="1:18" s="33" customFormat="1" ht="47.25" thickTop="1" thickBot="1" x14ac:dyDescent="0.25">
      <c r="A127" s="308" t="s">
        <v>746</v>
      </c>
      <c r="B127" s="308" t="s">
        <v>744</v>
      </c>
      <c r="C127" s="308"/>
      <c r="D127" s="308" t="s">
        <v>745</v>
      </c>
      <c r="E127" s="324">
        <f>SUM(E133)+E128</f>
        <v>0</v>
      </c>
      <c r="F127" s="324">
        <f t="shared" ref="F127:P127" si="97">SUM(F133)+F128</f>
        <v>0</v>
      </c>
      <c r="G127" s="324">
        <f t="shared" si="97"/>
        <v>0</v>
      </c>
      <c r="H127" s="324">
        <f t="shared" si="97"/>
        <v>0</v>
      </c>
      <c r="I127" s="324">
        <f t="shared" si="97"/>
        <v>0</v>
      </c>
      <c r="J127" s="324">
        <f t="shared" si="97"/>
        <v>3044424.99</v>
      </c>
      <c r="K127" s="324">
        <f t="shared" si="97"/>
        <v>3044424.99</v>
      </c>
      <c r="L127" s="324">
        <f t="shared" si="97"/>
        <v>0</v>
      </c>
      <c r="M127" s="324">
        <f t="shared" si="97"/>
        <v>0</v>
      </c>
      <c r="N127" s="324">
        <f t="shared" si="97"/>
        <v>0</v>
      </c>
      <c r="O127" s="324">
        <f t="shared" si="97"/>
        <v>3044424.99</v>
      </c>
      <c r="P127" s="324">
        <f t="shared" si="97"/>
        <v>3044424.99</v>
      </c>
      <c r="Q127" s="36"/>
      <c r="R127" s="39"/>
    </row>
    <row r="128" spans="1:18" s="33" customFormat="1" ht="47.25" thickTop="1" thickBot="1" x14ac:dyDescent="0.25">
      <c r="A128" s="310" t="s">
        <v>1036</v>
      </c>
      <c r="B128" s="310" t="s">
        <v>799</v>
      </c>
      <c r="C128" s="310"/>
      <c r="D128" s="310" t="s">
        <v>800</v>
      </c>
      <c r="E128" s="312">
        <f>E131+E129</f>
        <v>0</v>
      </c>
      <c r="F128" s="312">
        <f t="shared" ref="F128:P128" si="98">F131+F129</f>
        <v>0</v>
      </c>
      <c r="G128" s="312">
        <f t="shared" si="98"/>
        <v>0</v>
      </c>
      <c r="H128" s="312">
        <f t="shared" si="98"/>
        <v>0</v>
      </c>
      <c r="I128" s="312">
        <f t="shared" si="98"/>
        <v>0</v>
      </c>
      <c r="J128" s="312">
        <f t="shared" si="98"/>
        <v>3044424.99</v>
      </c>
      <c r="K128" s="312">
        <f t="shared" si="98"/>
        <v>3044424.99</v>
      </c>
      <c r="L128" s="312">
        <f t="shared" si="98"/>
        <v>0</v>
      </c>
      <c r="M128" s="312">
        <f t="shared" si="98"/>
        <v>0</v>
      </c>
      <c r="N128" s="312">
        <f t="shared" si="98"/>
        <v>0</v>
      </c>
      <c r="O128" s="312">
        <f t="shared" si="98"/>
        <v>3044424.99</v>
      </c>
      <c r="P128" s="312">
        <f t="shared" si="98"/>
        <v>3044424.99</v>
      </c>
      <c r="Q128" s="36"/>
      <c r="R128" s="39"/>
    </row>
    <row r="129" spans="1:20" s="33" customFormat="1" ht="54.75" thickTop="1" thickBot="1" x14ac:dyDescent="0.25">
      <c r="A129" s="325" t="s">
        <v>1162</v>
      </c>
      <c r="B129" s="325" t="s">
        <v>817</v>
      </c>
      <c r="C129" s="325"/>
      <c r="D129" s="325" t="s">
        <v>1483</v>
      </c>
      <c r="E129" s="321">
        <f>E130</f>
        <v>0</v>
      </c>
      <c r="F129" s="321">
        <f t="shared" ref="F129:P129" si="99">F130</f>
        <v>0</v>
      </c>
      <c r="G129" s="321">
        <f t="shared" si="99"/>
        <v>0</v>
      </c>
      <c r="H129" s="321">
        <f t="shared" si="99"/>
        <v>0</v>
      </c>
      <c r="I129" s="321">
        <f t="shared" si="99"/>
        <v>0</v>
      </c>
      <c r="J129" s="321">
        <f t="shared" si="99"/>
        <v>3044424.99</v>
      </c>
      <c r="K129" s="321">
        <f t="shared" si="99"/>
        <v>3044424.99</v>
      </c>
      <c r="L129" s="321">
        <f t="shared" si="99"/>
        <v>0</v>
      </c>
      <c r="M129" s="321">
        <f t="shared" si="99"/>
        <v>0</v>
      </c>
      <c r="N129" s="321">
        <f t="shared" si="99"/>
        <v>0</v>
      </c>
      <c r="O129" s="321">
        <f t="shared" si="99"/>
        <v>3044424.99</v>
      </c>
      <c r="P129" s="321">
        <f t="shared" si="99"/>
        <v>3044424.99</v>
      </c>
      <c r="Q129" s="36"/>
      <c r="R129" s="39"/>
    </row>
    <row r="130" spans="1:20" s="33" customFormat="1" ht="54" thickTop="1" thickBot="1" x14ac:dyDescent="0.25">
      <c r="A130" s="101" t="s">
        <v>1161</v>
      </c>
      <c r="B130" s="101" t="s">
        <v>1163</v>
      </c>
      <c r="C130" s="101" t="s">
        <v>304</v>
      </c>
      <c r="D130" s="101" t="s">
        <v>1505</v>
      </c>
      <c r="E130" s="324">
        <f t="shared" ref="E130" si="100">F130</f>
        <v>0</v>
      </c>
      <c r="F130" s="453"/>
      <c r="G130" s="453"/>
      <c r="H130" s="453"/>
      <c r="I130" s="453"/>
      <c r="J130" s="324">
        <f t="shared" ref="J130" si="101">L130+O130</f>
        <v>3044424.99</v>
      </c>
      <c r="K130" s="453">
        <f>((1000000)+2058924.99)-14500</f>
        <v>3044424.99</v>
      </c>
      <c r="L130" s="453"/>
      <c r="M130" s="453"/>
      <c r="N130" s="453"/>
      <c r="O130" s="450">
        <f>K130</f>
        <v>3044424.99</v>
      </c>
      <c r="P130" s="324">
        <f t="shared" ref="P130" si="102">E130+J130</f>
        <v>3044424.99</v>
      </c>
      <c r="Q130" s="36"/>
      <c r="R130" s="39"/>
    </row>
    <row r="131" spans="1:20" s="33" customFormat="1" ht="48" hidden="1" thickTop="1" thickBot="1" x14ac:dyDescent="0.25">
      <c r="A131" s="142" t="s">
        <v>1037</v>
      </c>
      <c r="B131" s="142" t="s">
        <v>1035</v>
      </c>
      <c r="C131" s="142"/>
      <c r="D131" s="142" t="s">
        <v>1034</v>
      </c>
      <c r="E131" s="143">
        <f>E132</f>
        <v>0</v>
      </c>
      <c r="F131" s="143">
        <f t="shared" ref="F131:P131" si="103">F132</f>
        <v>0</v>
      </c>
      <c r="G131" s="143">
        <f t="shared" si="103"/>
        <v>0</v>
      </c>
      <c r="H131" s="143">
        <f t="shared" si="103"/>
        <v>0</v>
      </c>
      <c r="I131" s="143">
        <f t="shared" si="103"/>
        <v>0</v>
      </c>
      <c r="J131" s="143">
        <f t="shared" si="103"/>
        <v>0</v>
      </c>
      <c r="K131" s="143">
        <f t="shared" si="103"/>
        <v>0</v>
      </c>
      <c r="L131" s="143">
        <f t="shared" si="103"/>
        <v>0</v>
      </c>
      <c r="M131" s="143">
        <f t="shared" si="103"/>
        <v>0</v>
      </c>
      <c r="N131" s="143">
        <f t="shared" si="103"/>
        <v>0</v>
      </c>
      <c r="O131" s="143">
        <f t="shared" si="103"/>
        <v>0</v>
      </c>
      <c r="P131" s="143">
        <f t="shared" si="103"/>
        <v>0</v>
      </c>
      <c r="Q131" s="36"/>
      <c r="R131" s="39"/>
    </row>
    <row r="132" spans="1:20" s="33" customFormat="1" ht="93" hidden="1" thickTop="1" thickBot="1" x14ac:dyDescent="0.25">
      <c r="A132" s="41" t="s">
        <v>1038</v>
      </c>
      <c r="B132" s="41" t="s">
        <v>1039</v>
      </c>
      <c r="C132" s="41" t="s">
        <v>170</v>
      </c>
      <c r="D132" s="41" t="s">
        <v>1040</v>
      </c>
      <c r="E132" s="42">
        <f t="shared" si="82"/>
        <v>0</v>
      </c>
      <c r="F132" s="43"/>
      <c r="G132" s="43"/>
      <c r="H132" s="43"/>
      <c r="I132" s="43"/>
      <c r="J132" s="42">
        <f t="shared" si="79"/>
        <v>0</v>
      </c>
      <c r="K132" s="43"/>
      <c r="L132" s="43"/>
      <c r="M132" s="43"/>
      <c r="N132" s="43"/>
      <c r="O132" s="44">
        <f>K132</f>
        <v>0</v>
      </c>
      <c r="P132" s="42">
        <f t="shared" si="80"/>
        <v>0</v>
      </c>
      <c r="Q132" s="36"/>
      <c r="R132" s="26"/>
    </row>
    <row r="133" spans="1:20" s="28" customFormat="1" ht="47.25" hidden="1" thickTop="1" thickBot="1" x14ac:dyDescent="0.25">
      <c r="A133" s="310" t="s">
        <v>722</v>
      </c>
      <c r="B133" s="310" t="s">
        <v>687</v>
      </c>
      <c r="C133" s="310"/>
      <c r="D133" s="310" t="s">
        <v>685</v>
      </c>
      <c r="E133" s="312">
        <f>E134</f>
        <v>0</v>
      </c>
      <c r="F133" s="312">
        <f t="shared" ref="F133:P133" si="104">F134</f>
        <v>0</v>
      </c>
      <c r="G133" s="312">
        <f t="shared" si="104"/>
        <v>0</v>
      </c>
      <c r="H133" s="312">
        <f t="shared" si="104"/>
        <v>0</v>
      </c>
      <c r="I133" s="312">
        <f t="shared" si="104"/>
        <v>0</v>
      </c>
      <c r="J133" s="312">
        <f t="shared" si="104"/>
        <v>0</v>
      </c>
      <c r="K133" s="312">
        <f t="shared" si="104"/>
        <v>0</v>
      </c>
      <c r="L133" s="312">
        <f t="shared" si="104"/>
        <v>0</v>
      </c>
      <c r="M133" s="312">
        <f t="shared" si="104"/>
        <v>0</v>
      </c>
      <c r="N133" s="312">
        <f t="shared" si="104"/>
        <v>0</v>
      </c>
      <c r="O133" s="312">
        <f t="shared" si="104"/>
        <v>0</v>
      </c>
      <c r="P133" s="312">
        <f t="shared" si="104"/>
        <v>0</v>
      </c>
      <c r="Q133" s="147"/>
      <c r="R133" s="40"/>
    </row>
    <row r="134" spans="1:20" s="28" customFormat="1" ht="48" hidden="1" thickTop="1" thickBot="1" x14ac:dyDescent="0.25">
      <c r="A134" s="101" t="s">
        <v>1237</v>
      </c>
      <c r="B134" s="101" t="s">
        <v>212</v>
      </c>
      <c r="C134" s="101" t="s">
        <v>213</v>
      </c>
      <c r="D134" s="101" t="s">
        <v>41</v>
      </c>
      <c r="E134" s="324">
        <f t="shared" si="82"/>
        <v>0</v>
      </c>
      <c r="F134" s="453"/>
      <c r="G134" s="453"/>
      <c r="H134" s="453"/>
      <c r="I134" s="453"/>
      <c r="J134" s="324">
        <f t="shared" ref="J134" si="105">L134+O134</f>
        <v>0</v>
      </c>
      <c r="K134" s="453">
        <f>((0)+2000000)-2000000</f>
        <v>0</v>
      </c>
      <c r="L134" s="453"/>
      <c r="M134" s="453"/>
      <c r="N134" s="453"/>
      <c r="O134" s="450">
        <f t="shared" ref="O134" si="106">K134</f>
        <v>0</v>
      </c>
      <c r="P134" s="324">
        <f t="shared" si="80"/>
        <v>0</v>
      </c>
      <c r="Q134" s="147"/>
      <c r="R134" s="40"/>
    </row>
    <row r="135" spans="1:20" s="33" customFormat="1" ht="48" hidden="1" thickTop="1" thickBot="1" x14ac:dyDescent="0.25">
      <c r="A135" s="41" t="s">
        <v>434</v>
      </c>
      <c r="B135" s="41" t="s">
        <v>197</v>
      </c>
      <c r="C135" s="41" t="s">
        <v>170</v>
      </c>
      <c r="D135" s="41" t="s">
        <v>34</v>
      </c>
      <c r="E135" s="42">
        <f t="shared" si="82"/>
        <v>0</v>
      </c>
      <c r="F135" s="43"/>
      <c r="G135" s="43"/>
      <c r="H135" s="43"/>
      <c r="I135" s="43"/>
      <c r="J135" s="42">
        <f t="shared" si="79"/>
        <v>0</v>
      </c>
      <c r="K135" s="43"/>
      <c r="L135" s="43"/>
      <c r="M135" s="43"/>
      <c r="N135" s="43"/>
      <c r="O135" s="44">
        <f t="shared" si="84"/>
        <v>0</v>
      </c>
      <c r="P135" s="42">
        <f t="shared" si="80"/>
        <v>0</v>
      </c>
      <c r="Q135" s="36"/>
      <c r="R135" s="26"/>
    </row>
    <row r="136" spans="1:20" s="33" customFormat="1" ht="48" hidden="1" thickTop="1" thickBot="1" x14ac:dyDescent="0.25">
      <c r="A136" s="41" t="s">
        <v>508</v>
      </c>
      <c r="B136" s="41" t="s">
        <v>363</v>
      </c>
      <c r="C136" s="41" t="s">
        <v>43</v>
      </c>
      <c r="D136" s="41" t="s">
        <v>364</v>
      </c>
      <c r="E136" s="42">
        <f t="shared" si="82"/>
        <v>0</v>
      </c>
      <c r="F136" s="43"/>
      <c r="G136" s="43"/>
      <c r="H136" s="43"/>
      <c r="I136" s="43"/>
      <c r="J136" s="42">
        <f t="shared" si="79"/>
        <v>0</v>
      </c>
      <c r="K136" s="43"/>
      <c r="L136" s="43"/>
      <c r="M136" s="43"/>
      <c r="N136" s="43"/>
      <c r="O136" s="44">
        <f t="shared" si="84"/>
        <v>0</v>
      </c>
      <c r="P136" s="42">
        <f t="shared" si="80"/>
        <v>0</v>
      </c>
      <c r="Q136" s="36"/>
      <c r="R136" s="30"/>
    </row>
    <row r="137" spans="1:20" ht="120" customHeight="1" thickTop="1" thickBot="1" x14ac:dyDescent="0.25">
      <c r="A137" s="689" t="s">
        <v>156</v>
      </c>
      <c r="B137" s="689"/>
      <c r="C137" s="689"/>
      <c r="D137" s="690" t="s">
        <v>37</v>
      </c>
      <c r="E137" s="691">
        <f>E138</f>
        <v>370136321.74000001</v>
      </c>
      <c r="F137" s="692">
        <f t="shared" ref="F137:G137" si="107">F138</f>
        <v>370136321.74000001</v>
      </c>
      <c r="G137" s="692">
        <f t="shared" si="107"/>
        <v>99905738</v>
      </c>
      <c r="H137" s="692">
        <f>H138</f>
        <v>6009153.0600000005</v>
      </c>
      <c r="I137" s="692">
        <f t="shared" ref="I137" si="108">I138</f>
        <v>0</v>
      </c>
      <c r="J137" s="691">
        <f>J138</f>
        <v>249209644.56999999</v>
      </c>
      <c r="K137" s="692">
        <f>K138</f>
        <v>242946384.56999999</v>
      </c>
      <c r="L137" s="692">
        <f>L138</f>
        <v>6239260</v>
      </c>
      <c r="M137" s="692">
        <f t="shared" ref="M137" si="109">M138</f>
        <v>2604685</v>
      </c>
      <c r="N137" s="692">
        <f>N138</f>
        <v>705805</v>
      </c>
      <c r="O137" s="691">
        <f>O138</f>
        <v>242970384.56999999</v>
      </c>
      <c r="P137" s="692">
        <f>P138</f>
        <v>619345966.30999994</v>
      </c>
      <c r="Q137" s="20"/>
    </row>
    <row r="138" spans="1:20" ht="120" customHeight="1" thickTop="1" thickBot="1" x14ac:dyDescent="0.25">
      <c r="A138" s="693" t="s">
        <v>157</v>
      </c>
      <c r="B138" s="693"/>
      <c r="C138" s="693"/>
      <c r="D138" s="694" t="s">
        <v>38</v>
      </c>
      <c r="E138" s="695">
        <f>E139+E143+E185+E189</f>
        <v>370136321.74000001</v>
      </c>
      <c r="F138" s="695">
        <f>F139+F143+F185+F189</f>
        <v>370136321.74000001</v>
      </c>
      <c r="G138" s="695">
        <f>G139+G143+G185+G189</f>
        <v>99905738</v>
      </c>
      <c r="H138" s="695">
        <f>H139+H143+H185+H189</f>
        <v>6009153.0600000005</v>
      </c>
      <c r="I138" s="695">
        <f>I139+I143+I185+I189</f>
        <v>0</v>
      </c>
      <c r="J138" s="695">
        <f t="shared" ref="J138:J165" si="110">L138+O138</f>
        <v>249209644.56999999</v>
      </c>
      <c r="K138" s="695">
        <f>K139+K143+K185+K189</f>
        <v>242946384.56999999</v>
      </c>
      <c r="L138" s="695">
        <f>L139+L143+L185+L189</f>
        <v>6239260</v>
      </c>
      <c r="M138" s="695">
        <f>M139+M143+M185+M189</f>
        <v>2604685</v>
      </c>
      <c r="N138" s="695">
        <f>N139+N143+N185+N189</f>
        <v>705805</v>
      </c>
      <c r="O138" s="695">
        <f>O139+O143+O185+O189</f>
        <v>242970384.56999999</v>
      </c>
      <c r="P138" s="695">
        <f>E138+J138</f>
        <v>619345966.30999994</v>
      </c>
      <c r="Q138" s="487" t="b">
        <f>P138=P140+P142+P145+P146+P147+P148+P149+P150+P151+P152+P154+P155+P157+P159+P161+P162+P164+P165+P181+P183+P184+P187+P194+P192+P167+P171+P175+P158</f>
        <v>1</v>
      </c>
      <c r="R138" s="46"/>
      <c r="S138" s="46"/>
      <c r="T138" s="45"/>
    </row>
    <row r="139" spans="1:20" ht="47.25" thickTop="1" thickBot="1" x14ac:dyDescent="0.25">
      <c r="A139" s="308" t="s">
        <v>723</v>
      </c>
      <c r="B139" s="308" t="s">
        <v>680</v>
      </c>
      <c r="C139" s="308"/>
      <c r="D139" s="308" t="s">
        <v>681</v>
      </c>
      <c r="E139" s="324">
        <f t="shared" ref="E139:P139" si="111">SUM(E140:E142)</f>
        <v>58669592</v>
      </c>
      <c r="F139" s="324">
        <f t="shared" si="111"/>
        <v>58669592</v>
      </c>
      <c r="G139" s="324">
        <f t="shared" si="111"/>
        <v>43735000</v>
      </c>
      <c r="H139" s="324">
        <f t="shared" si="111"/>
        <v>2080882</v>
      </c>
      <c r="I139" s="324">
        <f t="shared" si="111"/>
        <v>0</v>
      </c>
      <c r="J139" s="324">
        <f t="shared" si="111"/>
        <v>579000</v>
      </c>
      <c r="K139" s="324">
        <f t="shared" si="111"/>
        <v>579000</v>
      </c>
      <c r="L139" s="324">
        <f t="shared" si="111"/>
        <v>0</v>
      </c>
      <c r="M139" s="324">
        <f t="shared" si="111"/>
        <v>0</v>
      </c>
      <c r="N139" s="324">
        <f t="shared" si="111"/>
        <v>0</v>
      </c>
      <c r="O139" s="324">
        <f t="shared" si="111"/>
        <v>579000</v>
      </c>
      <c r="P139" s="324">
        <f t="shared" si="111"/>
        <v>59248592</v>
      </c>
      <c r="Q139" s="47"/>
      <c r="R139" s="46"/>
      <c r="T139" s="45"/>
    </row>
    <row r="140" spans="1:20" ht="93" thickTop="1" thickBot="1" x14ac:dyDescent="0.25">
      <c r="A140" s="101" t="s">
        <v>414</v>
      </c>
      <c r="B140" s="101" t="s">
        <v>236</v>
      </c>
      <c r="C140" s="101" t="s">
        <v>234</v>
      </c>
      <c r="D140" s="101" t="s">
        <v>235</v>
      </c>
      <c r="E140" s="324">
        <f t="shared" ref="E140:E142" si="112">F140</f>
        <v>58639592</v>
      </c>
      <c r="F140" s="453">
        <f>((58802582)+308000+318000+198000)-986990</f>
        <v>58639592</v>
      </c>
      <c r="G140" s="453">
        <v>43735000</v>
      </c>
      <c r="H140" s="453">
        <v>2080882</v>
      </c>
      <c r="I140" s="453"/>
      <c r="J140" s="324">
        <f t="shared" si="110"/>
        <v>579000</v>
      </c>
      <c r="K140" s="453">
        <f>(700000)-121000</f>
        <v>579000</v>
      </c>
      <c r="L140" s="453"/>
      <c r="M140" s="453"/>
      <c r="N140" s="453"/>
      <c r="O140" s="450">
        <f>K140</f>
        <v>579000</v>
      </c>
      <c r="P140" s="324">
        <f t="shared" ref="P140:P155" si="113">E140+J140</f>
        <v>59218592</v>
      </c>
      <c r="Q140" s="47"/>
      <c r="R140" s="46"/>
      <c r="T140" s="45"/>
    </row>
    <row r="141" spans="1:20" ht="93" hidden="1" thickTop="1" thickBot="1" x14ac:dyDescent="0.25">
      <c r="A141" s="101" t="s">
        <v>626</v>
      </c>
      <c r="B141" s="101" t="s">
        <v>362</v>
      </c>
      <c r="C141" s="101" t="s">
        <v>623</v>
      </c>
      <c r="D141" s="101" t="s">
        <v>624</v>
      </c>
      <c r="E141" s="324">
        <f t="shared" si="112"/>
        <v>0</v>
      </c>
      <c r="F141" s="453">
        <v>0</v>
      </c>
      <c r="G141" s="453"/>
      <c r="H141" s="453"/>
      <c r="I141" s="453"/>
      <c r="J141" s="324">
        <f t="shared" si="110"/>
        <v>0</v>
      </c>
      <c r="K141" s="453"/>
      <c r="L141" s="453"/>
      <c r="M141" s="453"/>
      <c r="N141" s="453"/>
      <c r="O141" s="450">
        <f>K141</f>
        <v>0</v>
      </c>
      <c r="P141" s="324">
        <f t="shared" si="113"/>
        <v>0</v>
      </c>
      <c r="Q141" s="47"/>
      <c r="R141" s="46"/>
      <c r="T141" s="45"/>
    </row>
    <row r="142" spans="1:20" ht="48" thickTop="1" thickBot="1" x14ac:dyDescent="0.25">
      <c r="A142" s="101" t="s">
        <v>914</v>
      </c>
      <c r="B142" s="101" t="s">
        <v>43</v>
      </c>
      <c r="C142" s="101" t="s">
        <v>42</v>
      </c>
      <c r="D142" s="101" t="s">
        <v>248</v>
      </c>
      <c r="E142" s="324">
        <f t="shared" si="112"/>
        <v>30000</v>
      </c>
      <c r="F142" s="453">
        <v>30000</v>
      </c>
      <c r="G142" s="453"/>
      <c r="H142" s="453"/>
      <c r="I142" s="453"/>
      <c r="J142" s="324">
        <f t="shared" si="110"/>
        <v>0</v>
      </c>
      <c r="K142" s="453"/>
      <c r="L142" s="453"/>
      <c r="M142" s="453"/>
      <c r="N142" s="453"/>
      <c r="O142" s="450"/>
      <c r="P142" s="324">
        <f t="shared" si="113"/>
        <v>30000</v>
      </c>
      <c r="Q142" s="47"/>
      <c r="R142" s="46"/>
      <c r="T142" s="45"/>
    </row>
    <row r="143" spans="1:20" ht="47.25" thickTop="1" thickBot="1" x14ac:dyDescent="0.25">
      <c r="A143" s="308" t="s">
        <v>724</v>
      </c>
      <c r="B143" s="308" t="s">
        <v>707</v>
      </c>
      <c r="C143" s="308"/>
      <c r="D143" s="308" t="s">
        <v>708</v>
      </c>
      <c r="E143" s="324">
        <f t="shared" ref="E143:P143" si="114">SUM(E144:E184)-E144-E153-E163-E166-E182-E160-E156</f>
        <v>311466729.74000001</v>
      </c>
      <c r="F143" s="324">
        <f t="shared" si="114"/>
        <v>311466729.74000001</v>
      </c>
      <c r="G143" s="324">
        <f t="shared" si="114"/>
        <v>56170738</v>
      </c>
      <c r="H143" s="324">
        <f t="shared" si="114"/>
        <v>3928271.06</v>
      </c>
      <c r="I143" s="324">
        <f t="shared" si="114"/>
        <v>0</v>
      </c>
      <c r="J143" s="324">
        <f t="shared" si="114"/>
        <v>212627506.01999998</v>
      </c>
      <c r="K143" s="324">
        <f t="shared" si="114"/>
        <v>206364246.01999998</v>
      </c>
      <c r="L143" s="324">
        <f t="shared" si="114"/>
        <v>6239260</v>
      </c>
      <c r="M143" s="324">
        <f t="shared" si="114"/>
        <v>2604685</v>
      </c>
      <c r="N143" s="324">
        <f t="shared" si="114"/>
        <v>705805</v>
      </c>
      <c r="O143" s="324">
        <f t="shared" si="114"/>
        <v>206388246.01999998</v>
      </c>
      <c r="P143" s="324">
        <f t="shared" si="114"/>
        <v>524094235.75999975</v>
      </c>
      <c r="Q143" s="47"/>
      <c r="R143" s="46"/>
      <c r="T143" s="45"/>
    </row>
    <row r="144" spans="1:20" ht="138.75" thickTop="1" thickBot="1" x14ac:dyDescent="0.25">
      <c r="A144" s="325" t="s">
        <v>725</v>
      </c>
      <c r="B144" s="325" t="s">
        <v>726</v>
      </c>
      <c r="C144" s="325"/>
      <c r="D144" s="325" t="s">
        <v>727</v>
      </c>
      <c r="E144" s="321">
        <f>SUM(E145:E149)</f>
        <v>82408000</v>
      </c>
      <c r="F144" s="321">
        <f t="shared" ref="F144:P144" si="115">SUM(F145:F149)</f>
        <v>82408000</v>
      </c>
      <c r="G144" s="321">
        <f t="shared" si="115"/>
        <v>0</v>
      </c>
      <c r="H144" s="321">
        <f t="shared" si="115"/>
        <v>0</v>
      </c>
      <c r="I144" s="321">
        <f t="shared" si="115"/>
        <v>0</v>
      </c>
      <c r="J144" s="321">
        <f t="shared" si="115"/>
        <v>50000</v>
      </c>
      <c r="K144" s="321">
        <f t="shared" si="115"/>
        <v>50000</v>
      </c>
      <c r="L144" s="321">
        <f t="shared" si="115"/>
        <v>0</v>
      </c>
      <c r="M144" s="321">
        <f t="shared" si="115"/>
        <v>0</v>
      </c>
      <c r="N144" s="321">
        <f t="shared" si="115"/>
        <v>0</v>
      </c>
      <c r="O144" s="321">
        <f t="shared" si="115"/>
        <v>50000</v>
      </c>
      <c r="P144" s="321">
        <f t="shared" si="115"/>
        <v>82458000</v>
      </c>
      <c r="Q144" s="148"/>
      <c r="R144" s="48"/>
      <c r="T144" s="49"/>
    </row>
    <row r="145" spans="1:18" s="33" customFormat="1" ht="48" thickTop="1" thickBot="1" x14ac:dyDescent="0.25">
      <c r="A145" s="101" t="s">
        <v>269</v>
      </c>
      <c r="B145" s="101" t="s">
        <v>270</v>
      </c>
      <c r="C145" s="101" t="s">
        <v>205</v>
      </c>
      <c r="D145" s="326" t="s">
        <v>271</v>
      </c>
      <c r="E145" s="324">
        <f>F145</f>
        <v>858000</v>
      </c>
      <c r="F145" s="453">
        <f>(835000)+23000</f>
        <v>858000</v>
      </c>
      <c r="G145" s="453"/>
      <c r="H145" s="453"/>
      <c r="I145" s="453"/>
      <c r="J145" s="324">
        <f t="shared" si="110"/>
        <v>50000</v>
      </c>
      <c r="K145" s="453">
        <v>50000</v>
      </c>
      <c r="L145" s="453"/>
      <c r="M145" s="453"/>
      <c r="N145" s="453"/>
      <c r="O145" s="450">
        <f t="shared" ref="O145:O165" si="116">K145</f>
        <v>50000</v>
      </c>
      <c r="P145" s="324">
        <f t="shared" si="113"/>
        <v>908000</v>
      </c>
      <c r="Q145" s="36"/>
      <c r="R145" s="46"/>
    </row>
    <row r="146" spans="1:18" s="33" customFormat="1" ht="48" thickTop="1" thickBot="1" x14ac:dyDescent="0.25">
      <c r="A146" s="101" t="s">
        <v>272</v>
      </c>
      <c r="B146" s="101" t="s">
        <v>273</v>
      </c>
      <c r="C146" s="101" t="s">
        <v>206</v>
      </c>
      <c r="D146" s="101" t="s">
        <v>6</v>
      </c>
      <c r="E146" s="324">
        <f t="shared" ref="E146:E196" si="117">F146</f>
        <v>650000</v>
      </c>
      <c r="F146" s="453">
        <v>650000</v>
      </c>
      <c r="G146" s="453"/>
      <c r="H146" s="453"/>
      <c r="I146" s="453"/>
      <c r="J146" s="324">
        <f t="shared" si="110"/>
        <v>0</v>
      </c>
      <c r="K146" s="453"/>
      <c r="L146" s="453"/>
      <c r="M146" s="453"/>
      <c r="N146" s="453"/>
      <c r="O146" s="450">
        <f t="shared" si="116"/>
        <v>0</v>
      </c>
      <c r="P146" s="324">
        <f t="shared" si="113"/>
        <v>650000</v>
      </c>
      <c r="Q146" s="36"/>
      <c r="R146" s="50"/>
    </row>
    <row r="147" spans="1:18" s="33" customFormat="1" ht="93" thickTop="1" thickBot="1" x14ac:dyDescent="0.25">
      <c r="A147" s="101" t="s">
        <v>275</v>
      </c>
      <c r="B147" s="101" t="s">
        <v>276</v>
      </c>
      <c r="C147" s="101" t="s">
        <v>206</v>
      </c>
      <c r="D147" s="101" t="s">
        <v>7</v>
      </c>
      <c r="E147" s="324">
        <f t="shared" si="117"/>
        <v>30200000</v>
      </c>
      <c r="F147" s="453">
        <f>(19200000+3000000)+8000000</f>
        <v>30200000</v>
      </c>
      <c r="G147" s="453"/>
      <c r="H147" s="453"/>
      <c r="I147" s="453"/>
      <c r="J147" s="324">
        <f t="shared" si="110"/>
        <v>0</v>
      </c>
      <c r="K147" s="453"/>
      <c r="L147" s="453"/>
      <c r="M147" s="453"/>
      <c r="N147" s="453"/>
      <c r="O147" s="450">
        <f t="shared" si="116"/>
        <v>0</v>
      </c>
      <c r="P147" s="324">
        <f t="shared" si="113"/>
        <v>30200000</v>
      </c>
      <c r="Q147" s="36"/>
      <c r="R147" s="50"/>
    </row>
    <row r="148" spans="1:18" s="33" customFormat="1" ht="93" thickTop="1" thickBot="1" x14ac:dyDescent="0.25">
      <c r="A148" s="101" t="s">
        <v>277</v>
      </c>
      <c r="B148" s="101" t="s">
        <v>274</v>
      </c>
      <c r="C148" s="101" t="s">
        <v>206</v>
      </c>
      <c r="D148" s="101" t="s">
        <v>8</v>
      </c>
      <c r="E148" s="324">
        <f t="shared" si="117"/>
        <v>700000</v>
      </c>
      <c r="F148" s="453">
        <v>700000</v>
      </c>
      <c r="G148" s="453"/>
      <c r="H148" s="453"/>
      <c r="I148" s="453"/>
      <c r="J148" s="324">
        <f t="shared" si="110"/>
        <v>0</v>
      </c>
      <c r="K148" s="453"/>
      <c r="L148" s="453"/>
      <c r="M148" s="453"/>
      <c r="N148" s="453"/>
      <c r="O148" s="450">
        <f t="shared" si="116"/>
        <v>0</v>
      </c>
      <c r="P148" s="324">
        <f t="shared" si="113"/>
        <v>700000</v>
      </c>
      <c r="Q148" s="36"/>
      <c r="R148" s="50"/>
    </row>
    <row r="149" spans="1:18" s="33" customFormat="1" ht="93" thickTop="1" thickBot="1" x14ac:dyDescent="0.25">
      <c r="A149" s="101" t="s">
        <v>278</v>
      </c>
      <c r="B149" s="101" t="s">
        <v>279</v>
      </c>
      <c r="C149" s="101" t="s">
        <v>206</v>
      </c>
      <c r="D149" s="101" t="s">
        <v>9</v>
      </c>
      <c r="E149" s="324">
        <f t="shared" si="117"/>
        <v>50000000</v>
      </c>
      <c r="F149" s="453">
        <f>(58000000-3000000)-5000000</f>
        <v>50000000</v>
      </c>
      <c r="G149" s="453"/>
      <c r="H149" s="453"/>
      <c r="I149" s="453"/>
      <c r="J149" s="324">
        <f t="shared" si="110"/>
        <v>0</v>
      </c>
      <c r="K149" s="453"/>
      <c r="L149" s="453"/>
      <c r="M149" s="453"/>
      <c r="N149" s="453"/>
      <c r="O149" s="450">
        <f t="shared" si="116"/>
        <v>0</v>
      </c>
      <c r="P149" s="324">
        <f t="shared" si="113"/>
        <v>50000000</v>
      </c>
      <c r="Q149" s="36"/>
      <c r="R149" s="50"/>
    </row>
    <row r="150" spans="1:18" s="33" customFormat="1" ht="93" thickTop="1" thickBot="1" x14ac:dyDescent="0.25">
      <c r="A150" s="101" t="s">
        <v>477</v>
      </c>
      <c r="B150" s="101" t="s">
        <v>478</v>
      </c>
      <c r="C150" s="101" t="s">
        <v>206</v>
      </c>
      <c r="D150" s="101" t="s">
        <v>479</v>
      </c>
      <c r="E150" s="324">
        <f t="shared" si="117"/>
        <v>362971</v>
      </c>
      <c r="F150" s="453">
        <v>362971</v>
      </c>
      <c r="G150" s="453"/>
      <c r="H150" s="453"/>
      <c r="I150" s="453"/>
      <c r="J150" s="324">
        <f t="shared" si="110"/>
        <v>0</v>
      </c>
      <c r="K150" s="453"/>
      <c r="L150" s="453"/>
      <c r="M150" s="453"/>
      <c r="N150" s="453"/>
      <c r="O150" s="450">
        <f t="shared" si="116"/>
        <v>0</v>
      </c>
      <c r="P150" s="324">
        <f t="shared" si="113"/>
        <v>362971</v>
      </c>
      <c r="Q150" s="36"/>
      <c r="R150" s="50"/>
    </row>
    <row r="151" spans="1:18" s="33" customFormat="1" ht="48" thickTop="1" thickBot="1" x14ac:dyDescent="0.25">
      <c r="A151" s="101" t="s">
        <v>915</v>
      </c>
      <c r="B151" s="101" t="s">
        <v>916</v>
      </c>
      <c r="C151" s="101" t="s">
        <v>206</v>
      </c>
      <c r="D151" s="101" t="s">
        <v>917</v>
      </c>
      <c r="E151" s="324">
        <f t="shared" si="117"/>
        <v>1893100</v>
      </c>
      <c r="F151" s="453">
        <f>(1500000)+393100</f>
        <v>1893100</v>
      </c>
      <c r="G151" s="453"/>
      <c r="H151" s="453"/>
      <c r="I151" s="453"/>
      <c r="J151" s="324">
        <f t="shared" si="110"/>
        <v>0</v>
      </c>
      <c r="K151" s="453"/>
      <c r="L151" s="453"/>
      <c r="M151" s="453"/>
      <c r="N151" s="453"/>
      <c r="O151" s="450">
        <f t="shared" si="116"/>
        <v>0</v>
      </c>
      <c r="P151" s="324">
        <f t="shared" si="113"/>
        <v>1893100</v>
      </c>
      <c r="Q151" s="36"/>
      <c r="R151" s="50"/>
    </row>
    <row r="152" spans="1:18" ht="93" thickTop="1" thickBot="1" x14ac:dyDescent="0.25">
      <c r="A152" s="101" t="s">
        <v>480</v>
      </c>
      <c r="B152" s="101" t="s">
        <v>481</v>
      </c>
      <c r="C152" s="101" t="s">
        <v>205</v>
      </c>
      <c r="D152" s="101" t="s">
        <v>482</v>
      </c>
      <c r="E152" s="324">
        <f t="shared" si="117"/>
        <v>470456</v>
      </c>
      <c r="F152" s="453">
        <v>470456</v>
      </c>
      <c r="G152" s="453"/>
      <c r="H152" s="453"/>
      <c r="I152" s="453"/>
      <c r="J152" s="324">
        <f t="shared" si="110"/>
        <v>0</v>
      </c>
      <c r="K152" s="453"/>
      <c r="L152" s="453"/>
      <c r="M152" s="453"/>
      <c r="N152" s="453"/>
      <c r="O152" s="450">
        <f>K152</f>
        <v>0</v>
      </c>
      <c r="P152" s="324">
        <f t="shared" si="113"/>
        <v>470456</v>
      </c>
      <c r="Q152" s="20"/>
      <c r="R152" s="50"/>
    </row>
    <row r="153" spans="1:18" s="33" customFormat="1" ht="138.75" thickTop="1" thickBot="1" x14ac:dyDescent="0.25">
      <c r="A153" s="325" t="s">
        <v>728</v>
      </c>
      <c r="B153" s="325" t="s">
        <v>729</v>
      </c>
      <c r="C153" s="325"/>
      <c r="D153" s="325" t="s">
        <v>730</v>
      </c>
      <c r="E153" s="321">
        <f>SUM(E154:E155)</f>
        <v>64736640.919999994</v>
      </c>
      <c r="F153" s="321">
        <f t="shared" ref="F153:P153" si="118">SUM(F154:F155)</f>
        <v>64736640.919999994</v>
      </c>
      <c r="G153" s="321">
        <f t="shared" si="118"/>
        <v>34154767</v>
      </c>
      <c r="H153" s="321">
        <f t="shared" si="118"/>
        <v>1326788.92</v>
      </c>
      <c r="I153" s="321">
        <f t="shared" si="118"/>
        <v>0</v>
      </c>
      <c r="J153" s="321">
        <f t="shared" si="118"/>
        <v>1735719.44</v>
      </c>
      <c r="K153" s="321">
        <f t="shared" si="118"/>
        <v>464719.44</v>
      </c>
      <c r="L153" s="321">
        <f t="shared" si="118"/>
        <v>1271000</v>
      </c>
      <c r="M153" s="321">
        <f t="shared" si="118"/>
        <v>719000</v>
      </c>
      <c r="N153" s="321">
        <f t="shared" si="118"/>
        <v>150000</v>
      </c>
      <c r="O153" s="321">
        <f t="shared" si="118"/>
        <v>464719.44</v>
      </c>
      <c r="P153" s="321">
        <f t="shared" si="118"/>
        <v>66472360.359999992</v>
      </c>
      <c r="Q153" s="36"/>
      <c r="R153" s="51"/>
    </row>
    <row r="154" spans="1:18" ht="93" thickTop="1" thickBot="1" x14ac:dyDescent="0.25">
      <c r="A154" s="101" t="s">
        <v>267</v>
      </c>
      <c r="B154" s="101" t="s">
        <v>265</v>
      </c>
      <c r="C154" s="101" t="s">
        <v>200</v>
      </c>
      <c r="D154" s="101" t="s">
        <v>17</v>
      </c>
      <c r="E154" s="324">
        <f t="shared" si="117"/>
        <v>53172038.919999994</v>
      </c>
      <c r="F154" s="453">
        <f>((((53507717.72)+150000)+2531.58)+134471+91942)-714623.38</f>
        <v>53172038.919999994</v>
      </c>
      <c r="G154" s="453">
        <f>(26679366)-400000</f>
        <v>26279366</v>
      </c>
      <c r="H154" s="453">
        <f>((621472.72)+2531.58)+1419.62</f>
        <v>625423.91999999993</v>
      </c>
      <c r="I154" s="453"/>
      <c r="J154" s="324">
        <f t="shared" si="110"/>
        <v>1335327</v>
      </c>
      <c r="K154" s="453">
        <f>(0)+64327</f>
        <v>64327</v>
      </c>
      <c r="L154" s="453">
        <v>1271000</v>
      </c>
      <c r="M154" s="453">
        <v>719000</v>
      </c>
      <c r="N154" s="453">
        <f>70000+10000+70000</f>
        <v>150000</v>
      </c>
      <c r="O154" s="450">
        <f>K154</f>
        <v>64327</v>
      </c>
      <c r="P154" s="324">
        <f t="shared" si="113"/>
        <v>54507365.919999994</v>
      </c>
      <c r="Q154" s="20"/>
      <c r="R154" s="46"/>
    </row>
    <row r="155" spans="1:18" ht="48" thickTop="1" thickBot="1" x14ac:dyDescent="0.25">
      <c r="A155" s="101" t="s">
        <v>268</v>
      </c>
      <c r="B155" s="101" t="s">
        <v>266</v>
      </c>
      <c r="C155" s="101" t="s">
        <v>199</v>
      </c>
      <c r="D155" s="101" t="s">
        <v>454</v>
      </c>
      <c r="E155" s="324">
        <f t="shared" si="117"/>
        <v>11564602</v>
      </c>
      <c r="F155" s="453">
        <f>((((11310735)+235107)+320000)-320000+18760)</f>
        <v>11564602</v>
      </c>
      <c r="G155" s="453">
        <f>4675746+3199655</f>
        <v>7875401</v>
      </c>
      <c r="H155" s="453">
        <f>299371+9225+63300+833+266401+8754+53172+309</f>
        <v>701365</v>
      </c>
      <c r="I155" s="453"/>
      <c r="J155" s="324">
        <f t="shared" si="110"/>
        <v>400392.44</v>
      </c>
      <c r="K155" s="453">
        <f>(0)+394678.16+5714.28</f>
        <v>400392.44</v>
      </c>
      <c r="L155" s="453"/>
      <c r="M155" s="453"/>
      <c r="N155" s="453"/>
      <c r="O155" s="450">
        <f t="shared" si="116"/>
        <v>400392.44</v>
      </c>
      <c r="P155" s="324">
        <f t="shared" si="113"/>
        <v>11964994.439999999</v>
      </c>
      <c r="Q155" s="20"/>
      <c r="R155" s="46"/>
    </row>
    <row r="156" spans="1:18" ht="48" thickTop="1" thickBot="1" x14ac:dyDescent="0.25">
      <c r="A156" s="325" t="s">
        <v>1004</v>
      </c>
      <c r="B156" s="325" t="s">
        <v>761</v>
      </c>
      <c r="C156" s="325"/>
      <c r="D156" s="325" t="s">
        <v>762</v>
      </c>
      <c r="E156" s="321">
        <f t="shared" ref="E156:P156" si="119">SUM(E157:E158)</f>
        <v>12649127.51</v>
      </c>
      <c r="F156" s="321">
        <f t="shared" si="119"/>
        <v>12649127.51</v>
      </c>
      <c r="G156" s="321">
        <f t="shared" si="119"/>
        <v>7214829</v>
      </c>
      <c r="H156" s="321">
        <f t="shared" si="119"/>
        <v>178560.56</v>
      </c>
      <c r="I156" s="321">
        <f t="shared" si="119"/>
        <v>0</v>
      </c>
      <c r="J156" s="321">
        <f t="shared" si="119"/>
        <v>13195</v>
      </c>
      <c r="K156" s="321">
        <f t="shared" si="119"/>
        <v>13195</v>
      </c>
      <c r="L156" s="321">
        <f t="shared" si="119"/>
        <v>0</v>
      </c>
      <c r="M156" s="321">
        <f t="shared" si="119"/>
        <v>0</v>
      </c>
      <c r="N156" s="321">
        <f t="shared" si="119"/>
        <v>0</v>
      </c>
      <c r="O156" s="321">
        <f t="shared" si="119"/>
        <v>13195</v>
      </c>
      <c r="P156" s="321">
        <f t="shared" si="119"/>
        <v>12662322.51</v>
      </c>
      <c r="Q156" s="20"/>
      <c r="R156" s="46"/>
    </row>
    <row r="157" spans="1:18" ht="48" thickTop="1" thickBot="1" x14ac:dyDescent="0.25">
      <c r="A157" s="101" t="s">
        <v>1197</v>
      </c>
      <c r="B157" s="101" t="s">
        <v>184</v>
      </c>
      <c r="C157" s="101" t="s">
        <v>185</v>
      </c>
      <c r="D157" s="101" t="s">
        <v>636</v>
      </c>
      <c r="E157" s="309">
        <f t="shared" ref="E157:E158" si="120">F157</f>
        <v>10766741.51</v>
      </c>
      <c r="F157" s="322">
        <f>((((10726813)+198876.95+190000+6003.73+15541.83)+118785+200000)+208000)-897279</f>
        <v>10766741.51</v>
      </c>
      <c r="G157" s="322">
        <f>(7875924)-108000-553095</f>
        <v>7214829</v>
      </c>
      <c r="H157" s="322">
        <f>((120805+10790+84400+66020)+6003.73+15541.83)-40000-36000-18000-4000-12000-15000</f>
        <v>178560.56</v>
      </c>
      <c r="I157" s="322"/>
      <c r="J157" s="324">
        <f t="shared" ref="J157:J158" si="121">L157+O157</f>
        <v>13195</v>
      </c>
      <c r="K157" s="322">
        <v>13195</v>
      </c>
      <c r="L157" s="449"/>
      <c r="M157" s="449"/>
      <c r="N157" s="449"/>
      <c r="O157" s="450">
        <f t="shared" ref="O157:O158" si="122">K157</f>
        <v>13195</v>
      </c>
      <c r="P157" s="324">
        <f>+J157+E157</f>
        <v>10779936.51</v>
      </c>
      <c r="Q157" s="20"/>
      <c r="R157" s="46"/>
    </row>
    <row r="158" spans="1:18" ht="93" thickTop="1" thickBot="1" x14ac:dyDescent="0.25">
      <c r="A158" s="101" t="s">
        <v>1005</v>
      </c>
      <c r="B158" s="101" t="s">
        <v>1006</v>
      </c>
      <c r="C158" s="101" t="s">
        <v>185</v>
      </c>
      <c r="D158" s="101" t="s">
        <v>1007</v>
      </c>
      <c r="E158" s="309">
        <f t="shared" si="120"/>
        <v>1882386</v>
      </c>
      <c r="F158" s="322">
        <f>(222000)+1660386</f>
        <v>1882386</v>
      </c>
      <c r="G158" s="322"/>
      <c r="H158" s="322"/>
      <c r="I158" s="322"/>
      <c r="J158" s="324">
        <f t="shared" si="121"/>
        <v>0</v>
      </c>
      <c r="K158" s="322"/>
      <c r="L158" s="449"/>
      <c r="M158" s="449"/>
      <c r="N158" s="449"/>
      <c r="O158" s="450">
        <f t="shared" si="122"/>
        <v>0</v>
      </c>
      <c r="P158" s="324">
        <f>+J158+E158</f>
        <v>1882386</v>
      </c>
      <c r="Q158" s="20"/>
      <c r="R158" s="46"/>
    </row>
    <row r="159" spans="1:18" ht="138.75" thickTop="1" thickBot="1" x14ac:dyDescent="0.25">
      <c r="A159" s="101" t="s">
        <v>263</v>
      </c>
      <c r="B159" s="101" t="s">
        <v>264</v>
      </c>
      <c r="C159" s="101" t="s">
        <v>199</v>
      </c>
      <c r="D159" s="101" t="s">
        <v>452</v>
      </c>
      <c r="E159" s="324">
        <f t="shared" si="117"/>
        <v>6326500</v>
      </c>
      <c r="F159" s="453">
        <f>(5126500)+1200000</f>
        <v>6326500</v>
      </c>
      <c r="G159" s="453"/>
      <c r="H159" s="453"/>
      <c r="I159" s="453"/>
      <c r="J159" s="324">
        <f t="shared" si="110"/>
        <v>0</v>
      </c>
      <c r="K159" s="324"/>
      <c r="L159" s="453"/>
      <c r="M159" s="453"/>
      <c r="N159" s="453"/>
      <c r="O159" s="450">
        <f t="shared" si="116"/>
        <v>0</v>
      </c>
      <c r="P159" s="324">
        <f>+J159+E159</f>
        <v>6326500</v>
      </c>
      <c r="Q159" s="20"/>
      <c r="R159" s="50"/>
    </row>
    <row r="160" spans="1:18" ht="48" thickTop="1" thickBot="1" x14ac:dyDescent="0.25">
      <c r="A160" s="325" t="s">
        <v>876</v>
      </c>
      <c r="B160" s="325" t="s">
        <v>877</v>
      </c>
      <c r="C160" s="325"/>
      <c r="D160" s="325" t="s">
        <v>878</v>
      </c>
      <c r="E160" s="321">
        <f t="shared" si="117"/>
        <v>184607</v>
      </c>
      <c r="F160" s="321">
        <f>F161</f>
        <v>184607</v>
      </c>
      <c r="G160" s="321">
        <f t="shared" ref="G160:I160" si="123">G161</f>
        <v>0</v>
      </c>
      <c r="H160" s="321">
        <f t="shared" si="123"/>
        <v>0</v>
      </c>
      <c r="I160" s="321">
        <f t="shared" si="123"/>
        <v>0</v>
      </c>
      <c r="J160" s="321">
        <f t="shared" si="110"/>
        <v>0</v>
      </c>
      <c r="K160" s="321">
        <f t="shared" ref="K160:N160" si="124">K161</f>
        <v>0</v>
      </c>
      <c r="L160" s="321">
        <f t="shared" si="124"/>
        <v>0</v>
      </c>
      <c r="M160" s="321">
        <f t="shared" si="124"/>
        <v>0</v>
      </c>
      <c r="N160" s="321">
        <f t="shared" si="124"/>
        <v>0</v>
      </c>
      <c r="O160" s="321">
        <f t="shared" si="116"/>
        <v>0</v>
      </c>
      <c r="P160" s="321">
        <f>+J160+E160</f>
        <v>184607</v>
      </c>
      <c r="Q160" s="20"/>
      <c r="R160" s="50"/>
    </row>
    <row r="161" spans="1:18" ht="93" thickTop="1" thickBot="1" x14ac:dyDescent="0.25">
      <c r="A161" s="101" t="s">
        <v>483</v>
      </c>
      <c r="B161" s="101" t="s">
        <v>484</v>
      </c>
      <c r="C161" s="101" t="s">
        <v>199</v>
      </c>
      <c r="D161" s="101" t="s">
        <v>485</v>
      </c>
      <c r="E161" s="324">
        <f t="shared" si="117"/>
        <v>184607</v>
      </c>
      <c r="F161" s="453">
        <v>184607</v>
      </c>
      <c r="G161" s="453"/>
      <c r="H161" s="453"/>
      <c r="I161" s="453"/>
      <c r="J161" s="324">
        <f t="shared" si="110"/>
        <v>0</v>
      </c>
      <c r="K161" s="324"/>
      <c r="L161" s="453"/>
      <c r="M161" s="453"/>
      <c r="N161" s="453"/>
      <c r="O161" s="450">
        <f t="shared" si="116"/>
        <v>0</v>
      </c>
      <c r="P161" s="324">
        <f>+J161+E161</f>
        <v>184607</v>
      </c>
      <c r="Q161" s="20"/>
      <c r="R161" s="50"/>
    </row>
    <row r="162" spans="1:18" ht="138.75" thickTop="1" thickBot="1" x14ac:dyDescent="0.25">
      <c r="A162" s="101" t="s">
        <v>348</v>
      </c>
      <c r="B162" s="101" t="s">
        <v>347</v>
      </c>
      <c r="C162" s="101" t="s">
        <v>50</v>
      </c>
      <c r="D162" s="101" t="s">
        <v>453</v>
      </c>
      <c r="E162" s="324">
        <f t="shared" si="117"/>
        <v>2687933.28</v>
      </c>
      <c r="F162" s="453">
        <v>2687933.28</v>
      </c>
      <c r="G162" s="453"/>
      <c r="H162" s="453"/>
      <c r="I162" s="453"/>
      <c r="J162" s="324">
        <f t="shared" si="110"/>
        <v>0</v>
      </c>
      <c r="K162" s="324"/>
      <c r="L162" s="453"/>
      <c r="M162" s="453"/>
      <c r="N162" s="453"/>
      <c r="O162" s="450">
        <f t="shared" si="116"/>
        <v>0</v>
      </c>
      <c r="P162" s="324">
        <f>E162+J162</f>
        <v>2687933.28</v>
      </c>
      <c r="Q162" s="20"/>
      <c r="R162" s="50"/>
    </row>
    <row r="163" spans="1:18" s="33" customFormat="1" ht="48" thickTop="1" thickBot="1" x14ac:dyDescent="0.25">
      <c r="A163" s="325" t="s">
        <v>731</v>
      </c>
      <c r="B163" s="325" t="s">
        <v>732</v>
      </c>
      <c r="C163" s="325"/>
      <c r="D163" s="325" t="s">
        <v>733</v>
      </c>
      <c r="E163" s="321">
        <f>E164</f>
        <v>1000000</v>
      </c>
      <c r="F163" s="321">
        <f t="shared" ref="F163:P163" si="125">F164</f>
        <v>1000000</v>
      </c>
      <c r="G163" s="321">
        <f t="shared" si="125"/>
        <v>0</v>
      </c>
      <c r="H163" s="321">
        <f t="shared" si="125"/>
        <v>0</v>
      </c>
      <c r="I163" s="321">
        <f t="shared" si="125"/>
        <v>0</v>
      </c>
      <c r="J163" s="321">
        <f t="shared" si="125"/>
        <v>0</v>
      </c>
      <c r="K163" s="321">
        <f t="shared" si="125"/>
        <v>0</v>
      </c>
      <c r="L163" s="321">
        <f t="shared" si="125"/>
        <v>0</v>
      </c>
      <c r="M163" s="321">
        <f t="shared" si="125"/>
        <v>0</v>
      </c>
      <c r="N163" s="321">
        <f t="shared" si="125"/>
        <v>0</v>
      </c>
      <c r="O163" s="321">
        <f t="shared" si="125"/>
        <v>0</v>
      </c>
      <c r="P163" s="321">
        <f t="shared" si="125"/>
        <v>1000000</v>
      </c>
      <c r="Q163" s="36"/>
      <c r="R163" s="51"/>
    </row>
    <row r="164" spans="1:18" ht="93" thickTop="1" thickBot="1" x14ac:dyDescent="0.25">
      <c r="A164" s="101" t="s">
        <v>325</v>
      </c>
      <c r="B164" s="101" t="s">
        <v>326</v>
      </c>
      <c r="C164" s="101" t="s">
        <v>205</v>
      </c>
      <c r="D164" s="101" t="s">
        <v>633</v>
      </c>
      <c r="E164" s="324">
        <f t="shared" si="117"/>
        <v>1000000</v>
      </c>
      <c r="F164" s="453">
        <v>1000000</v>
      </c>
      <c r="G164" s="453"/>
      <c r="H164" s="453"/>
      <c r="I164" s="453"/>
      <c r="J164" s="324">
        <f t="shared" si="110"/>
        <v>0</v>
      </c>
      <c r="K164" s="453"/>
      <c r="L164" s="453"/>
      <c r="M164" s="453"/>
      <c r="N164" s="453"/>
      <c r="O164" s="450">
        <f t="shared" si="116"/>
        <v>0</v>
      </c>
      <c r="P164" s="324">
        <f>E164+J164</f>
        <v>1000000</v>
      </c>
      <c r="Q164" s="20"/>
      <c r="R164" s="50"/>
    </row>
    <row r="165" spans="1:18" ht="48" thickTop="1" thickBot="1" x14ac:dyDescent="0.25">
      <c r="A165" s="101" t="s">
        <v>427</v>
      </c>
      <c r="B165" s="101" t="s">
        <v>372</v>
      </c>
      <c r="C165" s="101" t="s">
        <v>373</v>
      </c>
      <c r="D165" s="101" t="s">
        <v>371</v>
      </c>
      <c r="E165" s="537">
        <f t="shared" si="117"/>
        <v>117000</v>
      </c>
      <c r="F165" s="453">
        <v>117000</v>
      </c>
      <c r="G165" s="453">
        <v>90000</v>
      </c>
      <c r="H165" s="453"/>
      <c r="I165" s="453"/>
      <c r="J165" s="324">
        <f t="shared" si="110"/>
        <v>0</v>
      </c>
      <c r="K165" s="453"/>
      <c r="L165" s="453"/>
      <c r="M165" s="453"/>
      <c r="N165" s="453"/>
      <c r="O165" s="450">
        <f t="shared" si="116"/>
        <v>0</v>
      </c>
      <c r="P165" s="324">
        <f>E165+J165</f>
        <v>117000</v>
      </c>
      <c r="Q165" s="20"/>
      <c r="R165" s="50"/>
    </row>
    <row r="166" spans="1:18" ht="93" thickTop="1" thickBot="1" x14ac:dyDescent="0.25">
      <c r="A166" s="325" t="s">
        <v>1042</v>
      </c>
      <c r="B166" s="325" t="s">
        <v>1043</v>
      </c>
      <c r="C166" s="325"/>
      <c r="D166" s="325" t="s">
        <v>1041</v>
      </c>
      <c r="E166" s="321">
        <f>E167+E171+E175+E178</f>
        <v>0</v>
      </c>
      <c r="F166" s="321">
        <f t="shared" ref="F166:P166" si="126">F167+F171+F175+F178</f>
        <v>0</v>
      </c>
      <c r="G166" s="321">
        <f t="shared" si="126"/>
        <v>0</v>
      </c>
      <c r="H166" s="321">
        <f t="shared" si="126"/>
        <v>0</v>
      </c>
      <c r="I166" s="321">
        <f t="shared" si="126"/>
        <v>0</v>
      </c>
      <c r="J166" s="321">
        <f t="shared" si="126"/>
        <v>121582175</v>
      </c>
      <c r="K166" s="321">
        <f t="shared" si="126"/>
        <v>121582175</v>
      </c>
      <c r="L166" s="321">
        <f t="shared" si="126"/>
        <v>0</v>
      </c>
      <c r="M166" s="321">
        <f t="shared" si="126"/>
        <v>0</v>
      </c>
      <c r="N166" s="321">
        <f t="shared" si="126"/>
        <v>0</v>
      </c>
      <c r="O166" s="321">
        <f t="shared" si="126"/>
        <v>121582175</v>
      </c>
      <c r="P166" s="321">
        <f t="shared" si="126"/>
        <v>121582175</v>
      </c>
      <c r="Q166" s="20"/>
      <c r="R166" s="50"/>
    </row>
    <row r="167" spans="1:18" ht="183.75" thickTop="1" x14ac:dyDescent="0.65">
      <c r="A167" s="740" t="s">
        <v>1044</v>
      </c>
      <c r="B167" s="740" t="s">
        <v>1045</v>
      </c>
      <c r="C167" s="740" t="s">
        <v>50</v>
      </c>
      <c r="D167" s="678" t="s">
        <v>1410</v>
      </c>
      <c r="E167" s="737">
        <f t="shared" ref="E167:E171" si="127">F167</f>
        <v>0</v>
      </c>
      <c r="F167" s="737"/>
      <c r="G167" s="737"/>
      <c r="H167" s="737"/>
      <c r="I167" s="737"/>
      <c r="J167" s="737">
        <f t="shared" ref="J167:J171" si="128">L167+O167</f>
        <v>82535515</v>
      </c>
      <c r="K167" s="757">
        <f>(0)+82535515</f>
        <v>82535515</v>
      </c>
      <c r="L167" s="737"/>
      <c r="M167" s="737"/>
      <c r="N167" s="737"/>
      <c r="O167" s="757">
        <f t="shared" ref="O167:O171" si="129">K167</f>
        <v>82535515</v>
      </c>
      <c r="P167" s="737">
        <f t="shared" ref="P167:P171" si="130">E167+J167</f>
        <v>82535515</v>
      </c>
      <c r="Q167" s="778"/>
      <c r="R167" s="782"/>
    </row>
    <row r="168" spans="1:18" ht="204.75" customHeight="1" x14ac:dyDescent="0.2">
      <c r="A168" s="741"/>
      <c r="B168" s="741"/>
      <c r="C168" s="741"/>
      <c r="D168" s="679" t="s">
        <v>1411</v>
      </c>
      <c r="E168" s="741"/>
      <c r="F168" s="741"/>
      <c r="G168" s="741"/>
      <c r="H168" s="741"/>
      <c r="I168" s="741"/>
      <c r="J168" s="741"/>
      <c r="K168" s="741"/>
      <c r="L168" s="741"/>
      <c r="M168" s="741"/>
      <c r="N168" s="741"/>
      <c r="O168" s="741"/>
      <c r="P168" s="741"/>
      <c r="Q168" s="778"/>
      <c r="R168" s="783"/>
    </row>
    <row r="169" spans="1:18" ht="180" customHeight="1" x14ac:dyDescent="0.2">
      <c r="A169" s="741"/>
      <c r="B169" s="741"/>
      <c r="C169" s="741"/>
      <c r="D169" s="679" t="s">
        <v>1412</v>
      </c>
      <c r="E169" s="741"/>
      <c r="F169" s="741"/>
      <c r="G169" s="741"/>
      <c r="H169" s="741"/>
      <c r="I169" s="741"/>
      <c r="J169" s="741"/>
      <c r="K169" s="741"/>
      <c r="L169" s="741"/>
      <c r="M169" s="741"/>
      <c r="N169" s="741"/>
      <c r="O169" s="741"/>
      <c r="P169" s="741"/>
      <c r="Q169" s="778"/>
      <c r="R169" s="783"/>
    </row>
    <row r="170" spans="1:18" ht="117" customHeight="1" thickBot="1" x14ac:dyDescent="0.25">
      <c r="A170" s="742"/>
      <c r="B170" s="742"/>
      <c r="C170" s="742"/>
      <c r="D170" s="680" t="s">
        <v>1413</v>
      </c>
      <c r="E170" s="742"/>
      <c r="F170" s="742"/>
      <c r="G170" s="742"/>
      <c r="H170" s="742"/>
      <c r="I170" s="742"/>
      <c r="J170" s="742"/>
      <c r="K170" s="742"/>
      <c r="L170" s="742"/>
      <c r="M170" s="742"/>
      <c r="N170" s="742"/>
      <c r="O170" s="742"/>
      <c r="P170" s="742"/>
      <c r="Q170" s="778"/>
      <c r="R170" s="783"/>
    </row>
    <row r="171" spans="1:18" ht="183.75" thickTop="1" x14ac:dyDescent="0.65">
      <c r="A171" s="740" t="s">
        <v>1047</v>
      </c>
      <c r="B171" s="740" t="s">
        <v>1048</v>
      </c>
      <c r="C171" s="740" t="s">
        <v>50</v>
      </c>
      <c r="D171" s="678" t="s">
        <v>1046</v>
      </c>
      <c r="E171" s="737">
        <f t="shared" si="127"/>
        <v>0</v>
      </c>
      <c r="F171" s="737"/>
      <c r="G171" s="737"/>
      <c r="H171" s="737"/>
      <c r="I171" s="737"/>
      <c r="J171" s="737">
        <f t="shared" si="128"/>
        <v>29419182</v>
      </c>
      <c r="K171" s="757">
        <f>(0)+29419182</f>
        <v>29419182</v>
      </c>
      <c r="L171" s="737"/>
      <c r="M171" s="737"/>
      <c r="N171" s="737"/>
      <c r="O171" s="737">
        <f t="shared" si="129"/>
        <v>29419182</v>
      </c>
      <c r="P171" s="737">
        <f t="shared" si="130"/>
        <v>29419182</v>
      </c>
      <c r="Q171" s="20"/>
      <c r="R171" s="782"/>
    </row>
    <row r="172" spans="1:18" ht="204.75" customHeight="1" x14ac:dyDescent="0.2">
      <c r="A172" s="741"/>
      <c r="B172" s="741"/>
      <c r="C172" s="741"/>
      <c r="D172" s="679" t="s">
        <v>1414</v>
      </c>
      <c r="E172" s="741"/>
      <c r="F172" s="741"/>
      <c r="G172" s="741"/>
      <c r="H172" s="741"/>
      <c r="I172" s="741"/>
      <c r="J172" s="741"/>
      <c r="K172" s="741"/>
      <c r="L172" s="741"/>
      <c r="M172" s="741"/>
      <c r="N172" s="741"/>
      <c r="O172" s="741"/>
      <c r="P172" s="741"/>
      <c r="Q172" s="20"/>
      <c r="R172" s="784"/>
    </row>
    <row r="173" spans="1:18" ht="201.75" customHeight="1" x14ac:dyDescent="0.2">
      <c r="A173" s="741"/>
      <c r="B173" s="741"/>
      <c r="C173" s="741"/>
      <c r="D173" s="679" t="s">
        <v>1415</v>
      </c>
      <c r="E173" s="741"/>
      <c r="F173" s="741"/>
      <c r="G173" s="741"/>
      <c r="H173" s="741"/>
      <c r="I173" s="741"/>
      <c r="J173" s="741"/>
      <c r="K173" s="741"/>
      <c r="L173" s="741"/>
      <c r="M173" s="741"/>
      <c r="N173" s="741"/>
      <c r="O173" s="741"/>
      <c r="P173" s="741"/>
      <c r="Q173" s="20"/>
      <c r="R173" s="784"/>
    </row>
    <row r="174" spans="1:18" ht="111" customHeight="1" thickBot="1" x14ac:dyDescent="0.25">
      <c r="A174" s="742"/>
      <c r="B174" s="742"/>
      <c r="C174" s="742"/>
      <c r="D174" s="680" t="s">
        <v>1416</v>
      </c>
      <c r="E174" s="742"/>
      <c r="F174" s="742"/>
      <c r="G174" s="742"/>
      <c r="H174" s="742"/>
      <c r="I174" s="742"/>
      <c r="J174" s="742"/>
      <c r="K174" s="742"/>
      <c r="L174" s="742"/>
      <c r="M174" s="742"/>
      <c r="N174" s="742"/>
      <c r="O174" s="742"/>
      <c r="P174" s="742"/>
      <c r="Q174" s="20"/>
      <c r="R174" s="784"/>
    </row>
    <row r="175" spans="1:18" ht="183.75" thickTop="1" x14ac:dyDescent="0.65">
      <c r="A175" s="740" t="s">
        <v>1049</v>
      </c>
      <c r="B175" s="740" t="s">
        <v>1050</v>
      </c>
      <c r="C175" s="740" t="s">
        <v>50</v>
      </c>
      <c r="D175" s="678" t="s">
        <v>1417</v>
      </c>
      <c r="E175" s="737">
        <f t="shared" ref="E175" si="131">F175</f>
        <v>0</v>
      </c>
      <c r="F175" s="737"/>
      <c r="G175" s="737"/>
      <c r="H175" s="737"/>
      <c r="I175" s="737"/>
      <c r="J175" s="737">
        <f t="shared" ref="J175" si="132">L175+O175</f>
        <v>9627478</v>
      </c>
      <c r="K175" s="757">
        <f>(0)+9627478</f>
        <v>9627478</v>
      </c>
      <c r="L175" s="737"/>
      <c r="M175" s="737"/>
      <c r="N175" s="737"/>
      <c r="O175" s="757">
        <f t="shared" ref="O175" si="133">K175</f>
        <v>9627478</v>
      </c>
      <c r="P175" s="737">
        <f t="shared" ref="P175" si="134">E175+J175</f>
        <v>9627478</v>
      </c>
      <c r="Q175" s="20"/>
      <c r="R175" s="782"/>
    </row>
    <row r="176" spans="1:18" ht="183" x14ac:dyDescent="0.2">
      <c r="A176" s="741"/>
      <c r="B176" s="741"/>
      <c r="C176" s="741"/>
      <c r="D176" s="679" t="s">
        <v>1418</v>
      </c>
      <c r="E176" s="741"/>
      <c r="F176" s="741"/>
      <c r="G176" s="741"/>
      <c r="H176" s="741"/>
      <c r="I176" s="741"/>
      <c r="J176" s="741"/>
      <c r="K176" s="741"/>
      <c r="L176" s="741"/>
      <c r="M176" s="741"/>
      <c r="N176" s="741"/>
      <c r="O176" s="741"/>
      <c r="P176" s="741"/>
      <c r="Q176" s="20"/>
      <c r="R176" s="783"/>
    </row>
    <row r="177" spans="1:18" ht="70.5" customHeight="1" thickBot="1" x14ac:dyDescent="0.25">
      <c r="A177" s="742"/>
      <c r="B177" s="742"/>
      <c r="C177" s="742"/>
      <c r="D177" s="680" t="s">
        <v>1051</v>
      </c>
      <c r="E177" s="742"/>
      <c r="F177" s="742"/>
      <c r="G177" s="742"/>
      <c r="H177" s="742"/>
      <c r="I177" s="742"/>
      <c r="J177" s="742"/>
      <c r="K177" s="742"/>
      <c r="L177" s="742"/>
      <c r="M177" s="742"/>
      <c r="N177" s="742"/>
      <c r="O177" s="742"/>
      <c r="P177" s="742"/>
      <c r="Q177" s="20"/>
      <c r="R177" s="783"/>
    </row>
    <row r="178" spans="1:18" ht="184.5" hidden="1" thickTop="1" thickBot="1" x14ac:dyDescent="0.7">
      <c r="A178" s="748" t="s">
        <v>1055</v>
      </c>
      <c r="B178" s="748" t="s">
        <v>1056</v>
      </c>
      <c r="C178" s="748" t="s">
        <v>50</v>
      </c>
      <c r="D178" s="398" t="s">
        <v>1052</v>
      </c>
      <c r="E178" s="789">
        <f t="shared" ref="E178" si="135">F178</f>
        <v>0</v>
      </c>
      <c r="F178" s="789"/>
      <c r="G178" s="789"/>
      <c r="H178" s="789"/>
      <c r="I178" s="789"/>
      <c r="J178" s="789">
        <f t="shared" ref="J178" si="136">L178+O178</f>
        <v>0</v>
      </c>
      <c r="K178" s="788">
        <v>0</v>
      </c>
      <c r="L178" s="787"/>
      <c r="M178" s="787"/>
      <c r="N178" s="787"/>
      <c r="O178" s="788">
        <f t="shared" ref="O178" si="137">K178</f>
        <v>0</v>
      </c>
      <c r="P178" s="787">
        <f t="shared" ref="P178" si="138">E178+J178</f>
        <v>0</v>
      </c>
      <c r="Q178" s="20"/>
      <c r="R178" s="782"/>
    </row>
    <row r="179" spans="1:18" ht="184.5" hidden="1" thickTop="1" thickBot="1" x14ac:dyDescent="0.25">
      <c r="A179" s="749"/>
      <c r="B179" s="749"/>
      <c r="C179" s="749"/>
      <c r="D179" s="124" t="s">
        <v>1053</v>
      </c>
      <c r="E179" s="790"/>
      <c r="F179" s="790"/>
      <c r="G179" s="790"/>
      <c r="H179" s="790"/>
      <c r="I179" s="790"/>
      <c r="J179" s="790"/>
      <c r="K179" s="749"/>
      <c r="L179" s="749"/>
      <c r="M179" s="749"/>
      <c r="N179" s="749"/>
      <c r="O179" s="749"/>
      <c r="P179" s="749"/>
      <c r="Q179" s="20"/>
      <c r="R179" s="783"/>
    </row>
    <row r="180" spans="1:18" ht="47.25" hidden="1" thickTop="1" thickBot="1" x14ac:dyDescent="0.25">
      <c r="A180" s="750"/>
      <c r="B180" s="750"/>
      <c r="C180" s="750"/>
      <c r="D180" s="399" t="s">
        <v>1054</v>
      </c>
      <c r="E180" s="791"/>
      <c r="F180" s="791"/>
      <c r="G180" s="791"/>
      <c r="H180" s="791"/>
      <c r="I180" s="791"/>
      <c r="J180" s="791"/>
      <c r="K180" s="750"/>
      <c r="L180" s="750"/>
      <c r="M180" s="750"/>
      <c r="N180" s="750"/>
      <c r="O180" s="750"/>
      <c r="P180" s="750"/>
      <c r="Q180" s="20"/>
      <c r="R180" s="783"/>
    </row>
    <row r="181" spans="1:18" ht="93" thickTop="1" thickBot="1" x14ac:dyDescent="0.25">
      <c r="A181" s="101" t="s">
        <v>1185</v>
      </c>
      <c r="B181" s="101" t="s">
        <v>1182</v>
      </c>
      <c r="C181" s="101" t="s">
        <v>206</v>
      </c>
      <c r="D181" s="461" t="s">
        <v>1183</v>
      </c>
      <c r="E181" s="537">
        <f t="shared" ref="E181" si="139">F181</f>
        <v>6550760.2199999997</v>
      </c>
      <c r="F181" s="453">
        <f>(((5975529)+1168180)+856731.22)-1449680</f>
        <v>6550760.2199999997</v>
      </c>
      <c r="G181" s="132"/>
      <c r="H181" s="132"/>
      <c r="I181" s="132"/>
      <c r="J181" s="324">
        <f t="shared" ref="J181" si="140">L181+O181</f>
        <v>52433265.939999998</v>
      </c>
      <c r="K181" s="453">
        <f>((((30767856.02)+16737530.6-3236524.08)+908668+1644258+500000)+2222145.6)+4527005+1500000-3137673.2</f>
        <v>52433265.939999998</v>
      </c>
      <c r="L181" s="453"/>
      <c r="M181" s="453"/>
      <c r="N181" s="453"/>
      <c r="O181" s="450">
        <f t="shared" ref="O181" si="141">K181</f>
        <v>52433265.939999998</v>
      </c>
      <c r="P181" s="324">
        <f>E181+J181</f>
        <v>58984026.159999996</v>
      </c>
      <c r="Q181" s="20"/>
      <c r="R181" s="21"/>
    </row>
    <row r="182" spans="1:18" s="33" customFormat="1" ht="48" thickTop="1" thickBot="1" x14ac:dyDescent="0.25">
      <c r="A182" s="325" t="s">
        <v>734</v>
      </c>
      <c r="B182" s="325" t="s">
        <v>735</v>
      </c>
      <c r="C182" s="325"/>
      <c r="D182" s="325" t="s">
        <v>736</v>
      </c>
      <c r="E182" s="321">
        <f>SUM(E183:E184)</f>
        <v>132079633.81</v>
      </c>
      <c r="F182" s="321">
        <f t="shared" ref="F182:P182" si="142">SUM(F183:F184)</f>
        <v>132079633.81</v>
      </c>
      <c r="G182" s="321">
        <f t="shared" si="142"/>
        <v>14711142</v>
      </c>
      <c r="H182" s="321">
        <f t="shared" si="142"/>
        <v>2422921.58</v>
      </c>
      <c r="I182" s="321">
        <f t="shared" si="142"/>
        <v>0</v>
      </c>
      <c r="J182" s="321">
        <f t="shared" si="142"/>
        <v>36813150.640000001</v>
      </c>
      <c r="K182" s="321">
        <f t="shared" si="142"/>
        <v>31820890.640000001</v>
      </c>
      <c r="L182" s="321">
        <f t="shared" si="142"/>
        <v>4968260</v>
      </c>
      <c r="M182" s="321">
        <f t="shared" si="142"/>
        <v>1885685</v>
      </c>
      <c r="N182" s="321">
        <f t="shared" si="142"/>
        <v>555805</v>
      </c>
      <c r="O182" s="321">
        <f t="shared" si="142"/>
        <v>31844890.640000001</v>
      </c>
      <c r="P182" s="321">
        <f t="shared" si="142"/>
        <v>168892784.44999999</v>
      </c>
      <c r="Q182" s="36"/>
      <c r="R182" s="51"/>
    </row>
    <row r="183" spans="1:18" ht="93" thickTop="1" thickBot="1" x14ac:dyDescent="0.25">
      <c r="A183" s="101" t="s">
        <v>327</v>
      </c>
      <c r="B183" s="101" t="s">
        <v>329</v>
      </c>
      <c r="C183" s="101" t="s">
        <v>191</v>
      </c>
      <c r="D183" s="461" t="s">
        <v>331</v>
      </c>
      <c r="E183" s="324">
        <f t="shared" si="117"/>
        <v>32275792.809999999</v>
      </c>
      <c r="F183" s="453">
        <f>(((((24773656)+2282350+2871000+571920)+149693+255079-300000+513700+22500+905816-13000-299300)+12809.13)+50000+100000+20000+100000+300000+46750+83490+84000+13280+45469.07+29500)-342919.39</f>
        <v>32275792.809999999</v>
      </c>
      <c r="G183" s="322">
        <f>(3231579+4596637+3505606)+1568320+1809000</f>
        <v>14711142</v>
      </c>
      <c r="H183" s="322">
        <f>(((((35600+197918+78510+15030+337600+219800+437423+28830)+70000)+137643)+12809.13)+300000+46750+83490)+8838.62+40499.83+75000+18300+278880</f>
        <v>2422921.58</v>
      </c>
      <c r="I183" s="453"/>
      <c r="J183" s="324">
        <f t="shared" ref="J183:J196" si="143">L183+O183</f>
        <v>8057115</v>
      </c>
      <c r="K183" s="453">
        <f>((0)+26950+100000+1475430)+100000+1132475+15000+215000</f>
        <v>3064855</v>
      </c>
      <c r="L183" s="453">
        <f>4992260-24000</f>
        <v>4968260</v>
      </c>
      <c r="M183" s="453">
        <v>1885685</v>
      </c>
      <c r="N183" s="453">
        <f>34805+338560+116750+65690</f>
        <v>555805</v>
      </c>
      <c r="O183" s="450">
        <f>(K183)+24000</f>
        <v>3088855</v>
      </c>
      <c r="P183" s="324">
        <f t="shared" ref="P183:P196" si="144">E183+J183</f>
        <v>40332907.810000002</v>
      </c>
      <c r="Q183" s="20"/>
      <c r="R183" s="46"/>
    </row>
    <row r="184" spans="1:18" ht="66.75" customHeight="1" thickTop="1" thickBot="1" x14ac:dyDescent="0.25">
      <c r="A184" s="101" t="s">
        <v>328</v>
      </c>
      <c r="B184" s="101" t="s">
        <v>330</v>
      </c>
      <c r="C184" s="101" t="s">
        <v>191</v>
      </c>
      <c r="D184" s="461" t="s">
        <v>332</v>
      </c>
      <c r="E184" s="324">
        <f t="shared" si="117"/>
        <v>99803841</v>
      </c>
      <c r="F184" s="453">
        <f>((((43653090)+5000000+1800000)+20216750)+15000000+684000+1400000+200000+780000+500000-23999)+10000000+294000+300000</f>
        <v>99803841</v>
      </c>
      <c r="G184" s="132"/>
      <c r="H184" s="132"/>
      <c r="I184" s="132"/>
      <c r="J184" s="324">
        <f t="shared" si="143"/>
        <v>28756035.640000001</v>
      </c>
      <c r="K184" s="453">
        <f>(((24000000)+102600)+23999)+4629436.64</f>
        <v>28756035.640000001</v>
      </c>
      <c r="L184" s="453"/>
      <c r="M184" s="453"/>
      <c r="N184" s="453"/>
      <c r="O184" s="450">
        <f t="shared" ref="O184:O196" si="145">K184</f>
        <v>28756035.640000001</v>
      </c>
      <c r="P184" s="324">
        <f t="shared" si="144"/>
        <v>128559876.64</v>
      </c>
      <c r="Q184" s="20"/>
      <c r="R184" s="46"/>
    </row>
    <row r="185" spans="1:18" ht="47.25" thickTop="1" thickBot="1" x14ac:dyDescent="0.25">
      <c r="A185" s="308" t="s">
        <v>737</v>
      </c>
      <c r="B185" s="308" t="s">
        <v>738</v>
      </c>
      <c r="C185" s="308"/>
      <c r="D185" s="343" t="s">
        <v>739</v>
      </c>
      <c r="E185" s="324">
        <f>SUM(E186)</f>
        <v>0</v>
      </c>
      <c r="F185" s="324">
        <f t="shared" ref="F185:P185" si="146">SUM(F186)</f>
        <v>0</v>
      </c>
      <c r="G185" s="324">
        <f t="shared" si="146"/>
        <v>0</v>
      </c>
      <c r="H185" s="324">
        <f t="shared" si="146"/>
        <v>0</v>
      </c>
      <c r="I185" s="324">
        <f t="shared" si="146"/>
        <v>0</v>
      </c>
      <c r="J185" s="324">
        <f>SUM(J186)</f>
        <v>26000000</v>
      </c>
      <c r="K185" s="324">
        <f t="shared" si="146"/>
        <v>26000000</v>
      </c>
      <c r="L185" s="324">
        <f t="shared" si="146"/>
        <v>0</v>
      </c>
      <c r="M185" s="324">
        <f t="shared" si="146"/>
        <v>0</v>
      </c>
      <c r="N185" s="324">
        <f t="shared" si="146"/>
        <v>0</v>
      </c>
      <c r="O185" s="324">
        <f t="shared" si="146"/>
        <v>26000000</v>
      </c>
      <c r="P185" s="324">
        <f t="shared" si="146"/>
        <v>26000000</v>
      </c>
      <c r="Q185" s="20"/>
      <c r="R185" s="46"/>
    </row>
    <row r="186" spans="1:18" s="33" customFormat="1" ht="48" thickTop="1" thickBot="1" x14ac:dyDescent="0.25">
      <c r="A186" s="325" t="s">
        <v>740</v>
      </c>
      <c r="B186" s="325" t="s">
        <v>741</v>
      </c>
      <c r="C186" s="325"/>
      <c r="D186" s="536" t="s">
        <v>742</v>
      </c>
      <c r="E186" s="321">
        <f>SUM(E187:E188)</f>
        <v>0</v>
      </c>
      <c r="F186" s="321">
        <f>SUM(F187:F188)</f>
        <v>0</v>
      </c>
      <c r="G186" s="321">
        <f>SUM(G187:G188)</f>
        <v>0</v>
      </c>
      <c r="H186" s="321">
        <f>SUM(H187:H188)</f>
        <v>0</v>
      </c>
      <c r="I186" s="321">
        <f>SUM(I187:I188)</f>
        <v>0</v>
      </c>
      <c r="J186" s="321">
        <f t="shared" ref="J186:O186" si="147">SUM(J187:J188)</f>
        <v>26000000</v>
      </c>
      <c r="K186" s="321">
        <f t="shared" si="147"/>
        <v>26000000</v>
      </c>
      <c r="L186" s="321">
        <f t="shared" si="147"/>
        <v>0</v>
      </c>
      <c r="M186" s="321">
        <f t="shared" si="147"/>
        <v>0</v>
      </c>
      <c r="N186" s="321">
        <f t="shared" si="147"/>
        <v>0</v>
      </c>
      <c r="O186" s="321">
        <f t="shared" si="147"/>
        <v>26000000</v>
      </c>
      <c r="P186" s="321">
        <f>SUM(P187:P188)</f>
        <v>26000000</v>
      </c>
      <c r="Q186" s="36"/>
      <c r="R186" s="52"/>
    </row>
    <row r="187" spans="1:18" ht="48" thickTop="1" thickBot="1" x14ac:dyDescent="0.25">
      <c r="A187" s="101" t="s">
        <v>367</v>
      </c>
      <c r="B187" s="101" t="s">
        <v>365</v>
      </c>
      <c r="C187" s="101" t="s">
        <v>340</v>
      </c>
      <c r="D187" s="461" t="s">
        <v>366</v>
      </c>
      <c r="E187" s="324">
        <f t="shared" si="117"/>
        <v>0</v>
      </c>
      <c r="F187" s="453"/>
      <c r="G187" s="453"/>
      <c r="H187" s="453"/>
      <c r="I187" s="453"/>
      <c r="J187" s="324">
        <f t="shared" si="143"/>
        <v>26000000</v>
      </c>
      <c r="K187" s="453">
        <f>(20000000)+6000000</f>
        <v>26000000</v>
      </c>
      <c r="L187" s="453"/>
      <c r="M187" s="453"/>
      <c r="N187" s="453"/>
      <c r="O187" s="450">
        <f t="shared" si="145"/>
        <v>26000000</v>
      </c>
      <c r="P187" s="324">
        <f t="shared" si="144"/>
        <v>26000000</v>
      </c>
      <c r="Q187" s="20"/>
      <c r="R187" s="46"/>
    </row>
    <row r="188" spans="1:18" ht="184.5" hidden="1" thickTop="1" thickBot="1" x14ac:dyDescent="0.25">
      <c r="A188" s="41" t="s">
        <v>1057</v>
      </c>
      <c r="B188" s="41" t="s">
        <v>1058</v>
      </c>
      <c r="C188" s="41" t="s">
        <v>340</v>
      </c>
      <c r="D188" s="152" t="s">
        <v>1059</v>
      </c>
      <c r="E188" s="42">
        <f t="shared" si="117"/>
        <v>0</v>
      </c>
      <c r="F188" s="43"/>
      <c r="G188" s="43"/>
      <c r="H188" s="43"/>
      <c r="I188" s="43"/>
      <c r="J188" s="42">
        <f t="shared" si="143"/>
        <v>0</v>
      </c>
      <c r="K188" s="43">
        <v>0</v>
      </c>
      <c r="L188" s="43"/>
      <c r="M188" s="43"/>
      <c r="N188" s="43"/>
      <c r="O188" s="44">
        <f t="shared" si="145"/>
        <v>0</v>
      </c>
      <c r="P188" s="42">
        <f t="shared" si="144"/>
        <v>0</v>
      </c>
      <c r="Q188" s="20"/>
      <c r="R188" s="46"/>
    </row>
    <row r="189" spans="1:18" ht="47.25" thickTop="1" thickBot="1" x14ac:dyDescent="0.25">
      <c r="A189" s="308" t="s">
        <v>747</v>
      </c>
      <c r="B189" s="308" t="s">
        <v>744</v>
      </c>
      <c r="C189" s="308"/>
      <c r="D189" s="308" t="s">
        <v>745</v>
      </c>
      <c r="E189" s="324">
        <f>E193+E190</f>
        <v>0</v>
      </c>
      <c r="F189" s="324">
        <f t="shared" ref="F189:P189" si="148">F193+F190</f>
        <v>0</v>
      </c>
      <c r="G189" s="324">
        <f t="shared" si="148"/>
        <v>0</v>
      </c>
      <c r="H189" s="324">
        <f t="shared" si="148"/>
        <v>0</v>
      </c>
      <c r="I189" s="324">
        <f t="shared" si="148"/>
        <v>0</v>
      </c>
      <c r="J189" s="324">
        <f t="shared" si="148"/>
        <v>10003138.550000001</v>
      </c>
      <c r="K189" s="324">
        <f t="shared" si="148"/>
        <v>10003138.550000001</v>
      </c>
      <c r="L189" s="324">
        <f t="shared" si="148"/>
        <v>0</v>
      </c>
      <c r="M189" s="324">
        <f t="shared" si="148"/>
        <v>0</v>
      </c>
      <c r="N189" s="324">
        <f t="shared" si="148"/>
        <v>0</v>
      </c>
      <c r="O189" s="324">
        <f t="shared" si="148"/>
        <v>10003138.550000001</v>
      </c>
      <c r="P189" s="324">
        <f t="shared" si="148"/>
        <v>10003138.550000001</v>
      </c>
      <c r="Q189" s="20"/>
      <c r="R189" s="46"/>
    </row>
    <row r="190" spans="1:18" ht="47.25" thickTop="1" thickBot="1" x14ac:dyDescent="0.25">
      <c r="A190" s="310" t="s">
        <v>921</v>
      </c>
      <c r="B190" s="310" t="s">
        <v>799</v>
      </c>
      <c r="C190" s="310"/>
      <c r="D190" s="310" t="s">
        <v>800</v>
      </c>
      <c r="E190" s="312">
        <f>E191</f>
        <v>0</v>
      </c>
      <c r="F190" s="312">
        <f t="shared" ref="F190:P195" si="149">F191</f>
        <v>0</v>
      </c>
      <c r="G190" s="312">
        <f t="shared" si="149"/>
        <v>0</v>
      </c>
      <c r="H190" s="312">
        <f t="shared" si="149"/>
        <v>0</v>
      </c>
      <c r="I190" s="312">
        <f t="shared" si="149"/>
        <v>0</v>
      </c>
      <c r="J190" s="312">
        <f t="shared" si="149"/>
        <v>3685673.2</v>
      </c>
      <c r="K190" s="312">
        <f t="shared" si="149"/>
        <v>3685673.2</v>
      </c>
      <c r="L190" s="312">
        <f t="shared" si="149"/>
        <v>0</v>
      </c>
      <c r="M190" s="312">
        <f t="shared" si="149"/>
        <v>0</v>
      </c>
      <c r="N190" s="312">
        <f t="shared" si="149"/>
        <v>0</v>
      </c>
      <c r="O190" s="312">
        <f t="shared" si="149"/>
        <v>3685673.2</v>
      </c>
      <c r="P190" s="312">
        <f t="shared" si="149"/>
        <v>3685673.2</v>
      </c>
      <c r="Q190" s="20"/>
      <c r="R190" s="46"/>
    </row>
    <row r="191" spans="1:18" ht="54.75" thickTop="1" thickBot="1" x14ac:dyDescent="0.25">
      <c r="A191" s="325" t="s">
        <v>918</v>
      </c>
      <c r="B191" s="325" t="s">
        <v>817</v>
      </c>
      <c r="C191" s="325"/>
      <c r="D191" s="325" t="s">
        <v>1483</v>
      </c>
      <c r="E191" s="321">
        <f>E192</f>
        <v>0</v>
      </c>
      <c r="F191" s="321">
        <f t="shared" si="149"/>
        <v>0</v>
      </c>
      <c r="G191" s="321">
        <f t="shared" si="149"/>
        <v>0</v>
      </c>
      <c r="H191" s="321">
        <f t="shared" si="149"/>
        <v>0</v>
      </c>
      <c r="I191" s="321">
        <f t="shared" si="149"/>
        <v>0</v>
      </c>
      <c r="J191" s="321">
        <f t="shared" si="149"/>
        <v>3685673.2</v>
      </c>
      <c r="K191" s="321">
        <f t="shared" si="149"/>
        <v>3685673.2</v>
      </c>
      <c r="L191" s="321">
        <f t="shared" si="149"/>
        <v>0</v>
      </c>
      <c r="M191" s="321">
        <f t="shared" si="149"/>
        <v>0</v>
      </c>
      <c r="N191" s="321">
        <f t="shared" si="149"/>
        <v>0</v>
      </c>
      <c r="O191" s="321">
        <f t="shared" si="149"/>
        <v>3685673.2</v>
      </c>
      <c r="P191" s="321">
        <f t="shared" si="149"/>
        <v>3685673.2</v>
      </c>
      <c r="Q191" s="20"/>
      <c r="R191" s="46"/>
    </row>
    <row r="192" spans="1:18" ht="54" thickTop="1" thickBot="1" x14ac:dyDescent="0.25">
      <c r="A192" s="101" t="s">
        <v>919</v>
      </c>
      <c r="B192" s="101" t="s">
        <v>920</v>
      </c>
      <c r="C192" s="101" t="s">
        <v>304</v>
      </c>
      <c r="D192" s="101" t="s">
        <v>1583</v>
      </c>
      <c r="E192" s="324">
        <f t="shared" ref="E192:E194" si="150">F192</f>
        <v>0</v>
      </c>
      <c r="F192" s="453"/>
      <c r="G192" s="453"/>
      <c r="H192" s="453"/>
      <c r="I192" s="453"/>
      <c r="J192" s="324">
        <f>L192+O192</f>
        <v>3685673.2</v>
      </c>
      <c r="K192" s="453">
        <f>(((0)+999655-549655)+98000)+3137673.2</f>
        <v>3685673.2</v>
      </c>
      <c r="L192" s="453"/>
      <c r="M192" s="453"/>
      <c r="N192" s="453"/>
      <c r="O192" s="450">
        <f>K192</f>
        <v>3685673.2</v>
      </c>
      <c r="P192" s="324">
        <f>E192+J192</f>
        <v>3685673.2</v>
      </c>
      <c r="Q192" s="20"/>
      <c r="R192" s="46"/>
    </row>
    <row r="193" spans="1:18" ht="47.25" thickTop="1" thickBot="1" x14ac:dyDescent="0.25">
      <c r="A193" s="310" t="s">
        <v>749</v>
      </c>
      <c r="B193" s="310" t="s">
        <v>687</v>
      </c>
      <c r="C193" s="310"/>
      <c r="D193" s="310" t="s">
        <v>685</v>
      </c>
      <c r="E193" s="312">
        <f>E195+E194</f>
        <v>0</v>
      </c>
      <c r="F193" s="312">
        <f t="shared" ref="F193:I193" si="151">F195+F194</f>
        <v>0</v>
      </c>
      <c r="G193" s="312">
        <f t="shared" si="151"/>
        <v>0</v>
      </c>
      <c r="H193" s="312">
        <f t="shared" si="151"/>
        <v>0</v>
      </c>
      <c r="I193" s="312">
        <f t="shared" si="151"/>
        <v>0</v>
      </c>
      <c r="J193" s="312">
        <f>J195+J194</f>
        <v>6317465.3499999996</v>
      </c>
      <c r="K193" s="312">
        <f t="shared" ref="K193:O193" si="152">K195+K194</f>
        <v>6317465.3499999996</v>
      </c>
      <c r="L193" s="312">
        <f t="shared" si="152"/>
        <v>0</v>
      </c>
      <c r="M193" s="312">
        <f t="shared" si="152"/>
        <v>0</v>
      </c>
      <c r="N193" s="312">
        <f t="shared" si="152"/>
        <v>0</v>
      </c>
      <c r="O193" s="312">
        <f t="shared" si="152"/>
        <v>6317465.3499999996</v>
      </c>
      <c r="P193" s="312">
        <f>P195+P194</f>
        <v>6317465.3499999996</v>
      </c>
      <c r="Q193" s="20"/>
      <c r="R193" s="46"/>
    </row>
    <row r="194" spans="1:18" ht="48" thickTop="1" thickBot="1" x14ac:dyDescent="0.25">
      <c r="A194" s="101" t="s">
        <v>1290</v>
      </c>
      <c r="B194" s="101" t="s">
        <v>212</v>
      </c>
      <c r="C194" s="101" t="s">
        <v>213</v>
      </c>
      <c r="D194" s="101" t="s">
        <v>41</v>
      </c>
      <c r="E194" s="324">
        <f t="shared" si="150"/>
        <v>0</v>
      </c>
      <c r="F194" s="453">
        <v>0</v>
      </c>
      <c r="G194" s="453"/>
      <c r="H194" s="453"/>
      <c r="I194" s="453"/>
      <c r="J194" s="324">
        <f t="shared" ref="J194" si="153">L194+O194</f>
        <v>6317465.3499999996</v>
      </c>
      <c r="K194" s="453">
        <f>((13660)+2000000)+4303805.35</f>
        <v>6317465.3499999996</v>
      </c>
      <c r="L194" s="453"/>
      <c r="M194" s="453"/>
      <c r="N194" s="453"/>
      <c r="O194" s="450">
        <f t="shared" ref="O194" si="154">K194</f>
        <v>6317465.3499999996</v>
      </c>
      <c r="P194" s="324">
        <f t="shared" ref="P194" si="155">E194+J194</f>
        <v>6317465.3499999996</v>
      </c>
      <c r="Q194" s="20"/>
      <c r="R194" s="46"/>
    </row>
    <row r="195" spans="1:18" ht="48" hidden="1" thickTop="1" thickBot="1" x14ac:dyDescent="0.25">
      <c r="A195" s="138" t="s">
        <v>748</v>
      </c>
      <c r="B195" s="138" t="s">
        <v>690</v>
      </c>
      <c r="C195" s="138"/>
      <c r="D195" s="151" t="s">
        <v>688</v>
      </c>
      <c r="E195" s="139">
        <f>E196</f>
        <v>0</v>
      </c>
      <c r="F195" s="139">
        <f t="shared" si="149"/>
        <v>0</v>
      </c>
      <c r="G195" s="139">
        <f t="shared" si="149"/>
        <v>0</v>
      </c>
      <c r="H195" s="139">
        <f t="shared" si="149"/>
        <v>0</v>
      </c>
      <c r="I195" s="139">
        <f t="shared" si="149"/>
        <v>0</v>
      </c>
      <c r="J195" s="139">
        <f t="shared" si="149"/>
        <v>0</v>
      </c>
      <c r="K195" s="139">
        <f t="shared" si="149"/>
        <v>0</v>
      </c>
      <c r="L195" s="139">
        <f t="shared" si="149"/>
        <v>0</v>
      </c>
      <c r="M195" s="139">
        <f t="shared" si="149"/>
        <v>0</v>
      </c>
      <c r="N195" s="139">
        <f t="shared" si="149"/>
        <v>0</v>
      </c>
      <c r="O195" s="139">
        <f t="shared" si="149"/>
        <v>0</v>
      </c>
      <c r="P195" s="139">
        <f t="shared" si="149"/>
        <v>0</v>
      </c>
      <c r="Q195" s="20"/>
      <c r="R195" s="46"/>
    </row>
    <row r="196" spans="1:18" ht="138.75" hidden="1" thickTop="1" thickBot="1" x14ac:dyDescent="0.7">
      <c r="A196" s="744" t="s">
        <v>422</v>
      </c>
      <c r="B196" s="744" t="s">
        <v>338</v>
      </c>
      <c r="C196" s="744" t="s">
        <v>170</v>
      </c>
      <c r="D196" s="153" t="s">
        <v>439</v>
      </c>
      <c r="E196" s="745">
        <f t="shared" si="117"/>
        <v>0</v>
      </c>
      <c r="F196" s="739"/>
      <c r="G196" s="739"/>
      <c r="H196" s="739"/>
      <c r="I196" s="739"/>
      <c r="J196" s="745">
        <f t="shared" si="143"/>
        <v>0</v>
      </c>
      <c r="K196" s="739"/>
      <c r="L196" s="739"/>
      <c r="M196" s="739"/>
      <c r="N196" s="739"/>
      <c r="O196" s="772">
        <f t="shared" si="145"/>
        <v>0</v>
      </c>
      <c r="P196" s="773">
        <f t="shared" si="144"/>
        <v>0</v>
      </c>
      <c r="Q196" s="20"/>
      <c r="R196" s="50"/>
    </row>
    <row r="197" spans="1:18" ht="93" hidden="1" thickTop="1" thickBot="1" x14ac:dyDescent="0.25">
      <c r="A197" s="746"/>
      <c r="B197" s="747"/>
      <c r="C197" s="746"/>
      <c r="D197" s="154" t="s">
        <v>440</v>
      </c>
      <c r="E197" s="746"/>
      <c r="F197" s="756"/>
      <c r="G197" s="756"/>
      <c r="H197" s="756"/>
      <c r="I197" s="756"/>
      <c r="J197" s="746"/>
      <c r="K197" s="746"/>
      <c r="L197" s="756"/>
      <c r="M197" s="756"/>
      <c r="N197" s="756"/>
      <c r="O197" s="792"/>
      <c r="P197" s="793"/>
      <c r="Q197" s="20"/>
      <c r="R197" s="50"/>
    </row>
    <row r="198" spans="1:18" ht="120" customHeight="1" thickTop="1" thickBot="1" x14ac:dyDescent="0.25">
      <c r="A198" s="689">
        <v>1000000</v>
      </c>
      <c r="B198" s="689"/>
      <c r="C198" s="689"/>
      <c r="D198" s="690" t="s">
        <v>24</v>
      </c>
      <c r="E198" s="691">
        <f>E199</f>
        <v>171010135</v>
      </c>
      <c r="F198" s="692">
        <f t="shared" ref="F198:G198" si="156">F199</f>
        <v>171010135</v>
      </c>
      <c r="G198" s="692">
        <f t="shared" si="156"/>
        <v>124260999</v>
      </c>
      <c r="H198" s="692">
        <f>H199</f>
        <v>8158262</v>
      </c>
      <c r="I198" s="692">
        <f>I199</f>
        <v>0</v>
      </c>
      <c r="J198" s="691">
        <f>J199</f>
        <v>12658492</v>
      </c>
      <c r="K198" s="692">
        <f>K199</f>
        <v>1524642</v>
      </c>
      <c r="L198" s="692">
        <f>L199</f>
        <v>10895910</v>
      </c>
      <c r="M198" s="692">
        <f t="shared" ref="M198" si="157">M199</f>
        <v>8032370</v>
      </c>
      <c r="N198" s="692">
        <f>N199</f>
        <v>284620</v>
      </c>
      <c r="O198" s="691">
        <f>O199</f>
        <v>1762582</v>
      </c>
      <c r="P198" s="692">
        <f t="shared" ref="P198" si="158">P199</f>
        <v>183668627</v>
      </c>
      <c r="Q198" s="20"/>
    </row>
    <row r="199" spans="1:18" ht="120" customHeight="1" thickTop="1" thickBot="1" x14ac:dyDescent="0.25">
      <c r="A199" s="693">
        <v>1010000</v>
      </c>
      <c r="B199" s="693"/>
      <c r="C199" s="693"/>
      <c r="D199" s="694" t="s">
        <v>39</v>
      </c>
      <c r="E199" s="695">
        <f>E200+E202+E216+E210</f>
        <v>171010135</v>
      </c>
      <c r="F199" s="695">
        <f>F200+F202+F216+F210</f>
        <v>171010135</v>
      </c>
      <c r="G199" s="695">
        <f>G200+G202+G216+G210</f>
        <v>124260999</v>
      </c>
      <c r="H199" s="695">
        <f>H200+H202+H216+H210</f>
        <v>8158262</v>
      </c>
      <c r="I199" s="695">
        <f>I200+I202+I216+I210</f>
        <v>0</v>
      </c>
      <c r="J199" s="695">
        <f t="shared" ref="J199:J209" si="159">L199+O199</f>
        <v>12658492</v>
      </c>
      <c r="K199" s="695">
        <f>K200+K202+K216+K210</f>
        <v>1524642</v>
      </c>
      <c r="L199" s="695">
        <f>L200+L202+L216+L210</f>
        <v>10895910</v>
      </c>
      <c r="M199" s="695">
        <f>M200+M202+M216+M210</f>
        <v>8032370</v>
      </c>
      <c r="N199" s="695">
        <f>N200+N202+N216+N210</f>
        <v>284620</v>
      </c>
      <c r="O199" s="695">
        <f>O200+O202+O216+O210</f>
        <v>1762582</v>
      </c>
      <c r="P199" s="695">
        <f t="shared" ref="P199:P209" si="160">E199+J199</f>
        <v>183668627</v>
      </c>
      <c r="Q199" s="487" t="b">
        <f>P199=P201+P203+P204+P205+P209+P208+P213+P215</f>
        <v>1</v>
      </c>
      <c r="R199" s="46"/>
    </row>
    <row r="200" spans="1:18" ht="47.25" thickTop="1" thickBot="1" x14ac:dyDescent="0.25">
      <c r="A200" s="308" t="s">
        <v>750</v>
      </c>
      <c r="B200" s="308" t="s">
        <v>704</v>
      </c>
      <c r="C200" s="308"/>
      <c r="D200" s="308" t="s">
        <v>705</v>
      </c>
      <c r="E200" s="324">
        <f>E201</f>
        <v>93962228</v>
      </c>
      <c r="F200" s="324">
        <f t="shared" ref="F200:P200" si="161">F201</f>
        <v>93962228</v>
      </c>
      <c r="G200" s="324">
        <f t="shared" si="161"/>
        <v>72290970</v>
      </c>
      <c r="H200" s="324">
        <f t="shared" si="161"/>
        <v>4617684</v>
      </c>
      <c r="I200" s="324">
        <f t="shared" si="161"/>
        <v>0</v>
      </c>
      <c r="J200" s="324">
        <f t="shared" si="161"/>
        <v>10237010</v>
      </c>
      <c r="K200" s="324">
        <f t="shared" si="161"/>
        <v>322350</v>
      </c>
      <c r="L200" s="324">
        <f t="shared" si="161"/>
        <v>9792720</v>
      </c>
      <c r="M200" s="324">
        <f t="shared" si="161"/>
        <v>7465250</v>
      </c>
      <c r="N200" s="324">
        <f t="shared" si="161"/>
        <v>223920</v>
      </c>
      <c r="O200" s="324">
        <f t="shared" si="161"/>
        <v>444290</v>
      </c>
      <c r="P200" s="324">
        <f t="shared" si="161"/>
        <v>104199238</v>
      </c>
      <c r="Q200" s="47"/>
      <c r="R200" s="46"/>
    </row>
    <row r="201" spans="1:18" ht="48" thickTop="1" thickBot="1" x14ac:dyDescent="0.25">
      <c r="A201" s="101" t="s">
        <v>634</v>
      </c>
      <c r="B201" s="101" t="s">
        <v>635</v>
      </c>
      <c r="C201" s="101" t="s">
        <v>181</v>
      </c>
      <c r="D201" s="101" t="s">
        <v>1103</v>
      </c>
      <c r="E201" s="324">
        <f>F201</f>
        <v>93962228</v>
      </c>
      <c r="F201" s="453">
        <f>(((95874428)+50028)+237772)-1700000-500000</f>
        <v>93962228</v>
      </c>
      <c r="G201" s="453">
        <f>(73990970)-1700000</f>
        <v>72290970</v>
      </c>
      <c r="H201" s="453">
        <f>3898302+36160+523522+130800+28900</f>
        <v>4617684</v>
      </c>
      <c r="I201" s="453"/>
      <c r="J201" s="324">
        <f t="shared" si="159"/>
        <v>10237010</v>
      </c>
      <c r="K201" s="453">
        <f>(0)+322350</f>
        <v>322350</v>
      </c>
      <c r="L201" s="453">
        <f>9914660-121940</f>
        <v>9792720</v>
      </c>
      <c r="M201" s="453">
        <v>7465250</v>
      </c>
      <c r="N201" s="453">
        <v>223920</v>
      </c>
      <c r="O201" s="450">
        <f>(K201+121940)</f>
        <v>444290</v>
      </c>
      <c r="P201" s="324">
        <f t="shared" si="160"/>
        <v>104199238</v>
      </c>
      <c r="Q201" s="20"/>
      <c r="R201" s="46"/>
    </row>
    <row r="202" spans="1:18" s="24" customFormat="1" ht="47.25" thickTop="1" thickBot="1" x14ac:dyDescent="0.25">
      <c r="A202" s="308" t="s">
        <v>751</v>
      </c>
      <c r="B202" s="308" t="s">
        <v>752</v>
      </c>
      <c r="C202" s="308"/>
      <c r="D202" s="308" t="s">
        <v>753</v>
      </c>
      <c r="E202" s="324">
        <f t="shared" ref="E202:P202" si="162">SUM(E203:E209)-E207</f>
        <v>76021057</v>
      </c>
      <c r="F202" s="324">
        <f t="shared" si="162"/>
        <v>76021057</v>
      </c>
      <c r="G202" s="324">
        <f t="shared" si="162"/>
        <v>51970029</v>
      </c>
      <c r="H202" s="324">
        <f t="shared" si="162"/>
        <v>3540578</v>
      </c>
      <c r="I202" s="324">
        <f t="shared" si="162"/>
        <v>0</v>
      </c>
      <c r="J202" s="324">
        <f t="shared" si="162"/>
        <v>1920690</v>
      </c>
      <c r="K202" s="324">
        <f t="shared" si="162"/>
        <v>701500</v>
      </c>
      <c r="L202" s="324">
        <f t="shared" si="162"/>
        <v>1103190</v>
      </c>
      <c r="M202" s="324">
        <f t="shared" si="162"/>
        <v>567120</v>
      </c>
      <c r="N202" s="324">
        <f t="shared" si="162"/>
        <v>60700</v>
      </c>
      <c r="O202" s="324">
        <f t="shared" si="162"/>
        <v>817500</v>
      </c>
      <c r="P202" s="324">
        <f t="shared" si="162"/>
        <v>77941747</v>
      </c>
      <c r="Q202" s="25"/>
      <c r="R202" s="50"/>
    </row>
    <row r="203" spans="1:18" ht="48" thickTop="1" thickBot="1" x14ac:dyDescent="0.25">
      <c r="A203" s="101" t="s">
        <v>172</v>
      </c>
      <c r="B203" s="101" t="s">
        <v>173</v>
      </c>
      <c r="C203" s="101" t="s">
        <v>174</v>
      </c>
      <c r="D203" s="101" t="s">
        <v>175</v>
      </c>
      <c r="E203" s="324">
        <f t="shared" ref="E203:E206" si="163">F203</f>
        <v>18408725</v>
      </c>
      <c r="F203" s="453">
        <f>(((18479775)+81450)+130000+85000+182500)-330000-220000</f>
        <v>18408725</v>
      </c>
      <c r="G203" s="453">
        <f>(13552210)-330000</f>
        <v>13222210</v>
      </c>
      <c r="H203" s="453">
        <f>914400+11100+184288+28000+22100</f>
        <v>1159888</v>
      </c>
      <c r="I203" s="453"/>
      <c r="J203" s="324">
        <f t="shared" si="159"/>
        <v>870500</v>
      </c>
      <c r="K203" s="453">
        <f>(((0)+500000-200000)+135000+167500)+99000</f>
        <v>701500</v>
      </c>
      <c r="L203" s="453">
        <v>169000</v>
      </c>
      <c r="M203" s="453">
        <v>31000</v>
      </c>
      <c r="N203" s="453">
        <v>21000</v>
      </c>
      <c r="O203" s="450">
        <f t="shared" ref="O203:O209" si="164">K203</f>
        <v>701500</v>
      </c>
      <c r="P203" s="324">
        <f t="shared" si="160"/>
        <v>19279225</v>
      </c>
      <c r="Q203" s="20"/>
      <c r="R203" s="46"/>
    </row>
    <row r="204" spans="1:18" ht="48" thickTop="1" thickBot="1" x14ac:dyDescent="0.25">
      <c r="A204" s="101" t="s">
        <v>176</v>
      </c>
      <c r="B204" s="101" t="s">
        <v>177</v>
      </c>
      <c r="C204" s="101" t="s">
        <v>174</v>
      </c>
      <c r="D204" s="101" t="s">
        <v>462</v>
      </c>
      <c r="E204" s="324">
        <f t="shared" si="163"/>
        <v>2896822</v>
      </c>
      <c r="F204" s="453">
        <f>((2847504)+179318)-130000</f>
        <v>2896822</v>
      </c>
      <c r="G204" s="453">
        <f>(1875700)-100000</f>
        <v>1775700</v>
      </c>
      <c r="H204" s="453">
        <f>344000+5350+135610+4400</f>
        <v>489360</v>
      </c>
      <c r="I204" s="453"/>
      <c r="J204" s="324">
        <f t="shared" si="159"/>
        <v>113790</v>
      </c>
      <c r="K204" s="453"/>
      <c r="L204" s="453">
        <v>113790</v>
      </c>
      <c r="M204" s="453">
        <v>17920</v>
      </c>
      <c r="N204" s="453">
        <v>5700</v>
      </c>
      <c r="O204" s="450">
        <f t="shared" si="164"/>
        <v>0</v>
      </c>
      <c r="P204" s="324">
        <f t="shared" si="160"/>
        <v>3010612</v>
      </c>
      <c r="Q204" s="20"/>
      <c r="R204" s="46"/>
    </row>
    <row r="205" spans="1:18" ht="93" thickTop="1" thickBot="1" x14ac:dyDescent="0.25">
      <c r="A205" s="101" t="s">
        <v>178</v>
      </c>
      <c r="B205" s="101" t="s">
        <v>171</v>
      </c>
      <c r="C205" s="101" t="s">
        <v>179</v>
      </c>
      <c r="D205" s="101" t="s">
        <v>180</v>
      </c>
      <c r="E205" s="324">
        <f t="shared" si="163"/>
        <v>21840907</v>
      </c>
      <c r="F205" s="453">
        <f>((21555193)+929343+50000-305629)-388000</f>
        <v>21840907</v>
      </c>
      <c r="G205" s="453">
        <f>(15462100)-320000</f>
        <v>15142100</v>
      </c>
      <c r="H205" s="453">
        <f>982800+12680+678200+90000+41200</f>
        <v>1804880</v>
      </c>
      <c r="I205" s="453"/>
      <c r="J205" s="324">
        <f t="shared" si="159"/>
        <v>762000</v>
      </c>
      <c r="K205" s="453"/>
      <c r="L205" s="453">
        <f>762000-57400</f>
        <v>704600</v>
      </c>
      <c r="M205" s="453">
        <v>506000</v>
      </c>
      <c r="N205" s="453">
        <v>34000</v>
      </c>
      <c r="O205" s="450">
        <f>(K205+57400)</f>
        <v>57400</v>
      </c>
      <c r="P205" s="324">
        <f t="shared" si="160"/>
        <v>22602907</v>
      </c>
      <c r="Q205" s="20"/>
      <c r="R205" s="46"/>
    </row>
    <row r="206" spans="1:18" ht="48" hidden="1" thickTop="1" thickBot="1" x14ac:dyDescent="0.25">
      <c r="A206" s="126" t="s">
        <v>1176</v>
      </c>
      <c r="B206" s="126" t="s">
        <v>1177</v>
      </c>
      <c r="C206" s="126" t="s">
        <v>1179</v>
      </c>
      <c r="D206" s="126" t="s">
        <v>1178</v>
      </c>
      <c r="E206" s="125">
        <f t="shared" si="163"/>
        <v>0</v>
      </c>
      <c r="F206" s="132"/>
      <c r="G206" s="132"/>
      <c r="H206" s="132"/>
      <c r="I206" s="132"/>
      <c r="J206" s="125">
        <f t="shared" si="159"/>
        <v>0</v>
      </c>
      <c r="K206" s="132"/>
      <c r="L206" s="132"/>
      <c r="M206" s="132"/>
      <c r="N206" s="132"/>
      <c r="O206" s="130">
        <f>(K206)</f>
        <v>0</v>
      </c>
      <c r="P206" s="125">
        <f t="shared" si="160"/>
        <v>0</v>
      </c>
      <c r="Q206" s="20"/>
      <c r="R206" s="46"/>
    </row>
    <row r="207" spans="1:18" ht="48" thickTop="1" thickBot="1" x14ac:dyDescent="0.25">
      <c r="A207" s="325" t="s">
        <v>754</v>
      </c>
      <c r="B207" s="325" t="s">
        <v>755</v>
      </c>
      <c r="C207" s="325"/>
      <c r="D207" s="325" t="s">
        <v>756</v>
      </c>
      <c r="E207" s="321">
        <f>SUM(E208:E209)</f>
        <v>32874603</v>
      </c>
      <c r="F207" s="321">
        <f t="shared" ref="F207:P207" si="165">SUM(F208:F209)</f>
        <v>32874603</v>
      </c>
      <c r="G207" s="321">
        <f t="shared" si="165"/>
        <v>21830019</v>
      </c>
      <c r="H207" s="321">
        <f t="shared" si="165"/>
        <v>86450</v>
      </c>
      <c r="I207" s="321">
        <f t="shared" si="165"/>
        <v>0</v>
      </c>
      <c r="J207" s="321">
        <f t="shared" si="165"/>
        <v>174400</v>
      </c>
      <c r="K207" s="321">
        <f t="shared" si="165"/>
        <v>0</v>
      </c>
      <c r="L207" s="321">
        <f t="shared" si="165"/>
        <v>115800</v>
      </c>
      <c r="M207" s="321">
        <f t="shared" si="165"/>
        <v>12200</v>
      </c>
      <c r="N207" s="321">
        <f t="shared" si="165"/>
        <v>0</v>
      </c>
      <c r="O207" s="321">
        <f t="shared" si="165"/>
        <v>58600</v>
      </c>
      <c r="P207" s="321">
        <f t="shared" si="165"/>
        <v>33049003</v>
      </c>
      <c r="Q207" s="20"/>
      <c r="R207" s="46"/>
    </row>
    <row r="208" spans="1:18" ht="48" thickTop="1" thickBot="1" x14ac:dyDescent="0.25">
      <c r="A208" s="101" t="s">
        <v>333</v>
      </c>
      <c r="B208" s="101" t="s">
        <v>334</v>
      </c>
      <c r="C208" s="101" t="s">
        <v>182</v>
      </c>
      <c r="D208" s="101" t="s">
        <v>463</v>
      </c>
      <c r="E208" s="324">
        <f>F208</f>
        <v>28521503</v>
      </c>
      <c r="F208" s="453">
        <f>(29071503)-550000</f>
        <v>28521503</v>
      </c>
      <c r="G208" s="453">
        <f>(22230019)-400000</f>
        <v>21830019</v>
      </c>
      <c r="H208" s="453">
        <f>77900+8250+300</f>
        <v>86450</v>
      </c>
      <c r="I208" s="453"/>
      <c r="J208" s="324">
        <f t="shared" si="159"/>
        <v>174400</v>
      </c>
      <c r="K208" s="453"/>
      <c r="L208" s="453">
        <f>174400-58600</f>
        <v>115800</v>
      </c>
      <c r="M208" s="453">
        <v>12200</v>
      </c>
      <c r="N208" s="453"/>
      <c r="O208" s="450">
        <f>(K208+58600)</f>
        <v>58600</v>
      </c>
      <c r="P208" s="324">
        <f t="shared" si="160"/>
        <v>28695903</v>
      </c>
      <c r="Q208" s="20"/>
      <c r="R208" s="46"/>
    </row>
    <row r="209" spans="1:18" ht="48" thickTop="1" thickBot="1" x14ac:dyDescent="0.25">
      <c r="A209" s="101" t="s">
        <v>335</v>
      </c>
      <c r="B209" s="101" t="s">
        <v>336</v>
      </c>
      <c r="C209" s="101" t="s">
        <v>182</v>
      </c>
      <c r="D209" s="101" t="s">
        <v>464</v>
      </c>
      <c r="E209" s="324">
        <f>F209</f>
        <v>4353100</v>
      </c>
      <c r="F209" s="453">
        <v>4353100</v>
      </c>
      <c r="G209" s="453"/>
      <c r="H209" s="453"/>
      <c r="I209" s="453"/>
      <c r="J209" s="324">
        <f t="shared" si="159"/>
        <v>0</v>
      </c>
      <c r="K209" s="453"/>
      <c r="L209" s="453"/>
      <c r="M209" s="453"/>
      <c r="N209" s="453"/>
      <c r="O209" s="450">
        <f t="shared" si="164"/>
        <v>0</v>
      </c>
      <c r="P209" s="324">
        <f t="shared" si="160"/>
        <v>4353100</v>
      </c>
      <c r="Q209" s="20"/>
      <c r="R209" s="50"/>
    </row>
    <row r="210" spans="1:18" ht="47.25" thickTop="1" thickBot="1" x14ac:dyDescent="0.25">
      <c r="A210" s="308" t="s">
        <v>910</v>
      </c>
      <c r="B210" s="308" t="s">
        <v>744</v>
      </c>
      <c r="C210" s="308"/>
      <c r="D210" s="308" t="s">
        <v>745</v>
      </c>
      <c r="E210" s="324">
        <f>SUM(E211)</f>
        <v>1026850</v>
      </c>
      <c r="F210" s="324">
        <f t="shared" ref="F210:P210" si="166">SUM(F211)</f>
        <v>1026850</v>
      </c>
      <c r="G210" s="324">
        <f t="shared" si="166"/>
        <v>0</v>
      </c>
      <c r="H210" s="324">
        <f t="shared" si="166"/>
        <v>0</v>
      </c>
      <c r="I210" s="324">
        <f t="shared" si="166"/>
        <v>0</v>
      </c>
      <c r="J210" s="324">
        <f t="shared" si="166"/>
        <v>500792</v>
      </c>
      <c r="K210" s="324">
        <f t="shared" si="166"/>
        <v>500792</v>
      </c>
      <c r="L210" s="324">
        <f t="shared" si="166"/>
        <v>0</v>
      </c>
      <c r="M210" s="324">
        <f t="shared" si="166"/>
        <v>0</v>
      </c>
      <c r="N210" s="324">
        <f t="shared" si="166"/>
        <v>0</v>
      </c>
      <c r="O210" s="324">
        <f t="shared" si="166"/>
        <v>500792</v>
      </c>
      <c r="P210" s="324">
        <f t="shared" si="166"/>
        <v>1527642</v>
      </c>
      <c r="Q210" s="20"/>
      <c r="R210" s="50"/>
    </row>
    <row r="211" spans="1:18" ht="47.25" thickTop="1" thickBot="1" x14ac:dyDescent="0.25">
      <c r="A211" s="310" t="s">
        <v>911</v>
      </c>
      <c r="B211" s="310" t="s">
        <v>687</v>
      </c>
      <c r="C211" s="310"/>
      <c r="D211" s="310" t="s">
        <v>685</v>
      </c>
      <c r="E211" s="312">
        <f>E212+E215+E214</f>
        <v>1026850</v>
      </c>
      <c r="F211" s="312">
        <f t="shared" ref="F211:P211" si="167">F212+F215+F214</f>
        <v>1026850</v>
      </c>
      <c r="G211" s="312">
        <f t="shared" si="167"/>
        <v>0</v>
      </c>
      <c r="H211" s="312">
        <f t="shared" si="167"/>
        <v>0</v>
      </c>
      <c r="I211" s="312">
        <f t="shared" si="167"/>
        <v>0</v>
      </c>
      <c r="J211" s="312">
        <f t="shared" si="167"/>
        <v>500792</v>
      </c>
      <c r="K211" s="312">
        <f t="shared" si="167"/>
        <v>500792</v>
      </c>
      <c r="L211" s="312">
        <f t="shared" si="167"/>
        <v>0</v>
      </c>
      <c r="M211" s="312">
        <f t="shared" si="167"/>
        <v>0</v>
      </c>
      <c r="N211" s="312">
        <f t="shared" si="167"/>
        <v>0</v>
      </c>
      <c r="O211" s="312">
        <f t="shared" si="167"/>
        <v>500792</v>
      </c>
      <c r="P211" s="312">
        <f t="shared" si="167"/>
        <v>1527642</v>
      </c>
      <c r="Q211" s="20"/>
      <c r="R211" s="50"/>
    </row>
    <row r="212" spans="1:18" ht="48" thickTop="1" thickBot="1" x14ac:dyDescent="0.25">
      <c r="A212" s="325" t="s">
        <v>1016</v>
      </c>
      <c r="B212" s="325" t="s">
        <v>1017</v>
      </c>
      <c r="C212" s="325"/>
      <c r="D212" s="325" t="s">
        <v>1015</v>
      </c>
      <c r="E212" s="321">
        <f>E213</f>
        <v>1026850</v>
      </c>
      <c r="F212" s="321">
        <f t="shared" ref="F212:P212" si="168">F213</f>
        <v>1026850</v>
      </c>
      <c r="G212" s="321">
        <f t="shared" si="168"/>
        <v>0</v>
      </c>
      <c r="H212" s="321">
        <f t="shared" si="168"/>
        <v>0</v>
      </c>
      <c r="I212" s="321">
        <f t="shared" si="168"/>
        <v>0</v>
      </c>
      <c r="J212" s="321">
        <f t="shared" si="168"/>
        <v>0</v>
      </c>
      <c r="K212" s="321">
        <f t="shared" si="168"/>
        <v>0</v>
      </c>
      <c r="L212" s="321">
        <f t="shared" si="168"/>
        <v>0</v>
      </c>
      <c r="M212" s="321">
        <f t="shared" si="168"/>
        <v>0</v>
      </c>
      <c r="N212" s="321">
        <f t="shared" si="168"/>
        <v>0</v>
      </c>
      <c r="O212" s="321">
        <f t="shared" si="168"/>
        <v>0</v>
      </c>
      <c r="P212" s="321">
        <f t="shared" si="168"/>
        <v>1026850</v>
      </c>
      <c r="Q212" s="20"/>
      <c r="R212" s="50"/>
    </row>
    <row r="213" spans="1:18" ht="48" thickTop="1" thickBot="1" x14ac:dyDescent="0.25">
      <c r="A213" s="101" t="s">
        <v>1019</v>
      </c>
      <c r="B213" s="101" t="s">
        <v>1020</v>
      </c>
      <c r="C213" s="101" t="s">
        <v>213</v>
      </c>
      <c r="D213" s="101" t="s">
        <v>1018</v>
      </c>
      <c r="E213" s="324">
        <f>F213</f>
        <v>1026850</v>
      </c>
      <c r="F213" s="453">
        <v>1026850</v>
      </c>
      <c r="G213" s="453"/>
      <c r="H213" s="453"/>
      <c r="I213" s="453"/>
      <c r="J213" s="324">
        <f>L213+O213</f>
        <v>0</v>
      </c>
      <c r="K213" s="453"/>
      <c r="L213" s="453"/>
      <c r="M213" s="453"/>
      <c r="N213" s="453"/>
      <c r="O213" s="450">
        <f>K213</f>
        <v>0</v>
      </c>
      <c r="P213" s="324">
        <f>E213+J213</f>
        <v>1026850</v>
      </c>
      <c r="Q213" s="20"/>
      <c r="R213" s="50"/>
    </row>
    <row r="214" spans="1:18" ht="48" hidden="1" thickTop="1" thickBot="1" x14ac:dyDescent="0.25">
      <c r="A214" s="126" t="s">
        <v>1247</v>
      </c>
      <c r="B214" s="126" t="s">
        <v>212</v>
      </c>
      <c r="C214" s="126" t="s">
        <v>213</v>
      </c>
      <c r="D214" s="126" t="s">
        <v>41</v>
      </c>
      <c r="E214" s="125">
        <f t="shared" ref="E214:E215" si="169">F214</f>
        <v>0</v>
      </c>
      <c r="F214" s="132"/>
      <c r="G214" s="132"/>
      <c r="H214" s="132"/>
      <c r="I214" s="132"/>
      <c r="J214" s="125">
        <f>L214+O214</f>
        <v>0</v>
      </c>
      <c r="K214" s="132"/>
      <c r="L214" s="132"/>
      <c r="M214" s="132"/>
      <c r="N214" s="132"/>
      <c r="O214" s="130">
        <f>K214</f>
        <v>0</v>
      </c>
      <c r="P214" s="125">
        <f>E214+J214</f>
        <v>0</v>
      </c>
      <c r="Q214" s="20"/>
      <c r="R214" s="50"/>
    </row>
    <row r="215" spans="1:18" ht="48" thickTop="1" thickBot="1" x14ac:dyDescent="0.25">
      <c r="A215" s="101" t="s">
        <v>912</v>
      </c>
      <c r="B215" s="101" t="s">
        <v>197</v>
      </c>
      <c r="C215" s="101" t="s">
        <v>170</v>
      </c>
      <c r="D215" s="101" t="s">
        <v>34</v>
      </c>
      <c r="E215" s="324">
        <f t="shared" si="169"/>
        <v>0</v>
      </c>
      <c r="F215" s="453"/>
      <c r="G215" s="453"/>
      <c r="H215" s="453"/>
      <c r="I215" s="453"/>
      <c r="J215" s="324">
        <f t="shared" ref="J215" si="170">L215+O215</f>
        <v>500792</v>
      </c>
      <c r="K215" s="453">
        <f>(0)+500792</f>
        <v>500792</v>
      </c>
      <c r="L215" s="453"/>
      <c r="M215" s="453"/>
      <c r="N215" s="453"/>
      <c r="O215" s="450">
        <f t="shared" ref="O215" si="171">K215</f>
        <v>500792</v>
      </c>
      <c r="P215" s="324">
        <f t="shared" ref="P215" si="172">E215+J215</f>
        <v>500792</v>
      </c>
      <c r="Q215" s="20"/>
      <c r="R215" s="46"/>
    </row>
    <row r="216" spans="1:18" ht="47.25" hidden="1" thickTop="1" thickBot="1" x14ac:dyDescent="0.25">
      <c r="A216" s="144" t="s">
        <v>757</v>
      </c>
      <c r="B216" s="144" t="s">
        <v>698</v>
      </c>
      <c r="C216" s="144"/>
      <c r="D216" s="144" t="s">
        <v>699</v>
      </c>
      <c r="E216" s="42">
        <f>E217</f>
        <v>0</v>
      </c>
      <c r="F216" s="42">
        <f t="shared" ref="F216:P217" si="173">F217</f>
        <v>0</v>
      </c>
      <c r="G216" s="42">
        <f t="shared" si="173"/>
        <v>0</v>
      </c>
      <c r="H216" s="42">
        <f t="shared" si="173"/>
        <v>0</v>
      </c>
      <c r="I216" s="42">
        <f t="shared" si="173"/>
        <v>0</v>
      </c>
      <c r="J216" s="42">
        <f t="shared" si="173"/>
        <v>0</v>
      </c>
      <c r="K216" s="42">
        <f t="shared" si="173"/>
        <v>0</v>
      </c>
      <c r="L216" s="42">
        <f t="shared" si="173"/>
        <v>0</v>
      </c>
      <c r="M216" s="42">
        <f t="shared" si="173"/>
        <v>0</v>
      </c>
      <c r="N216" s="42">
        <f t="shared" si="173"/>
        <v>0</v>
      </c>
      <c r="O216" s="42">
        <f t="shared" si="173"/>
        <v>0</v>
      </c>
      <c r="P216" s="42">
        <f t="shared" si="173"/>
        <v>0</v>
      </c>
      <c r="Q216" s="20"/>
      <c r="R216" s="50"/>
    </row>
    <row r="217" spans="1:18" ht="91.5" hidden="1" thickTop="1" thickBot="1" x14ac:dyDescent="0.25">
      <c r="A217" s="145" t="s">
        <v>758</v>
      </c>
      <c r="B217" s="145" t="s">
        <v>701</v>
      </c>
      <c r="C217" s="145"/>
      <c r="D217" s="145" t="s">
        <v>702</v>
      </c>
      <c r="E217" s="146">
        <f>E218</f>
        <v>0</v>
      </c>
      <c r="F217" s="146">
        <f t="shared" si="173"/>
        <v>0</v>
      </c>
      <c r="G217" s="146">
        <f t="shared" si="173"/>
        <v>0</v>
      </c>
      <c r="H217" s="146">
        <f t="shared" si="173"/>
        <v>0</v>
      </c>
      <c r="I217" s="146">
        <f t="shared" si="173"/>
        <v>0</v>
      </c>
      <c r="J217" s="146">
        <f t="shared" si="173"/>
        <v>0</v>
      </c>
      <c r="K217" s="146">
        <f t="shared" si="173"/>
        <v>0</v>
      </c>
      <c r="L217" s="146">
        <f t="shared" si="173"/>
        <v>0</v>
      </c>
      <c r="M217" s="146">
        <f t="shared" si="173"/>
        <v>0</v>
      </c>
      <c r="N217" s="146">
        <f t="shared" si="173"/>
        <v>0</v>
      </c>
      <c r="O217" s="146">
        <f t="shared" si="173"/>
        <v>0</v>
      </c>
      <c r="P217" s="146">
        <f t="shared" si="173"/>
        <v>0</v>
      </c>
      <c r="Q217" s="20"/>
      <c r="R217" s="50"/>
    </row>
    <row r="218" spans="1:18" ht="48" hidden="1" thickTop="1" thickBot="1" x14ac:dyDescent="0.25">
      <c r="A218" s="41" t="s">
        <v>585</v>
      </c>
      <c r="B218" s="41" t="s">
        <v>363</v>
      </c>
      <c r="C218" s="41" t="s">
        <v>43</v>
      </c>
      <c r="D218" s="41" t="s">
        <v>364</v>
      </c>
      <c r="E218" s="42">
        <f t="shared" ref="E218" si="174">F218</f>
        <v>0</v>
      </c>
      <c r="F218" s="43">
        <v>0</v>
      </c>
      <c r="G218" s="43"/>
      <c r="H218" s="43"/>
      <c r="I218" s="43"/>
      <c r="J218" s="42">
        <f>L218+O218</f>
        <v>0</v>
      </c>
      <c r="K218" s="43"/>
      <c r="L218" s="43"/>
      <c r="M218" s="43"/>
      <c r="N218" s="43"/>
      <c r="O218" s="44">
        <f>K218</f>
        <v>0</v>
      </c>
      <c r="P218" s="42">
        <f>E218+J218</f>
        <v>0</v>
      </c>
      <c r="Q218" s="20"/>
      <c r="R218" s="50"/>
    </row>
    <row r="219" spans="1:18" ht="120" customHeight="1" thickTop="1" thickBot="1" x14ac:dyDescent="0.25">
      <c r="A219" s="689" t="s">
        <v>22</v>
      </c>
      <c r="B219" s="689"/>
      <c r="C219" s="689"/>
      <c r="D219" s="690" t="s">
        <v>23</v>
      </c>
      <c r="E219" s="691">
        <f>E220</f>
        <v>131110698</v>
      </c>
      <c r="F219" s="692">
        <f t="shared" ref="F219:G219" si="175">F220</f>
        <v>131110698</v>
      </c>
      <c r="G219" s="692">
        <f t="shared" si="175"/>
        <v>52061407</v>
      </c>
      <c r="H219" s="692">
        <f>H220</f>
        <v>4437427</v>
      </c>
      <c r="I219" s="692">
        <f t="shared" ref="I219" si="176">I220</f>
        <v>0</v>
      </c>
      <c r="J219" s="691">
        <f>J220</f>
        <v>5578372</v>
      </c>
      <c r="K219" s="692">
        <f>K220</f>
        <v>3664930</v>
      </c>
      <c r="L219" s="692">
        <f>L220</f>
        <v>1888442</v>
      </c>
      <c r="M219" s="692">
        <f t="shared" ref="M219" si="177">M220</f>
        <v>704165</v>
      </c>
      <c r="N219" s="692">
        <f>N220</f>
        <v>524376</v>
      </c>
      <c r="O219" s="691">
        <f>O220</f>
        <v>3689930</v>
      </c>
      <c r="P219" s="692">
        <f t="shared" ref="P219" si="178">P220</f>
        <v>136689070</v>
      </c>
      <c r="Q219" s="20"/>
    </row>
    <row r="220" spans="1:18" ht="120" customHeight="1" thickTop="1" thickBot="1" x14ac:dyDescent="0.25">
      <c r="A220" s="693" t="s">
        <v>21</v>
      </c>
      <c r="B220" s="693"/>
      <c r="C220" s="693"/>
      <c r="D220" s="694" t="s">
        <v>35</v>
      </c>
      <c r="E220" s="695">
        <f>E221+E227+E242+E245+E252</f>
        <v>131110698</v>
      </c>
      <c r="F220" s="695">
        <f t="shared" ref="F220:I220" si="179">F221+F227+F242+F245+F252</f>
        <v>131110698</v>
      </c>
      <c r="G220" s="695">
        <f t="shared" si="179"/>
        <v>52061407</v>
      </c>
      <c r="H220" s="695">
        <f t="shared" si="179"/>
        <v>4437427</v>
      </c>
      <c r="I220" s="695">
        <f t="shared" si="179"/>
        <v>0</v>
      </c>
      <c r="J220" s="695">
        <f>L220+O220</f>
        <v>5578372</v>
      </c>
      <c r="K220" s="695">
        <f t="shared" ref="K220:O220" si="180">K221+K227+K242+K245+K252</f>
        <v>3664930</v>
      </c>
      <c r="L220" s="695">
        <f t="shared" si="180"/>
        <v>1888442</v>
      </c>
      <c r="M220" s="695">
        <f t="shared" si="180"/>
        <v>704165</v>
      </c>
      <c r="N220" s="695">
        <f t="shared" si="180"/>
        <v>524376</v>
      </c>
      <c r="O220" s="695">
        <f t="shared" si="180"/>
        <v>3689930</v>
      </c>
      <c r="P220" s="695">
        <f>E220+J220</f>
        <v>136689070</v>
      </c>
      <c r="Q220" s="487" t="b">
        <f>P220=P225+P226+P229+P230+P232+P234+P235+P239+P240+P241+P237+P254</f>
        <v>1</v>
      </c>
      <c r="R220" s="46"/>
    </row>
    <row r="221" spans="1:18" ht="47.25" thickTop="1" thickBot="1" x14ac:dyDescent="0.25">
      <c r="A221" s="308" t="s">
        <v>759</v>
      </c>
      <c r="B221" s="308" t="s">
        <v>707</v>
      </c>
      <c r="C221" s="308"/>
      <c r="D221" s="308" t="s">
        <v>708</v>
      </c>
      <c r="E221" s="571">
        <f>SUM(E222:E226)-E222-E224</f>
        <v>13487328</v>
      </c>
      <c r="F221" s="571">
        <f t="shared" ref="F221:P221" si="181">SUM(F222:F226)-F222-F224</f>
        <v>13487328</v>
      </c>
      <c r="G221" s="571">
        <f t="shared" si="181"/>
        <v>5252175</v>
      </c>
      <c r="H221" s="571">
        <f t="shared" si="181"/>
        <v>1033530</v>
      </c>
      <c r="I221" s="571">
        <f t="shared" si="181"/>
        <v>0</v>
      </c>
      <c r="J221" s="571">
        <f t="shared" si="181"/>
        <v>954919</v>
      </c>
      <c r="K221" s="571">
        <f t="shared" si="181"/>
        <v>533719</v>
      </c>
      <c r="L221" s="571">
        <f t="shared" si="181"/>
        <v>421200</v>
      </c>
      <c r="M221" s="571">
        <f t="shared" si="181"/>
        <v>198800</v>
      </c>
      <c r="N221" s="571">
        <f t="shared" si="181"/>
        <v>152665</v>
      </c>
      <c r="O221" s="571">
        <f t="shared" si="181"/>
        <v>533719</v>
      </c>
      <c r="P221" s="571">
        <f t="shared" si="181"/>
        <v>14442247</v>
      </c>
      <c r="Q221" s="47"/>
      <c r="R221" s="46"/>
    </row>
    <row r="222" spans="1:18" s="33" customFormat="1" ht="48" hidden="1" thickTop="1" thickBot="1" x14ac:dyDescent="0.25">
      <c r="A222" s="325" t="s">
        <v>760</v>
      </c>
      <c r="B222" s="325" t="s">
        <v>761</v>
      </c>
      <c r="C222" s="325"/>
      <c r="D222" s="325" t="s">
        <v>762</v>
      </c>
      <c r="E222" s="572">
        <f>E223</f>
        <v>0</v>
      </c>
      <c r="F222" s="572">
        <f t="shared" ref="F222:P222" si="182">F223</f>
        <v>0</v>
      </c>
      <c r="G222" s="572">
        <f t="shared" si="182"/>
        <v>0</v>
      </c>
      <c r="H222" s="572">
        <f t="shared" si="182"/>
        <v>0</v>
      </c>
      <c r="I222" s="572">
        <f t="shared" si="182"/>
        <v>0</v>
      </c>
      <c r="J222" s="572">
        <f t="shared" si="182"/>
        <v>0</v>
      </c>
      <c r="K222" s="572">
        <f t="shared" si="182"/>
        <v>0</v>
      </c>
      <c r="L222" s="572">
        <f t="shared" si="182"/>
        <v>0</v>
      </c>
      <c r="M222" s="572">
        <f t="shared" si="182"/>
        <v>0</v>
      </c>
      <c r="N222" s="572">
        <f t="shared" si="182"/>
        <v>0</v>
      </c>
      <c r="O222" s="572">
        <f t="shared" si="182"/>
        <v>0</v>
      </c>
      <c r="P222" s="572">
        <f t="shared" si="182"/>
        <v>0</v>
      </c>
      <c r="Q222" s="155"/>
      <c r="R222" s="52"/>
    </row>
    <row r="223" spans="1:18" ht="48" hidden="1" thickTop="1" thickBot="1" x14ac:dyDescent="0.25">
      <c r="A223" s="101" t="s">
        <v>183</v>
      </c>
      <c r="B223" s="101" t="s">
        <v>184</v>
      </c>
      <c r="C223" s="101" t="s">
        <v>185</v>
      </c>
      <c r="D223" s="101" t="s">
        <v>636</v>
      </c>
      <c r="E223" s="309">
        <f t="shared" ref="E223:E240" si="183">F223</f>
        <v>0</v>
      </c>
      <c r="F223" s="322">
        <f>(6040461)-6040461</f>
        <v>0</v>
      </c>
      <c r="G223" s="322">
        <f>(4559615)-4559615</f>
        <v>0</v>
      </c>
      <c r="H223" s="322">
        <f>(96665+5295+31600+3840)-137400</f>
        <v>0</v>
      </c>
      <c r="I223" s="322"/>
      <c r="J223" s="324">
        <f t="shared" ref="J223:J251" si="184">L223+O223</f>
        <v>0</v>
      </c>
      <c r="K223" s="322"/>
      <c r="L223" s="449"/>
      <c r="M223" s="449"/>
      <c r="N223" s="449"/>
      <c r="O223" s="450">
        <f t="shared" ref="O223:O251" si="185">K223</f>
        <v>0</v>
      </c>
      <c r="P223" s="324">
        <f>+J223+E223</f>
        <v>0</v>
      </c>
      <c r="Q223" s="50"/>
      <c r="R223" s="50"/>
    </row>
    <row r="224" spans="1:18" s="33" customFormat="1" ht="93" thickTop="1" thickBot="1" x14ac:dyDescent="0.25">
      <c r="A224" s="325" t="s">
        <v>763</v>
      </c>
      <c r="B224" s="325" t="s">
        <v>764</v>
      </c>
      <c r="C224" s="325"/>
      <c r="D224" s="325" t="s">
        <v>1529</v>
      </c>
      <c r="E224" s="457">
        <f>SUM(E225:E226)</f>
        <v>13487328</v>
      </c>
      <c r="F224" s="457">
        <f t="shared" ref="F224:P224" si="186">SUM(F225:F226)</f>
        <v>13487328</v>
      </c>
      <c r="G224" s="457">
        <f t="shared" si="186"/>
        <v>5252175</v>
      </c>
      <c r="H224" s="457">
        <f t="shared" si="186"/>
        <v>1033530</v>
      </c>
      <c r="I224" s="457">
        <f t="shared" si="186"/>
        <v>0</v>
      </c>
      <c r="J224" s="457">
        <f t="shared" si="186"/>
        <v>954919</v>
      </c>
      <c r="K224" s="457">
        <f t="shared" si="186"/>
        <v>533719</v>
      </c>
      <c r="L224" s="457">
        <f t="shared" si="186"/>
        <v>421200</v>
      </c>
      <c r="M224" s="457">
        <f t="shared" si="186"/>
        <v>198800</v>
      </c>
      <c r="N224" s="457">
        <f t="shared" si="186"/>
        <v>152665</v>
      </c>
      <c r="O224" s="457">
        <f t="shared" si="186"/>
        <v>533719</v>
      </c>
      <c r="P224" s="457">
        <f t="shared" si="186"/>
        <v>14442247</v>
      </c>
      <c r="Q224" s="51"/>
      <c r="R224" s="51"/>
    </row>
    <row r="225" spans="1:18" ht="48" thickTop="1" thickBot="1" x14ac:dyDescent="0.25">
      <c r="A225" s="101" t="s">
        <v>189</v>
      </c>
      <c r="B225" s="101" t="s">
        <v>190</v>
      </c>
      <c r="C225" s="101" t="s">
        <v>185</v>
      </c>
      <c r="D225" s="101" t="s">
        <v>10</v>
      </c>
      <c r="E225" s="309">
        <f t="shared" si="183"/>
        <v>5976842</v>
      </c>
      <c r="F225" s="322">
        <v>5976842</v>
      </c>
      <c r="G225" s="322">
        <v>3757524</v>
      </c>
      <c r="H225" s="322">
        <f>640500+6906+191040+3080</f>
        <v>841526</v>
      </c>
      <c r="I225" s="322"/>
      <c r="J225" s="324">
        <f t="shared" si="184"/>
        <v>954919</v>
      </c>
      <c r="K225" s="322">
        <f>((0)+400000)+133719</f>
        <v>533719</v>
      </c>
      <c r="L225" s="449">
        <v>421200</v>
      </c>
      <c r="M225" s="449">
        <v>198800</v>
      </c>
      <c r="N225" s="449">
        <v>152665</v>
      </c>
      <c r="O225" s="450">
        <f>K225</f>
        <v>533719</v>
      </c>
      <c r="P225" s="324">
        <f t="shared" ref="P225:P251" si="187">E225+J225</f>
        <v>6931761</v>
      </c>
      <c r="Q225" s="20"/>
      <c r="R225" s="46"/>
    </row>
    <row r="226" spans="1:18" ht="48" thickTop="1" thickBot="1" x14ac:dyDescent="0.25">
      <c r="A226" s="101" t="s">
        <v>351</v>
      </c>
      <c r="B226" s="101" t="s">
        <v>352</v>
      </c>
      <c r="C226" s="101" t="s">
        <v>185</v>
      </c>
      <c r="D226" s="101" t="s">
        <v>353</v>
      </c>
      <c r="E226" s="309">
        <f t="shared" si="183"/>
        <v>7510486</v>
      </c>
      <c r="F226" s="322">
        <f>(((7156877)+140000)+61000)+152609</f>
        <v>7510486</v>
      </c>
      <c r="G226" s="322">
        <f>((1352349)+50000)+92302</f>
        <v>1494651</v>
      </c>
      <c r="H226" s="322">
        <f>102138+6560+80906+2400</f>
        <v>192004</v>
      </c>
      <c r="I226" s="322"/>
      <c r="J226" s="324">
        <f t="shared" si="184"/>
        <v>0</v>
      </c>
      <c r="K226" s="322"/>
      <c r="L226" s="449"/>
      <c r="M226" s="449"/>
      <c r="N226" s="449"/>
      <c r="O226" s="450">
        <f t="shared" si="185"/>
        <v>0</v>
      </c>
      <c r="P226" s="324">
        <f t="shared" si="187"/>
        <v>7510486</v>
      </c>
      <c r="Q226" s="20"/>
      <c r="R226" s="46"/>
    </row>
    <row r="227" spans="1:18" ht="47.25" thickTop="1" thickBot="1" x14ac:dyDescent="0.25">
      <c r="A227" s="308" t="s">
        <v>765</v>
      </c>
      <c r="B227" s="308" t="s">
        <v>766</v>
      </c>
      <c r="C227" s="101"/>
      <c r="D227" s="308" t="s">
        <v>767</v>
      </c>
      <c r="E227" s="309">
        <f t="shared" ref="E227:P227" si="188">SUM(E228:E241)-E228-E231-E233-E238-E236</f>
        <v>117373370</v>
      </c>
      <c r="F227" s="309">
        <f t="shared" si="188"/>
        <v>117373370</v>
      </c>
      <c r="G227" s="309">
        <f t="shared" si="188"/>
        <v>46809232</v>
      </c>
      <c r="H227" s="309">
        <f t="shared" si="188"/>
        <v>3403897</v>
      </c>
      <c r="I227" s="309">
        <f t="shared" si="188"/>
        <v>0</v>
      </c>
      <c r="J227" s="309">
        <f t="shared" si="188"/>
        <v>4623453</v>
      </c>
      <c r="K227" s="309">
        <f t="shared" si="188"/>
        <v>3131211</v>
      </c>
      <c r="L227" s="309">
        <f t="shared" si="188"/>
        <v>1467242</v>
      </c>
      <c r="M227" s="309">
        <f t="shared" si="188"/>
        <v>505365</v>
      </c>
      <c r="N227" s="309">
        <f t="shared" si="188"/>
        <v>371711</v>
      </c>
      <c r="O227" s="309">
        <f t="shared" si="188"/>
        <v>3156211</v>
      </c>
      <c r="P227" s="309">
        <f t="shared" si="188"/>
        <v>121996823</v>
      </c>
      <c r="Q227" s="20"/>
      <c r="R227" s="46"/>
    </row>
    <row r="228" spans="1:18" s="33" customFormat="1" ht="48" thickTop="1" thickBot="1" x14ac:dyDescent="0.25">
      <c r="A228" s="325" t="s">
        <v>768</v>
      </c>
      <c r="B228" s="325" t="s">
        <v>769</v>
      </c>
      <c r="C228" s="325"/>
      <c r="D228" s="325" t="s">
        <v>770</v>
      </c>
      <c r="E228" s="457">
        <f>SUM(E229:E230)</f>
        <v>38299823</v>
      </c>
      <c r="F228" s="457">
        <f t="shared" ref="F228:P228" si="189">SUM(F229:F230)</f>
        <v>38299823</v>
      </c>
      <c r="G228" s="457">
        <f t="shared" si="189"/>
        <v>0</v>
      </c>
      <c r="H228" s="457">
        <f t="shared" si="189"/>
        <v>0</v>
      </c>
      <c r="I228" s="457">
        <f t="shared" si="189"/>
        <v>0</v>
      </c>
      <c r="J228" s="457">
        <f t="shared" si="189"/>
        <v>0</v>
      </c>
      <c r="K228" s="457">
        <f t="shared" si="189"/>
        <v>0</v>
      </c>
      <c r="L228" s="457">
        <f t="shared" si="189"/>
        <v>0</v>
      </c>
      <c r="M228" s="457">
        <f t="shared" si="189"/>
        <v>0</v>
      </c>
      <c r="N228" s="457">
        <f t="shared" si="189"/>
        <v>0</v>
      </c>
      <c r="O228" s="457">
        <f t="shared" si="189"/>
        <v>0</v>
      </c>
      <c r="P228" s="457">
        <f t="shared" si="189"/>
        <v>38299823</v>
      </c>
      <c r="Q228" s="36"/>
      <c r="R228" s="52"/>
    </row>
    <row r="229" spans="1:18" ht="93" thickTop="1" thickBot="1" x14ac:dyDescent="0.25">
      <c r="A229" s="101" t="s">
        <v>44</v>
      </c>
      <c r="B229" s="101" t="s">
        <v>186</v>
      </c>
      <c r="C229" s="101" t="s">
        <v>195</v>
      </c>
      <c r="D229" s="101" t="s">
        <v>45</v>
      </c>
      <c r="E229" s="309">
        <f t="shared" si="183"/>
        <v>34400000</v>
      </c>
      <c r="F229" s="322">
        <f>(((27000000)+2300000)+2100000)+1000000+2000000</f>
        <v>34400000</v>
      </c>
      <c r="G229" s="453"/>
      <c r="H229" s="453"/>
      <c r="I229" s="453"/>
      <c r="J229" s="324">
        <f t="shared" si="184"/>
        <v>0</v>
      </c>
      <c r="K229" s="453"/>
      <c r="L229" s="453"/>
      <c r="M229" s="453"/>
      <c r="N229" s="453"/>
      <c r="O229" s="450">
        <f t="shared" si="185"/>
        <v>0</v>
      </c>
      <c r="P229" s="324">
        <f t="shared" si="187"/>
        <v>34400000</v>
      </c>
      <c r="Q229" s="20"/>
      <c r="R229" s="46"/>
    </row>
    <row r="230" spans="1:18" ht="93" thickTop="1" thickBot="1" x14ac:dyDescent="0.25">
      <c r="A230" s="101" t="s">
        <v>46</v>
      </c>
      <c r="B230" s="101" t="s">
        <v>187</v>
      </c>
      <c r="C230" s="101" t="s">
        <v>195</v>
      </c>
      <c r="D230" s="101" t="s">
        <v>4</v>
      </c>
      <c r="E230" s="309">
        <f t="shared" si="183"/>
        <v>3899823</v>
      </c>
      <c r="F230" s="322">
        <f>((3399823)+450000)+50000</f>
        <v>3899823</v>
      </c>
      <c r="G230" s="453"/>
      <c r="H230" s="453"/>
      <c r="I230" s="453"/>
      <c r="J230" s="324">
        <f t="shared" si="184"/>
        <v>0</v>
      </c>
      <c r="K230" s="453"/>
      <c r="L230" s="453"/>
      <c r="M230" s="453"/>
      <c r="N230" s="453"/>
      <c r="O230" s="450">
        <f t="shared" si="185"/>
        <v>0</v>
      </c>
      <c r="P230" s="324">
        <f t="shared" si="187"/>
        <v>3899823</v>
      </c>
      <c r="Q230" s="20"/>
      <c r="R230" s="46"/>
    </row>
    <row r="231" spans="1:18" s="33" customFormat="1" ht="93" thickTop="1" thickBot="1" x14ac:dyDescent="0.25">
      <c r="A231" s="325" t="s">
        <v>771</v>
      </c>
      <c r="B231" s="325" t="s">
        <v>772</v>
      </c>
      <c r="C231" s="325"/>
      <c r="D231" s="325" t="s">
        <v>773</v>
      </c>
      <c r="E231" s="457">
        <f>E232</f>
        <v>41300</v>
      </c>
      <c r="F231" s="457">
        <f t="shared" ref="F231:P231" si="190">F232</f>
        <v>41300</v>
      </c>
      <c r="G231" s="457">
        <f t="shared" si="190"/>
        <v>0</v>
      </c>
      <c r="H231" s="457">
        <f t="shared" si="190"/>
        <v>0</v>
      </c>
      <c r="I231" s="457">
        <f t="shared" si="190"/>
        <v>0</v>
      </c>
      <c r="J231" s="457">
        <f t="shared" si="190"/>
        <v>0</v>
      </c>
      <c r="K231" s="457">
        <f t="shared" si="190"/>
        <v>0</v>
      </c>
      <c r="L231" s="457">
        <f t="shared" si="190"/>
        <v>0</v>
      </c>
      <c r="M231" s="457">
        <f t="shared" si="190"/>
        <v>0</v>
      </c>
      <c r="N231" s="457">
        <f t="shared" si="190"/>
        <v>0</v>
      </c>
      <c r="O231" s="457">
        <f t="shared" si="190"/>
        <v>0</v>
      </c>
      <c r="P231" s="457">
        <f t="shared" si="190"/>
        <v>41300</v>
      </c>
      <c r="Q231" s="36"/>
      <c r="R231" s="53"/>
    </row>
    <row r="232" spans="1:18" ht="93" thickTop="1" thickBot="1" x14ac:dyDescent="0.25">
      <c r="A232" s="101" t="s">
        <v>47</v>
      </c>
      <c r="B232" s="101" t="s">
        <v>188</v>
      </c>
      <c r="C232" s="101" t="s">
        <v>195</v>
      </c>
      <c r="D232" s="101" t="s">
        <v>349</v>
      </c>
      <c r="E232" s="309">
        <f>F232</f>
        <v>41300</v>
      </c>
      <c r="F232" s="322">
        <v>41300</v>
      </c>
      <c r="G232" s="322"/>
      <c r="H232" s="322"/>
      <c r="I232" s="453"/>
      <c r="J232" s="324">
        <f t="shared" si="184"/>
        <v>0</v>
      </c>
      <c r="K232" s="453"/>
      <c r="L232" s="322"/>
      <c r="M232" s="322"/>
      <c r="N232" s="322"/>
      <c r="O232" s="450">
        <f t="shared" si="185"/>
        <v>0</v>
      </c>
      <c r="P232" s="324">
        <f t="shared" si="187"/>
        <v>41300</v>
      </c>
      <c r="Q232" s="20"/>
      <c r="R232" s="46"/>
    </row>
    <row r="233" spans="1:18" ht="48" thickTop="1" thickBot="1" x14ac:dyDescent="0.25">
      <c r="A233" s="325" t="s">
        <v>774</v>
      </c>
      <c r="B233" s="325" t="s">
        <v>775</v>
      </c>
      <c r="C233" s="325"/>
      <c r="D233" s="325" t="s">
        <v>776</v>
      </c>
      <c r="E233" s="457">
        <f>SUM(E234:E235)</f>
        <v>71668077</v>
      </c>
      <c r="F233" s="457">
        <f t="shared" ref="F233:P233" si="191">SUM(F234:F235)</f>
        <v>71668077</v>
      </c>
      <c r="G233" s="457">
        <f t="shared" si="191"/>
        <v>45291127</v>
      </c>
      <c r="H233" s="457">
        <f t="shared" si="191"/>
        <v>3403897</v>
      </c>
      <c r="I233" s="457">
        <f t="shared" si="191"/>
        <v>0</v>
      </c>
      <c r="J233" s="457">
        <f t="shared" si="191"/>
        <v>4573453</v>
      </c>
      <c r="K233" s="457">
        <f t="shared" si="191"/>
        <v>3131211</v>
      </c>
      <c r="L233" s="457">
        <f t="shared" si="191"/>
        <v>1417242</v>
      </c>
      <c r="M233" s="457">
        <f t="shared" si="191"/>
        <v>505365</v>
      </c>
      <c r="N233" s="457">
        <f t="shared" si="191"/>
        <v>371711</v>
      </c>
      <c r="O233" s="457">
        <f t="shared" si="191"/>
        <v>3156211</v>
      </c>
      <c r="P233" s="457">
        <f t="shared" si="191"/>
        <v>76241530</v>
      </c>
      <c r="Q233" s="20"/>
      <c r="R233" s="46"/>
    </row>
    <row r="234" spans="1:18" ht="93" thickTop="1" thickBot="1" x14ac:dyDescent="0.25">
      <c r="A234" s="101" t="s">
        <v>28</v>
      </c>
      <c r="B234" s="101" t="s">
        <v>192</v>
      </c>
      <c r="C234" s="101" t="s">
        <v>195</v>
      </c>
      <c r="D234" s="101" t="s">
        <v>48</v>
      </c>
      <c r="E234" s="309">
        <f t="shared" si="183"/>
        <v>64706386</v>
      </c>
      <c r="F234" s="322">
        <f>((((63565171)+70460)+97000+116000+298907+59902)+236600+300000+199426+50000+20000+20000+50000)+100000+32920-250000-260000</f>
        <v>64706386</v>
      </c>
      <c r="G234" s="322">
        <f>(13791707+13494017+12637962+5617441)-250000</f>
        <v>45291127</v>
      </c>
      <c r="H234" s="322">
        <f>(582200+114491+553286+67934+483136+25997+376551+57199+5016+21100+12432+180616+368000+5930+382500+11712+147504+59200+5076)-55983</f>
        <v>3403897</v>
      </c>
      <c r="I234" s="322"/>
      <c r="J234" s="324">
        <f t="shared" si="184"/>
        <v>4573453</v>
      </c>
      <c r="K234" s="322">
        <f>((((1000000)+71064)+75200+1671946)+54999+89002)+169000</f>
        <v>3131211</v>
      </c>
      <c r="L234" s="322">
        <f>1442242-25000</f>
        <v>1417242</v>
      </c>
      <c r="M234" s="322">
        <v>505365</v>
      </c>
      <c r="N234" s="322">
        <v>371711</v>
      </c>
      <c r="O234" s="450">
        <f>(K234+25000)</f>
        <v>3156211</v>
      </c>
      <c r="P234" s="324">
        <f t="shared" si="187"/>
        <v>69279839</v>
      </c>
      <c r="Q234" s="20"/>
      <c r="R234" s="46"/>
    </row>
    <row r="235" spans="1:18" ht="93" thickTop="1" thickBot="1" x14ac:dyDescent="0.25">
      <c r="A235" s="101" t="s">
        <v>29</v>
      </c>
      <c r="B235" s="101" t="s">
        <v>193</v>
      </c>
      <c r="C235" s="101" t="s">
        <v>195</v>
      </c>
      <c r="D235" s="101" t="s">
        <v>49</v>
      </c>
      <c r="E235" s="309">
        <f t="shared" si="183"/>
        <v>6961691</v>
      </c>
      <c r="F235" s="322">
        <v>6961691</v>
      </c>
      <c r="G235" s="322"/>
      <c r="H235" s="322"/>
      <c r="I235" s="322"/>
      <c r="J235" s="324">
        <f t="shared" si="184"/>
        <v>0</v>
      </c>
      <c r="K235" s="322">
        <v>0</v>
      </c>
      <c r="L235" s="322"/>
      <c r="M235" s="322"/>
      <c r="N235" s="322"/>
      <c r="O235" s="450">
        <f t="shared" si="185"/>
        <v>0</v>
      </c>
      <c r="P235" s="324">
        <f t="shared" si="187"/>
        <v>6961691</v>
      </c>
      <c r="Q235" s="20"/>
      <c r="R235" s="46"/>
    </row>
    <row r="236" spans="1:18" ht="69.75" customHeight="1" thickTop="1" thickBot="1" x14ac:dyDescent="0.25">
      <c r="A236" s="573" t="s">
        <v>1358</v>
      </c>
      <c r="B236" s="325" t="s">
        <v>812</v>
      </c>
      <c r="C236" s="325"/>
      <c r="D236" s="325" t="s">
        <v>813</v>
      </c>
      <c r="E236" s="457">
        <f>E237</f>
        <v>93550</v>
      </c>
      <c r="F236" s="457">
        <f t="shared" ref="F236:P236" si="192">F237</f>
        <v>93550</v>
      </c>
      <c r="G236" s="457">
        <f t="shared" si="192"/>
        <v>76680</v>
      </c>
      <c r="H236" s="457">
        <f t="shared" si="192"/>
        <v>0</v>
      </c>
      <c r="I236" s="457">
        <f t="shared" si="192"/>
        <v>0</v>
      </c>
      <c r="J236" s="457">
        <f t="shared" si="192"/>
        <v>0</v>
      </c>
      <c r="K236" s="457">
        <f t="shared" si="192"/>
        <v>0</v>
      </c>
      <c r="L236" s="457">
        <f t="shared" si="192"/>
        <v>0</v>
      </c>
      <c r="M236" s="457">
        <f t="shared" si="192"/>
        <v>0</v>
      </c>
      <c r="N236" s="457">
        <f t="shared" si="192"/>
        <v>0</v>
      </c>
      <c r="O236" s="457">
        <f t="shared" si="192"/>
        <v>0</v>
      </c>
      <c r="P236" s="457">
        <f t="shared" si="192"/>
        <v>93550</v>
      </c>
      <c r="Q236" s="20"/>
      <c r="R236" s="46"/>
    </row>
    <row r="237" spans="1:18" ht="93" thickTop="1" thickBot="1" x14ac:dyDescent="0.25">
      <c r="A237" s="101" t="s">
        <v>1359</v>
      </c>
      <c r="B237" s="101" t="s">
        <v>1360</v>
      </c>
      <c r="C237" s="101" t="s">
        <v>195</v>
      </c>
      <c r="D237" s="101" t="s">
        <v>1361</v>
      </c>
      <c r="E237" s="309">
        <f t="shared" ref="E237" si="193">F237</f>
        <v>93550</v>
      </c>
      <c r="F237" s="322">
        <v>93550</v>
      </c>
      <c r="G237" s="322">
        <v>76680</v>
      </c>
      <c r="H237" s="322"/>
      <c r="I237" s="322"/>
      <c r="J237" s="324">
        <f t="shared" ref="J237" si="194">L237+O237</f>
        <v>0</v>
      </c>
      <c r="K237" s="322">
        <v>0</v>
      </c>
      <c r="L237" s="322"/>
      <c r="M237" s="322"/>
      <c r="N237" s="322"/>
      <c r="O237" s="450">
        <f t="shared" ref="O237" si="195">K237</f>
        <v>0</v>
      </c>
      <c r="P237" s="324">
        <f t="shared" ref="P237" si="196">E237+J237</f>
        <v>93550</v>
      </c>
      <c r="Q237" s="20"/>
      <c r="R237" s="46"/>
    </row>
    <row r="238" spans="1:18" ht="48" thickTop="1" thickBot="1" x14ac:dyDescent="0.25">
      <c r="A238" s="573" t="s">
        <v>777</v>
      </c>
      <c r="B238" s="325" t="s">
        <v>778</v>
      </c>
      <c r="C238" s="325"/>
      <c r="D238" s="325" t="s">
        <v>779</v>
      </c>
      <c r="E238" s="457">
        <f>SUM(E239:E241)</f>
        <v>7270620</v>
      </c>
      <c r="F238" s="457">
        <f t="shared" ref="F238:P238" si="197">SUM(F239:F241)</f>
        <v>7270620</v>
      </c>
      <c r="G238" s="457">
        <f t="shared" si="197"/>
        <v>1441425</v>
      </c>
      <c r="H238" s="457">
        <f t="shared" si="197"/>
        <v>0</v>
      </c>
      <c r="I238" s="457">
        <f t="shared" si="197"/>
        <v>0</v>
      </c>
      <c r="J238" s="457">
        <f t="shared" si="197"/>
        <v>50000</v>
      </c>
      <c r="K238" s="457">
        <f t="shared" si="197"/>
        <v>0</v>
      </c>
      <c r="L238" s="457">
        <f t="shared" si="197"/>
        <v>50000</v>
      </c>
      <c r="M238" s="457">
        <f t="shared" si="197"/>
        <v>0</v>
      </c>
      <c r="N238" s="457">
        <f t="shared" si="197"/>
        <v>0</v>
      </c>
      <c r="O238" s="457">
        <f t="shared" si="197"/>
        <v>0</v>
      </c>
      <c r="P238" s="457">
        <f t="shared" si="197"/>
        <v>7320620</v>
      </c>
      <c r="Q238" s="20"/>
      <c r="R238" s="46"/>
    </row>
    <row r="239" spans="1:18" ht="93" thickTop="1" thickBot="1" x14ac:dyDescent="0.25">
      <c r="A239" s="574" t="s">
        <v>30</v>
      </c>
      <c r="B239" s="574" t="s">
        <v>194</v>
      </c>
      <c r="C239" s="574" t="s">
        <v>195</v>
      </c>
      <c r="D239" s="101" t="s">
        <v>31</v>
      </c>
      <c r="E239" s="309">
        <f t="shared" si="183"/>
        <v>775354</v>
      </c>
      <c r="F239" s="322">
        <f>(625354)+150000</f>
        <v>775354</v>
      </c>
      <c r="G239" s="453"/>
      <c r="H239" s="453"/>
      <c r="I239" s="453"/>
      <c r="J239" s="324">
        <f t="shared" si="184"/>
        <v>0</v>
      </c>
      <c r="K239" s="453"/>
      <c r="L239" s="453"/>
      <c r="M239" s="453"/>
      <c r="N239" s="453"/>
      <c r="O239" s="450">
        <f t="shared" si="185"/>
        <v>0</v>
      </c>
      <c r="P239" s="324">
        <f t="shared" si="187"/>
        <v>775354</v>
      </c>
      <c r="Q239" s="20"/>
      <c r="R239" s="46"/>
    </row>
    <row r="240" spans="1:18" ht="93" thickTop="1" thickBot="1" x14ac:dyDescent="0.25">
      <c r="A240" s="574" t="s">
        <v>511</v>
      </c>
      <c r="B240" s="574" t="s">
        <v>509</v>
      </c>
      <c r="C240" s="574" t="s">
        <v>195</v>
      </c>
      <c r="D240" s="101" t="s">
        <v>510</v>
      </c>
      <c r="E240" s="309">
        <f t="shared" si="183"/>
        <v>4351085</v>
      </c>
      <c r="F240" s="322">
        <f>(((5242225)-60000)-31140)-800000</f>
        <v>4351085</v>
      </c>
      <c r="G240" s="453"/>
      <c r="H240" s="453"/>
      <c r="I240" s="453"/>
      <c r="J240" s="324">
        <f t="shared" si="184"/>
        <v>0</v>
      </c>
      <c r="K240" s="453"/>
      <c r="L240" s="453"/>
      <c r="M240" s="453"/>
      <c r="N240" s="453"/>
      <c r="O240" s="450">
        <f t="shared" si="185"/>
        <v>0</v>
      </c>
      <c r="P240" s="324">
        <f t="shared" si="187"/>
        <v>4351085</v>
      </c>
      <c r="Q240" s="20"/>
      <c r="R240" s="46"/>
    </row>
    <row r="241" spans="1:18" ht="45" customHeight="1" thickTop="1" thickBot="1" x14ac:dyDescent="0.25">
      <c r="A241" s="574" t="s">
        <v>32</v>
      </c>
      <c r="B241" s="574" t="s">
        <v>196</v>
      </c>
      <c r="C241" s="574" t="s">
        <v>195</v>
      </c>
      <c r="D241" s="101" t="s">
        <v>33</v>
      </c>
      <c r="E241" s="309">
        <f>F241</f>
        <v>2144181</v>
      </c>
      <c r="F241" s="322">
        <f>(2113041)+31140</f>
        <v>2144181</v>
      </c>
      <c r="G241" s="453">
        <v>1441425</v>
      </c>
      <c r="H241" s="453"/>
      <c r="I241" s="453"/>
      <c r="J241" s="324">
        <f t="shared" si="184"/>
        <v>50000</v>
      </c>
      <c r="K241" s="453"/>
      <c r="L241" s="453">
        <v>50000</v>
      </c>
      <c r="M241" s="453"/>
      <c r="N241" s="453"/>
      <c r="O241" s="450">
        <f t="shared" si="185"/>
        <v>0</v>
      </c>
      <c r="P241" s="324">
        <f t="shared" si="187"/>
        <v>2194181</v>
      </c>
      <c r="Q241" s="20"/>
      <c r="R241" s="46"/>
    </row>
    <row r="242" spans="1:18" ht="47.25" hidden="1" thickTop="1" thickBot="1" x14ac:dyDescent="0.25">
      <c r="A242" s="123" t="s">
        <v>780</v>
      </c>
      <c r="B242" s="123" t="s">
        <v>738</v>
      </c>
      <c r="C242" s="123"/>
      <c r="D242" s="400" t="s">
        <v>739</v>
      </c>
      <c r="E242" s="150">
        <f>E243</f>
        <v>0</v>
      </c>
      <c r="F242" s="150">
        <f t="shared" ref="F242:P243" si="198">F243</f>
        <v>0</v>
      </c>
      <c r="G242" s="150">
        <f t="shared" si="198"/>
        <v>0</v>
      </c>
      <c r="H242" s="150">
        <f t="shared" si="198"/>
        <v>0</v>
      </c>
      <c r="I242" s="150">
        <f t="shared" si="198"/>
        <v>0</v>
      </c>
      <c r="J242" s="150">
        <f t="shared" si="198"/>
        <v>0</v>
      </c>
      <c r="K242" s="150">
        <f t="shared" si="198"/>
        <v>0</v>
      </c>
      <c r="L242" s="150">
        <f t="shared" si="198"/>
        <v>0</v>
      </c>
      <c r="M242" s="150">
        <f t="shared" si="198"/>
        <v>0</v>
      </c>
      <c r="N242" s="150">
        <f t="shared" si="198"/>
        <v>0</v>
      </c>
      <c r="O242" s="150">
        <f t="shared" si="198"/>
        <v>0</v>
      </c>
      <c r="P242" s="150">
        <f t="shared" si="198"/>
        <v>0</v>
      </c>
      <c r="Q242" s="20"/>
      <c r="R242" s="46"/>
    </row>
    <row r="243" spans="1:18" ht="48" hidden="1" thickTop="1" thickBot="1" x14ac:dyDescent="0.25">
      <c r="A243" s="401" t="s">
        <v>781</v>
      </c>
      <c r="B243" s="401" t="s">
        <v>741</v>
      </c>
      <c r="C243" s="401"/>
      <c r="D243" s="138" t="s">
        <v>742</v>
      </c>
      <c r="E243" s="156">
        <f>E244</f>
        <v>0</v>
      </c>
      <c r="F243" s="156">
        <f t="shared" si="198"/>
        <v>0</v>
      </c>
      <c r="G243" s="156">
        <f t="shared" si="198"/>
        <v>0</v>
      </c>
      <c r="H243" s="156">
        <f t="shared" si="198"/>
        <v>0</v>
      </c>
      <c r="I243" s="156">
        <f t="shared" si="198"/>
        <v>0</v>
      </c>
      <c r="J243" s="156">
        <f t="shared" si="198"/>
        <v>0</v>
      </c>
      <c r="K243" s="156">
        <f t="shared" si="198"/>
        <v>0</v>
      </c>
      <c r="L243" s="156">
        <f t="shared" si="198"/>
        <v>0</v>
      </c>
      <c r="M243" s="156">
        <f t="shared" si="198"/>
        <v>0</v>
      </c>
      <c r="N243" s="156">
        <f t="shared" si="198"/>
        <v>0</v>
      </c>
      <c r="O243" s="156">
        <f t="shared" si="198"/>
        <v>0</v>
      </c>
      <c r="P243" s="156">
        <f t="shared" si="198"/>
        <v>0</v>
      </c>
      <c r="Q243" s="20"/>
      <c r="R243" s="46"/>
    </row>
    <row r="244" spans="1:18" ht="93" hidden="1" thickTop="1" thickBot="1" x14ac:dyDescent="0.25">
      <c r="A244" s="402" t="s">
        <v>342</v>
      </c>
      <c r="B244" s="402" t="s">
        <v>341</v>
      </c>
      <c r="C244" s="402" t="s">
        <v>340</v>
      </c>
      <c r="D244" s="126" t="s">
        <v>637</v>
      </c>
      <c r="E244" s="150">
        <f>F244</f>
        <v>0</v>
      </c>
      <c r="F244" s="127"/>
      <c r="G244" s="132"/>
      <c r="H244" s="132"/>
      <c r="I244" s="132"/>
      <c r="J244" s="125">
        <f t="shared" si="184"/>
        <v>0</v>
      </c>
      <c r="K244" s="132"/>
      <c r="L244" s="132"/>
      <c r="M244" s="132"/>
      <c r="N244" s="132"/>
      <c r="O244" s="130">
        <f t="shared" si="185"/>
        <v>0</v>
      </c>
      <c r="P244" s="125">
        <f t="shared" si="187"/>
        <v>0</v>
      </c>
      <c r="Q244" s="20"/>
      <c r="R244" s="50"/>
    </row>
    <row r="245" spans="1:18" ht="47.25" hidden="1" thickTop="1" thickBot="1" x14ac:dyDescent="0.25">
      <c r="A245" s="123" t="s">
        <v>782</v>
      </c>
      <c r="B245" s="123" t="s">
        <v>744</v>
      </c>
      <c r="C245" s="123"/>
      <c r="D245" s="123" t="s">
        <v>745</v>
      </c>
      <c r="E245" s="150">
        <f>E249+E246</f>
        <v>0</v>
      </c>
      <c r="F245" s="150">
        <f t="shared" ref="F245:P245" si="199">F249+F246</f>
        <v>0</v>
      </c>
      <c r="G245" s="150">
        <f t="shared" si="199"/>
        <v>0</v>
      </c>
      <c r="H245" s="150">
        <f t="shared" si="199"/>
        <v>0</v>
      </c>
      <c r="I245" s="150">
        <f t="shared" si="199"/>
        <v>0</v>
      </c>
      <c r="J245" s="150">
        <f t="shared" si="199"/>
        <v>0</v>
      </c>
      <c r="K245" s="150">
        <f t="shared" si="199"/>
        <v>0</v>
      </c>
      <c r="L245" s="150">
        <f t="shared" si="199"/>
        <v>0</v>
      </c>
      <c r="M245" s="150">
        <f t="shared" si="199"/>
        <v>0</v>
      </c>
      <c r="N245" s="150">
        <f t="shared" si="199"/>
        <v>0</v>
      </c>
      <c r="O245" s="150">
        <f t="shared" si="199"/>
        <v>0</v>
      </c>
      <c r="P245" s="150">
        <f t="shared" si="199"/>
        <v>0</v>
      </c>
      <c r="Q245" s="20"/>
      <c r="R245" s="50"/>
    </row>
    <row r="246" spans="1:18" ht="47.25" hidden="1" thickTop="1" thickBot="1" x14ac:dyDescent="0.25">
      <c r="A246" s="134" t="s">
        <v>1082</v>
      </c>
      <c r="B246" s="134" t="s">
        <v>799</v>
      </c>
      <c r="C246" s="134"/>
      <c r="D246" s="134" t="s">
        <v>800</v>
      </c>
      <c r="E246" s="135">
        <f>E247</f>
        <v>0</v>
      </c>
      <c r="F246" s="135">
        <f t="shared" ref="F246:P247" si="200">F247</f>
        <v>0</v>
      </c>
      <c r="G246" s="135">
        <f t="shared" si="200"/>
        <v>0</v>
      </c>
      <c r="H246" s="135">
        <f t="shared" si="200"/>
        <v>0</v>
      </c>
      <c r="I246" s="135">
        <f t="shared" si="200"/>
        <v>0</v>
      </c>
      <c r="J246" s="135">
        <f t="shared" si="200"/>
        <v>0</v>
      </c>
      <c r="K246" s="135">
        <f t="shared" si="200"/>
        <v>0</v>
      </c>
      <c r="L246" s="135">
        <f t="shared" si="200"/>
        <v>0</v>
      </c>
      <c r="M246" s="135">
        <f t="shared" si="200"/>
        <v>0</v>
      </c>
      <c r="N246" s="135">
        <f t="shared" si="200"/>
        <v>0</v>
      </c>
      <c r="O246" s="135">
        <f t="shared" si="200"/>
        <v>0</v>
      </c>
      <c r="P246" s="135">
        <f t="shared" si="200"/>
        <v>0</v>
      </c>
      <c r="Q246" s="20"/>
      <c r="R246" s="50"/>
    </row>
    <row r="247" spans="1:18" ht="54" hidden="1" thickTop="1" thickBot="1" x14ac:dyDescent="0.25">
      <c r="A247" s="138" t="s">
        <v>1083</v>
      </c>
      <c r="B247" s="138" t="s">
        <v>817</v>
      </c>
      <c r="C247" s="138"/>
      <c r="D247" s="138" t="s">
        <v>1468</v>
      </c>
      <c r="E247" s="139">
        <f>E248</f>
        <v>0</v>
      </c>
      <c r="F247" s="139">
        <f t="shared" si="200"/>
        <v>0</v>
      </c>
      <c r="G247" s="139">
        <f t="shared" si="200"/>
        <v>0</v>
      </c>
      <c r="H247" s="139">
        <f t="shared" si="200"/>
        <v>0</v>
      </c>
      <c r="I247" s="139">
        <f t="shared" si="200"/>
        <v>0</v>
      </c>
      <c r="J247" s="139">
        <f t="shared" si="200"/>
        <v>0</v>
      </c>
      <c r="K247" s="139">
        <f t="shared" si="200"/>
        <v>0</v>
      </c>
      <c r="L247" s="139">
        <f t="shared" si="200"/>
        <v>0</v>
      </c>
      <c r="M247" s="139">
        <f t="shared" si="200"/>
        <v>0</v>
      </c>
      <c r="N247" s="139">
        <f t="shared" si="200"/>
        <v>0</v>
      </c>
      <c r="O247" s="139">
        <f t="shared" si="200"/>
        <v>0</v>
      </c>
      <c r="P247" s="139">
        <f t="shared" si="200"/>
        <v>0</v>
      </c>
      <c r="Q247" s="20"/>
      <c r="R247" s="50"/>
    </row>
    <row r="248" spans="1:18" ht="54" hidden="1" thickTop="1" thickBot="1" x14ac:dyDescent="0.25">
      <c r="A248" s="126" t="s">
        <v>1084</v>
      </c>
      <c r="B248" s="126" t="s">
        <v>313</v>
      </c>
      <c r="C248" s="126" t="s">
        <v>304</v>
      </c>
      <c r="D248" s="126" t="s">
        <v>1219</v>
      </c>
      <c r="E248" s="125">
        <f t="shared" ref="E248" si="201">F248</f>
        <v>0</v>
      </c>
      <c r="F248" s="132"/>
      <c r="G248" s="132"/>
      <c r="H248" s="132"/>
      <c r="I248" s="132"/>
      <c r="J248" s="125">
        <f t="shared" ref="J248" si="202">L248+O248</f>
        <v>0</v>
      </c>
      <c r="K248" s="132">
        <f>49500-49500</f>
        <v>0</v>
      </c>
      <c r="L248" s="132"/>
      <c r="M248" s="132"/>
      <c r="N248" s="132"/>
      <c r="O248" s="130">
        <f t="shared" ref="O248" si="203">K248</f>
        <v>0</v>
      </c>
      <c r="P248" s="125">
        <f>E248+J248</f>
        <v>0</v>
      </c>
      <c r="Q248" s="20"/>
      <c r="R248" s="50"/>
    </row>
    <row r="249" spans="1:18" ht="47.25" hidden="1" thickTop="1" thickBot="1" x14ac:dyDescent="0.25">
      <c r="A249" s="134" t="s">
        <v>783</v>
      </c>
      <c r="B249" s="134" t="s">
        <v>687</v>
      </c>
      <c r="C249" s="134"/>
      <c r="D249" s="134" t="s">
        <v>685</v>
      </c>
      <c r="E249" s="157">
        <f>E251+E250</f>
        <v>0</v>
      </c>
      <c r="F249" s="157">
        <f t="shared" ref="F249:H249" si="204">F251+F250</f>
        <v>0</v>
      </c>
      <c r="G249" s="157">
        <f t="shared" si="204"/>
        <v>0</v>
      </c>
      <c r="H249" s="157">
        <f t="shared" si="204"/>
        <v>0</v>
      </c>
      <c r="I249" s="157">
        <f>I251+I250</f>
        <v>0</v>
      </c>
      <c r="J249" s="157">
        <f>J251+J250</f>
        <v>0</v>
      </c>
      <c r="K249" s="157">
        <f>K251+K250</f>
        <v>0</v>
      </c>
      <c r="L249" s="157">
        <f t="shared" ref="L249:O249" si="205">L251+L250</f>
        <v>0</v>
      </c>
      <c r="M249" s="157">
        <f t="shared" si="205"/>
        <v>0</v>
      </c>
      <c r="N249" s="157">
        <f t="shared" si="205"/>
        <v>0</v>
      </c>
      <c r="O249" s="157">
        <f t="shared" si="205"/>
        <v>0</v>
      </c>
      <c r="P249" s="157">
        <f>P251+P250</f>
        <v>0</v>
      </c>
      <c r="Q249" s="20"/>
      <c r="R249" s="50"/>
    </row>
    <row r="250" spans="1:18" ht="48" hidden="1" thickTop="1" thickBot="1" x14ac:dyDescent="0.25">
      <c r="A250" s="402" t="s">
        <v>1316</v>
      </c>
      <c r="B250" s="402" t="s">
        <v>212</v>
      </c>
      <c r="C250" s="402"/>
      <c r="D250" s="126" t="s">
        <v>41</v>
      </c>
      <c r="E250" s="150">
        <f>F250</f>
        <v>0</v>
      </c>
      <c r="F250" s="127"/>
      <c r="G250" s="132"/>
      <c r="H250" s="132"/>
      <c r="I250" s="132"/>
      <c r="J250" s="125">
        <f t="shared" ref="J250" si="206">L250+O250</f>
        <v>0</v>
      </c>
      <c r="K250" s="132"/>
      <c r="L250" s="132"/>
      <c r="M250" s="132"/>
      <c r="N250" s="132"/>
      <c r="O250" s="130">
        <f t="shared" ref="O250" si="207">K250</f>
        <v>0</v>
      </c>
      <c r="P250" s="125">
        <f t="shared" ref="P250" si="208">E250+J250</f>
        <v>0</v>
      </c>
      <c r="Q250" s="20"/>
      <c r="R250" s="50"/>
    </row>
    <row r="251" spans="1:18" ht="48" hidden="1" thickTop="1" thickBot="1" x14ac:dyDescent="0.25">
      <c r="A251" s="126" t="s">
        <v>605</v>
      </c>
      <c r="B251" s="126" t="s">
        <v>197</v>
      </c>
      <c r="C251" s="126" t="s">
        <v>170</v>
      </c>
      <c r="D251" s="126" t="s">
        <v>34</v>
      </c>
      <c r="E251" s="125">
        <f t="shared" ref="E251" si="209">F251</f>
        <v>0</v>
      </c>
      <c r="F251" s="132"/>
      <c r="G251" s="132"/>
      <c r="H251" s="132"/>
      <c r="I251" s="132"/>
      <c r="J251" s="125">
        <f t="shared" si="184"/>
        <v>0</v>
      </c>
      <c r="K251" s="132"/>
      <c r="L251" s="132"/>
      <c r="M251" s="132"/>
      <c r="N251" s="132"/>
      <c r="O251" s="130">
        <f t="shared" si="185"/>
        <v>0</v>
      </c>
      <c r="P251" s="125">
        <f t="shared" si="187"/>
        <v>0</v>
      </c>
      <c r="Q251" s="20"/>
      <c r="R251" s="46"/>
    </row>
    <row r="252" spans="1:18" ht="47.25" thickTop="1" thickBot="1" x14ac:dyDescent="0.25">
      <c r="A252" s="308" t="s">
        <v>1090</v>
      </c>
      <c r="B252" s="308" t="s">
        <v>698</v>
      </c>
      <c r="C252" s="308"/>
      <c r="D252" s="308" t="s">
        <v>699</v>
      </c>
      <c r="E252" s="324">
        <f>E253</f>
        <v>250000</v>
      </c>
      <c r="F252" s="324">
        <f t="shared" ref="F252:P253" si="210">F253</f>
        <v>250000</v>
      </c>
      <c r="G252" s="324">
        <f t="shared" si="210"/>
        <v>0</v>
      </c>
      <c r="H252" s="324">
        <f t="shared" si="210"/>
        <v>0</v>
      </c>
      <c r="I252" s="324">
        <f t="shared" si="210"/>
        <v>0</v>
      </c>
      <c r="J252" s="324">
        <f t="shared" si="210"/>
        <v>0</v>
      </c>
      <c r="K252" s="324">
        <f t="shared" si="210"/>
        <v>0</v>
      </c>
      <c r="L252" s="324">
        <f t="shared" si="210"/>
        <v>0</v>
      </c>
      <c r="M252" s="324">
        <f t="shared" si="210"/>
        <v>0</v>
      </c>
      <c r="N252" s="324">
        <f t="shared" si="210"/>
        <v>0</v>
      </c>
      <c r="O252" s="324">
        <f t="shared" si="210"/>
        <v>0</v>
      </c>
      <c r="P252" s="324">
        <f t="shared" si="210"/>
        <v>250000</v>
      </c>
      <c r="Q252" s="20"/>
      <c r="R252" s="46"/>
    </row>
    <row r="253" spans="1:18" ht="91.5" thickTop="1" thickBot="1" x14ac:dyDescent="0.25">
      <c r="A253" s="310" t="s">
        <v>1091</v>
      </c>
      <c r="B253" s="310" t="s">
        <v>701</v>
      </c>
      <c r="C253" s="310"/>
      <c r="D253" s="310" t="s">
        <v>702</v>
      </c>
      <c r="E253" s="312">
        <f>E254</f>
        <v>250000</v>
      </c>
      <c r="F253" s="312">
        <f t="shared" si="210"/>
        <v>250000</v>
      </c>
      <c r="G253" s="312">
        <f t="shared" si="210"/>
        <v>0</v>
      </c>
      <c r="H253" s="312">
        <f t="shared" si="210"/>
        <v>0</v>
      </c>
      <c r="I253" s="312">
        <f t="shared" si="210"/>
        <v>0</v>
      </c>
      <c r="J253" s="312">
        <f t="shared" si="210"/>
        <v>0</v>
      </c>
      <c r="K253" s="312">
        <f t="shared" si="210"/>
        <v>0</v>
      </c>
      <c r="L253" s="312">
        <f t="shared" si="210"/>
        <v>0</v>
      </c>
      <c r="M253" s="312">
        <f t="shared" si="210"/>
        <v>0</v>
      </c>
      <c r="N253" s="312">
        <f t="shared" si="210"/>
        <v>0</v>
      </c>
      <c r="O253" s="312">
        <f t="shared" si="210"/>
        <v>0</v>
      </c>
      <c r="P253" s="312">
        <f t="shared" si="210"/>
        <v>250000</v>
      </c>
      <c r="Q253" s="20"/>
      <c r="R253" s="46"/>
    </row>
    <row r="254" spans="1:18" ht="48" thickTop="1" thickBot="1" x14ac:dyDescent="0.25">
      <c r="A254" s="101" t="s">
        <v>1092</v>
      </c>
      <c r="B254" s="101" t="s">
        <v>363</v>
      </c>
      <c r="C254" s="101" t="s">
        <v>43</v>
      </c>
      <c r="D254" s="101" t="s">
        <v>364</v>
      </c>
      <c r="E254" s="324">
        <f t="shared" ref="E254" si="211">F254</f>
        <v>250000</v>
      </c>
      <c r="F254" s="453">
        <v>250000</v>
      </c>
      <c r="G254" s="453"/>
      <c r="H254" s="453"/>
      <c r="I254" s="453"/>
      <c r="J254" s="324">
        <f>L254+O254</f>
        <v>0</v>
      </c>
      <c r="K254" s="453">
        <v>0</v>
      </c>
      <c r="L254" s="453"/>
      <c r="M254" s="453"/>
      <c r="N254" s="453"/>
      <c r="O254" s="450">
        <f>K254</f>
        <v>0</v>
      </c>
      <c r="P254" s="324">
        <f>E254+J254</f>
        <v>250000</v>
      </c>
      <c r="Q254" s="20"/>
      <c r="R254" s="46"/>
    </row>
    <row r="255" spans="1:18" ht="120" customHeight="1" thickTop="1" thickBot="1" x14ac:dyDescent="0.25">
      <c r="A255" s="689" t="s">
        <v>158</v>
      </c>
      <c r="B255" s="689"/>
      <c r="C255" s="689"/>
      <c r="D255" s="690" t="s">
        <v>560</v>
      </c>
      <c r="E255" s="691">
        <f>E256</f>
        <v>43565188.979999997</v>
      </c>
      <c r="F255" s="692">
        <f t="shared" ref="F255:G255" si="212">F256</f>
        <v>43565188.979999997</v>
      </c>
      <c r="G255" s="692">
        <f t="shared" si="212"/>
        <v>7111632</v>
      </c>
      <c r="H255" s="692">
        <f>H256</f>
        <v>383100</v>
      </c>
      <c r="I255" s="692">
        <f t="shared" ref="I255" si="213">I256</f>
        <v>0</v>
      </c>
      <c r="J255" s="691">
        <f>J256</f>
        <v>13134286.15</v>
      </c>
      <c r="K255" s="692">
        <f>K256</f>
        <v>13134286.15</v>
      </c>
      <c r="L255" s="692">
        <f>L256</f>
        <v>0</v>
      </c>
      <c r="M255" s="692">
        <f t="shared" ref="M255" si="214">M256</f>
        <v>0</v>
      </c>
      <c r="N255" s="692">
        <f>N256</f>
        <v>0</v>
      </c>
      <c r="O255" s="691">
        <f>O256</f>
        <v>13134286.15</v>
      </c>
      <c r="P255" s="692">
        <f>P256</f>
        <v>56699475.129999995</v>
      </c>
      <c r="Q255" s="20"/>
      <c r="R255" s="50"/>
    </row>
    <row r="256" spans="1:18" ht="120" customHeight="1" thickTop="1" thickBot="1" x14ac:dyDescent="0.25">
      <c r="A256" s="693" t="s">
        <v>159</v>
      </c>
      <c r="B256" s="693"/>
      <c r="C256" s="693"/>
      <c r="D256" s="694" t="s">
        <v>561</v>
      </c>
      <c r="E256" s="695">
        <f>E257+E261+E270+E279</f>
        <v>43565188.979999997</v>
      </c>
      <c r="F256" s="695">
        <f>F257+F261+F270+F279</f>
        <v>43565188.979999997</v>
      </c>
      <c r="G256" s="695">
        <f>G257+G261+G270+G279</f>
        <v>7111632</v>
      </c>
      <c r="H256" s="695">
        <f>H257+H261+H270+H279</f>
        <v>383100</v>
      </c>
      <c r="I256" s="695">
        <f>I257+I261+I270+I279</f>
        <v>0</v>
      </c>
      <c r="J256" s="695">
        <f t="shared" ref="J256:J277" si="215">L256+O256</f>
        <v>13134286.15</v>
      </c>
      <c r="K256" s="695">
        <f>K257+K261+K270+K279</f>
        <v>13134286.15</v>
      </c>
      <c r="L256" s="695">
        <f>L257+L261+L270+L279</f>
        <v>0</v>
      </c>
      <c r="M256" s="695">
        <f>M257+M261+M270+M279</f>
        <v>0</v>
      </c>
      <c r="N256" s="695">
        <f>N257+N261+N270+N279</f>
        <v>0</v>
      </c>
      <c r="O256" s="695">
        <f>O257+O261+O270+O279</f>
        <v>13134286.15</v>
      </c>
      <c r="P256" s="695">
        <f>E256+J256</f>
        <v>56699475.129999995</v>
      </c>
      <c r="Q256" s="487" t="b">
        <f>P256=P258+P263+P265+P267+P268+P269+P272+P274+P275+P281+P264</f>
        <v>1</v>
      </c>
      <c r="R256" s="54"/>
    </row>
    <row r="257" spans="1:18" ht="47.25" thickTop="1" thickBot="1" x14ac:dyDescent="0.25">
      <c r="A257" s="308" t="s">
        <v>784</v>
      </c>
      <c r="B257" s="308" t="s">
        <v>680</v>
      </c>
      <c r="C257" s="308"/>
      <c r="D257" s="308" t="s">
        <v>681</v>
      </c>
      <c r="E257" s="324">
        <f>SUM(E258:E260)</f>
        <v>9648153</v>
      </c>
      <c r="F257" s="324">
        <f t="shared" ref="F257:N257" si="216">SUM(F258:F260)</f>
        <v>9648153</v>
      </c>
      <c r="G257" s="324">
        <f t="shared" si="216"/>
        <v>7111632</v>
      </c>
      <c r="H257" s="324">
        <f t="shared" si="216"/>
        <v>383100</v>
      </c>
      <c r="I257" s="324">
        <f t="shared" si="216"/>
        <v>0</v>
      </c>
      <c r="J257" s="324">
        <f t="shared" si="216"/>
        <v>0</v>
      </c>
      <c r="K257" s="324">
        <f t="shared" si="216"/>
        <v>0</v>
      </c>
      <c r="L257" s="324">
        <f t="shared" si="216"/>
        <v>0</v>
      </c>
      <c r="M257" s="324">
        <f t="shared" si="216"/>
        <v>0</v>
      </c>
      <c r="N257" s="324">
        <f t="shared" si="216"/>
        <v>0</v>
      </c>
      <c r="O257" s="324">
        <f>SUM(O258:O260)</f>
        <v>0</v>
      </c>
      <c r="P257" s="324">
        <f>SUM(P258:P260)</f>
        <v>9648153</v>
      </c>
      <c r="Q257" s="47"/>
      <c r="R257" s="54"/>
    </row>
    <row r="258" spans="1:18" ht="93" thickTop="1" thickBot="1" x14ac:dyDescent="0.25">
      <c r="A258" s="101" t="s">
        <v>420</v>
      </c>
      <c r="B258" s="101" t="s">
        <v>236</v>
      </c>
      <c r="C258" s="101" t="s">
        <v>234</v>
      </c>
      <c r="D258" s="101" t="s">
        <v>235</v>
      </c>
      <c r="E258" s="309">
        <f>F258</f>
        <v>9648153</v>
      </c>
      <c r="F258" s="322">
        <f>(9067321)+580832</f>
        <v>9648153</v>
      </c>
      <c r="G258" s="322">
        <f>(6530800)+580832</f>
        <v>7111632</v>
      </c>
      <c r="H258" s="322">
        <f>(510883)-127783</f>
        <v>383100</v>
      </c>
      <c r="I258" s="322"/>
      <c r="J258" s="324">
        <f t="shared" si="215"/>
        <v>0</v>
      </c>
      <c r="K258" s="322">
        <v>0</v>
      </c>
      <c r="L258" s="449"/>
      <c r="M258" s="449"/>
      <c r="N258" s="449"/>
      <c r="O258" s="450">
        <f t="shared" ref="O258:O275" si="217">K258</f>
        <v>0</v>
      </c>
      <c r="P258" s="324">
        <f t="shared" ref="P258:P267" si="218">+J258+E258</f>
        <v>9648153</v>
      </c>
      <c r="Q258" s="20"/>
      <c r="R258" s="54"/>
    </row>
    <row r="259" spans="1:18" ht="93" hidden="1" thickTop="1" thickBot="1" x14ac:dyDescent="0.25">
      <c r="A259" s="126" t="s">
        <v>625</v>
      </c>
      <c r="B259" s="126" t="s">
        <v>362</v>
      </c>
      <c r="C259" s="126" t="s">
        <v>623</v>
      </c>
      <c r="D259" s="126" t="s">
        <v>624</v>
      </c>
      <c r="E259" s="125">
        <f t="shared" ref="E259:E260" si="219">F259</f>
        <v>0</v>
      </c>
      <c r="F259" s="127">
        <v>0</v>
      </c>
      <c r="G259" s="127"/>
      <c r="H259" s="127"/>
      <c r="I259" s="127"/>
      <c r="J259" s="125">
        <f t="shared" si="215"/>
        <v>0</v>
      </c>
      <c r="K259" s="127"/>
      <c r="L259" s="128"/>
      <c r="M259" s="129"/>
      <c r="N259" s="129"/>
      <c r="O259" s="130">
        <f t="shared" si="217"/>
        <v>0</v>
      </c>
      <c r="P259" s="125">
        <f>+J259+E259</f>
        <v>0</v>
      </c>
      <c r="Q259" s="20"/>
      <c r="R259" s="54"/>
    </row>
    <row r="260" spans="1:18" ht="48" hidden="1" thickTop="1" thickBot="1" x14ac:dyDescent="0.25">
      <c r="A260" s="126" t="s">
        <v>1125</v>
      </c>
      <c r="B260" s="126" t="s">
        <v>43</v>
      </c>
      <c r="C260" s="126" t="s">
        <v>42</v>
      </c>
      <c r="D260" s="126" t="s">
        <v>248</v>
      </c>
      <c r="E260" s="125">
        <f t="shared" si="219"/>
        <v>0</v>
      </c>
      <c r="F260" s="127"/>
      <c r="G260" s="127"/>
      <c r="H260" s="127"/>
      <c r="I260" s="127"/>
      <c r="J260" s="125">
        <f t="shared" si="215"/>
        <v>0</v>
      </c>
      <c r="K260" s="127"/>
      <c r="L260" s="128"/>
      <c r="M260" s="129"/>
      <c r="N260" s="129"/>
      <c r="O260" s="130"/>
      <c r="P260" s="125">
        <f>+J260+E260</f>
        <v>0</v>
      </c>
      <c r="Q260" s="20"/>
      <c r="R260" s="54"/>
    </row>
    <row r="261" spans="1:18" ht="47.25" thickTop="1" thickBot="1" x14ac:dyDescent="0.25">
      <c r="A261" s="308" t="s">
        <v>785</v>
      </c>
      <c r="B261" s="308" t="s">
        <v>738</v>
      </c>
      <c r="C261" s="308"/>
      <c r="D261" s="343" t="s">
        <v>739</v>
      </c>
      <c r="E261" s="324">
        <f>SUM(E262:E269)-E262</f>
        <v>26515295.979999997</v>
      </c>
      <c r="F261" s="324">
        <f t="shared" ref="F261:P261" si="220">SUM(F262:F269)-F262</f>
        <v>26515295.979999997</v>
      </c>
      <c r="G261" s="324">
        <f t="shared" si="220"/>
        <v>0</v>
      </c>
      <c r="H261" s="324">
        <f t="shared" si="220"/>
        <v>0</v>
      </c>
      <c r="I261" s="324">
        <f t="shared" si="220"/>
        <v>0</v>
      </c>
      <c r="J261" s="324">
        <f>SUM(J262:J269)-J262</f>
        <v>10283813</v>
      </c>
      <c r="K261" s="324">
        <f t="shared" si="220"/>
        <v>10283813</v>
      </c>
      <c r="L261" s="324">
        <f t="shared" si="220"/>
        <v>0</v>
      </c>
      <c r="M261" s="324">
        <f t="shared" si="220"/>
        <v>0</v>
      </c>
      <c r="N261" s="324">
        <f t="shared" si="220"/>
        <v>0</v>
      </c>
      <c r="O261" s="324">
        <f t="shared" si="220"/>
        <v>10283813</v>
      </c>
      <c r="P261" s="324">
        <f t="shared" si="220"/>
        <v>36799108.979999997</v>
      </c>
      <c r="Q261" s="20"/>
      <c r="R261" s="54"/>
    </row>
    <row r="262" spans="1:18" s="33" customFormat="1" ht="93" thickTop="1" thickBot="1" x14ac:dyDescent="0.25">
      <c r="A262" s="325" t="s">
        <v>786</v>
      </c>
      <c r="B262" s="325" t="s">
        <v>787</v>
      </c>
      <c r="C262" s="325"/>
      <c r="D262" s="325" t="s">
        <v>788</v>
      </c>
      <c r="E262" s="321">
        <f>SUM(E263:E266)</f>
        <v>8672800</v>
      </c>
      <c r="F262" s="321">
        <f t="shared" ref="F262:P262" si="221">SUM(F263:F266)</f>
        <v>8672800</v>
      </c>
      <c r="G262" s="321">
        <f t="shared" si="221"/>
        <v>0</v>
      </c>
      <c r="H262" s="321">
        <f t="shared" si="221"/>
        <v>0</v>
      </c>
      <c r="I262" s="321">
        <f t="shared" si="221"/>
        <v>0</v>
      </c>
      <c r="J262" s="321">
        <f t="shared" si="221"/>
        <v>10013813</v>
      </c>
      <c r="K262" s="321">
        <f t="shared" si="221"/>
        <v>10013813</v>
      </c>
      <c r="L262" s="321">
        <f t="shared" si="221"/>
        <v>0</v>
      </c>
      <c r="M262" s="321">
        <f t="shared" si="221"/>
        <v>0</v>
      </c>
      <c r="N262" s="321">
        <f t="shared" si="221"/>
        <v>0</v>
      </c>
      <c r="O262" s="321">
        <f t="shared" si="221"/>
        <v>10013813</v>
      </c>
      <c r="P262" s="321">
        <f t="shared" si="221"/>
        <v>18686613</v>
      </c>
      <c r="Q262" s="36"/>
      <c r="R262" s="54"/>
    </row>
    <row r="263" spans="1:18" ht="48" thickTop="1" thickBot="1" x14ac:dyDescent="0.25">
      <c r="A263" s="101" t="s">
        <v>280</v>
      </c>
      <c r="B263" s="101" t="s">
        <v>281</v>
      </c>
      <c r="C263" s="101" t="s">
        <v>340</v>
      </c>
      <c r="D263" s="101" t="s">
        <v>282</v>
      </c>
      <c r="E263" s="309">
        <f>F263</f>
        <v>8553600</v>
      </c>
      <c r="F263" s="322">
        <f>((((3162200)+110000)+3431400)+1800000)+50000</f>
        <v>8553600</v>
      </c>
      <c r="G263" s="322"/>
      <c r="H263" s="322"/>
      <c r="I263" s="322"/>
      <c r="J263" s="324">
        <f t="shared" si="215"/>
        <v>3813813</v>
      </c>
      <c r="K263" s="322">
        <f>((200000)+1134400)+2479413</f>
        <v>3813813</v>
      </c>
      <c r="L263" s="449"/>
      <c r="M263" s="449"/>
      <c r="N263" s="449"/>
      <c r="O263" s="450">
        <f t="shared" si="217"/>
        <v>3813813</v>
      </c>
      <c r="P263" s="324">
        <f t="shared" si="218"/>
        <v>12367413</v>
      </c>
      <c r="Q263" s="20"/>
      <c r="R263" s="54"/>
    </row>
    <row r="264" spans="1:18" ht="48" thickTop="1" thickBot="1" x14ac:dyDescent="0.25">
      <c r="A264" s="101" t="s">
        <v>1614</v>
      </c>
      <c r="B264" s="101" t="s">
        <v>286</v>
      </c>
      <c r="C264" s="101" t="s">
        <v>283</v>
      </c>
      <c r="D264" s="101" t="s">
        <v>287</v>
      </c>
      <c r="E264" s="309">
        <f>F264</f>
        <v>119200</v>
      </c>
      <c r="F264" s="322">
        <v>119200</v>
      </c>
      <c r="G264" s="322"/>
      <c r="H264" s="322"/>
      <c r="I264" s="322"/>
      <c r="J264" s="324">
        <f t="shared" si="215"/>
        <v>0</v>
      </c>
      <c r="K264" s="322"/>
      <c r="L264" s="449"/>
      <c r="M264" s="449"/>
      <c r="N264" s="449"/>
      <c r="O264" s="450">
        <f t="shared" si="217"/>
        <v>0</v>
      </c>
      <c r="P264" s="324">
        <f t="shared" si="218"/>
        <v>119200</v>
      </c>
      <c r="Q264" s="20"/>
      <c r="R264" s="54"/>
    </row>
    <row r="265" spans="1:18" ht="48" thickTop="1" thickBot="1" x14ac:dyDescent="0.25">
      <c r="A265" s="101" t="s">
        <v>301</v>
      </c>
      <c r="B265" s="101" t="s">
        <v>302</v>
      </c>
      <c r="C265" s="101" t="s">
        <v>283</v>
      </c>
      <c r="D265" s="101" t="s">
        <v>303</v>
      </c>
      <c r="E265" s="309">
        <f t="shared" ref="E265:E277" si="222">F265</f>
        <v>0</v>
      </c>
      <c r="F265" s="322"/>
      <c r="G265" s="322"/>
      <c r="H265" s="322"/>
      <c r="I265" s="322"/>
      <c r="J265" s="324">
        <f t="shared" si="215"/>
        <v>6200000</v>
      </c>
      <c r="K265" s="322">
        <f>((((2000000)+2000000)+1000000)+500000)+700000</f>
        <v>6200000</v>
      </c>
      <c r="L265" s="449"/>
      <c r="M265" s="449"/>
      <c r="N265" s="449"/>
      <c r="O265" s="450">
        <f t="shared" si="217"/>
        <v>6200000</v>
      </c>
      <c r="P265" s="324">
        <f t="shared" si="218"/>
        <v>6200000</v>
      </c>
      <c r="Q265" s="20"/>
      <c r="R265" s="54"/>
    </row>
    <row r="266" spans="1:18" ht="93" hidden="1" thickTop="1" thickBot="1" x14ac:dyDescent="0.25">
      <c r="A266" s="126" t="s">
        <v>284</v>
      </c>
      <c r="B266" s="126" t="s">
        <v>285</v>
      </c>
      <c r="C266" s="126" t="s">
        <v>283</v>
      </c>
      <c r="D266" s="126" t="s">
        <v>465</v>
      </c>
      <c r="E266" s="150">
        <f t="shared" si="222"/>
        <v>0</v>
      </c>
      <c r="F266" s="127">
        <f>(((16700000-15000000)-1000000)-700000)+2500000-2500000</f>
        <v>0</v>
      </c>
      <c r="G266" s="127"/>
      <c r="H266" s="127"/>
      <c r="I266" s="127"/>
      <c r="J266" s="125">
        <f t="shared" si="215"/>
        <v>0</v>
      </c>
      <c r="K266" s="127">
        <v>0</v>
      </c>
      <c r="L266" s="128"/>
      <c r="M266" s="128"/>
      <c r="N266" s="128"/>
      <c r="O266" s="130">
        <f t="shared" si="217"/>
        <v>0</v>
      </c>
      <c r="P266" s="125">
        <f t="shared" si="218"/>
        <v>0</v>
      </c>
      <c r="Q266" s="20"/>
      <c r="R266" s="54"/>
    </row>
    <row r="267" spans="1:18" ht="93" thickTop="1" thickBot="1" x14ac:dyDescent="0.25">
      <c r="A267" s="101" t="s">
        <v>924</v>
      </c>
      <c r="B267" s="101" t="s">
        <v>297</v>
      </c>
      <c r="C267" s="101" t="s">
        <v>283</v>
      </c>
      <c r="D267" s="101" t="s">
        <v>298</v>
      </c>
      <c r="E267" s="309">
        <f t="shared" si="222"/>
        <v>6319000</v>
      </c>
      <c r="F267" s="322">
        <f>((5500000)+420000+420000)-21000</f>
        <v>6319000</v>
      </c>
      <c r="G267" s="322"/>
      <c r="H267" s="322"/>
      <c r="I267" s="322"/>
      <c r="J267" s="324">
        <f t="shared" si="215"/>
        <v>0</v>
      </c>
      <c r="K267" s="322"/>
      <c r="L267" s="449"/>
      <c r="M267" s="449"/>
      <c r="N267" s="449"/>
      <c r="O267" s="450">
        <f t="shared" si="217"/>
        <v>0</v>
      </c>
      <c r="P267" s="324">
        <f t="shared" si="218"/>
        <v>6319000</v>
      </c>
      <c r="Q267" s="20"/>
      <c r="R267" s="54"/>
    </row>
    <row r="268" spans="1:18" ht="48" thickTop="1" thickBot="1" x14ac:dyDescent="0.25">
      <c r="A268" s="101" t="s">
        <v>288</v>
      </c>
      <c r="B268" s="101" t="s">
        <v>289</v>
      </c>
      <c r="C268" s="101" t="s">
        <v>283</v>
      </c>
      <c r="D268" s="101" t="s">
        <v>290</v>
      </c>
      <c r="E268" s="309">
        <f t="shared" si="222"/>
        <v>8000000</v>
      </c>
      <c r="F268" s="322">
        <f>(5000000)+3000000</f>
        <v>8000000</v>
      </c>
      <c r="G268" s="322"/>
      <c r="H268" s="322"/>
      <c r="I268" s="322"/>
      <c r="J268" s="324">
        <f t="shared" si="215"/>
        <v>270000</v>
      </c>
      <c r="K268" s="453">
        <f>(0)+270000</f>
        <v>270000</v>
      </c>
      <c r="L268" s="322"/>
      <c r="M268" s="322"/>
      <c r="N268" s="322"/>
      <c r="O268" s="450">
        <f t="shared" si="217"/>
        <v>270000</v>
      </c>
      <c r="P268" s="324">
        <f t="shared" ref="P268:P269" si="223">E268+J268</f>
        <v>8270000</v>
      </c>
      <c r="Q268" s="20"/>
      <c r="R268" s="50"/>
    </row>
    <row r="269" spans="1:18" ht="48" thickTop="1" thickBot="1" x14ac:dyDescent="0.25">
      <c r="A269" s="101" t="s">
        <v>1243</v>
      </c>
      <c r="B269" s="101" t="s">
        <v>1131</v>
      </c>
      <c r="C269" s="101" t="s">
        <v>1132</v>
      </c>
      <c r="D269" s="101" t="s">
        <v>1129</v>
      </c>
      <c r="E269" s="309">
        <f t="shared" si="222"/>
        <v>3523495.98</v>
      </c>
      <c r="F269" s="322">
        <f>(2049000)-25504.02+1500000</f>
        <v>3523495.98</v>
      </c>
      <c r="G269" s="322"/>
      <c r="H269" s="322"/>
      <c r="I269" s="322"/>
      <c r="J269" s="324">
        <f t="shared" si="215"/>
        <v>0</v>
      </c>
      <c r="K269" s="453"/>
      <c r="L269" s="322"/>
      <c r="M269" s="322"/>
      <c r="N269" s="322"/>
      <c r="O269" s="450">
        <f t="shared" si="217"/>
        <v>0</v>
      </c>
      <c r="P269" s="324">
        <f t="shared" si="223"/>
        <v>3523495.98</v>
      </c>
      <c r="Q269" s="20"/>
      <c r="R269" s="50"/>
    </row>
    <row r="270" spans="1:18" ht="47.25" thickTop="1" thickBot="1" x14ac:dyDescent="0.25">
      <c r="A270" s="308" t="s">
        <v>789</v>
      </c>
      <c r="B270" s="308" t="s">
        <v>744</v>
      </c>
      <c r="C270" s="308"/>
      <c r="D270" s="308" t="s">
        <v>790</v>
      </c>
      <c r="E270" s="309">
        <f>E273+E271</f>
        <v>4474517</v>
      </c>
      <c r="F270" s="309">
        <f t="shared" ref="F270:P270" si="224">F273+F271</f>
        <v>4474517</v>
      </c>
      <c r="G270" s="309">
        <f t="shared" si="224"/>
        <v>0</v>
      </c>
      <c r="H270" s="309">
        <f t="shared" si="224"/>
        <v>0</v>
      </c>
      <c r="I270" s="309">
        <f t="shared" si="224"/>
        <v>0</v>
      </c>
      <c r="J270" s="309">
        <f t="shared" si="224"/>
        <v>2850473.15</v>
      </c>
      <c r="K270" s="309">
        <f t="shared" si="224"/>
        <v>2850473.15</v>
      </c>
      <c r="L270" s="309">
        <f t="shared" si="224"/>
        <v>0</v>
      </c>
      <c r="M270" s="309">
        <f t="shared" si="224"/>
        <v>0</v>
      </c>
      <c r="N270" s="309">
        <f t="shared" si="224"/>
        <v>0</v>
      </c>
      <c r="O270" s="309">
        <f t="shared" si="224"/>
        <v>2850473.15</v>
      </c>
      <c r="P270" s="309">
        <f t="shared" si="224"/>
        <v>7324990.1500000004</v>
      </c>
      <c r="Q270" s="20"/>
      <c r="R270" s="50"/>
    </row>
    <row r="271" spans="1:18" ht="47.25" thickTop="1" thickBot="1" x14ac:dyDescent="0.25">
      <c r="A271" s="310" t="s">
        <v>1127</v>
      </c>
      <c r="B271" s="310" t="s">
        <v>799</v>
      </c>
      <c r="C271" s="310"/>
      <c r="D271" s="310" t="s">
        <v>800</v>
      </c>
      <c r="E271" s="311">
        <f>E272</f>
        <v>0</v>
      </c>
      <c r="F271" s="311">
        <f t="shared" ref="F271:P271" si="225">F272</f>
        <v>0</v>
      </c>
      <c r="G271" s="311">
        <f t="shared" si="225"/>
        <v>0</v>
      </c>
      <c r="H271" s="311">
        <f t="shared" si="225"/>
        <v>0</v>
      </c>
      <c r="I271" s="311">
        <f t="shared" si="225"/>
        <v>0</v>
      </c>
      <c r="J271" s="311">
        <f t="shared" si="225"/>
        <v>1300000</v>
      </c>
      <c r="K271" s="311">
        <f t="shared" si="225"/>
        <v>1300000</v>
      </c>
      <c r="L271" s="311">
        <f t="shared" si="225"/>
        <v>0</v>
      </c>
      <c r="M271" s="311">
        <f t="shared" si="225"/>
        <v>0</v>
      </c>
      <c r="N271" s="311">
        <f t="shared" si="225"/>
        <v>0</v>
      </c>
      <c r="O271" s="311">
        <f t="shared" si="225"/>
        <v>1300000</v>
      </c>
      <c r="P271" s="311">
        <f t="shared" si="225"/>
        <v>1300000</v>
      </c>
      <c r="Q271" s="20"/>
      <c r="R271" s="50"/>
    </row>
    <row r="272" spans="1:18" ht="54" thickTop="1" thickBot="1" x14ac:dyDescent="0.25">
      <c r="A272" s="101" t="s">
        <v>1128</v>
      </c>
      <c r="B272" s="101" t="s">
        <v>305</v>
      </c>
      <c r="C272" s="101" t="s">
        <v>304</v>
      </c>
      <c r="D272" s="101" t="s">
        <v>1477</v>
      </c>
      <c r="E272" s="309">
        <f t="shared" ref="E272" si="226">F272</f>
        <v>0</v>
      </c>
      <c r="F272" s="322"/>
      <c r="G272" s="322"/>
      <c r="H272" s="322"/>
      <c r="I272" s="322"/>
      <c r="J272" s="324">
        <f>L272+O272</f>
        <v>1300000</v>
      </c>
      <c r="K272" s="453">
        <f>((300000)+700000)+300000</f>
        <v>1300000</v>
      </c>
      <c r="L272" s="322"/>
      <c r="M272" s="322"/>
      <c r="N272" s="322"/>
      <c r="O272" s="450">
        <f>K272</f>
        <v>1300000</v>
      </c>
      <c r="P272" s="324">
        <f t="shared" ref="P272" si="227">E272+J272</f>
        <v>1300000</v>
      </c>
      <c r="Q272" s="20"/>
      <c r="R272" s="50"/>
    </row>
    <row r="273" spans="1:18" ht="47.25" thickTop="1" thickBot="1" x14ac:dyDescent="0.25">
      <c r="A273" s="310" t="s">
        <v>791</v>
      </c>
      <c r="B273" s="310" t="s">
        <v>687</v>
      </c>
      <c r="C273" s="310"/>
      <c r="D273" s="310" t="s">
        <v>685</v>
      </c>
      <c r="E273" s="311">
        <f>E274+E276+E275</f>
        <v>4474517</v>
      </c>
      <c r="F273" s="311">
        <f t="shared" ref="F273:P273" si="228">F274+F276+F275</f>
        <v>4474517</v>
      </c>
      <c r="G273" s="311">
        <f t="shared" si="228"/>
        <v>0</v>
      </c>
      <c r="H273" s="311">
        <f t="shared" si="228"/>
        <v>0</v>
      </c>
      <c r="I273" s="311">
        <f t="shared" si="228"/>
        <v>0</v>
      </c>
      <c r="J273" s="311">
        <f>J274+J276+J275</f>
        <v>1550473.15</v>
      </c>
      <c r="K273" s="311">
        <f t="shared" si="228"/>
        <v>1550473.15</v>
      </c>
      <c r="L273" s="311">
        <f t="shared" si="228"/>
        <v>0</v>
      </c>
      <c r="M273" s="311">
        <f t="shared" si="228"/>
        <v>0</v>
      </c>
      <c r="N273" s="311">
        <f t="shared" si="228"/>
        <v>0</v>
      </c>
      <c r="O273" s="311">
        <f t="shared" si="228"/>
        <v>1550473.15</v>
      </c>
      <c r="P273" s="311">
        <f t="shared" si="228"/>
        <v>6024990.1500000004</v>
      </c>
      <c r="Q273" s="20"/>
      <c r="R273" s="50"/>
    </row>
    <row r="274" spans="1:18" ht="48" thickTop="1" thickBot="1" x14ac:dyDescent="0.25">
      <c r="A274" s="101" t="s">
        <v>296</v>
      </c>
      <c r="B274" s="101" t="s">
        <v>212</v>
      </c>
      <c r="C274" s="101" t="s">
        <v>213</v>
      </c>
      <c r="D274" s="101" t="s">
        <v>41</v>
      </c>
      <c r="E274" s="309">
        <f t="shared" si="222"/>
        <v>4474517</v>
      </c>
      <c r="F274" s="322">
        <f>(((2000000)+1674517)+1000000)+500000-700000</f>
        <v>4474517</v>
      </c>
      <c r="G274" s="322"/>
      <c r="H274" s="322"/>
      <c r="I274" s="322"/>
      <c r="J274" s="324">
        <f t="shared" si="215"/>
        <v>0</v>
      </c>
      <c r="K274" s="453"/>
      <c r="L274" s="322"/>
      <c r="M274" s="322"/>
      <c r="N274" s="322"/>
      <c r="O274" s="450">
        <f t="shared" si="217"/>
        <v>0</v>
      </c>
      <c r="P274" s="324">
        <f>E274+J274</f>
        <v>4474517</v>
      </c>
      <c r="Q274" s="20"/>
      <c r="R274" s="54"/>
    </row>
    <row r="275" spans="1:18" ht="48" thickTop="1" thickBot="1" x14ac:dyDescent="0.25">
      <c r="A275" s="101" t="s">
        <v>913</v>
      </c>
      <c r="B275" s="101" t="s">
        <v>197</v>
      </c>
      <c r="C275" s="101" t="s">
        <v>170</v>
      </c>
      <c r="D275" s="101" t="s">
        <v>34</v>
      </c>
      <c r="E275" s="309">
        <f t="shared" si="222"/>
        <v>0</v>
      </c>
      <c r="F275" s="322"/>
      <c r="G275" s="322"/>
      <c r="H275" s="322"/>
      <c r="I275" s="322"/>
      <c r="J275" s="324">
        <f t="shared" si="215"/>
        <v>1550473.15</v>
      </c>
      <c r="K275" s="453">
        <f>((300000)+1300000)-49526.85</f>
        <v>1550473.15</v>
      </c>
      <c r="L275" s="322"/>
      <c r="M275" s="322"/>
      <c r="N275" s="322"/>
      <c r="O275" s="450">
        <f t="shared" si="217"/>
        <v>1550473.15</v>
      </c>
      <c r="P275" s="324">
        <f>E275+J275</f>
        <v>1550473.15</v>
      </c>
      <c r="Q275" s="20"/>
      <c r="R275" s="54"/>
    </row>
    <row r="276" spans="1:18" ht="48" hidden="1" thickTop="1" thickBot="1" x14ac:dyDescent="0.25">
      <c r="A276" s="138" t="s">
        <v>792</v>
      </c>
      <c r="B276" s="138" t="s">
        <v>690</v>
      </c>
      <c r="C276" s="138"/>
      <c r="D276" s="138" t="s">
        <v>793</v>
      </c>
      <c r="E276" s="156">
        <f>E277</f>
        <v>0</v>
      </c>
      <c r="F276" s="156">
        <f t="shared" ref="F276:P276" si="229">F277</f>
        <v>0</v>
      </c>
      <c r="G276" s="156">
        <f t="shared" si="229"/>
        <v>0</v>
      </c>
      <c r="H276" s="156">
        <f t="shared" si="229"/>
        <v>0</v>
      </c>
      <c r="I276" s="156">
        <f t="shared" si="229"/>
        <v>0</v>
      </c>
      <c r="J276" s="156">
        <f t="shared" si="229"/>
        <v>0</v>
      </c>
      <c r="K276" s="156">
        <f t="shared" si="229"/>
        <v>0</v>
      </c>
      <c r="L276" s="156">
        <f t="shared" si="229"/>
        <v>0</v>
      </c>
      <c r="M276" s="156">
        <f t="shared" si="229"/>
        <v>0</v>
      </c>
      <c r="N276" s="156">
        <f t="shared" si="229"/>
        <v>0</v>
      </c>
      <c r="O276" s="156">
        <f t="shared" si="229"/>
        <v>0</v>
      </c>
      <c r="P276" s="156">
        <f t="shared" si="229"/>
        <v>0</v>
      </c>
      <c r="Q276" s="20"/>
      <c r="R276" s="50"/>
    </row>
    <row r="277" spans="1:18" ht="214.5" hidden="1" customHeight="1" thickTop="1" thickBot="1" x14ac:dyDescent="0.7">
      <c r="A277" s="744" t="s">
        <v>423</v>
      </c>
      <c r="B277" s="744" t="s">
        <v>338</v>
      </c>
      <c r="C277" s="744" t="s">
        <v>170</v>
      </c>
      <c r="D277" s="153" t="s">
        <v>439</v>
      </c>
      <c r="E277" s="745">
        <f t="shared" si="222"/>
        <v>0</v>
      </c>
      <c r="F277" s="739"/>
      <c r="G277" s="739"/>
      <c r="H277" s="739"/>
      <c r="I277" s="739"/>
      <c r="J277" s="745">
        <f t="shared" si="215"/>
        <v>0</v>
      </c>
      <c r="K277" s="739"/>
      <c r="L277" s="739">
        <v>0</v>
      </c>
      <c r="M277" s="739"/>
      <c r="N277" s="739"/>
      <c r="O277" s="772">
        <f>((K277+884000)-450000)-434000</f>
        <v>0</v>
      </c>
      <c r="P277" s="773">
        <f>E277+J277</f>
        <v>0</v>
      </c>
      <c r="Q277" s="20"/>
      <c r="R277" s="50"/>
    </row>
    <row r="278" spans="1:18" ht="93" hidden="1" thickTop="1" thickBot="1" x14ac:dyDescent="0.25">
      <c r="A278" s="744"/>
      <c r="B278" s="744"/>
      <c r="C278" s="744"/>
      <c r="D278" s="154" t="s">
        <v>440</v>
      </c>
      <c r="E278" s="745"/>
      <c r="F278" s="739"/>
      <c r="G278" s="739"/>
      <c r="H278" s="739"/>
      <c r="I278" s="739"/>
      <c r="J278" s="745"/>
      <c r="K278" s="739"/>
      <c r="L278" s="739"/>
      <c r="M278" s="739"/>
      <c r="N278" s="739"/>
      <c r="O278" s="772"/>
      <c r="P278" s="773"/>
      <c r="Q278" s="20"/>
      <c r="R278" s="50"/>
    </row>
    <row r="279" spans="1:18" ht="47.25" thickTop="1" thickBot="1" x14ac:dyDescent="0.25">
      <c r="A279" s="308" t="s">
        <v>1212</v>
      </c>
      <c r="B279" s="308" t="s">
        <v>692</v>
      </c>
      <c r="C279" s="308"/>
      <c r="D279" s="308" t="s">
        <v>693</v>
      </c>
      <c r="E279" s="324">
        <f>E282+E280</f>
        <v>2927223</v>
      </c>
      <c r="F279" s="324">
        <f t="shared" ref="F279:I279" si="230">F282+F280</f>
        <v>2927223</v>
      </c>
      <c r="G279" s="324">
        <f t="shared" si="230"/>
        <v>0</v>
      </c>
      <c r="H279" s="324">
        <f t="shared" si="230"/>
        <v>0</v>
      </c>
      <c r="I279" s="324">
        <f t="shared" si="230"/>
        <v>0</v>
      </c>
      <c r="J279" s="324">
        <f>J282+J280</f>
        <v>0</v>
      </c>
      <c r="K279" s="324">
        <f t="shared" ref="K279:N279" si="231">K282+K280</f>
        <v>0</v>
      </c>
      <c r="L279" s="324">
        <f t="shared" si="231"/>
        <v>0</v>
      </c>
      <c r="M279" s="324">
        <f t="shared" si="231"/>
        <v>0</v>
      </c>
      <c r="N279" s="324">
        <f t="shared" si="231"/>
        <v>0</v>
      </c>
      <c r="O279" s="324">
        <f>O282+O280</f>
        <v>0</v>
      </c>
      <c r="P279" s="324">
        <f>P282+P280</f>
        <v>2927223</v>
      </c>
      <c r="Q279" s="20"/>
      <c r="R279" s="50"/>
    </row>
    <row r="280" spans="1:18" ht="47.25" thickTop="1" thickBot="1" x14ac:dyDescent="0.25">
      <c r="A280" s="310" t="s">
        <v>1475</v>
      </c>
      <c r="B280" s="310" t="s">
        <v>808</v>
      </c>
      <c r="C280" s="310"/>
      <c r="D280" s="352" t="s">
        <v>1262</v>
      </c>
      <c r="E280" s="312">
        <f>SUM(E281:E283)</f>
        <v>2927223</v>
      </c>
      <c r="F280" s="312">
        <f t="shared" ref="F280:P280" si="232">SUM(F281:F283)</f>
        <v>2927223</v>
      </c>
      <c r="G280" s="312">
        <f t="shared" si="232"/>
        <v>0</v>
      </c>
      <c r="H280" s="312">
        <f t="shared" si="232"/>
        <v>0</v>
      </c>
      <c r="I280" s="312">
        <f t="shared" si="232"/>
        <v>0</v>
      </c>
      <c r="J280" s="312">
        <f t="shared" si="232"/>
        <v>0</v>
      </c>
      <c r="K280" s="312">
        <f t="shared" si="232"/>
        <v>0</v>
      </c>
      <c r="L280" s="312">
        <f t="shared" si="232"/>
        <v>0</v>
      </c>
      <c r="M280" s="312">
        <f t="shared" si="232"/>
        <v>0</v>
      </c>
      <c r="N280" s="312">
        <f t="shared" si="232"/>
        <v>0</v>
      </c>
      <c r="O280" s="312">
        <f t="shared" si="232"/>
        <v>0</v>
      </c>
      <c r="P280" s="312">
        <f t="shared" si="232"/>
        <v>2927223</v>
      </c>
      <c r="Q280" s="20"/>
      <c r="R280" s="50"/>
    </row>
    <row r="281" spans="1:18" ht="93" thickTop="1" thickBot="1" x14ac:dyDescent="0.25">
      <c r="A281" s="101" t="s">
        <v>1476</v>
      </c>
      <c r="B281" s="101" t="s">
        <v>517</v>
      </c>
      <c r="C281" s="101" t="s">
        <v>251</v>
      </c>
      <c r="D281" s="101" t="s">
        <v>518</v>
      </c>
      <c r="E281" s="309">
        <f>F281</f>
        <v>2927223</v>
      </c>
      <c r="F281" s="322">
        <f>((2812463)+37273)+77487</f>
        <v>2927223</v>
      </c>
      <c r="G281" s="322"/>
      <c r="H281" s="322"/>
      <c r="I281" s="322"/>
      <c r="J281" s="324">
        <f>L281+O281</f>
        <v>0</v>
      </c>
      <c r="K281" s="453"/>
      <c r="L281" s="322"/>
      <c r="M281" s="322"/>
      <c r="N281" s="322"/>
      <c r="O281" s="450">
        <f>K281</f>
        <v>0</v>
      </c>
      <c r="P281" s="324">
        <f>E281+J281</f>
        <v>2927223</v>
      </c>
      <c r="Q281" s="20"/>
      <c r="R281" s="50"/>
    </row>
    <row r="282" spans="1:18" ht="47.25" hidden="1" thickTop="1" thickBot="1" x14ac:dyDescent="0.25">
      <c r="A282" s="134" t="s">
        <v>1213</v>
      </c>
      <c r="B282" s="134" t="s">
        <v>1168</v>
      </c>
      <c r="C282" s="134"/>
      <c r="D282" s="134" t="s">
        <v>1166</v>
      </c>
      <c r="E282" s="135">
        <f t="shared" ref="E282:P282" si="233">SUM(E283:E283)</f>
        <v>0</v>
      </c>
      <c r="F282" s="135">
        <f t="shared" si="233"/>
        <v>0</v>
      </c>
      <c r="G282" s="135">
        <f t="shared" si="233"/>
        <v>0</v>
      </c>
      <c r="H282" s="135">
        <f t="shared" si="233"/>
        <v>0</v>
      </c>
      <c r="I282" s="135">
        <f t="shared" si="233"/>
        <v>0</v>
      </c>
      <c r="J282" s="135">
        <f t="shared" si="233"/>
        <v>0</v>
      </c>
      <c r="K282" s="135">
        <f t="shared" si="233"/>
        <v>0</v>
      </c>
      <c r="L282" s="135">
        <f t="shared" si="233"/>
        <v>0</v>
      </c>
      <c r="M282" s="135">
        <f t="shared" si="233"/>
        <v>0</v>
      </c>
      <c r="N282" s="135">
        <f t="shared" si="233"/>
        <v>0</v>
      </c>
      <c r="O282" s="135">
        <f t="shared" si="233"/>
        <v>0</v>
      </c>
      <c r="P282" s="135">
        <f t="shared" si="233"/>
        <v>0</v>
      </c>
      <c r="Q282" s="20"/>
      <c r="R282" s="50"/>
    </row>
    <row r="283" spans="1:18" ht="48" hidden="1" thickTop="1" thickBot="1" x14ac:dyDescent="0.25">
      <c r="A283" s="126" t="s">
        <v>1214</v>
      </c>
      <c r="B283" s="126" t="s">
        <v>1195</v>
      </c>
      <c r="C283" s="126" t="s">
        <v>1170</v>
      </c>
      <c r="D283" s="126" t="s">
        <v>1196</v>
      </c>
      <c r="E283" s="125">
        <f>F283</f>
        <v>0</v>
      </c>
      <c r="F283" s="132"/>
      <c r="G283" s="132"/>
      <c r="H283" s="132"/>
      <c r="I283" s="132"/>
      <c r="J283" s="125">
        <f>L283+O283</f>
        <v>0</v>
      </c>
      <c r="K283" s="132"/>
      <c r="L283" s="132"/>
      <c r="M283" s="132"/>
      <c r="N283" s="132"/>
      <c r="O283" s="130">
        <f>K283</f>
        <v>0</v>
      </c>
      <c r="P283" s="125">
        <f>E283+J283</f>
        <v>0</v>
      </c>
      <c r="Q283" s="20"/>
      <c r="R283" s="50"/>
    </row>
    <row r="284" spans="1:18" ht="120" customHeight="1" thickTop="1" thickBot="1" x14ac:dyDescent="0.25">
      <c r="A284" s="689" t="s">
        <v>539</v>
      </c>
      <c r="B284" s="689"/>
      <c r="C284" s="689"/>
      <c r="D284" s="690" t="s">
        <v>558</v>
      </c>
      <c r="E284" s="691">
        <f>E285</f>
        <v>460873435</v>
      </c>
      <c r="F284" s="692">
        <f t="shared" ref="F284:G284" si="234">F285</f>
        <v>460873435</v>
      </c>
      <c r="G284" s="692">
        <f t="shared" si="234"/>
        <v>8856473</v>
      </c>
      <c r="H284" s="692">
        <f>H285</f>
        <v>239084</v>
      </c>
      <c r="I284" s="692">
        <f t="shared" ref="I284" si="235">I285</f>
        <v>0</v>
      </c>
      <c r="J284" s="691">
        <f>J285</f>
        <v>42548326.350000001</v>
      </c>
      <c r="K284" s="692">
        <f>K285</f>
        <v>42548326.350000001</v>
      </c>
      <c r="L284" s="692">
        <f>L285</f>
        <v>0</v>
      </c>
      <c r="M284" s="692">
        <f t="shared" ref="M284" si="236">M285</f>
        <v>0</v>
      </c>
      <c r="N284" s="692">
        <f>N285</f>
        <v>0</v>
      </c>
      <c r="O284" s="691">
        <f>O285</f>
        <v>42548326.350000001</v>
      </c>
      <c r="P284" s="692">
        <f>P285</f>
        <v>503421761.35000002</v>
      </c>
      <c r="Q284" s="20"/>
      <c r="R284" s="50"/>
    </row>
    <row r="285" spans="1:18" ht="120" customHeight="1" thickTop="1" thickBot="1" x14ac:dyDescent="0.25">
      <c r="A285" s="693" t="s">
        <v>540</v>
      </c>
      <c r="B285" s="693"/>
      <c r="C285" s="693"/>
      <c r="D285" s="694" t="s">
        <v>559</v>
      </c>
      <c r="E285" s="695">
        <f>E286+E290+E298+E311+E316</f>
        <v>460873435</v>
      </c>
      <c r="F285" s="695">
        <f>F286+F290+F298+F311+F316</f>
        <v>460873435</v>
      </c>
      <c r="G285" s="695">
        <f>G286+G290+G298+G311+G316</f>
        <v>8856473</v>
      </c>
      <c r="H285" s="695">
        <f>H286+H290+H298+H311+H316</f>
        <v>239084</v>
      </c>
      <c r="I285" s="695">
        <f>I286+I290+I298+I311+I316</f>
        <v>0</v>
      </c>
      <c r="J285" s="695">
        <f t="shared" ref="J285:J308" si="237">L285+O285</f>
        <v>42548326.350000001</v>
      </c>
      <c r="K285" s="695">
        <f>K286+K290+K298+K311+K316</f>
        <v>42548326.350000001</v>
      </c>
      <c r="L285" s="695">
        <f>L286+L290+L298+L311+L316</f>
        <v>0</v>
      </c>
      <c r="M285" s="695">
        <f>M286+M290+M298+M311+M316</f>
        <v>0</v>
      </c>
      <c r="N285" s="695">
        <f>N286+N290+N298+N311+N316</f>
        <v>0</v>
      </c>
      <c r="O285" s="695">
        <f>O286+O290+O298+O311+O316</f>
        <v>42548326.350000001</v>
      </c>
      <c r="P285" s="695">
        <f>E285+J285</f>
        <v>503421761.35000002</v>
      </c>
      <c r="Q285" s="487" t="b">
        <f>P285=P287+P292+P293+P295+P296+P297+P300+P303+P305+P306+P313+P314+P318</f>
        <v>1</v>
      </c>
      <c r="R285" s="45"/>
    </row>
    <row r="286" spans="1:18" ht="47.25" thickTop="1" thickBot="1" x14ac:dyDescent="0.25">
      <c r="A286" s="308" t="s">
        <v>794</v>
      </c>
      <c r="B286" s="308" t="s">
        <v>680</v>
      </c>
      <c r="C286" s="308"/>
      <c r="D286" s="308" t="s">
        <v>681</v>
      </c>
      <c r="E286" s="324">
        <f>SUM(E287:E289)</f>
        <v>9076158</v>
      </c>
      <c r="F286" s="324">
        <f t="shared" ref="F286:P286" si="238">SUM(F287:F289)</f>
        <v>9076158</v>
      </c>
      <c r="G286" s="324">
        <f t="shared" si="238"/>
        <v>6902509</v>
      </c>
      <c r="H286" s="324">
        <f t="shared" si="238"/>
        <v>180204</v>
      </c>
      <c r="I286" s="324">
        <f t="shared" si="238"/>
        <v>0</v>
      </c>
      <c r="J286" s="324">
        <f t="shared" si="238"/>
        <v>39000</v>
      </c>
      <c r="K286" s="324">
        <f t="shared" si="238"/>
        <v>39000</v>
      </c>
      <c r="L286" s="324">
        <f t="shared" si="238"/>
        <v>0</v>
      </c>
      <c r="M286" s="324">
        <f t="shared" si="238"/>
        <v>0</v>
      </c>
      <c r="N286" s="324">
        <f t="shared" si="238"/>
        <v>0</v>
      </c>
      <c r="O286" s="324">
        <f t="shared" si="238"/>
        <v>39000</v>
      </c>
      <c r="P286" s="324">
        <f t="shared" si="238"/>
        <v>9115158</v>
      </c>
      <c r="Q286" s="47"/>
      <c r="R286" s="45"/>
    </row>
    <row r="287" spans="1:18" ht="93" thickTop="1" thickBot="1" x14ac:dyDescent="0.25">
      <c r="A287" s="101" t="s">
        <v>541</v>
      </c>
      <c r="B287" s="101" t="s">
        <v>236</v>
      </c>
      <c r="C287" s="101" t="s">
        <v>234</v>
      </c>
      <c r="D287" s="101" t="s">
        <v>235</v>
      </c>
      <c r="E287" s="309">
        <f>F287</f>
        <v>9076158</v>
      </c>
      <c r="F287" s="322">
        <f>(8901631)+174527</f>
        <v>9076158</v>
      </c>
      <c r="G287" s="322">
        <f>(6736115)+166394</f>
        <v>6902509</v>
      </c>
      <c r="H287" s="322">
        <v>180204</v>
      </c>
      <c r="I287" s="322"/>
      <c r="J287" s="324">
        <f t="shared" si="237"/>
        <v>39000</v>
      </c>
      <c r="K287" s="322">
        <v>39000</v>
      </c>
      <c r="L287" s="449"/>
      <c r="M287" s="449"/>
      <c r="N287" s="449"/>
      <c r="O287" s="450">
        <f t="shared" ref="O287:O306" si="239">K287</f>
        <v>39000</v>
      </c>
      <c r="P287" s="324">
        <f t="shared" ref="P287:P294" si="240">+J287+E287</f>
        <v>9115158</v>
      </c>
      <c r="Q287" s="20"/>
      <c r="R287" s="45"/>
    </row>
    <row r="288" spans="1:18" ht="93" hidden="1" thickTop="1" thickBot="1" x14ac:dyDescent="0.25">
      <c r="A288" s="126" t="s">
        <v>627</v>
      </c>
      <c r="B288" s="126" t="s">
        <v>362</v>
      </c>
      <c r="C288" s="126" t="s">
        <v>623</v>
      </c>
      <c r="D288" s="126" t="s">
        <v>624</v>
      </c>
      <c r="E288" s="150">
        <f>F288</f>
        <v>0</v>
      </c>
      <c r="F288" s="127"/>
      <c r="G288" s="127"/>
      <c r="H288" s="127"/>
      <c r="I288" s="127"/>
      <c r="J288" s="125">
        <f t="shared" si="237"/>
        <v>0</v>
      </c>
      <c r="K288" s="127"/>
      <c r="L288" s="128"/>
      <c r="M288" s="128"/>
      <c r="N288" s="128"/>
      <c r="O288" s="130">
        <f t="shared" si="239"/>
        <v>0</v>
      </c>
      <c r="P288" s="125">
        <f t="shared" si="240"/>
        <v>0</v>
      </c>
      <c r="Q288" s="20"/>
      <c r="R288" s="45"/>
    </row>
    <row r="289" spans="1:18" ht="48" hidden="1" thickTop="1" thickBot="1" x14ac:dyDescent="0.25">
      <c r="A289" s="126" t="s">
        <v>542</v>
      </c>
      <c r="B289" s="126" t="s">
        <v>43</v>
      </c>
      <c r="C289" s="126" t="s">
        <v>42</v>
      </c>
      <c r="D289" s="126" t="s">
        <v>248</v>
      </c>
      <c r="E289" s="150">
        <f>F289</f>
        <v>0</v>
      </c>
      <c r="F289" s="127">
        <v>0</v>
      </c>
      <c r="G289" s="127"/>
      <c r="H289" s="127"/>
      <c r="I289" s="127"/>
      <c r="J289" s="125">
        <f t="shared" si="237"/>
        <v>0</v>
      </c>
      <c r="K289" s="127"/>
      <c r="L289" s="128"/>
      <c r="M289" s="128"/>
      <c r="N289" s="128"/>
      <c r="O289" s="130">
        <f t="shared" si="239"/>
        <v>0</v>
      </c>
      <c r="P289" s="125">
        <f t="shared" si="240"/>
        <v>0</v>
      </c>
      <c r="Q289" s="20"/>
      <c r="R289" s="50"/>
    </row>
    <row r="290" spans="1:18" ht="47.25" thickTop="1" thickBot="1" x14ac:dyDescent="0.25">
      <c r="A290" s="308" t="s">
        <v>795</v>
      </c>
      <c r="B290" s="308" t="s">
        <v>738</v>
      </c>
      <c r="C290" s="308"/>
      <c r="D290" s="343" t="s">
        <v>739</v>
      </c>
      <c r="E290" s="309">
        <f>SUM(E291:E297)-E291</f>
        <v>446417887</v>
      </c>
      <c r="F290" s="309">
        <f t="shared" ref="F290:P290" si="241">SUM(F291:F297)-F291</f>
        <v>446417887</v>
      </c>
      <c r="G290" s="309">
        <f t="shared" si="241"/>
        <v>0</v>
      </c>
      <c r="H290" s="309">
        <f t="shared" si="241"/>
        <v>5000</v>
      </c>
      <c r="I290" s="309">
        <f t="shared" si="241"/>
        <v>0</v>
      </c>
      <c r="J290" s="309">
        <f t="shared" si="241"/>
        <v>953993</v>
      </c>
      <c r="K290" s="309">
        <f t="shared" si="241"/>
        <v>953993</v>
      </c>
      <c r="L290" s="309">
        <f t="shared" si="241"/>
        <v>0</v>
      </c>
      <c r="M290" s="309">
        <f t="shared" si="241"/>
        <v>0</v>
      </c>
      <c r="N290" s="309">
        <f t="shared" si="241"/>
        <v>0</v>
      </c>
      <c r="O290" s="309">
        <f t="shared" si="241"/>
        <v>953993</v>
      </c>
      <c r="P290" s="309">
        <f t="shared" si="241"/>
        <v>447371880</v>
      </c>
      <c r="Q290" s="20"/>
      <c r="R290" s="50"/>
    </row>
    <row r="291" spans="1:18" ht="93" thickTop="1" thickBot="1" x14ac:dyDescent="0.25">
      <c r="A291" s="325" t="s">
        <v>796</v>
      </c>
      <c r="B291" s="325" t="s">
        <v>787</v>
      </c>
      <c r="C291" s="325"/>
      <c r="D291" s="325" t="s">
        <v>788</v>
      </c>
      <c r="E291" s="457">
        <f>SUM(E292:E294)</f>
        <v>125550000</v>
      </c>
      <c r="F291" s="457">
        <f t="shared" ref="F291:P291" si="242">SUM(F292:F294)</f>
        <v>125550000</v>
      </c>
      <c r="G291" s="457">
        <f t="shared" si="242"/>
        <v>0</v>
      </c>
      <c r="H291" s="457">
        <f t="shared" si="242"/>
        <v>0</v>
      </c>
      <c r="I291" s="457">
        <f t="shared" si="242"/>
        <v>0</v>
      </c>
      <c r="J291" s="457">
        <f t="shared" si="242"/>
        <v>953993</v>
      </c>
      <c r="K291" s="457">
        <f t="shared" si="242"/>
        <v>953993</v>
      </c>
      <c r="L291" s="457">
        <f t="shared" si="242"/>
        <v>0</v>
      </c>
      <c r="M291" s="457">
        <f t="shared" si="242"/>
        <v>0</v>
      </c>
      <c r="N291" s="457">
        <f t="shared" si="242"/>
        <v>0</v>
      </c>
      <c r="O291" s="457">
        <f t="shared" si="242"/>
        <v>953993</v>
      </c>
      <c r="P291" s="457">
        <f t="shared" si="242"/>
        <v>126503993</v>
      </c>
      <c r="Q291" s="20"/>
      <c r="R291" s="50"/>
    </row>
    <row r="292" spans="1:18" ht="93" thickTop="1" thickBot="1" x14ac:dyDescent="0.25">
      <c r="A292" s="101" t="s">
        <v>543</v>
      </c>
      <c r="B292" s="101" t="s">
        <v>376</v>
      </c>
      <c r="C292" s="101" t="s">
        <v>283</v>
      </c>
      <c r="D292" s="101" t="s">
        <v>377</v>
      </c>
      <c r="E292" s="309">
        <f t="shared" ref="E292:E306" si="243">F292</f>
        <v>75000000</v>
      </c>
      <c r="F292" s="322">
        <f>((((20000000)+20000000)+10000000)+10000000)+10000000+5000000</f>
        <v>75000000</v>
      </c>
      <c r="G292" s="322"/>
      <c r="H292" s="322"/>
      <c r="I292" s="322"/>
      <c r="J292" s="324">
        <f t="shared" si="237"/>
        <v>0</v>
      </c>
      <c r="K292" s="322"/>
      <c r="L292" s="449"/>
      <c r="M292" s="449"/>
      <c r="N292" s="449"/>
      <c r="O292" s="450">
        <f t="shared" si="239"/>
        <v>0</v>
      </c>
      <c r="P292" s="324">
        <f t="shared" si="240"/>
        <v>75000000</v>
      </c>
      <c r="Q292" s="20"/>
      <c r="R292" s="50"/>
    </row>
    <row r="293" spans="1:18" ht="48" thickTop="1" thickBot="1" x14ac:dyDescent="0.25">
      <c r="A293" s="101" t="s">
        <v>544</v>
      </c>
      <c r="B293" s="101" t="s">
        <v>286</v>
      </c>
      <c r="C293" s="101" t="s">
        <v>283</v>
      </c>
      <c r="D293" s="101" t="s">
        <v>287</v>
      </c>
      <c r="E293" s="309">
        <f t="shared" si="243"/>
        <v>50550000</v>
      </c>
      <c r="F293" s="322">
        <f>(((10550000)+15000000)+15000000)+10000000</f>
        <v>50550000</v>
      </c>
      <c r="G293" s="127"/>
      <c r="H293" s="127"/>
      <c r="I293" s="127"/>
      <c r="J293" s="324">
        <f t="shared" si="237"/>
        <v>953993</v>
      </c>
      <c r="K293" s="322">
        <f>(185707)+768286</f>
        <v>953993</v>
      </c>
      <c r="L293" s="449"/>
      <c r="M293" s="449"/>
      <c r="N293" s="449"/>
      <c r="O293" s="450">
        <f t="shared" si="239"/>
        <v>953993</v>
      </c>
      <c r="P293" s="324">
        <f t="shared" si="240"/>
        <v>51503993</v>
      </c>
      <c r="Q293" s="20"/>
      <c r="R293" s="50"/>
    </row>
    <row r="294" spans="1:18" ht="93" hidden="1" thickTop="1" thickBot="1" x14ac:dyDescent="0.25">
      <c r="A294" s="126" t="s">
        <v>1390</v>
      </c>
      <c r="B294" s="126" t="s">
        <v>1391</v>
      </c>
      <c r="C294" s="126" t="s">
        <v>283</v>
      </c>
      <c r="D294" s="126" t="s">
        <v>1392</v>
      </c>
      <c r="E294" s="150">
        <f t="shared" si="243"/>
        <v>0</v>
      </c>
      <c r="F294" s="127">
        <v>0</v>
      </c>
      <c r="G294" s="127"/>
      <c r="H294" s="127"/>
      <c r="I294" s="127"/>
      <c r="J294" s="324">
        <f t="shared" si="237"/>
        <v>0</v>
      </c>
      <c r="K294" s="322"/>
      <c r="L294" s="449"/>
      <c r="M294" s="449"/>
      <c r="N294" s="449"/>
      <c r="O294" s="450">
        <f t="shared" si="239"/>
        <v>0</v>
      </c>
      <c r="P294" s="324">
        <f t="shared" si="240"/>
        <v>0</v>
      </c>
      <c r="Q294" s="20"/>
      <c r="R294" s="50"/>
    </row>
    <row r="295" spans="1:18" ht="93" thickTop="1" thickBot="1" x14ac:dyDescent="0.25">
      <c r="A295" s="101" t="s">
        <v>545</v>
      </c>
      <c r="B295" s="101" t="s">
        <v>297</v>
      </c>
      <c r="C295" s="101" t="s">
        <v>283</v>
      </c>
      <c r="D295" s="101" t="s">
        <v>298</v>
      </c>
      <c r="E295" s="309">
        <f t="shared" si="243"/>
        <v>10742700</v>
      </c>
      <c r="F295" s="322">
        <f>(((700000)+650000)+1987600)+200000+7205100</f>
        <v>10742700</v>
      </c>
      <c r="G295" s="127"/>
      <c r="H295" s="127"/>
      <c r="I295" s="127"/>
      <c r="J295" s="324">
        <f t="shared" si="237"/>
        <v>0</v>
      </c>
      <c r="K295" s="453"/>
      <c r="L295" s="322"/>
      <c r="M295" s="322"/>
      <c r="N295" s="322"/>
      <c r="O295" s="450">
        <f t="shared" si="239"/>
        <v>0</v>
      </c>
      <c r="P295" s="324">
        <f t="shared" ref="P295:P300" si="244">E295+J295</f>
        <v>10742700</v>
      </c>
      <c r="Q295" s="20"/>
      <c r="R295" s="50"/>
    </row>
    <row r="296" spans="1:18" ht="48" thickTop="1" thickBot="1" x14ac:dyDescent="0.25">
      <c r="A296" s="101" t="s">
        <v>546</v>
      </c>
      <c r="B296" s="101" t="s">
        <v>289</v>
      </c>
      <c r="C296" s="101" t="s">
        <v>283</v>
      </c>
      <c r="D296" s="101" t="s">
        <v>290</v>
      </c>
      <c r="E296" s="309">
        <f t="shared" si="243"/>
        <v>309866387</v>
      </c>
      <c r="F296" s="322">
        <f>((((273808011-650000-8450000)+25359960)+18495178-2000000)+2050000)+1253238</f>
        <v>309866387</v>
      </c>
      <c r="G296" s="127"/>
      <c r="H296" s="322">
        <v>5000</v>
      </c>
      <c r="I296" s="127"/>
      <c r="J296" s="324">
        <f t="shared" si="237"/>
        <v>0</v>
      </c>
      <c r="K296" s="453">
        <v>0</v>
      </c>
      <c r="L296" s="322"/>
      <c r="M296" s="322"/>
      <c r="N296" s="322"/>
      <c r="O296" s="450">
        <f t="shared" si="239"/>
        <v>0</v>
      </c>
      <c r="P296" s="324">
        <f t="shared" si="244"/>
        <v>309866387</v>
      </c>
      <c r="Q296" s="20"/>
      <c r="R296" s="45"/>
    </row>
    <row r="297" spans="1:18" ht="48" thickTop="1" thickBot="1" x14ac:dyDescent="0.25">
      <c r="A297" s="101" t="s">
        <v>1130</v>
      </c>
      <c r="B297" s="101" t="s">
        <v>1131</v>
      </c>
      <c r="C297" s="101" t="s">
        <v>1132</v>
      </c>
      <c r="D297" s="101" t="s">
        <v>1129</v>
      </c>
      <c r="E297" s="309">
        <f t="shared" si="243"/>
        <v>258800</v>
      </c>
      <c r="F297" s="322">
        <v>258800</v>
      </c>
      <c r="G297" s="322"/>
      <c r="H297" s="322"/>
      <c r="I297" s="322"/>
      <c r="J297" s="324">
        <f t="shared" si="237"/>
        <v>0</v>
      </c>
      <c r="K297" s="453"/>
      <c r="L297" s="322"/>
      <c r="M297" s="322"/>
      <c r="N297" s="322"/>
      <c r="O297" s="450">
        <f t="shared" si="239"/>
        <v>0</v>
      </c>
      <c r="P297" s="324">
        <f t="shared" si="244"/>
        <v>258800</v>
      </c>
      <c r="Q297" s="20"/>
      <c r="R297" s="45"/>
    </row>
    <row r="298" spans="1:18" ht="47.25" thickTop="1" thickBot="1" x14ac:dyDescent="0.25">
      <c r="A298" s="308" t="s">
        <v>797</v>
      </c>
      <c r="B298" s="308" t="s">
        <v>744</v>
      </c>
      <c r="C298" s="308"/>
      <c r="D298" s="308" t="s">
        <v>745</v>
      </c>
      <c r="E298" s="309">
        <f>E299+E301+E304</f>
        <v>0</v>
      </c>
      <c r="F298" s="309">
        <f t="shared" ref="F298:P298" si="245">F299+F301+F304</f>
        <v>0</v>
      </c>
      <c r="G298" s="309">
        <f t="shared" si="245"/>
        <v>0</v>
      </c>
      <c r="H298" s="309">
        <f t="shared" si="245"/>
        <v>0</v>
      </c>
      <c r="I298" s="309">
        <f t="shared" si="245"/>
        <v>0</v>
      </c>
      <c r="J298" s="309">
        <f>J299+J301+J304</f>
        <v>41555333.350000001</v>
      </c>
      <c r="K298" s="309">
        <f t="shared" si="245"/>
        <v>41555333.350000001</v>
      </c>
      <c r="L298" s="309">
        <f t="shared" si="245"/>
        <v>0</v>
      </c>
      <c r="M298" s="309">
        <f t="shared" si="245"/>
        <v>0</v>
      </c>
      <c r="N298" s="309">
        <f t="shared" si="245"/>
        <v>0</v>
      </c>
      <c r="O298" s="309">
        <f t="shared" si="245"/>
        <v>41555333.350000001</v>
      </c>
      <c r="P298" s="309">
        <f t="shared" si="245"/>
        <v>41555333.350000001</v>
      </c>
      <c r="Q298" s="20"/>
      <c r="R298" s="50"/>
    </row>
    <row r="299" spans="1:18" ht="47.25" thickTop="1" thickBot="1" x14ac:dyDescent="0.25">
      <c r="A299" s="310" t="s">
        <v>798</v>
      </c>
      <c r="B299" s="310" t="s">
        <v>799</v>
      </c>
      <c r="C299" s="310"/>
      <c r="D299" s="310" t="s">
        <v>800</v>
      </c>
      <c r="E299" s="311">
        <f>E300</f>
        <v>0</v>
      </c>
      <c r="F299" s="311">
        <f t="shared" ref="F299:P299" si="246">F300</f>
        <v>0</v>
      </c>
      <c r="G299" s="311">
        <f t="shared" si="246"/>
        <v>0</v>
      </c>
      <c r="H299" s="311">
        <f t="shared" si="246"/>
        <v>0</v>
      </c>
      <c r="I299" s="311">
        <f t="shared" si="246"/>
        <v>0</v>
      </c>
      <c r="J299" s="311">
        <f t="shared" si="246"/>
        <v>2351756</v>
      </c>
      <c r="K299" s="311">
        <f t="shared" si="246"/>
        <v>2351756</v>
      </c>
      <c r="L299" s="311">
        <f t="shared" si="246"/>
        <v>0</v>
      </c>
      <c r="M299" s="311">
        <f t="shared" si="246"/>
        <v>0</v>
      </c>
      <c r="N299" s="311">
        <f t="shared" si="246"/>
        <v>0</v>
      </c>
      <c r="O299" s="311">
        <f t="shared" si="246"/>
        <v>2351756</v>
      </c>
      <c r="P299" s="311">
        <f t="shared" si="246"/>
        <v>2351756</v>
      </c>
      <c r="Q299" s="20"/>
      <c r="R299" s="50"/>
    </row>
    <row r="300" spans="1:18" ht="54" thickTop="1" thickBot="1" x14ac:dyDescent="0.25">
      <c r="A300" s="101" t="s">
        <v>547</v>
      </c>
      <c r="B300" s="101" t="s">
        <v>305</v>
      </c>
      <c r="C300" s="101" t="s">
        <v>304</v>
      </c>
      <c r="D300" s="101" t="s">
        <v>1477</v>
      </c>
      <c r="E300" s="309">
        <f t="shared" si="243"/>
        <v>0</v>
      </c>
      <c r="F300" s="322"/>
      <c r="G300" s="322"/>
      <c r="H300" s="322"/>
      <c r="I300" s="322"/>
      <c r="J300" s="324">
        <f>L300+O300</f>
        <v>2351756</v>
      </c>
      <c r="K300" s="453">
        <f>(((131720)-131720)+1200000)+1151756</f>
        <v>2351756</v>
      </c>
      <c r="L300" s="322"/>
      <c r="M300" s="322"/>
      <c r="N300" s="322"/>
      <c r="O300" s="450">
        <f>K300</f>
        <v>2351756</v>
      </c>
      <c r="P300" s="324">
        <f t="shared" si="244"/>
        <v>2351756</v>
      </c>
      <c r="Q300" s="20"/>
      <c r="R300" s="45"/>
    </row>
    <row r="301" spans="1:18" ht="47.25" thickTop="1" thickBot="1" x14ac:dyDescent="0.25">
      <c r="A301" s="310" t="s">
        <v>801</v>
      </c>
      <c r="B301" s="310" t="s">
        <v>802</v>
      </c>
      <c r="C301" s="310"/>
      <c r="D301" s="310" t="s">
        <v>803</v>
      </c>
      <c r="E301" s="311">
        <f t="shared" ref="E301:P302" si="247">E302</f>
        <v>0</v>
      </c>
      <c r="F301" s="311">
        <f t="shared" si="247"/>
        <v>0</v>
      </c>
      <c r="G301" s="311">
        <f t="shared" si="247"/>
        <v>0</v>
      </c>
      <c r="H301" s="311">
        <f t="shared" si="247"/>
        <v>0</v>
      </c>
      <c r="I301" s="311">
        <f t="shared" si="247"/>
        <v>0</v>
      </c>
      <c r="J301" s="311">
        <f t="shared" si="247"/>
        <v>13320514</v>
      </c>
      <c r="K301" s="311">
        <f t="shared" si="247"/>
        <v>13320514</v>
      </c>
      <c r="L301" s="311">
        <f t="shared" si="247"/>
        <v>0</v>
      </c>
      <c r="M301" s="311">
        <f t="shared" si="247"/>
        <v>0</v>
      </c>
      <c r="N301" s="311">
        <f t="shared" si="247"/>
        <v>0</v>
      </c>
      <c r="O301" s="311">
        <f t="shared" si="247"/>
        <v>13320514</v>
      </c>
      <c r="P301" s="311">
        <f t="shared" si="247"/>
        <v>13320514</v>
      </c>
      <c r="Q301" s="20"/>
      <c r="R301" s="50"/>
    </row>
    <row r="302" spans="1:18" ht="48" thickTop="1" thickBot="1" x14ac:dyDescent="0.25">
      <c r="A302" s="101" t="s">
        <v>952</v>
      </c>
      <c r="B302" s="325" t="s">
        <v>953</v>
      </c>
      <c r="C302" s="310"/>
      <c r="D302" s="325" t="s">
        <v>954</v>
      </c>
      <c r="E302" s="457">
        <f t="shared" si="247"/>
        <v>0</v>
      </c>
      <c r="F302" s="457">
        <f t="shared" si="247"/>
        <v>0</v>
      </c>
      <c r="G302" s="457">
        <f t="shared" si="247"/>
        <v>0</v>
      </c>
      <c r="H302" s="457">
        <f t="shared" si="247"/>
        <v>0</v>
      </c>
      <c r="I302" s="457">
        <f t="shared" si="247"/>
        <v>0</v>
      </c>
      <c r="J302" s="457">
        <f t="shared" si="247"/>
        <v>13320514</v>
      </c>
      <c r="K302" s="457">
        <f t="shared" si="247"/>
        <v>13320514</v>
      </c>
      <c r="L302" s="457">
        <f t="shared" si="247"/>
        <v>0</v>
      </c>
      <c r="M302" s="457">
        <f t="shared" si="247"/>
        <v>0</v>
      </c>
      <c r="N302" s="457">
        <f t="shared" si="247"/>
        <v>0</v>
      </c>
      <c r="O302" s="457">
        <f t="shared" si="247"/>
        <v>13320514</v>
      </c>
      <c r="P302" s="457">
        <f t="shared" si="247"/>
        <v>13320514</v>
      </c>
      <c r="Q302" s="20"/>
      <c r="R302" s="50"/>
    </row>
    <row r="303" spans="1:18" ht="93" thickTop="1" thickBot="1" x14ac:dyDescent="0.25">
      <c r="A303" s="101" t="s">
        <v>548</v>
      </c>
      <c r="B303" s="101" t="s">
        <v>293</v>
      </c>
      <c r="C303" s="101" t="s">
        <v>295</v>
      </c>
      <c r="D303" s="101" t="s">
        <v>294</v>
      </c>
      <c r="E303" s="309">
        <f t="shared" si="243"/>
        <v>0</v>
      </c>
      <c r="F303" s="322">
        <f>(18000000-3000000-3000000)-12000000</f>
        <v>0</v>
      </c>
      <c r="G303" s="322"/>
      <c r="H303" s="322"/>
      <c r="I303" s="322"/>
      <c r="J303" s="324">
        <f t="shared" si="237"/>
        <v>13320514</v>
      </c>
      <c r="K303" s="322">
        <f>(((2000000)+935752)+10000000)+384762</f>
        <v>13320514</v>
      </c>
      <c r="L303" s="449"/>
      <c r="M303" s="449"/>
      <c r="N303" s="449"/>
      <c r="O303" s="450">
        <f>K303</f>
        <v>13320514</v>
      </c>
      <c r="P303" s="324">
        <f>+J303+E303</f>
        <v>13320514</v>
      </c>
      <c r="Q303" s="20"/>
      <c r="R303" s="45"/>
    </row>
    <row r="304" spans="1:18" ht="47.25" thickTop="1" thickBot="1" x14ac:dyDescent="0.25">
      <c r="A304" s="310" t="s">
        <v>804</v>
      </c>
      <c r="B304" s="310" t="s">
        <v>687</v>
      </c>
      <c r="C304" s="310"/>
      <c r="D304" s="310" t="s">
        <v>685</v>
      </c>
      <c r="E304" s="311">
        <f>SUM(E305:E310)-E307</f>
        <v>0</v>
      </c>
      <c r="F304" s="311">
        <f t="shared" ref="F304:P304" si="248">SUM(F305:F310)-F307</f>
        <v>0</v>
      </c>
      <c r="G304" s="311">
        <f t="shared" si="248"/>
        <v>0</v>
      </c>
      <c r="H304" s="311">
        <f t="shared" si="248"/>
        <v>0</v>
      </c>
      <c r="I304" s="311">
        <f t="shared" si="248"/>
        <v>0</v>
      </c>
      <c r="J304" s="311">
        <f t="shared" si="248"/>
        <v>25883063.350000001</v>
      </c>
      <c r="K304" s="311">
        <f t="shared" si="248"/>
        <v>25883063.350000001</v>
      </c>
      <c r="L304" s="311">
        <f t="shared" si="248"/>
        <v>0</v>
      </c>
      <c r="M304" s="311">
        <f t="shared" si="248"/>
        <v>0</v>
      </c>
      <c r="N304" s="311">
        <f t="shared" si="248"/>
        <v>0</v>
      </c>
      <c r="O304" s="311">
        <f t="shared" si="248"/>
        <v>25883063.350000001</v>
      </c>
      <c r="P304" s="311">
        <f t="shared" si="248"/>
        <v>25883063.350000001</v>
      </c>
      <c r="Q304" s="20"/>
      <c r="R304" s="45"/>
    </row>
    <row r="305" spans="1:18" ht="48" thickTop="1" thickBot="1" x14ac:dyDescent="0.25">
      <c r="A305" s="101" t="s">
        <v>549</v>
      </c>
      <c r="B305" s="101" t="s">
        <v>212</v>
      </c>
      <c r="C305" s="101" t="s">
        <v>213</v>
      </c>
      <c r="D305" s="101" t="s">
        <v>41</v>
      </c>
      <c r="E305" s="309">
        <f t="shared" si="243"/>
        <v>0</v>
      </c>
      <c r="F305" s="322"/>
      <c r="G305" s="322"/>
      <c r="H305" s="322"/>
      <c r="I305" s="322"/>
      <c r="J305" s="324">
        <f t="shared" si="237"/>
        <v>15280170.35</v>
      </c>
      <c r="K305" s="453">
        <f>(((9760000)+5803884)+344886.99)-628600.64</f>
        <v>15280170.35</v>
      </c>
      <c r="L305" s="322"/>
      <c r="M305" s="322"/>
      <c r="N305" s="322"/>
      <c r="O305" s="450">
        <f t="shared" si="239"/>
        <v>15280170.35</v>
      </c>
      <c r="P305" s="324">
        <f>E305+J305</f>
        <v>15280170.35</v>
      </c>
      <c r="Q305" s="20"/>
      <c r="R305" s="45"/>
    </row>
    <row r="306" spans="1:18" ht="48" thickTop="1" thickBot="1" x14ac:dyDescent="0.25">
      <c r="A306" s="101" t="s">
        <v>550</v>
      </c>
      <c r="B306" s="101" t="s">
        <v>197</v>
      </c>
      <c r="C306" s="101" t="s">
        <v>170</v>
      </c>
      <c r="D306" s="101" t="s">
        <v>34</v>
      </c>
      <c r="E306" s="309">
        <f t="shared" si="243"/>
        <v>0</v>
      </c>
      <c r="F306" s="322"/>
      <c r="G306" s="322"/>
      <c r="H306" s="322"/>
      <c r="I306" s="322"/>
      <c r="J306" s="324">
        <f t="shared" si="237"/>
        <v>10602893</v>
      </c>
      <c r="K306" s="453">
        <f>((((96120)+6291666)+4438322-807578)+200000)+384363</f>
        <v>10602893</v>
      </c>
      <c r="L306" s="322"/>
      <c r="M306" s="322"/>
      <c r="N306" s="322"/>
      <c r="O306" s="450">
        <f t="shared" si="239"/>
        <v>10602893</v>
      </c>
      <c r="P306" s="324">
        <f>E306+J306</f>
        <v>10602893</v>
      </c>
      <c r="Q306" s="20"/>
      <c r="R306" s="45"/>
    </row>
    <row r="307" spans="1:18" ht="48" hidden="1" thickTop="1" thickBot="1" x14ac:dyDescent="0.25">
      <c r="A307" s="325" t="s">
        <v>805</v>
      </c>
      <c r="B307" s="325" t="s">
        <v>690</v>
      </c>
      <c r="C307" s="138"/>
      <c r="D307" s="138" t="s">
        <v>793</v>
      </c>
      <c r="E307" s="156">
        <f t="shared" ref="E307:P307" si="249">E308+E310</f>
        <v>0</v>
      </c>
      <c r="F307" s="156">
        <f t="shared" si="249"/>
        <v>0</v>
      </c>
      <c r="G307" s="156">
        <f t="shared" si="249"/>
        <v>0</v>
      </c>
      <c r="H307" s="156">
        <f t="shared" si="249"/>
        <v>0</v>
      </c>
      <c r="I307" s="156">
        <f t="shared" si="249"/>
        <v>0</v>
      </c>
      <c r="J307" s="156">
        <f t="shared" si="249"/>
        <v>0</v>
      </c>
      <c r="K307" s="156">
        <f t="shared" si="249"/>
        <v>0</v>
      </c>
      <c r="L307" s="156">
        <f t="shared" si="249"/>
        <v>0</v>
      </c>
      <c r="M307" s="156">
        <f t="shared" si="249"/>
        <v>0</v>
      </c>
      <c r="N307" s="156">
        <f t="shared" si="249"/>
        <v>0</v>
      </c>
      <c r="O307" s="156">
        <f t="shared" si="249"/>
        <v>0</v>
      </c>
      <c r="P307" s="156">
        <f t="shared" si="249"/>
        <v>0</v>
      </c>
      <c r="Q307" s="20"/>
      <c r="R307" s="50"/>
    </row>
    <row r="308" spans="1:18" ht="211.7" hidden="1" customHeight="1" thickTop="1" thickBot="1" x14ac:dyDescent="0.7">
      <c r="A308" s="732" t="s">
        <v>551</v>
      </c>
      <c r="B308" s="732" t="s">
        <v>338</v>
      </c>
      <c r="C308" s="744" t="s">
        <v>170</v>
      </c>
      <c r="D308" s="153" t="s">
        <v>439</v>
      </c>
      <c r="E308" s="745"/>
      <c r="F308" s="739"/>
      <c r="G308" s="739"/>
      <c r="H308" s="739"/>
      <c r="I308" s="739"/>
      <c r="J308" s="745">
        <f t="shared" si="237"/>
        <v>0</v>
      </c>
      <c r="K308" s="739"/>
      <c r="L308" s="739">
        <v>0</v>
      </c>
      <c r="M308" s="739"/>
      <c r="N308" s="739"/>
      <c r="O308" s="772"/>
      <c r="P308" s="773">
        <f>E308+J308</f>
        <v>0</v>
      </c>
      <c r="Q308" s="20"/>
      <c r="R308" s="50"/>
    </row>
    <row r="309" spans="1:18" ht="130.69999999999999" hidden="1" customHeight="1" thickTop="1" thickBot="1" x14ac:dyDescent="0.25">
      <c r="A309" s="732"/>
      <c r="B309" s="732"/>
      <c r="C309" s="744"/>
      <c r="D309" s="154" t="s">
        <v>440</v>
      </c>
      <c r="E309" s="745"/>
      <c r="F309" s="739"/>
      <c r="G309" s="739"/>
      <c r="H309" s="739"/>
      <c r="I309" s="739"/>
      <c r="J309" s="745"/>
      <c r="K309" s="739"/>
      <c r="L309" s="739"/>
      <c r="M309" s="739"/>
      <c r="N309" s="739"/>
      <c r="O309" s="772"/>
      <c r="P309" s="773"/>
      <c r="Q309" s="20"/>
      <c r="R309" s="50"/>
    </row>
    <row r="310" spans="1:18" ht="39" hidden="1" customHeight="1" thickTop="1" thickBot="1" x14ac:dyDescent="0.25">
      <c r="A310" s="101" t="s">
        <v>1165</v>
      </c>
      <c r="B310" s="101" t="s">
        <v>257</v>
      </c>
      <c r="C310" s="126" t="s">
        <v>170</v>
      </c>
      <c r="D310" s="154" t="s">
        <v>255</v>
      </c>
      <c r="E310" s="150">
        <f t="shared" ref="E310" si="250">F310</f>
        <v>0</v>
      </c>
      <c r="F310" s="127"/>
      <c r="G310" s="127"/>
      <c r="H310" s="127"/>
      <c r="I310" s="127"/>
      <c r="J310" s="125">
        <f t="shared" ref="J310" si="251">L310+O310</f>
        <v>0</v>
      </c>
      <c r="K310" s="132"/>
      <c r="L310" s="127"/>
      <c r="M310" s="127"/>
      <c r="N310" s="127"/>
      <c r="O310" s="130">
        <f t="shared" ref="O310" si="252">K310</f>
        <v>0</v>
      </c>
      <c r="P310" s="125">
        <f>E310+J310</f>
        <v>0</v>
      </c>
      <c r="Q310" s="20"/>
      <c r="R310" s="50"/>
    </row>
    <row r="311" spans="1:18" ht="47.25" thickTop="1" thickBot="1" x14ac:dyDescent="0.25">
      <c r="A311" s="308" t="s">
        <v>806</v>
      </c>
      <c r="B311" s="308" t="s">
        <v>692</v>
      </c>
      <c r="C311" s="308"/>
      <c r="D311" s="462" t="s">
        <v>693</v>
      </c>
      <c r="E311" s="324">
        <f>E312</f>
        <v>4729390</v>
      </c>
      <c r="F311" s="324">
        <f t="shared" ref="F311:P311" si="253">F312</f>
        <v>4729390</v>
      </c>
      <c r="G311" s="324">
        <f t="shared" si="253"/>
        <v>1953964</v>
      </c>
      <c r="H311" s="324">
        <f t="shared" si="253"/>
        <v>53880</v>
      </c>
      <c r="I311" s="324">
        <f t="shared" si="253"/>
        <v>0</v>
      </c>
      <c r="J311" s="324">
        <f t="shared" si="253"/>
        <v>0</v>
      </c>
      <c r="K311" s="324">
        <f t="shared" si="253"/>
        <v>0</v>
      </c>
      <c r="L311" s="324">
        <f t="shared" si="253"/>
        <v>0</v>
      </c>
      <c r="M311" s="324">
        <f t="shared" si="253"/>
        <v>0</v>
      </c>
      <c r="N311" s="324">
        <f t="shared" si="253"/>
        <v>0</v>
      </c>
      <c r="O311" s="324">
        <f t="shared" si="253"/>
        <v>0</v>
      </c>
      <c r="P311" s="324">
        <f t="shared" si="253"/>
        <v>4729390</v>
      </c>
      <c r="Q311" s="20"/>
      <c r="R311" s="50"/>
    </row>
    <row r="312" spans="1:18" ht="47.25" thickTop="1" thickBot="1" x14ac:dyDescent="0.25">
      <c r="A312" s="310" t="s">
        <v>807</v>
      </c>
      <c r="B312" s="310" t="s">
        <v>808</v>
      </c>
      <c r="C312" s="310"/>
      <c r="D312" s="352" t="s">
        <v>1262</v>
      </c>
      <c r="E312" s="312">
        <f>SUM(E313:E315)</f>
        <v>4729390</v>
      </c>
      <c r="F312" s="312">
        <f t="shared" ref="F312:P312" si="254">SUM(F313:F315)</f>
        <v>4729390</v>
      </c>
      <c r="G312" s="312">
        <f t="shared" si="254"/>
        <v>1953964</v>
      </c>
      <c r="H312" s="312">
        <f t="shared" si="254"/>
        <v>53880</v>
      </c>
      <c r="I312" s="312">
        <f t="shared" si="254"/>
        <v>0</v>
      </c>
      <c r="J312" s="312">
        <f t="shared" si="254"/>
        <v>0</v>
      </c>
      <c r="K312" s="312">
        <f t="shared" si="254"/>
        <v>0</v>
      </c>
      <c r="L312" s="312">
        <f t="shared" si="254"/>
        <v>0</v>
      </c>
      <c r="M312" s="312">
        <f t="shared" si="254"/>
        <v>0</v>
      </c>
      <c r="N312" s="312">
        <f t="shared" si="254"/>
        <v>0</v>
      </c>
      <c r="O312" s="312">
        <f t="shared" si="254"/>
        <v>0</v>
      </c>
      <c r="P312" s="312">
        <f t="shared" si="254"/>
        <v>4729390</v>
      </c>
      <c r="Q312" s="20"/>
      <c r="R312" s="50"/>
    </row>
    <row r="313" spans="1:18" ht="93" thickTop="1" thickBot="1" x14ac:dyDescent="0.25">
      <c r="A313" s="101" t="s">
        <v>552</v>
      </c>
      <c r="B313" s="101" t="s">
        <v>517</v>
      </c>
      <c r="C313" s="101" t="s">
        <v>251</v>
      </c>
      <c r="D313" s="101" t="s">
        <v>518</v>
      </c>
      <c r="E313" s="309">
        <f>F313</f>
        <v>2200000</v>
      </c>
      <c r="F313" s="322">
        <f>(2000000)+200000</f>
        <v>2200000</v>
      </c>
      <c r="G313" s="322"/>
      <c r="H313" s="322"/>
      <c r="I313" s="322"/>
      <c r="J313" s="324">
        <f>L313+O313</f>
        <v>0</v>
      </c>
      <c r="K313" s="453">
        <v>0</v>
      </c>
      <c r="L313" s="322"/>
      <c r="M313" s="322"/>
      <c r="N313" s="322"/>
      <c r="O313" s="450">
        <f>K313</f>
        <v>0</v>
      </c>
      <c r="P313" s="324">
        <f>E313+J313</f>
        <v>2200000</v>
      </c>
      <c r="Q313" s="20"/>
      <c r="R313" s="50"/>
    </row>
    <row r="314" spans="1:18" ht="48" thickTop="1" thickBot="1" x14ac:dyDescent="0.25">
      <c r="A314" s="101" t="s">
        <v>553</v>
      </c>
      <c r="B314" s="101" t="s">
        <v>250</v>
      </c>
      <c r="C314" s="101" t="s">
        <v>251</v>
      </c>
      <c r="D314" s="101" t="s">
        <v>249</v>
      </c>
      <c r="E314" s="309">
        <f t="shared" ref="E314:E315" si="255">F314</f>
        <v>2529390</v>
      </c>
      <c r="F314" s="322">
        <f>(2515145)+14245</f>
        <v>2529390</v>
      </c>
      <c r="G314" s="322">
        <v>1953964</v>
      </c>
      <c r="H314" s="322">
        <f>2500+35000+16380</f>
        <v>53880</v>
      </c>
      <c r="I314" s="322"/>
      <c r="J314" s="324">
        <f>L314+O314</f>
        <v>0</v>
      </c>
      <c r="K314" s="453">
        <v>0</v>
      </c>
      <c r="L314" s="322"/>
      <c r="M314" s="322"/>
      <c r="N314" s="322"/>
      <c r="O314" s="450">
        <f>K314</f>
        <v>0</v>
      </c>
      <c r="P314" s="324">
        <f>E314+J314</f>
        <v>2529390</v>
      </c>
      <c r="Q314" s="20"/>
      <c r="R314" s="46"/>
    </row>
    <row r="315" spans="1:18" ht="48" hidden="1" thickTop="1" thickBot="1" x14ac:dyDescent="0.25">
      <c r="A315" s="41" t="s">
        <v>554</v>
      </c>
      <c r="B315" s="41" t="s">
        <v>555</v>
      </c>
      <c r="C315" s="41" t="s">
        <v>251</v>
      </c>
      <c r="D315" s="41" t="s">
        <v>556</v>
      </c>
      <c r="E315" s="158">
        <f t="shared" si="255"/>
        <v>0</v>
      </c>
      <c r="F315" s="159">
        <f>(1219000)-1219000</f>
        <v>0</v>
      </c>
      <c r="G315" s="159">
        <f>(354000+540000)-894000</f>
        <v>0</v>
      </c>
      <c r="H315" s="159">
        <f>(6000+3000)-9000</f>
        <v>0</v>
      </c>
      <c r="I315" s="159"/>
      <c r="J315" s="42">
        <f>L315+O315</f>
        <v>0</v>
      </c>
      <c r="K315" s="43"/>
      <c r="L315" s="159"/>
      <c r="M315" s="159"/>
      <c r="N315" s="159"/>
      <c r="O315" s="44">
        <f>K315</f>
        <v>0</v>
      </c>
      <c r="P315" s="42">
        <f>E315+J315</f>
        <v>0</v>
      </c>
      <c r="Q315" s="20"/>
      <c r="R315" s="50"/>
    </row>
    <row r="316" spans="1:18" ht="47.25" thickTop="1" thickBot="1" x14ac:dyDescent="0.25">
      <c r="A316" s="308" t="s">
        <v>1461</v>
      </c>
      <c r="B316" s="308" t="s">
        <v>698</v>
      </c>
      <c r="C316" s="308"/>
      <c r="D316" s="308" t="s">
        <v>699</v>
      </c>
      <c r="E316" s="324">
        <f>E317</f>
        <v>650000</v>
      </c>
      <c r="F316" s="324">
        <f t="shared" ref="F316:P317" si="256">F317</f>
        <v>650000</v>
      </c>
      <c r="G316" s="324">
        <f t="shared" si="256"/>
        <v>0</v>
      </c>
      <c r="H316" s="324">
        <f t="shared" si="256"/>
        <v>0</v>
      </c>
      <c r="I316" s="324">
        <f t="shared" si="256"/>
        <v>0</v>
      </c>
      <c r="J316" s="324">
        <f t="shared" si="256"/>
        <v>0</v>
      </c>
      <c r="K316" s="324">
        <f t="shared" si="256"/>
        <v>0</v>
      </c>
      <c r="L316" s="324">
        <f t="shared" si="256"/>
        <v>0</v>
      </c>
      <c r="M316" s="324">
        <f t="shared" si="256"/>
        <v>0</v>
      </c>
      <c r="N316" s="324">
        <f t="shared" si="256"/>
        <v>0</v>
      </c>
      <c r="O316" s="324">
        <f t="shared" si="256"/>
        <v>0</v>
      </c>
      <c r="P316" s="324">
        <f t="shared" si="256"/>
        <v>650000</v>
      </c>
      <c r="Q316" s="20"/>
      <c r="R316" s="50"/>
    </row>
    <row r="317" spans="1:18" ht="91.5" thickTop="1" thickBot="1" x14ac:dyDescent="0.25">
      <c r="A317" s="310" t="s">
        <v>1462</v>
      </c>
      <c r="B317" s="310" t="s">
        <v>701</v>
      </c>
      <c r="C317" s="310"/>
      <c r="D317" s="310" t="s">
        <v>702</v>
      </c>
      <c r="E317" s="312">
        <f>E318</f>
        <v>650000</v>
      </c>
      <c r="F317" s="312">
        <f t="shared" si="256"/>
        <v>650000</v>
      </c>
      <c r="G317" s="312">
        <f t="shared" si="256"/>
        <v>0</v>
      </c>
      <c r="H317" s="312">
        <f t="shared" si="256"/>
        <v>0</v>
      </c>
      <c r="I317" s="312">
        <f t="shared" si="256"/>
        <v>0</v>
      </c>
      <c r="J317" s="312">
        <f t="shared" si="256"/>
        <v>0</v>
      </c>
      <c r="K317" s="312">
        <f t="shared" si="256"/>
        <v>0</v>
      </c>
      <c r="L317" s="312">
        <f t="shared" si="256"/>
        <v>0</v>
      </c>
      <c r="M317" s="312">
        <f t="shared" si="256"/>
        <v>0</v>
      </c>
      <c r="N317" s="312">
        <f t="shared" si="256"/>
        <v>0</v>
      </c>
      <c r="O317" s="312">
        <f t="shared" si="256"/>
        <v>0</v>
      </c>
      <c r="P317" s="312">
        <f t="shared" si="256"/>
        <v>650000</v>
      </c>
      <c r="Q317" s="20"/>
      <c r="R317" s="50"/>
    </row>
    <row r="318" spans="1:18" ht="48" thickTop="1" thickBot="1" x14ac:dyDescent="0.25">
      <c r="A318" s="101" t="s">
        <v>1463</v>
      </c>
      <c r="B318" s="101" t="s">
        <v>363</v>
      </c>
      <c r="C318" s="101" t="s">
        <v>43</v>
      </c>
      <c r="D318" s="101" t="s">
        <v>364</v>
      </c>
      <c r="E318" s="324">
        <f t="shared" ref="E318" si="257">F318</f>
        <v>650000</v>
      </c>
      <c r="F318" s="453">
        <f>(150000)+300000+200000</f>
        <v>650000</v>
      </c>
      <c r="G318" s="453"/>
      <c r="H318" s="453"/>
      <c r="I318" s="453"/>
      <c r="J318" s="324">
        <f>L318+O318</f>
        <v>0</v>
      </c>
      <c r="K318" s="453">
        <v>0</v>
      </c>
      <c r="L318" s="453"/>
      <c r="M318" s="453"/>
      <c r="N318" s="453"/>
      <c r="O318" s="450">
        <f>K318</f>
        <v>0</v>
      </c>
      <c r="P318" s="324">
        <f>E318+J318</f>
        <v>650000</v>
      </c>
      <c r="Q318" s="20"/>
      <c r="R318" s="50"/>
    </row>
    <row r="319" spans="1:18" ht="120" customHeight="1" thickTop="1" thickBot="1" x14ac:dyDescent="0.25">
      <c r="A319" s="689" t="s">
        <v>25</v>
      </c>
      <c r="B319" s="689"/>
      <c r="C319" s="689"/>
      <c r="D319" s="690" t="s">
        <v>1327</v>
      </c>
      <c r="E319" s="691">
        <f>E320</f>
        <v>3960365</v>
      </c>
      <c r="F319" s="692">
        <f t="shared" ref="F319:G319" si="258">F320</f>
        <v>3960365</v>
      </c>
      <c r="G319" s="692">
        <f t="shared" si="258"/>
        <v>2933445</v>
      </c>
      <c r="H319" s="692">
        <f>H320</f>
        <v>129800</v>
      </c>
      <c r="I319" s="692">
        <f t="shared" ref="I319" si="259">I320</f>
        <v>0</v>
      </c>
      <c r="J319" s="691">
        <f>J320</f>
        <v>102204357.94</v>
      </c>
      <c r="K319" s="692">
        <f>K320</f>
        <v>102204357.94</v>
      </c>
      <c r="L319" s="692">
        <f>L320</f>
        <v>0</v>
      </c>
      <c r="M319" s="692">
        <f t="shared" ref="M319" si="260">M320</f>
        <v>0</v>
      </c>
      <c r="N319" s="692">
        <f>N320</f>
        <v>0</v>
      </c>
      <c r="O319" s="691">
        <f>O320</f>
        <v>102204357.94</v>
      </c>
      <c r="P319" s="692">
        <f t="shared" ref="P319" si="261">P320</f>
        <v>106164722.94</v>
      </c>
      <c r="Q319" s="20"/>
    </row>
    <row r="320" spans="1:18" ht="120" customHeight="1" thickTop="1" thickBot="1" x14ac:dyDescent="0.25">
      <c r="A320" s="693" t="s">
        <v>26</v>
      </c>
      <c r="B320" s="693"/>
      <c r="C320" s="693"/>
      <c r="D320" s="694" t="s">
        <v>887</v>
      </c>
      <c r="E320" s="695">
        <f>E321+E327+E330+E325</f>
        <v>3960365</v>
      </c>
      <c r="F320" s="695">
        <f>F321+F327+F330+F325</f>
        <v>3960365</v>
      </c>
      <c r="G320" s="695">
        <f>G321+G327+G330+G325</f>
        <v>2933445</v>
      </c>
      <c r="H320" s="695">
        <f>H321+H327+H330+H325</f>
        <v>129800</v>
      </c>
      <c r="I320" s="695">
        <f>I321+I327+I330+I325</f>
        <v>0</v>
      </c>
      <c r="J320" s="695">
        <f>L320+O320</f>
        <v>102204357.94</v>
      </c>
      <c r="K320" s="695">
        <f>K321+K327+K330+K325</f>
        <v>102204357.94</v>
      </c>
      <c r="L320" s="695">
        <f>L321+L327+L330+L325</f>
        <v>0</v>
      </c>
      <c r="M320" s="695">
        <f>M321+M327+M330+M325</f>
        <v>0</v>
      </c>
      <c r="N320" s="695">
        <f>N321+N327+N330+N325</f>
        <v>0</v>
      </c>
      <c r="O320" s="695">
        <f>O321+O327+O330+O325</f>
        <v>102204357.94</v>
      </c>
      <c r="P320" s="695">
        <f>E320+J320</f>
        <v>106164722.94</v>
      </c>
      <c r="Q320" s="487" t="b">
        <f>P320=P322+P334+P337+P326</f>
        <v>0</v>
      </c>
      <c r="R320" s="46"/>
    </row>
    <row r="321" spans="1:18" ht="47.25" thickTop="1" thickBot="1" x14ac:dyDescent="0.25">
      <c r="A321" s="308" t="s">
        <v>809</v>
      </c>
      <c r="B321" s="308" t="s">
        <v>680</v>
      </c>
      <c r="C321" s="308"/>
      <c r="D321" s="308" t="s">
        <v>681</v>
      </c>
      <c r="E321" s="324">
        <f t="shared" ref="E321:P321" si="262">SUM(E322:E324)</f>
        <v>3960365</v>
      </c>
      <c r="F321" s="324">
        <f t="shared" si="262"/>
        <v>3960365</v>
      </c>
      <c r="G321" s="324">
        <f t="shared" si="262"/>
        <v>2933445</v>
      </c>
      <c r="H321" s="324">
        <f t="shared" si="262"/>
        <v>129800</v>
      </c>
      <c r="I321" s="324">
        <f t="shared" si="262"/>
        <v>0</v>
      </c>
      <c r="J321" s="324">
        <f t="shared" si="262"/>
        <v>0</v>
      </c>
      <c r="K321" s="324">
        <f t="shared" si="262"/>
        <v>0</v>
      </c>
      <c r="L321" s="324">
        <f t="shared" si="262"/>
        <v>0</v>
      </c>
      <c r="M321" s="324">
        <f t="shared" si="262"/>
        <v>0</v>
      </c>
      <c r="N321" s="324">
        <f t="shared" si="262"/>
        <v>0</v>
      </c>
      <c r="O321" s="324">
        <f t="shared" si="262"/>
        <v>0</v>
      </c>
      <c r="P321" s="324">
        <f t="shared" si="262"/>
        <v>3960365</v>
      </c>
      <c r="Q321" s="47"/>
      <c r="R321" s="46"/>
    </row>
    <row r="322" spans="1:18" ht="93" thickTop="1" thickBot="1" x14ac:dyDescent="0.25">
      <c r="A322" s="101" t="s">
        <v>416</v>
      </c>
      <c r="B322" s="101" t="s">
        <v>236</v>
      </c>
      <c r="C322" s="101" t="s">
        <v>234</v>
      </c>
      <c r="D322" s="101" t="s">
        <v>235</v>
      </c>
      <c r="E322" s="324">
        <f>F322</f>
        <v>3960365</v>
      </c>
      <c r="F322" s="453">
        <f>(3767165)+193200</f>
        <v>3960365</v>
      </c>
      <c r="G322" s="453">
        <f>(2744545)+188900</f>
        <v>2933445</v>
      </c>
      <c r="H322" s="453">
        <v>129800</v>
      </c>
      <c r="I322" s="453"/>
      <c r="J322" s="324">
        <f t="shared" ref="J322:J338" si="263">L322+O322</f>
        <v>0</v>
      </c>
      <c r="K322" s="453"/>
      <c r="L322" s="453"/>
      <c r="M322" s="453"/>
      <c r="N322" s="453"/>
      <c r="O322" s="450">
        <f>K322</f>
        <v>0</v>
      </c>
      <c r="P322" s="324">
        <f t="shared" ref="P322:P338" si="264">E322+J322</f>
        <v>3960365</v>
      </c>
      <c r="Q322" s="47"/>
      <c r="R322" s="50"/>
    </row>
    <row r="323" spans="1:18" ht="93" hidden="1" thickTop="1" thickBot="1" x14ac:dyDescent="0.25">
      <c r="A323" s="126" t="s">
        <v>628</v>
      </c>
      <c r="B323" s="126" t="s">
        <v>362</v>
      </c>
      <c r="C323" s="126" t="s">
        <v>623</v>
      </c>
      <c r="D323" s="126" t="s">
        <v>624</v>
      </c>
      <c r="E323" s="150">
        <f>F323</f>
        <v>0</v>
      </c>
      <c r="F323" s="127">
        <v>0</v>
      </c>
      <c r="G323" s="127"/>
      <c r="H323" s="127"/>
      <c r="I323" s="127"/>
      <c r="J323" s="125">
        <f t="shared" si="263"/>
        <v>0</v>
      </c>
      <c r="K323" s="127"/>
      <c r="L323" s="128"/>
      <c r="M323" s="128"/>
      <c r="N323" s="128"/>
      <c r="O323" s="130">
        <f t="shared" ref="O323:O324" si="265">K323</f>
        <v>0</v>
      </c>
      <c r="P323" s="125">
        <f t="shared" ref="P323:P324" si="266">+J323+E323</f>
        <v>0</v>
      </c>
      <c r="Q323" s="47"/>
      <c r="R323" s="50"/>
    </row>
    <row r="324" spans="1:18" ht="48" hidden="1" thickTop="1" thickBot="1" x14ac:dyDescent="0.25">
      <c r="A324" s="126" t="s">
        <v>923</v>
      </c>
      <c r="B324" s="126" t="s">
        <v>43</v>
      </c>
      <c r="C324" s="126" t="s">
        <v>42</v>
      </c>
      <c r="D324" s="126" t="s">
        <v>248</v>
      </c>
      <c r="E324" s="125">
        <f>F324</f>
        <v>0</v>
      </c>
      <c r="F324" s="132">
        <v>0</v>
      </c>
      <c r="G324" s="132"/>
      <c r="H324" s="132"/>
      <c r="I324" s="132"/>
      <c r="J324" s="125">
        <f t="shared" si="263"/>
        <v>0</v>
      </c>
      <c r="K324" s="127"/>
      <c r="L324" s="128"/>
      <c r="M324" s="128"/>
      <c r="N324" s="128"/>
      <c r="O324" s="130">
        <f t="shared" si="265"/>
        <v>0</v>
      </c>
      <c r="P324" s="125">
        <f t="shared" si="266"/>
        <v>0</v>
      </c>
      <c r="Q324" s="47"/>
      <c r="R324" s="50"/>
    </row>
    <row r="325" spans="1:18" ht="47.25" thickTop="1" thickBot="1" x14ac:dyDescent="0.25">
      <c r="A325" s="308" t="s">
        <v>1217</v>
      </c>
      <c r="B325" s="308" t="s">
        <v>707</v>
      </c>
      <c r="C325" s="308"/>
      <c r="D325" s="308" t="s">
        <v>708</v>
      </c>
      <c r="E325" s="324">
        <f t="shared" ref="E325:P325" si="267">SUM(E326:E326)</f>
        <v>0</v>
      </c>
      <c r="F325" s="324">
        <f t="shared" si="267"/>
        <v>0</v>
      </c>
      <c r="G325" s="324">
        <f t="shared" si="267"/>
        <v>0</v>
      </c>
      <c r="H325" s="324">
        <f t="shared" si="267"/>
        <v>0</v>
      </c>
      <c r="I325" s="324">
        <f t="shared" si="267"/>
        <v>0</v>
      </c>
      <c r="J325" s="324">
        <f t="shared" si="267"/>
        <v>8052064</v>
      </c>
      <c r="K325" s="324">
        <f t="shared" si="267"/>
        <v>8052064</v>
      </c>
      <c r="L325" s="324">
        <f t="shared" si="267"/>
        <v>0</v>
      </c>
      <c r="M325" s="324">
        <f t="shared" si="267"/>
        <v>0</v>
      </c>
      <c r="N325" s="324">
        <f t="shared" si="267"/>
        <v>0</v>
      </c>
      <c r="O325" s="324">
        <f t="shared" si="267"/>
        <v>8052064</v>
      </c>
      <c r="P325" s="324">
        <f t="shared" si="267"/>
        <v>8052064</v>
      </c>
      <c r="Q325" s="47"/>
      <c r="R325" s="50"/>
    </row>
    <row r="326" spans="1:18" ht="93" thickTop="1" thickBot="1" x14ac:dyDescent="0.25">
      <c r="A326" s="101" t="s">
        <v>1218</v>
      </c>
      <c r="B326" s="101" t="s">
        <v>1182</v>
      </c>
      <c r="C326" s="101" t="s">
        <v>206</v>
      </c>
      <c r="D326" s="461" t="s">
        <v>1183</v>
      </c>
      <c r="E326" s="324">
        <f t="shared" ref="E326" si="268">F326</f>
        <v>0</v>
      </c>
      <c r="F326" s="453">
        <v>0</v>
      </c>
      <c r="G326" s="453"/>
      <c r="H326" s="453"/>
      <c r="I326" s="453"/>
      <c r="J326" s="324">
        <f>L326+O326</f>
        <v>8052064</v>
      </c>
      <c r="K326" s="453">
        <f>((((0)+2000000-100000)+6152064)-3900000)+3900000-1900000+1900000</f>
        <v>8052064</v>
      </c>
      <c r="L326" s="453"/>
      <c r="M326" s="453"/>
      <c r="N326" s="453"/>
      <c r="O326" s="450">
        <f>K326</f>
        <v>8052064</v>
      </c>
      <c r="P326" s="324">
        <f>E326+J326</f>
        <v>8052064</v>
      </c>
      <c r="Q326" s="47"/>
      <c r="R326" s="50"/>
    </row>
    <row r="327" spans="1:18" ht="47.25" hidden="1" thickTop="1" thickBot="1" x14ac:dyDescent="0.25">
      <c r="A327" s="123" t="s">
        <v>810</v>
      </c>
      <c r="B327" s="123" t="s">
        <v>766</v>
      </c>
      <c r="C327" s="126"/>
      <c r="D327" s="123" t="s">
        <v>767</v>
      </c>
      <c r="E327" s="150">
        <f>E328</f>
        <v>0</v>
      </c>
      <c r="F327" s="150">
        <f t="shared" ref="F327:P328" si="269">F328</f>
        <v>0</v>
      </c>
      <c r="G327" s="150">
        <f t="shared" si="269"/>
        <v>0</v>
      </c>
      <c r="H327" s="150">
        <f t="shared" si="269"/>
        <v>0</v>
      </c>
      <c r="I327" s="150">
        <f t="shared" si="269"/>
        <v>0</v>
      </c>
      <c r="J327" s="150">
        <f t="shared" si="269"/>
        <v>0</v>
      </c>
      <c r="K327" s="150">
        <f t="shared" si="269"/>
        <v>0</v>
      </c>
      <c r="L327" s="150">
        <f t="shared" si="269"/>
        <v>0</v>
      </c>
      <c r="M327" s="150">
        <f t="shared" si="269"/>
        <v>0</v>
      </c>
      <c r="N327" s="150">
        <f t="shared" si="269"/>
        <v>0</v>
      </c>
      <c r="O327" s="150">
        <f t="shared" si="269"/>
        <v>0</v>
      </c>
      <c r="P327" s="150">
        <f t="shared" si="269"/>
        <v>0</v>
      </c>
      <c r="Q327" s="47"/>
      <c r="R327" s="50"/>
    </row>
    <row r="328" spans="1:18" ht="48" hidden="1" thickTop="1" thickBot="1" x14ac:dyDescent="0.25">
      <c r="A328" s="138" t="s">
        <v>811</v>
      </c>
      <c r="B328" s="138" t="s">
        <v>812</v>
      </c>
      <c r="C328" s="138"/>
      <c r="D328" s="138" t="s">
        <v>813</v>
      </c>
      <c r="E328" s="156">
        <f>E329</f>
        <v>0</v>
      </c>
      <c r="F328" s="156">
        <f t="shared" si="269"/>
        <v>0</v>
      </c>
      <c r="G328" s="156">
        <f t="shared" si="269"/>
        <v>0</v>
      </c>
      <c r="H328" s="156">
        <f t="shared" si="269"/>
        <v>0</v>
      </c>
      <c r="I328" s="156">
        <f t="shared" si="269"/>
        <v>0</v>
      </c>
      <c r="J328" s="156">
        <f t="shared" si="269"/>
        <v>0</v>
      </c>
      <c r="K328" s="156">
        <f t="shared" si="269"/>
        <v>0</v>
      </c>
      <c r="L328" s="156">
        <f t="shared" si="269"/>
        <v>0</v>
      </c>
      <c r="M328" s="156">
        <f t="shared" si="269"/>
        <v>0</v>
      </c>
      <c r="N328" s="156">
        <f t="shared" si="269"/>
        <v>0</v>
      </c>
      <c r="O328" s="156">
        <f t="shared" si="269"/>
        <v>0</v>
      </c>
      <c r="P328" s="156">
        <f t="shared" si="269"/>
        <v>0</v>
      </c>
      <c r="Q328" s="47"/>
      <c r="R328" s="50"/>
    </row>
    <row r="329" spans="1:18" ht="138.75" hidden="1" thickTop="1" thickBot="1" x14ac:dyDescent="0.25">
      <c r="A329" s="126" t="s">
        <v>432</v>
      </c>
      <c r="B329" s="126" t="s">
        <v>433</v>
      </c>
      <c r="C329" s="126" t="s">
        <v>195</v>
      </c>
      <c r="D329" s="126" t="s">
        <v>1160</v>
      </c>
      <c r="E329" s="125">
        <f t="shared" ref="E329:E336" si="270">F329</f>
        <v>0</v>
      </c>
      <c r="F329" s="132"/>
      <c r="G329" s="132"/>
      <c r="H329" s="132"/>
      <c r="I329" s="132"/>
      <c r="J329" s="125">
        <f t="shared" si="263"/>
        <v>0</v>
      </c>
      <c r="K329" s="132">
        <v>0</v>
      </c>
      <c r="L329" s="132"/>
      <c r="M329" s="132"/>
      <c r="N329" s="132"/>
      <c r="O329" s="130">
        <f t="shared" ref="O329" si="271">K329</f>
        <v>0</v>
      </c>
      <c r="P329" s="125">
        <f t="shared" si="264"/>
        <v>0</v>
      </c>
      <c r="Q329" s="47"/>
      <c r="R329" s="46"/>
    </row>
    <row r="330" spans="1:18" ht="47.25" thickTop="1" thickBot="1" x14ac:dyDescent="0.25">
      <c r="A330" s="308" t="s">
        <v>814</v>
      </c>
      <c r="B330" s="308" t="s">
        <v>744</v>
      </c>
      <c r="C330" s="101"/>
      <c r="D330" s="308" t="s">
        <v>790</v>
      </c>
      <c r="E330" s="324">
        <f>E331+E339</f>
        <v>0</v>
      </c>
      <c r="F330" s="324">
        <f t="shared" ref="F330:P330" si="272">F331+F339</f>
        <v>0</v>
      </c>
      <c r="G330" s="324">
        <f t="shared" si="272"/>
        <v>0</v>
      </c>
      <c r="H330" s="324">
        <f t="shared" si="272"/>
        <v>0</v>
      </c>
      <c r="I330" s="324">
        <f t="shared" si="272"/>
        <v>0</v>
      </c>
      <c r="J330" s="324">
        <f t="shared" si="272"/>
        <v>94152293.939999998</v>
      </c>
      <c r="K330" s="324">
        <f t="shared" si="272"/>
        <v>94152293.939999998</v>
      </c>
      <c r="L330" s="324">
        <f t="shared" si="272"/>
        <v>0</v>
      </c>
      <c r="M330" s="324">
        <f t="shared" si="272"/>
        <v>0</v>
      </c>
      <c r="N330" s="324">
        <f t="shared" si="272"/>
        <v>0</v>
      </c>
      <c r="O330" s="324">
        <f t="shared" si="272"/>
        <v>94152293.939999998</v>
      </c>
      <c r="P330" s="324">
        <f t="shared" si="272"/>
        <v>94152293.939999998</v>
      </c>
      <c r="Q330" s="45"/>
      <c r="R330" s="46"/>
    </row>
    <row r="331" spans="1:18" ht="47.25" thickTop="1" thickBot="1" x14ac:dyDescent="0.25">
      <c r="A331" s="310" t="s">
        <v>815</v>
      </c>
      <c r="B331" s="310" t="s">
        <v>799</v>
      </c>
      <c r="C331" s="310"/>
      <c r="D331" s="310" t="s">
        <v>800</v>
      </c>
      <c r="E331" s="312">
        <f t="shared" ref="E331:P331" si="273">SUM(E332:E338)-E333</f>
        <v>0</v>
      </c>
      <c r="F331" s="312">
        <f t="shared" si="273"/>
        <v>0</v>
      </c>
      <c r="G331" s="312">
        <f t="shared" si="273"/>
        <v>0</v>
      </c>
      <c r="H331" s="312">
        <f t="shared" si="273"/>
        <v>0</v>
      </c>
      <c r="I331" s="312">
        <f t="shared" si="273"/>
        <v>0</v>
      </c>
      <c r="J331" s="312">
        <f t="shared" si="273"/>
        <v>94152293.939999998</v>
      </c>
      <c r="K331" s="312">
        <f t="shared" si="273"/>
        <v>94152293.939999998</v>
      </c>
      <c r="L331" s="312">
        <f t="shared" si="273"/>
        <v>0</v>
      </c>
      <c r="M331" s="312">
        <f t="shared" si="273"/>
        <v>0</v>
      </c>
      <c r="N331" s="312">
        <f t="shared" si="273"/>
        <v>0</v>
      </c>
      <c r="O331" s="312">
        <f t="shared" si="273"/>
        <v>94152293.939999998</v>
      </c>
      <c r="P331" s="312">
        <f t="shared" si="273"/>
        <v>94152293.939999998</v>
      </c>
      <c r="Q331" s="45"/>
      <c r="R331" s="46"/>
    </row>
    <row r="332" spans="1:18" ht="54" hidden="1" thickTop="1" thickBot="1" x14ac:dyDescent="0.25">
      <c r="A332" s="101" t="s">
        <v>922</v>
      </c>
      <c r="B332" s="101" t="s">
        <v>305</v>
      </c>
      <c r="C332" s="101" t="s">
        <v>304</v>
      </c>
      <c r="D332" s="101" t="s">
        <v>1477</v>
      </c>
      <c r="E332" s="324">
        <f t="shared" ref="E332" si="274">F332</f>
        <v>0</v>
      </c>
      <c r="F332" s="453"/>
      <c r="G332" s="453"/>
      <c r="H332" s="453"/>
      <c r="I332" s="453"/>
      <c r="J332" s="324">
        <f t="shared" ref="J332" si="275">L332+O332</f>
        <v>0</v>
      </c>
      <c r="K332" s="453">
        <v>0</v>
      </c>
      <c r="L332" s="453"/>
      <c r="M332" s="453"/>
      <c r="N332" s="453"/>
      <c r="O332" s="450">
        <f>K332</f>
        <v>0</v>
      </c>
      <c r="P332" s="324">
        <f t="shared" ref="P332" si="276">E332+J332</f>
        <v>0</v>
      </c>
      <c r="Q332" s="45"/>
      <c r="R332" s="46"/>
    </row>
    <row r="333" spans="1:18" ht="54.75" thickTop="1" thickBot="1" x14ac:dyDescent="0.25">
      <c r="A333" s="325" t="s">
        <v>816</v>
      </c>
      <c r="B333" s="325" t="s">
        <v>817</v>
      </c>
      <c r="C333" s="325"/>
      <c r="D333" s="325" t="s">
        <v>1483</v>
      </c>
      <c r="E333" s="321">
        <f>SUM(E334:E335)</f>
        <v>0</v>
      </c>
      <c r="F333" s="321">
        <f t="shared" ref="F333:P333" si="277">SUM(F334:F335)</f>
        <v>0</v>
      </c>
      <c r="G333" s="321">
        <f t="shared" si="277"/>
        <v>0</v>
      </c>
      <c r="H333" s="321">
        <f t="shared" si="277"/>
        <v>0</v>
      </c>
      <c r="I333" s="321">
        <f t="shared" si="277"/>
        <v>0</v>
      </c>
      <c r="J333" s="321">
        <f t="shared" si="277"/>
        <v>52425715.939999998</v>
      </c>
      <c r="K333" s="321">
        <f t="shared" si="277"/>
        <v>52425715.939999998</v>
      </c>
      <c r="L333" s="321">
        <f t="shared" si="277"/>
        <v>0</v>
      </c>
      <c r="M333" s="321">
        <f t="shared" si="277"/>
        <v>0</v>
      </c>
      <c r="N333" s="321">
        <f t="shared" si="277"/>
        <v>0</v>
      </c>
      <c r="O333" s="321">
        <f t="shared" si="277"/>
        <v>52425715.939999998</v>
      </c>
      <c r="P333" s="321">
        <f t="shared" si="277"/>
        <v>52425715.939999998</v>
      </c>
      <c r="Q333" s="45"/>
      <c r="R333" s="46"/>
    </row>
    <row r="334" spans="1:18" ht="54" thickTop="1" thickBot="1" x14ac:dyDescent="0.25">
      <c r="A334" s="101" t="s">
        <v>310</v>
      </c>
      <c r="B334" s="101" t="s">
        <v>311</v>
      </c>
      <c r="C334" s="101" t="s">
        <v>304</v>
      </c>
      <c r="D334" s="101" t="s">
        <v>1479</v>
      </c>
      <c r="E334" s="324">
        <f t="shared" si="270"/>
        <v>0</v>
      </c>
      <c r="F334" s="453"/>
      <c r="G334" s="453"/>
      <c r="H334" s="453"/>
      <c r="I334" s="453"/>
      <c r="J334" s="324">
        <f t="shared" si="263"/>
        <v>51325815.939999998</v>
      </c>
      <c r="K334" s="453">
        <f>((((13000000)+27425815.94)+9000000)-11000000+2500000)+10400000</f>
        <v>51325815.939999998</v>
      </c>
      <c r="L334" s="453"/>
      <c r="M334" s="453"/>
      <c r="N334" s="453"/>
      <c r="O334" s="450">
        <f>K334</f>
        <v>51325815.939999998</v>
      </c>
      <c r="P334" s="324">
        <f t="shared" si="264"/>
        <v>51325815.939999998</v>
      </c>
      <c r="Q334" s="468"/>
      <c r="R334" s="46"/>
    </row>
    <row r="335" spans="1:18" ht="54" thickTop="1" thickBot="1" x14ac:dyDescent="0.25">
      <c r="A335" s="101" t="s">
        <v>515</v>
      </c>
      <c r="B335" s="101" t="s">
        <v>516</v>
      </c>
      <c r="C335" s="101" t="s">
        <v>304</v>
      </c>
      <c r="D335" s="101" t="s">
        <v>1484</v>
      </c>
      <c r="E335" s="324">
        <f t="shared" si="270"/>
        <v>0</v>
      </c>
      <c r="F335" s="453"/>
      <c r="G335" s="453"/>
      <c r="H335" s="453"/>
      <c r="I335" s="453"/>
      <c r="J335" s="324">
        <f t="shared" si="263"/>
        <v>1099900</v>
      </c>
      <c r="K335" s="453">
        <f>((0)+1000000)+99900</f>
        <v>1099900</v>
      </c>
      <c r="L335" s="453"/>
      <c r="M335" s="453"/>
      <c r="N335" s="453"/>
      <c r="O335" s="450">
        <f>K335</f>
        <v>1099900</v>
      </c>
      <c r="P335" s="324">
        <f t="shared" si="264"/>
        <v>1099900</v>
      </c>
      <c r="Q335" s="124"/>
      <c r="R335" s="46"/>
    </row>
    <row r="336" spans="1:18" ht="54" hidden="1" thickTop="1" thickBot="1" x14ac:dyDescent="0.25">
      <c r="A336" s="101" t="s">
        <v>312</v>
      </c>
      <c r="B336" s="101" t="s">
        <v>313</v>
      </c>
      <c r="C336" s="101" t="s">
        <v>304</v>
      </c>
      <c r="D336" s="101" t="s">
        <v>1485</v>
      </c>
      <c r="E336" s="324">
        <f t="shared" si="270"/>
        <v>0</v>
      </c>
      <c r="F336" s="453"/>
      <c r="G336" s="453"/>
      <c r="H336" s="453"/>
      <c r="I336" s="453"/>
      <c r="J336" s="324">
        <f t="shared" si="263"/>
        <v>0</v>
      </c>
      <c r="K336" s="453"/>
      <c r="L336" s="453"/>
      <c r="M336" s="453"/>
      <c r="N336" s="453"/>
      <c r="O336" s="450">
        <f>K336</f>
        <v>0</v>
      </c>
      <c r="P336" s="324">
        <f t="shared" si="264"/>
        <v>0</v>
      </c>
      <c r="Q336" s="124"/>
    </row>
    <row r="337" spans="1:18" ht="54" thickTop="1" thickBot="1" x14ac:dyDescent="0.3">
      <c r="A337" s="101" t="s">
        <v>314</v>
      </c>
      <c r="B337" s="101" t="s">
        <v>315</v>
      </c>
      <c r="C337" s="101" t="s">
        <v>304</v>
      </c>
      <c r="D337" s="101" t="s">
        <v>1480</v>
      </c>
      <c r="E337" s="324">
        <f>F337</f>
        <v>0</v>
      </c>
      <c r="F337" s="453"/>
      <c r="G337" s="453"/>
      <c r="H337" s="453"/>
      <c r="I337" s="453"/>
      <c r="J337" s="324">
        <f t="shared" si="263"/>
        <v>41726578</v>
      </c>
      <c r="K337" s="453">
        <f>((((3000000)+100000)+26578)+2600000)+36000000</f>
        <v>41726578</v>
      </c>
      <c r="L337" s="453"/>
      <c r="M337" s="453"/>
      <c r="N337" s="453"/>
      <c r="O337" s="450">
        <f>K337</f>
        <v>41726578</v>
      </c>
      <c r="P337" s="324">
        <f t="shared" si="264"/>
        <v>41726578</v>
      </c>
      <c r="Q337" s="160"/>
      <c r="R337" s="46"/>
    </row>
    <row r="338" spans="1:18" ht="48" hidden="1" thickTop="1" thickBot="1" x14ac:dyDescent="0.25">
      <c r="A338" s="41" t="s">
        <v>436</v>
      </c>
      <c r="B338" s="41" t="s">
        <v>350</v>
      </c>
      <c r="C338" s="41" t="s">
        <v>170</v>
      </c>
      <c r="D338" s="41" t="s">
        <v>262</v>
      </c>
      <c r="E338" s="42">
        <f>F338</f>
        <v>0</v>
      </c>
      <c r="F338" s="43"/>
      <c r="G338" s="43"/>
      <c r="H338" s="43"/>
      <c r="I338" s="43"/>
      <c r="J338" s="42">
        <f t="shared" si="263"/>
        <v>0</v>
      </c>
      <c r="K338" s="43">
        <v>0</v>
      </c>
      <c r="L338" s="43"/>
      <c r="M338" s="43"/>
      <c r="N338" s="43"/>
      <c r="O338" s="44">
        <f>K338</f>
        <v>0</v>
      </c>
      <c r="P338" s="42">
        <f t="shared" si="264"/>
        <v>0</v>
      </c>
      <c r="Q338" s="20"/>
      <c r="R338" s="46"/>
    </row>
    <row r="339" spans="1:18" ht="47.25" hidden="1" thickTop="1" thickBot="1" x14ac:dyDescent="0.25">
      <c r="A339" s="134" t="s">
        <v>981</v>
      </c>
      <c r="B339" s="134" t="s">
        <v>687</v>
      </c>
      <c r="C339" s="134"/>
      <c r="D339" s="134" t="s">
        <v>685</v>
      </c>
      <c r="E339" s="157">
        <f>E340</f>
        <v>0</v>
      </c>
      <c r="F339" s="157">
        <f>F340</f>
        <v>0</v>
      </c>
      <c r="G339" s="157">
        <f>G340</f>
        <v>0</v>
      </c>
      <c r="H339" s="157">
        <f>H340</f>
        <v>0</v>
      </c>
      <c r="I339" s="157">
        <f>I340</f>
        <v>0</v>
      </c>
      <c r="J339" s="157">
        <f t="shared" ref="J339:O339" si="278">J340</f>
        <v>0</v>
      </c>
      <c r="K339" s="157">
        <f t="shared" si="278"/>
        <v>0</v>
      </c>
      <c r="L339" s="157">
        <f t="shared" si="278"/>
        <v>0</v>
      </c>
      <c r="M339" s="157">
        <f t="shared" si="278"/>
        <v>0</v>
      </c>
      <c r="N339" s="157">
        <f t="shared" si="278"/>
        <v>0</v>
      </c>
      <c r="O339" s="157">
        <f t="shared" si="278"/>
        <v>0</v>
      </c>
      <c r="P339" s="157">
        <f>P340</f>
        <v>0</v>
      </c>
      <c r="Q339" s="20"/>
      <c r="R339" s="46"/>
    </row>
    <row r="340" spans="1:18" ht="48" hidden="1" thickTop="1" thickBot="1" x14ac:dyDescent="0.25">
      <c r="A340" s="138" t="s">
        <v>982</v>
      </c>
      <c r="B340" s="138" t="s">
        <v>690</v>
      </c>
      <c r="C340" s="138"/>
      <c r="D340" s="138" t="s">
        <v>793</v>
      </c>
      <c r="E340" s="156">
        <f>E341+E343</f>
        <v>0</v>
      </c>
      <c r="F340" s="156">
        <f t="shared" ref="F340:P340" si="279">F341+F343</f>
        <v>0</v>
      </c>
      <c r="G340" s="156">
        <f t="shared" si="279"/>
        <v>0</v>
      </c>
      <c r="H340" s="156">
        <f t="shared" si="279"/>
        <v>0</v>
      </c>
      <c r="I340" s="156">
        <f t="shared" si="279"/>
        <v>0</v>
      </c>
      <c r="J340" s="156">
        <f t="shared" si="279"/>
        <v>0</v>
      </c>
      <c r="K340" s="156">
        <f t="shared" si="279"/>
        <v>0</v>
      </c>
      <c r="L340" s="156">
        <f t="shared" si="279"/>
        <v>0</v>
      </c>
      <c r="M340" s="156">
        <f t="shared" si="279"/>
        <v>0</v>
      </c>
      <c r="N340" s="156">
        <f t="shared" si="279"/>
        <v>0</v>
      </c>
      <c r="O340" s="156">
        <f t="shared" si="279"/>
        <v>0</v>
      </c>
      <c r="P340" s="156">
        <f t="shared" si="279"/>
        <v>0</v>
      </c>
      <c r="Q340" s="20"/>
      <c r="R340" s="46"/>
    </row>
    <row r="341" spans="1:18" ht="138.75" hidden="1" thickTop="1" thickBot="1" x14ac:dyDescent="0.7">
      <c r="A341" s="780" t="s">
        <v>983</v>
      </c>
      <c r="B341" s="780" t="s">
        <v>338</v>
      </c>
      <c r="C341" s="780" t="s">
        <v>170</v>
      </c>
      <c r="D341" s="161" t="s">
        <v>439</v>
      </c>
      <c r="E341" s="781">
        <f t="shared" ref="E341" si="280">F341</f>
        <v>0</v>
      </c>
      <c r="F341" s="774"/>
      <c r="G341" s="774"/>
      <c r="H341" s="774"/>
      <c r="I341" s="774"/>
      <c r="J341" s="781">
        <f t="shared" ref="J341" si="281">L341+O341</f>
        <v>0</v>
      </c>
      <c r="K341" s="774"/>
      <c r="L341" s="774"/>
      <c r="M341" s="774"/>
      <c r="N341" s="774"/>
      <c r="O341" s="775">
        <f>K341</f>
        <v>0</v>
      </c>
      <c r="P341" s="779">
        <f>E341+J341</f>
        <v>0</v>
      </c>
      <c r="Q341" s="20"/>
      <c r="R341" s="46"/>
    </row>
    <row r="342" spans="1:18" ht="93" hidden="1" thickTop="1" thickBot="1" x14ac:dyDescent="0.25">
      <c r="A342" s="780"/>
      <c r="B342" s="780"/>
      <c r="C342" s="780"/>
      <c r="D342" s="162" t="s">
        <v>440</v>
      </c>
      <c r="E342" s="781"/>
      <c r="F342" s="774"/>
      <c r="G342" s="774"/>
      <c r="H342" s="774"/>
      <c r="I342" s="774"/>
      <c r="J342" s="781"/>
      <c r="K342" s="774"/>
      <c r="L342" s="774"/>
      <c r="M342" s="774"/>
      <c r="N342" s="774"/>
      <c r="O342" s="775"/>
      <c r="P342" s="779"/>
      <c r="Q342" s="20"/>
      <c r="R342" s="46"/>
    </row>
    <row r="343" spans="1:18" ht="48" hidden="1" thickTop="1" thickBot="1" x14ac:dyDescent="0.25">
      <c r="A343" s="126" t="s">
        <v>1175</v>
      </c>
      <c r="B343" s="126" t="s">
        <v>257</v>
      </c>
      <c r="C343" s="126" t="s">
        <v>170</v>
      </c>
      <c r="D343" s="154" t="s">
        <v>255</v>
      </c>
      <c r="E343" s="125">
        <f>F343</f>
        <v>0</v>
      </c>
      <c r="F343" s="132"/>
      <c r="G343" s="132"/>
      <c r="H343" s="132"/>
      <c r="I343" s="132"/>
      <c r="J343" s="125">
        <f t="shared" ref="J343" si="282">L343+O343</f>
        <v>0</v>
      </c>
      <c r="K343" s="132"/>
      <c r="L343" s="132"/>
      <c r="M343" s="132"/>
      <c r="N343" s="132"/>
      <c r="O343" s="130">
        <f>K343</f>
        <v>0</v>
      </c>
      <c r="P343" s="125">
        <f t="shared" ref="P343" si="283">E343+J343</f>
        <v>0</v>
      </c>
      <c r="Q343" s="20"/>
      <c r="R343" s="46"/>
    </row>
    <row r="344" spans="1:18" ht="120" customHeight="1" thickTop="1" thickBot="1" x14ac:dyDescent="0.25">
      <c r="A344" s="689" t="s">
        <v>160</v>
      </c>
      <c r="B344" s="689"/>
      <c r="C344" s="689"/>
      <c r="D344" s="690" t="s">
        <v>888</v>
      </c>
      <c r="E344" s="691">
        <f>E345</f>
        <v>8534836</v>
      </c>
      <c r="F344" s="692">
        <f t="shared" ref="F344:G344" si="284">F345</f>
        <v>8534836</v>
      </c>
      <c r="G344" s="692">
        <f t="shared" si="284"/>
        <v>6332550</v>
      </c>
      <c r="H344" s="692">
        <f>H345</f>
        <v>320635</v>
      </c>
      <c r="I344" s="692">
        <f t="shared" ref="I344" si="285">I345</f>
        <v>0</v>
      </c>
      <c r="J344" s="691">
        <f>J345</f>
        <v>0</v>
      </c>
      <c r="K344" s="692">
        <f>K345</f>
        <v>0</v>
      </c>
      <c r="L344" s="692">
        <f>L345</f>
        <v>0</v>
      </c>
      <c r="M344" s="692">
        <f t="shared" ref="M344" si="286">M345</f>
        <v>0</v>
      </c>
      <c r="N344" s="692">
        <f>N345</f>
        <v>0</v>
      </c>
      <c r="O344" s="691">
        <f>O345</f>
        <v>0</v>
      </c>
      <c r="P344" s="692">
        <f t="shared" ref="P344" si="287">P345</f>
        <v>8534836</v>
      </c>
      <c r="Q344" s="20"/>
    </row>
    <row r="345" spans="1:18" ht="120" customHeight="1" thickTop="1" thickBot="1" x14ac:dyDescent="0.25">
      <c r="A345" s="693" t="s">
        <v>161</v>
      </c>
      <c r="B345" s="693"/>
      <c r="C345" s="693"/>
      <c r="D345" s="694" t="s">
        <v>889</v>
      </c>
      <c r="E345" s="695">
        <f>E346+E350</f>
        <v>8534836</v>
      </c>
      <c r="F345" s="695">
        <f>F346+F350</f>
        <v>8534836</v>
      </c>
      <c r="G345" s="695">
        <f>G346+G350</f>
        <v>6332550</v>
      </c>
      <c r="H345" s="695">
        <f>H346+H350</f>
        <v>320635</v>
      </c>
      <c r="I345" s="695">
        <f>I346+I350</f>
        <v>0</v>
      </c>
      <c r="J345" s="695">
        <f>L345+O345</f>
        <v>0</v>
      </c>
      <c r="K345" s="695">
        <f>K346+K350</f>
        <v>0</v>
      </c>
      <c r="L345" s="695">
        <f>L346+L350</f>
        <v>0</v>
      </c>
      <c r="M345" s="695">
        <f>M346+M350</f>
        <v>0</v>
      </c>
      <c r="N345" s="695">
        <f>N346+N350</f>
        <v>0</v>
      </c>
      <c r="O345" s="695">
        <f>O346+O350</f>
        <v>0</v>
      </c>
      <c r="P345" s="695">
        <f>E345+J345</f>
        <v>8534836</v>
      </c>
      <c r="Q345" s="487" t="b">
        <f>P345=P347+P349</f>
        <v>1</v>
      </c>
      <c r="R345" s="46"/>
    </row>
    <row r="346" spans="1:18" ht="47.25" thickTop="1" thickBot="1" x14ac:dyDescent="0.25">
      <c r="A346" s="308" t="s">
        <v>818</v>
      </c>
      <c r="B346" s="308" t="s">
        <v>680</v>
      </c>
      <c r="C346" s="308"/>
      <c r="D346" s="308" t="s">
        <v>681</v>
      </c>
      <c r="E346" s="324">
        <f>SUM(E347:E349)</f>
        <v>8534836</v>
      </c>
      <c r="F346" s="324">
        <f t="shared" ref="F346:N346" si="288">SUM(F347:F349)</f>
        <v>8534836</v>
      </c>
      <c r="G346" s="324">
        <f t="shared" si="288"/>
        <v>6332550</v>
      </c>
      <c r="H346" s="324">
        <f t="shared" si="288"/>
        <v>320635</v>
      </c>
      <c r="I346" s="324">
        <f t="shared" si="288"/>
        <v>0</v>
      </c>
      <c r="J346" s="324">
        <f t="shared" si="288"/>
        <v>0</v>
      </c>
      <c r="K346" s="324">
        <f t="shared" si="288"/>
        <v>0</v>
      </c>
      <c r="L346" s="324">
        <f t="shared" si="288"/>
        <v>0</v>
      </c>
      <c r="M346" s="324">
        <f t="shared" si="288"/>
        <v>0</v>
      </c>
      <c r="N346" s="324">
        <f t="shared" si="288"/>
        <v>0</v>
      </c>
      <c r="O346" s="324">
        <f>SUM(O347:O349)</f>
        <v>0</v>
      </c>
      <c r="P346" s="324">
        <f>SUM(P347:P349)</f>
        <v>8534836</v>
      </c>
      <c r="Q346" s="47"/>
      <c r="R346" s="46"/>
    </row>
    <row r="347" spans="1:18" ht="93" thickTop="1" thickBot="1" x14ac:dyDescent="0.25">
      <c r="A347" s="101" t="s">
        <v>418</v>
      </c>
      <c r="B347" s="101" t="s">
        <v>236</v>
      </c>
      <c r="C347" s="101" t="s">
        <v>234</v>
      </c>
      <c r="D347" s="101" t="s">
        <v>235</v>
      </c>
      <c r="E347" s="324">
        <f>F347</f>
        <v>8434936</v>
      </c>
      <c r="F347" s="453">
        <f>(8209936)+225000</f>
        <v>8434936</v>
      </c>
      <c r="G347" s="453">
        <f>(6132550)+200000</f>
        <v>6332550</v>
      </c>
      <c r="H347" s="453">
        <f>(245635)+75000</f>
        <v>320635</v>
      </c>
      <c r="I347" s="453"/>
      <c r="J347" s="324">
        <f>L347+O347</f>
        <v>0</v>
      </c>
      <c r="K347" s="453">
        <v>0</v>
      </c>
      <c r="L347" s="453"/>
      <c r="M347" s="453"/>
      <c r="N347" s="453"/>
      <c r="O347" s="450">
        <f>K347</f>
        <v>0</v>
      </c>
      <c r="P347" s="324">
        <f>E347+J347</f>
        <v>8434936</v>
      </c>
      <c r="Q347" s="47"/>
      <c r="R347" s="46"/>
    </row>
    <row r="348" spans="1:18" ht="93" hidden="1" thickTop="1" thickBot="1" x14ac:dyDescent="0.25">
      <c r="A348" s="126" t="s">
        <v>629</v>
      </c>
      <c r="B348" s="126" t="s">
        <v>362</v>
      </c>
      <c r="C348" s="126" t="s">
        <v>623</v>
      </c>
      <c r="D348" s="126" t="s">
        <v>624</v>
      </c>
      <c r="E348" s="150">
        <f>F348</f>
        <v>0</v>
      </c>
      <c r="F348" s="127">
        <v>0</v>
      </c>
      <c r="G348" s="127"/>
      <c r="H348" s="127"/>
      <c r="I348" s="127"/>
      <c r="J348" s="125">
        <f t="shared" ref="J348:J349" si="289">L348+O348</f>
        <v>0</v>
      </c>
      <c r="K348" s="127"/>
      <c r="L348" s="128"/>
      <c r="M348" s="128"/>
      <c r="N348" s="128"/>
      <c r="O348" s="130">
        <f t="shared" ref="O348:O349" si="290">K348</f>
        <v>0</v>
      </c>
      <c r="P348" s="125">
        <f t="shared" ref="P348" si="291">+J348+E348</f>
        <v>0</v>
      </c>
      <c r="Q348" s="47"/>
      <c r="R348" s="46"/>
    </row>
    <row r="349" spans="1:18" ht="69.75" customHeight="1" thickTop="1" thickBot="1" x14ac:dyDescent="0.25">
      <c r="A349" s="101" t="s">
        <v>1242</v>
      </c>
      <c r="B349" s="101" t="s">
        <v>43</v>
      </c>
      <c r="C349" s="101" t="s">
        <v>42</v>
      </c>
      <c r="D349" s="101" t="s">
        <v>248</v>
      </c>
      <c r="E349" s="324">
        <f t="shared" ref="E349" si="292">F349</f>
        <v>99900</v>
      </c>
      <c r="F349" s="453">
        <f>(0)+99900</f>
        <v>99900</v>
      </c>
      <c r="G349" s="453"/>
      <c r="H349" s="453"/>
      <c r="I349" s="453"/>
      <c r="J349" s="324">
        <f t="shared" si="289"/>
        <v>0</v>
      </c>
      <c r="K349" s="453"/>
      <c r="L349" s="453"/>
      <c r="M349" s="453"/>
      <c r="N349" s="453"/>
      <c r="O349" s="450">
        <f t="shared" si="290"/>
        <v>0</v>
      </c>
      <c r="P349" s="324">
        <f>E349+J349</f>
        <v>99900</v>
      </c>
      <c r="Q349" s="47"/>
      <c r="R349" s="46"/>
    </row>
    <row r="350" spans="1:18" ht="47.25" hidden="1" thickTop="1" thickBot="1" x14ac:dyDescent="0.25">
      <c r="A350" s="123" t="s">
        <v>904</v>
      </c>
      <c r="B350" s="123" t="s">
        <v>744</v>
      </c>
      <c r="C350" s="126"/>
      <c r="D350" s="123" t="s">
        <v>790</v>
      </c>
      <c r="E350" s="125">
        <f>E351</f>
        <v>0</v>
      </c>
      <c r="F350" s="125">
        <f t="shared" ref="F350:P351" si="293">F351</f>
        <v>0</v>
      </c>
      <c r="G350" s="125">
        <f t="shared" si="293"/>
        <v>0</v>
      </c>
      <c r="H350" s="125">
        <f t="shared" si="293"/>
        <v>0</v>
      </c>
      <c r="I350" s="125">
        <f t="shared" si="293"/>
        <v>0</v>
      </c>
      <c r="J350" s="125">
        <f t="shared" si="293"/>
        <v>0</v>
      </c>
      <c r="K350" s="125">
        <f t="shared" si="293"/>
        <v>0</v>
      </c>
      <c r="L350" s="125">
        <f t="shared" si="293"/>
        <v>0</v>
      </c>
      <c r="M350" s="125">
        <f t="shared" si="293"/>
        <v>0</v>
      </c>
      <c r="N350" s="125">
        <f t="shared" si="293"/>
        <v>0</v>
      </c>
      <c r="O350" s="125">
        <f t="shared" si="293"/>
        <v>0</v>
      </c>
      <c r="P350" s="125">
        <f t="shared" si="293"/>
        <v>0</v>
      </c>
      <c r="Q350" s="47"/>
      <c r="R350" s="46"/>
    </row>
    <row r="351" spans="1:18" ht="47.25" hidden="1" thickTop="1" thickBot="1" x14ac:dyDescent="0.25">
      <c r="A351" s="134" t="s">
        <v>905</v>
      </c>
      <c r="B351" s="134" t="s">
        <v>799</v>
      </c>
      <c r="C351" s="134"/>
      <c r="D351" s="134" t="s">
        <v>800</v>
      </c>
      <c r="E351" s="135">
        <f>E352</f>
        <v>0</v>
      </c>
      <c r="F351" s="135">
        <f t="shared" si="293"/>
        <v>0</v>
      </c>
      <c r="G351" s="135">
        <f t="shared" si="293"/>
        <v>0</v>
      </c>
      <c r="H351" s="135">
        <f t="shared" si="293"/>
        <v>0</v>
      </c>
      <c r="I351" s="135">
        <f t="shared" si="293"/>
        <v>0</v>
      </c>
      <c r="J351" s="135">
        <f t="shared" si="293"/>
        <v>0</v>
      </c>
      <c r="K351" s="135">
        <f t="shared" si="293"/>
        <v>0</v>
      </c>
      <c r="L351" s="135">
        <f t="shared" si="293"/>
        <v>0</v>
      </c>
      <c r="M351" s="135">
        <f t="shared" si="293"/>
        <v>0</v>
      </c>
      <c r="N351" s="135">
        <f t="shared" si="293"/>
        <v>0</v>
      </c>
      <c r="O351" s="135">
        <f t="shared" si="293"/>
        <v>0</v>
      </c>
      <c r="P351" s="135">
        <f t="shared" si="293"/>
        <v>0</v>
      </c>
      <c r="Q351" s="47"/>
      <c r="R351" s="46"/>
    </row>
    <row r="352" spans="1:18" ht="93" hidden="1" thickTop="1" thickBot="1" x14ac:dyDescent="0.25">
      <c r="A352" s="126" t="s">
        <v>906</v>
      </c>
      <c r="B352" s="126" t="s">
        <v>907</v>
      </c>
      <c r="C352" s="126" t="s">
        <v>304</v>
      </c>
      <c r="D352" s="126" t="s">
        <v>908</v>
      </c>
      <c r="E352" s="150">
        <f>F352</f>
        <v>0</v>
      </c>
      <c r="F352" s="127"/>
      <c r="G352" s="127"/>
      <c r="H352" s="127"/>
      <c r="I352" s="127"/>
      <c r="J352" s="125">
        <f t="shared" ref="J352" si="294">L352+O352</f>
        <v>0</v>
      </c>
      <c r="K352" s="127">
        <v>0</v>
      </c>
      <c r="L352" s="128"/>
      <c r="M352" s="128"/>
      <c r="N352" s="128"/>
      <c r="O352" s="130">
        <f t="shared" ref="O352" si="295">K352</f>
        <v>0</v>
      </c>
      <c r="P352" s="125">
        <f t="shared" ref="P352" si="296">+J352+E352</f>
        <v>0</v>
      </c>
      <c r="Q352" s="47"/>
      <c r="R352" s="46"/>
    </row>
    <row r="353" spans="1:18" ht="120" customHeight="1" thickTop="1" thickBot="1" x14ac:dyDescent="0.25">
      <c r="A353" s="689" t="s">
        <v>443</v>
      </c>
      <c r="B353" s="689"/>
      <c r="C353" s="689"/>
      <c r="D353" s="690" t="s">
        <v>445</v>
      </c>
      <c r="E353" s="691">
        <f>E354</f>
        <v>166309079</v>
      </c>
      <c r="F353" s="692">
        <f t="shared" ref="F353:G353" si="297">F354</f>
        <v>166309079</v>
      </c>
      <c r="G353" s="692">
        <f t="shared" si="297"/>
        <v>4370071</v>
      </c>
      <c r="H353" s="692">
        <f>H354</f>
        <v>189628</v>
      </c>
      <c r="I353" s="692">
        <f t="shared" ref="I353" si="298">I354</f>
        <v>0</v>
      </c>
      <c r="J353" s="691">
        <f>J354</f>
        <v>156500</v>
      </c>
      <c r="K353" s="692">
        <f>K354</f>
        <v>156500</v>
      </c>
      <c r="L353" s="692">
        <f>L354</f>
        <v>0</v>
      </c>
      <c r="M353" s="692">
        <f t="shared" ref="M353" si="299">M354</f>
        <v>0</v>
      </c>
      <c r="N353" s="692">
        <f>N354</f>
        <v>0</v>
      </c>
      <c r="O353" s="691">
        <f>O354</f>
        <v>156500</v>
      </c>
      <c r="P353" s="692">
        <f t="shared" ref="P353" si="300">P354</f>
        <v>166465579</v>
      </c>
      <c r="Q353" s="20"/>
    </row>
    <row r="354" spans="1:18" ht="120" customHeight="1" thickTop="1" thickBot="1" x14ac:dyDescent="0.25">
      <c r="A354" s="693" t="s">
        <v>444</v>
      </c>
      <c r="B354" s="693"/>
      <c r="C354" s="693"/>
      <c r="D354" s="694" t="s">
        <v>446</v>
      </c>
      <c r="E354" s="695">
        <f t="shared" ref="E354:O354" si="301">E355+E358+E367+E370</f>
        <v>166309079</v>
      </c>
      <c r="F354" s="695">
        <f t="shared" si="301"/>
        <v>166309079</v>
      </c>
      <c r="G354" s="695">
        <f t="shared" si="301"/>
        <v>4370071</v>
      </c>
      <c r="H354" s="695">
        <f t="shared" si="301"/>
        <v>189628</v>
      </c>
      <c r="I354" s="695">
        <f t="shared" si="301"/>
        <v>0</v>
      </c>
      <c r="J354" s="695">
        <f t="shared" si="301"/>
        <v>156500</v>
      </c>
      <c r="K354" s="695">
        <f t="shared" si="301"/>
        <v>156500</v>
      </c>
      <c r="L354" s="695">
        <f t="shared" si="301"/>
        <v>0</v>
      </c>
      <c r="M354" s="695">
        <f t="shared" si="301"/>
        <v>0</v>
      </c>
      <c r="N354" s="695">
        <f t="shared" si="301"/>
        <v>0</v>
      </c>
      <c r="O354" s="695">
        <f t="shared" si="301"/>
        <v>156500</v>
      </c>
      <c r="P354" s="695">
        <f>E354+J354</f>
        <v>166465579</v>
      </c>
      <c r="Q354" s="487" t="b">
        <f>P354=P356+P361+P363+P369+P366</f>
        <v>1</v>
      </c>
      <c r="R354" s="46"/>
    </row>
    <row r="355" spans="1:18" ht="47.25" thickTop="1" thickBot="1" x14ac:dyDescent="0.25">
      <c r="A355" s="308" t="s">
        <v>819</v>
      </c>
      <c r="B355" s="308" t="s">
        <v>680</v>
      </c>
      <c r="C355" s="308"/>
      <c r="D355" s="308" t="s">
        <v>681</v>
      </c>
      <c r="E355" s="324">
        <f>SUM(E356:E357)</f>
        <v>8761540</v>
      </c>
      <c r="F355" s="324">
        <f t="shared" ref="F355:P355" si="302">SUM(F356:F357)</f>
        <v>8761540</v>
      </c>
      <c r="G355" s="324">
        <f t="shared" si="302"/>
        <v>4370071</v>
      </c>
      <c r="H355" s="324">
        <f t="shared" si="302"/>
        <v>189628</v>
      </c>
      <c r="I355" s="324">
        <f t="shared" si="302"/>
        <v>0</v>
      </c>
      <c r="J355" s="324">
        <f t="shared" si="302"/>
        <v>0</v>
      </c>
      <c r="K355" s="324">
        <f t="shared" si="302"/>
        <v>0</v>
      </c>
      <c r="L355" s="324">
        <f t="shared" si="302"/>
        <v>0</v>
      </c>
      <c r="M355" s="324">
        <f t="shared" si="302"/>
        <v>0</v>
      </c>
      <c r="N355" s="324">
        <f t="shared" si="302"/>
        <v>0</v>
      </c>
      <c r="O355" s="324">
        <f t="shared" si="302"/>
        <v>0</v>
      </c>
      <c r="P355" s="324">
        <f t="shared" si="302"/>
        <v>8761540</v>
      </c>
      <c r="Q355" s="47"/>
      <c r="R355" s="46"/>
    </row>
    <row r="356" spans="1:18" ht="93" thickTop="1" thickBot="1" x14ac:dyDescent="0.25">
      <c r="A356" s="101" t="s">
        <v>447</v>
      </c>
      <c r="B356" s="101" t="s">
        <v>236</v>
      </c>
      <c r="C356" s="101" t="s">
        <v>234</v>
      </c>
      <c r="D356" s="101" t="s">
        <v>235</v>
      </c>
      <c r="E356" s="324">
        <f>F356</f>
        <v>8761540</v>
      </c>
      <c r="F356" s="453">
        <f>(9955335)-1193795</f>
        <v>8761540</v>
      </c>
      <c r="G356" s="453">
        <f>(4332271)+37800</f>
        <v>4370071</v>
      </c>
      <c r="H356" s="453">
        <v>189628</v>
      </c>
      <c r="I356" s="453"/>
      <c r="J356" s="324">
        <f>L356+O356</f>
        <v>0</v>
      </c>
      <c r="K356" s="453">
        <v>0</v>
      </c>
      <c r="L356" s="453"/>
      <c r="M356" s="453"/>
      <c r="N356" s="453"/>
      <c r="O356" s="450">
        <f>K356</f>
        <v>0</v>
      </c>
      <c r="P356" s="324">
        <f>E356+J356</f>
        <v>8761540</v>
      </c>
      <c r="Q356" s="47"/>
      <c r="R356" s="46"/>
    </row>
    <row r="357" spans="1:18" ht="93" hidden="1" thickTop="1" thickBot="1" x14ac:dyDescent="0.25">
      <c r="A357" s="126" t="s">
        <v>630</v>
      </c>
      <c r="B357" s="126" t="s">
        <v>362</v>
      </c>
      <c r="C357" s="126" t="s">
        <v>623</v>
      </c>
      <c r="D357" s="126" t="s">
        <v>624</v>
      </c>
      <c r="E357" s="125">
        <f>F357</f>
        <v>0</v>
      </c>
      <c r="F357" s="132">
        <v>0</v>
      </c>
      <c r="G357" s="132"/>
      <c r="H357" s="132"/>
      <c r="I357" s="132"/>
      <c r="J357" s="125">
        <f t="shared" ref="J357" si="303">L357+O357</f>
        <v>0</v>
      </c>
      <c r="K357" s="132"/>
      <c r="L357" s="132"/>
      <c r="M357" s="132"/>
      <c r="N357" s="132"/>
      <c r="O357" s="130">
        <f t="shared" ref="O357" si="304">K357</f>
        <v>0</v>
      </c>
      <c r="P357" s="125">
        <f t="shared" ref="P357" si="305">+J357+E357</f>
        <v>0</v>
      </c>
      <c r="Q357" s="47"/>
      <c r="R357" s="46"/>
    </row>
    <row r="358" spans="1:18" ht="47.25" thickTop="1" thickBot="1" x14ac:dyDescent="0.25">
      <c r="A358" s="308" t="s">
        <v>820</v>
      </c>
      <c r="B358" s="308" t="s">
        <v>744</v>
      </c>
      <c r="C358" s="101"/>
      <c r="D358" s="308" t="s">
        <v>790</v>
      </c>
      <c r="E358" s="324">
        <f>E359+E365</f>
        <v>155608525</v>
      </c>
      <c r="F358" s="324">
        <f t="shared" ref="F358:P358" si="306">F359+F365</f>
        <v>155608525</v>
      </c>
      <c r="G358" s="324">
        <f t="shared" si="306"/>
        <v>0</v>
      </c>
      <c r="H358" s="324">
        <f t="shared" si="306"/>
        <v>0</v>
      </c>
      <c r="I358" s="324">
        <f t="shared" si="306"/>
        <v>0</v>
      </c>
      <c r="J358" s="324">
        <f t="shared" si="306"/>
        <v>156500</v>
      </c>
      <c r="K358" s="324">
        <f t="shared" si="306"/>
        <v>156500</v>
      </c>
      <c r="L358" s="324">
        <f t="shared" si="306"/>
        <v>0</v>
      </c>
      <c r="M358" s="324">
        <f t="shared" si="306"/>
        <v>0</v>
      </c>
      <c r="N358" s="324">
        <f t="shared" si="306"/>
        <v>0</v>
      </c>
      <c r="O358" s="324">
        <f t="shared" si="306"/>
        <v>156500</v>
      </c>
      <c r="P358" s="324">
        <f t="shared" si="306"/>
        <v>155765025</v>
      </c>
      <c r="Q358" s="47"/>
      <c r="R358" s="50"/>
    </row>
    <row r="359" spans="1:18" ht="47.25" thickTop="1" thickBot="1" x14ac:dyDescent="0.25">
      <c r="A359" s="310" t="s">
        <v>821</v>
      </c>
      <c r="B359" s="310" t="s">
        <v>802</v>
      </c>
      <c r="C359" s="310"/>
      <c r="D359" s="310" t="s">
        <v>803</v>
      </c>
      <c r="E359" s="312">
        <f>E362+E364+E360</f>
        <v>155608525</v>
      </c>
      <c r="F359" s="312">
        <f t="shared" ref="F359:P359" si="307">F362+F364+F360</f>
        <v>155608525</v>
      </c>
      <c r="G359" s="312">
        <f t="shared" si="307"/>
        <v>0</v>
      </c>
      <c r="H359" s="312">
        <f t="shared" si="307"/>
        <v>0</v>
      </c>
      <c r="I359" s="312">
        <f t="shared" si="307"/>
        <v>0</v>
      </c>
      <c r="J359" s="312">
        <f t="shared" si="307"/>
        <v>0</v>
      </c>
      <c r="K359" s="312">
        <f t="shared" si="307"/>
        <v>0</v>
      </c>
      <c r="L359" s="312">
        <f t="shared" si="307"/>
        <v>0</v>
      </c>
      <c r="M359" s="312">
        <f t="shared" si="307"/>
        <v>0</v>
      </c>
      <c r="N359" s="312">
        <f t="shared" si="307"/>
        <v>0</v>
      </c>
      <c r="O359" s="312">
        <f t="shared" si="307"/>
        <v>0</v>
      </c>
      <c r="P359" s="312">
        <f t="shared" si="307"/>
        <v>155608525</v>
      </c>
      <c r="Q359" s="47"/>
      <c r="R359" s="50"/>
    </row>
    <row r="360" spans="1:18" ht="93" thickTop="1" thickBot="1" x14ac:dyDescent="0.25">
      <c r="A360" s="325" t="s">
        <v>1001</v>
      </c>
      <c r="B360" s="325" t="s">
        <v>1002</v>
      </c>
      <c r="C360" s="325"/>
      <c r="D360" s="325" t="s">
        <v>1000</v>
      </c>
      <c r="E360" s="321">
        <f>E361</f>
        <v>950000</v>
      </c>
      <c r="F360" s="321">
        <f t="shared" ref="F360:P362" si="308">F361</f>
        <v>950000</v>
      </c>
      <c r="G360" s="321">
        <f t="shared" si="308"/>
        <v>0</v>
      </c>
      <c r="H360" s="321">
        <f t="shared" si="308"/>
        <v>0</v>
      </c>
      <c r="I360" s="321">
        <f t="shared" si="308"/>
        <v>0</v>
      </c>
      <c r="J360" s="321">
        <f t="shared" si="308"/>
        <v>0</v>
      </c>
      <c r="K360" s="321">
        <f t="shared" si="308"/>
        <v>0</v>
      </c>
      <c r="L360" s="321">
        <f t="shared" si="308"/>
        <v>0</v>
      </c>
      <c r="M360" s="321">
        <f t="shared" si="308"/>
        <v>0</v>
      </c>
      <c r="N360" s="321">
        <f t="shared" si="308"/>
        <v>0</v>
      </c>
      <c r="O360" s="321">
        <f t="shared" si="308"/>
        <v>0</v>
      </c>
      <c r="P360" s="321">
        <f t="shared" si="308"/>
        <v>950000</v>
      </c>
      <c r="Q360" s="47"/>
      <c r="R360" s="50"/>
    </row>
    <row r="361" spans="1:18" ht="48" thickTop="1" thickBot="1" x14ac:dyDescent="0.25">
      <c r="A361" s="101" t="s">
        <v>466</v>
      </c>
      <c r="B361" s="101" t="s">
        <v>411</v>
      </c>
      <c r="C361" s="101" t="s">
        <v>412</v>
      </c>
      <c r="D361" s="101" t="s">
        <v>413</v>
      </c>
      <c r="E361" s="324">
        <f>F361</f>
        <v>950000</v>
      </c>
      <c r="F361" s="453">
        <f>((300000)+250000)+1062000-662000</f>
        <v>950000</v>
      </c>
      <c r="G361" s="453"/>
      <c r="H361" s="453"/>
      <c r="I361" s="453"/>
      <c r="J361" s="324">
        <f>L361+O361</f>
        <v>0</v>
      </c>
      <c r="K361" s="453"/>
      <c r="L361" s="453"/>
      <c r="M361" s="453"/>
      <c r="N361" s="453"/>
      <c r="O361" s="450">
        <f>K361</f>
        <v>0</v>
      </c>
      <c r="P361" s="324">
        <f>E361+J361</f>
        <v>950000</v>
      </c>
      <c r="Q361" s="47"/>
      <c r="R361" s="50"/>
    </row>
    <row r="362" spans="1:18" ht="48" thickTop="1" thickBot="1" x14ac:dyDescent="0.25">
      <c r="A362" s="325" t="s">
        <v>822</v>
      </c>
      <c r="B362" s="325" t="s">
        <v>823</v>
      </c>
      <c r="C362" s="325"/>
      <c r="D362" s="325" t="s">
        <v>824</v>
      </c>
      <c r="E362" s="321">
        <f>E363</f>
        <v>154658525</v>
      </c>
      <c r="F362" s="321">
        <f t="shared" si="308"/>
        <v>154658525</v>
      </c>
      <c r="G362" s="321">
        <f t="shared" si="308"/>
        <v>0</v>
      </c>
      <c r="H362" s="321">
        <f t="shared" si="308"/>
        <v>0</v>
      </c>
      <c r="I362" s="321">
        <f t="shared" si="308"/>
        <v>0</v>
      </c>
      <c r="J362" s="321">
        <f t="shared" si="308"/>
        <v>0</v>
      </c>
      <c r="K362" s="321">
        <f t="shared" si="308"/>
        <v>0</v>
      </c>
      <c r="L362" s="321">
        <f t="shared" si="308"/>
        <v>0</v>
      </c>
      <c r="M362" s="321">
        <f t="shared" si="308"/>
        <v>0</v>
      </c>
      <c r="N362" s="321">
        <f t="shared" si="308"/>
        <v>0</v>
      </c>
      <c r="O362" s="321">
        <f t="shared" si="308"/>
        <v>0</v>
      </c>
      <c r="P362" s="321">
        <f t="shared" si="308"/>
        <v>154658525</v>
      </c>
      <c r="Q362" s="47"/>
      <c r="R362" s="50"/>
    </row>
    <row r="363" spans="1:18" ht="48" thickTop="1" thickBot="1" x14ac:dyDescent="0.25">
      <c r="A363" s="101" t="s">
        <v>467</v>
      </c>
      <c r="B363" s="101" t="s">
        <v>291</v>
      </c>
      <c r="C363" s="101" t="s">
        <v>1347</v>
      </c>
      <c r="D363" s="101" t="s">
        <v>292</v>
      </c>
      <c r="E363" s="324">
        <f>F363</f>
        <v>154658525</v>
      </c>
      <c r="F363" s="453">
        <f>(158360533)-3702008</f>
        <v>154658525</v>
      </c>
      <c r="G363" s="453"/>
      <c r="H363" s="453"/>
      <c r="I363" s="453"/>
      <c r="J363" s="324">
        <f>L363+O363</f>
        <v>0</v>
      </c>
      <c r="K363" s="453"/>
      <c r="L363" s="453"/>
      <c r="M363" s="453"/>
      <c r="N363" s="453"/>
      <c r="O363" s="450">
        <f>K363</f>
        <v>0</v>
      </c>
      <c r="P363" s="324">
        <f>E363+J363</f>
        <v>154658525</v>
      </c>
      <c r="Q363" s="47"/>
      <c r="R363" s="50"/>
    </row>
    <row r="364" spans="1:18" ht="48" hidden="1" thickTop="1" thickBot="1" x14ac:dyDescent="0.25">
      <c r="A364" s="126" t="s">
        <v>1080</v>
      </c>
      <c r="B364" s="126" t="s">
        <v>1081</v>
      </c>
      <c r="C364" s="126" t="s">
        <v>295</v>
      </c>
      <c r="D364" s="126" t="s">
        <v>1079</v>
      </c>
      <c r="E364" s="125">
        <f>F364</f>
        <v>0</v>
      </c>
      <c r="F364" s="132"/>
      <c r="G364" s="132"/>
      <c r="H364" s="132"/>
      <c r="I364" s="132"/>
      <c r="J364" s="125">
        <f>L364+O364</f>
        <v>0</v>
      </c>
      <c r="K364" s="132"/>
      <c r="L364" s="132"/>
      <c r="M364" s="132"/>
      <c r="N364" s="132"/>
      <c r="O364" s="130">
        <f>K364</f>
        <v>0</v>
      </c>
      <c r="P364" s="125">
        <f>E364+J364</f>
        <v>0</v>
      </c>
      <c r="Q364" s="47"/>
      <c r="R364" s="50"/>
    </row>
    <row r="365" spans="1:18" ht="47.25" thickTop="1" thickBot="1" x14ac:dyDescent="0.25">
      <c r="A365" s="310" t="s">
        <v>1155</v>
      </c>
      <c r="B365" s="310" t="s">
        <v>687</v>
      </c>
      <c r="C365" s="310"/>
      <c r="D365" s="310" t="s">
        <v>685</v>
      </c>
      <c r="E365" s="312">
        <f>E366</f>
        <v>0</v>
      </c>
      <c r="F365" s="312">
        <f t="shared" ref="F365:P365" si="309">F366</f>
        <v>0</v>
      </c>
      <c r="G365" s="312">
        <f t="shared" si="309"/>
        <v>0</v>
      </c>
      <c r="H365" s="312">
        <f t="shared" si="309"/>
        <v>0</v>
      </c>
      <c r="I365" s="312">
        <f t="shared" si="309"/>
        <v>0</v>
      </c>
      <c r="J365" s="312">
        <f t="shared" si="309"/>
        <v>156500</v>
      </c>
      <c r="K365" s="312">
        <f t="shared" si="309"/>
        <v>156500</v>
      </c>
      <c r="L365" s="312">
        <f t="shared" si="309"/>
        <v>0</v>
      </c>
      <c r="M365" s="312">
        <f t="shared" si="309"/>
        <v>0</v>
      </c>
      <c r="N365" s="312">
        <f t="shared" si="309"/>
        <v>0</v>
      </c>
      <c r="O365" s="312">
        <f t="shared" si="309"/>
        <v>156500</v>
      </c>
      <c r="P365" s="312">
        <f t="shared" si="309"/>
        <v>156500</v>
      </c>
      <c r="Q365" s="47"/>
      <c r="R365" s="50"/>
    </row>
    <row r="366" spans="1:18" ht="48" thickTop="1" thickBot="1" x14ac:dyDescent="0.25">
      <c r="A366" s="101" t="s">
        <v>1156</v>
      </c>
      <c r="B366" s="101" t="s">
        <v>197</v>
      </c>
      <c r="C366" s="101" t="s">
        <v>170</v>
      </c>
      <c r="D366" s="101" t="s">
        <v>1157</v>
      </c>
      <c r="E366" s="324">
        <f>F366</f>
        <v>0</v>
      </c>
      <c r="F366" s="453">
        <v>0</v>
      </c>
      <c r="G366" s="453"/>
      <c r="H366" s="453"/>
      <c r="I366" s="453"/>
      <c r="J366" s="324">
        <f>L366+O366</f>
        <v>156500</v>
      </c>
      <c r="K366" s="453">
        <f>(0)+156500</f>
        <v>156500</v>
      </c>
      <c r="L366" s="453"/>
      <c r="M366" s="453"/>
      <c r="N366" s="453"/>
      <c r="O366" s="450">
        <f>K366</f>
        <v>156500</v>
      </c>
      <c r="P366" s="324">
        <f>E366+J366</f>
        <v>156500</v>
      </c>
      <c r="Q366" s="47"/>
      <c r="R366" s="50"/>
    </row>
    <row r="367" spans="1:18" ht="47.25" thickTop="1" thickBot="1" x14ac:dyDescent="0.25">
      <c r="A367" s="308" t="s">
        <v>1201</v>
      </c>
      <c r="B367" s="308" t="s">
        <v>692</v>
      </c>
      <c r="C367" s="308"/>
      <c r="D367" s="308" t="s">
        <v>693</v>
      </c>
      <c r="E367" s="324">
        <f>E368</f>
        <v>1939014</v>
      </c>
      <c r="F367" s="324">
        <f t="shared" ref="F367:P368" si="310">F368</f>
        <v>1939014</v>
      </c>
      <c r="G367" s="324">
        <f t="shared" si="310"/>
        <v>0</v>
      </c>
      <c r="H367" s="324">
        <f t="shared" si="310"/>
        <v>0</v>
      </c>
      <c r="I367" s="324">
        <f t="shared" si="310"/>
        <v>0</v>
      </c>
      <c r="J367" s="324">
        <f t="shared" si="310"/>
        <v>0</v>
      </c>
      <c r="K367" s="324">
        <f t="shared" si="310"/>
        <v>0</v>
      </c>
      <c r="L367" s="324">
        <f t="shared" si="310"/>
        <v>0</v>
      </c>
      <c r="M367" s="324">
        <f t="shared" si="310"/>
        <v>0</v>
      </c>
      <c r="N367" s="324">
        <f t="shared" si="310"/>
        <v>0</v>
      </c>
      <c r="O367" s="324">
        <f t="shared" si="310"/>
        <v>0</v>
      </c>
      <c r="P367" s="324">
        <f t="shared" si="310"/>
        <v>1939014</v>
      </c>
      <c r="Q367" s="47"/>
      <c r="R367" s="50"/>
    </row>
    <row r="368" spans="1:18" ht="47.25" thickTop="1" thickBot="1" x14ac:dyDescent="0.25">
      <c r="A368" s="310" t="s">
        <v>1202</v>
      </c>
      <c r="B368" s="310" t="s">
        <v>1168</v>
      </c>
      <c r="C368" s="310"/>
      <c r="D368" s="310" t="s">
        <v>1166</v>
      </c>
      <c r="E368" s="312">
        <f>E369</f>
        <v>1939014</v>
      </c>
      <c r="F368" s="312">
        <f>F369</f>
        <v>1939014</v>
      </c>
      <c r="G368" s="312">
        <f t="shared" si="310"/>
        <v>0</v>
      </c>
      <c r="H368" s="312">
        <f t="shared" si="310"/>
        <v>0</v>
      </c>
      <c r="I368" s="312">
        <f t="shared" si="310"/>
        <v>0</v>
      </c>
      <c r="J368" s="312">
        <f t="shared" si="310"/>
        <v>0</v>
      </c>
      <c r="K368" s="312">
        <f t="shared" si="310"/>
        <v>0</v>
      </c>
      <c r="L368" s="312">
        <f t="shared" si="310"/>
        <v>0</v>
      </c>
      <c r="M368" s="312">
        <f t="shared" si="310"/>
        <v>0</v>
      </c>
      <c r="N368" s="312">
        <f t="shared" si="310"/>
        <v>0</v>
      </c>
      <c r="O368" s="312">
        <f t="shared" si="310"/>
        <v>0</v>
      </c>
      <c r="P368" s="312">
        <f>P369</f>
        <v>1939014</v>
      </c>
      <c r="Q368" s="47"/>
      <c r="R368" s="50"/>
    </row>
    <row r="369" spans="1:18" ht="48" thickTop="1" thickBot="1" x14ac:dyDescent="0.25">
      <c r="A369" s="101" t="s">
        <v>1203</v>
      </c>
      <c r="B369" s="101" t="s">
        <v>1204</v>
      </c>
      <c r="C369" s="101" t="s">
        <v>1170</v>
      </c>
      <c r="D369" s="101" t="s">
        <v>1205</v>
      </c>
      <c r="E369" s="324">
        <f>F369</f>
        <v>1939014</v>
      </c>
      <c r="F369" s="453">
        <f>(2189014)-250000</f>
        <v>1939014</v>
      </c>
      <c r="G369" s="453"/>
      <c r="H369" s="453"/>
      <c r="I369" s="453"/>
      <c r="J369" s="324">
        <f>L369+O369</f>
        <v>0</v>
      </c>
      <c r="K369" s="453"/>
      <c r="L369" s="453"/>
      <c r="M369" s="453"/>
      <c r="N369" s="453"/>
      <c r="O369" s="450">
        <f>K369</f>
        <v>0</v>
      </c>
      <c r="P369" s="324">
        <f>E369+J369</f>
        <v>1939014</v>
      </c>
      <c r="Q369" s="47"/>
      <c r="R369" s="50"/>
    </row>
    <row r="370" spans="1:18" ht="47.25" hidden="1" thickTop="1" thickBot="1" x14ac:dyDescent="0.25">
      <c r="A370" s="123" t="s">
        <v>1314</v>
      </c>
      <c r="B370" s="123" t="s">
        <v>698</v>
      </c>
      <c r="C370" s="123"/>
      <c r="D370" s="123" t="s">
        <v>699</v>
      </c>
      <c r="E370" s="125">
        <f t="shared" ref="E370:P370" si="311">E371</f>
        <v>0</v>
      </c>
      <c r="F370" s="125">
        <f t="shared" si="311"/>
        <v>0</v>
      </c>
      <c r="G370" s="125">
        <f t="shared" si="311"/>
        <v>0</v>
      </c>
      <c r="H370" s="125">
        <f t="shared" si="311"/>
        <v>0</v>
      </c>
      <c r="I370" s="125">
        <f t="shared" si="311"/>
        <v>0</v>
      </c>
      <c r="J370" s="125">
        <f t="shared" si="311"/>
        <v>0</v>
      </c>
      <c r="K370" s="125">
        <f t="shared" si="311"/>
        <v>0</v>
      </c>
      <c r="L370" s="125">
        <f t="shared" si="311"/>
        <v>0</v>
      </c>
      <c r="M370" s="125">
        <f t="shared" si="311"/>
        <v>0</v>
      </c>
      <c r="N370" s="125">
        <f t="shared" si="311"/>
        <v>0</v>
      </c>
      <c r="O370" s="125">
        <f t="shared" si="311"/>
        <v>0</v>
      </c>
      <c r="P370" s="125">
        <f t="shared" si="311"/>
        <v>0</v>
      </c>
      <c r="Q370" s="47"/>
      <c r="R370" s="50"/>
    </row>
    <row r="371" spans="1:18" ht="91.5" hidden="1" thickTop="1" thickBot="1" x14ac:dyDescent="0.25">
      <c r="A371" s="134" t="s">
        <v>1315</v>
      </c>
      <c r="B371" s="134" t="s">
        <v>513</v>
      </c>
      <c r="C371" s="134" t="s">
        <v>43</v>
      </c>
      <c r="D371" s="134" t="s">
        <v>514</v>
      </c>
      <c r="E371" s="135">
        <f t="shared" ref="E371" si="312">F371</f>
        <v>0</v>
      </c>
      <c r="F371" s="135">
        <v>0</v>
      </c>
      <c r="G371" s="135"/>
      <c r="H371" s="135"/>
      <c r="I371" s="135"/>
      <c r="J371" s="135">
        <f>L371+O371</f>
        <v>0</v>
      </c>
      <c r="K371" s="132"/>
      <c r="L371" s="135"/>
      <c r="M371" s="135"/>
      <c r="N371" s="135"/>
      <c r="O371" s="135">
        <f>(K371+0)</f>
        <v>0</v>
      </c>
      <c r="P371" s="135">
        <f>E371+J371</f>
        <v>0</v>
      </c>
      <c r="Q371" s="47"/>
      <c r="R371" s="50"/>
    </row>
    <row r="372" spans="1:18" ht="120" customHeight="1" thickTop="1" thickBot="1" x14ac:dyDescent="0.25">
      <c r="A372" s="689" t="s">
        <v>166</v>
      </c>
      <c r="B372" s="689"/>
      <c r="C372" s="689"/>
      <c r="D372" s="690" t="s">
        <v>354</v>
      </c>
      <c r="E372" s="691">
        <f>E373</f>
        <v>15104342</v>
      </c>
      <c r="F372" s="692">
        <f t="shared" ref="F372:G372" si="313">F373</f>
        <v>15104342</v>
      </c>
      <c r="G372" s="692">
        <f t="shared" si="313"/>
        <v>0</v>
      </c>
      <c r="H372" s="692">
        <f>H373</f>
        <v>0</v>
      </c>
      <c r="I372" s="692">
        <f t="shared" ref="I372" si="314">I373</f>
        <v>0</v>
      </c>
      <c r="J372" s="691">
        <f>J373</f>
        <v>469958</v>
      </c>
      <c r="K372" s="692">
        <f>K373</f>
        <v>469958</v>
      </c>
      <c r="L372" s="692">
        <f>L373</f>
        <v>0</v>
      </c>
      <c r="M372" s="692">
        <f t="shared" ref="M372" si="315">M373</f>
        <v>0</v>
      </c>
      <c r="N372" s="692">
        <f>N373</f>
        <v>0</v>
      </c>
      <c r="O372" s="691">
        <f>O373</f>
        <v>469958</v>
      </c>
      <c r="P372" s="692">
        <f t="shared" ref="P372" si="316">P373</f>
        <v>15574300</v>
      </c>
      <c r="Q372" s="20"/>
    </row>
    <row r="373" spans="1:18" ht="120" customHeight="1" thickTop="1" thickBot="1" x14ac:dyDescent="0.25">
      <c r="A373" s="693" t="s">
        <v>167</v>
      </c>
      <c r="B373" s="693"/>
      <c r="C373" s="693"/>
      <c r="D373" s="694" t="s">
        <v>355</v>
      </c>
      <c r="E373" s="695">
        <f>E377+E389+E386+E374</f>
        <v>15104342</v>
      </c>
      <c r="F373" s="695">
        <f>F377+F389+F386+F374</f>
        <v>15104342</v>
      </c>
      <c r="G373" s="695">
        <f>G377+G389+G386+G374</f>
        <v>0</v>
      </c>
      <c r="H373" s="695">
        <f>H377+H389+H386+H374</f>
        <v>0</v>
      </c>
      <c r="I373" s="695">
        <f>I377+I389+I386+I374</f>
        <v>0</v>
      </c>
      <c r="J373" s="695">
        <f>L373+O373</f>
        <v>469958</v>
      </c>
      <c r="K373" s="695">
        <f>K377+K389+K386+K374</f>
        <v>469958</v>
      </c>
      <c r="L373" s="695">
        <f>L377+L389+L386+L374</f>
        <v>0</v>
      </c>
      <c r="M373" s="695">
        <f>M377+M389+M386+M374</f>
        <v>0</v>
      </c>
      <c r="N373" s="695">
        <f>N377+N389+N386+N374</f>
        <v>0</v>
      </c>
      <c r="O373" s="695">
        <f>O377+O389+O386+O374</f>
        <v>469958</v>
      </c>
      <c r="P373" s="695">
        <f>E373+J373</f>
        <v>15574300</v>
      </c>
      <c r="Q373" s="487" t="b">
        <f>P373=P379+P381+P382+P383+P375+P388+P376</f>
        <v>1</v>
      </c>
      <c r="R373" s="46"/>
    </row>
    <row r="374" spans="1:18" ht="47.25" thickTop="1" thickBot="1" x14ac:dyDescent="0.25">
      <c r="A374" s="308" t="s">
        <v>1288</v>
      </c>
      <c r="B374" s="308" t="s">
        <v>707</v>
      </c>
      <c r="C374" s="308"/>
      <c r="D374" s="308" t="s">
        <v>708</v>
      </c>
      <c r="E374" s="324">
        <f t="shared" ref="E374:P374" si="317">SUM(E375:E376)</f>
        <v>1004802</v>
      </c>
      <c r="F374" s="324">
        <f t="shared" si="317"/>
        <v>1004802</v>
      </c>
      <c r="G374" s="324">
        <f t="shared" si="317"/>
        <v>0</v>
      </c>
      <c r="H374" s="324">
        <f t="shared" si="317"/>
        <v>0</v>
      </c>
      <c r="I374" s="324">
        <f t="shared" si="317"/>
        <v>0</v>
      </c>
      <c r="J374" s="324">
        <f t="shared" si="317"/>
        <v>345998</v>
      </c>
      <c r="K374" s="324">
        <f t="shared" si="317"/>
        <v>345998</v>
      </c>
      <c r="L374" s="324">
        <f t="shared" si="317"/>
        <v>0</v>
      </c>
      <c r="M374" s="324">
        <f t="shared" si="317"/>
        <v>0</v>
      </c>
      <c r="N374" s="324">
        <f t="shared" si="317"/>
        <v>0</v>
      </c>
      <c r="O374" s="324">
        <f t="shared" si="317"/>
        <v>345998</v>
      </c>
      <c r="P374" s="324">
        <f t="shared" si="317"/>
        <v>1350800</v>
      </c>
      <c r="Q374" s="47"/>
      <c r="R374" s="46"/>
    </row>
    <row r="375" spans="1:18" ht="93" thickTop="1" thickBot="1" x14ac:dyDescent="0.25">
      <c r="A375" s="101" t="s">
        <v>1289</v>
      </c>
      <c r="B375" s="101" t="s">
        <v>1182</v>
      </c>
      <c r="C375" s="101" t="s">
        <v>206</v>
      </c>
      <c r="D375" s="461" t="s">
        <v>1183</v>
      </c>
      <c r="E375" s="324">
        <f t="shared" ref="E375:E376" si="318">F375</f>
        <v>376502</v>
      </c>
      <c r="F375" s="453">
        <f>(500000)+6668-130166</f>
        <v>376502</v>
      </c>
      <c r="G375" s="453"/>
      <c r="H375" s="453"/>
      <c r="I375" s="453"/>
      <c r="J375" s="324">
        <f>L375+O375</f>
        <v>122498</v>
      </c>
      <c r="K375" s="453">
        <f>(350000)-227502</f>
        <v>122498</v>
      </c>
      <c r="L375" s="453"/>
      <c r="M375" s="453"/>
      <c r="N375" s="453"/>
      <c r="O375" s="450">
        <f>K375</f>
        <v>122498</v>
      </c>
      <c r="P375" s="324">
        <f>E375+J375</f>
        <v>499000</v>
      </c>
      <c r="Q375" s="47"/>
      <c r="R375" s="46"/>
    </row>
    <row r="376" spans="1:18" ht="54" customHeight="1" thickTop="1" thickBot="1" x14ac:dyDescent="0.25">
      <c r="A376" s="101" t="s">
        <v>1589</v>
      </c>
      <c r="B376" s="101" t="s">
        <v>330</v>
      </c>
      <c r="C376" s="101" t="s">
        <v>191</v>
      </c>
      <c r="D376" s="461" t="s">
        <v>332</v>
      </c>
      <c r="E376" s="324">
        <f t="shared" si="318"/>
        <v>628300</v>
      </c>
      <c r="F376" s="453">
        <f>(0)+219180+409120</f>
        <v>628300</v>
      </c>
      <c r="G376" s="132"/>
      <c r="H376" s="132"/>
      <c r="I376" s="132"/>
      <c r="J376" s="324">
        <f t="shared" ref="J376" si="319">L376+O376</f>
        <v>223500</v>
      </c>
      <c r="K376" s="453">
        <f>(0)+223500</f>
        <v>223500</v>
      </c>
      <c r="L376" s="453"/>
      <c r="M376" s="453"/>
      <c r="N376" s="453"/>
      <c r="O376" s="450">
        <f t="shared" ref="O376" si="320">K376</f>
        <v>223500</v>
      </c>
      <c r="P376" s="324">
        <f t="shared" ref="P376" si="321">E376+J376</f>
        <v>851800</v>
      </c>
      <c r="Q376" s="47"/>
      <c r="R376" s="46"/>
    </row>
    <row r="377" spans="1:18" ht="44.45" customHeight="1" thickTop="1" thickBot="1" x14ac:dyDescent="0.25">
      <c r="A377" s="308" t="s">
        <v>825</v>
      </c>
      <c r="B377" s="308" t="s">
        <v>744</v>
      </c>
      <c r="C377" s="101"/>
      <c r="D377" s="308" t="s">
        <v>790</v>
      </c>
      <c r="E377" s="571">
        <f t="shared" ref="E377:P377" si="322">E380+E378</f>
        <v>13683500</v>
      </c>
      <c r="F377" s="571">
        <f t="shared" si="322"/>
        <v>13683500</v>
      </c>
      <c r="G377" s="571">
        <f t="shared" si="322"/>
        <v>0</v>
      </c>
      <c r="H377" s="571">
        <f t="shared" si="322"/>
        <v>0</v>
      </c>
      <c r="I377" s="571">
        <f t="shared" si="322"/>
        <v>0</v>
      </c>
      <c r="J377" s="571">
        <f t="shared" si="322"/>
        <v>0</v>
      </c>
      <c r="K377" s="571">
        <f t="shared" si="322"/>
        <v>0</v>
      </c>
      <c r="L377" s="571">
        <f t="shared" si="322"/>
        <v>0</v>
      </c>
      <c r="M377" s="571">
        <f t="shared" si="322"/>
        <v>0</v>
      </c>
      <c r="N377" s="571">
        <f t="shared" si="322"/>
        <v>0</v>
      </c>
      <c r="O377" s="571">
        <f t="shared" si="322"/>
        <v>0</v>
      </c>
      <c r="P377" s="571">
        <f t="shared" si="322"/>
        <v>13683500</v>
      </c>
      <c r="Q377" s="47"/>
      <c r="R377" s="46"/>
    </row>
    <row r="378" spans="1:18" ht="47.25" thickTop="1" thickBot="1" x14ac:dyDescent="0.25">
      <c r="A378" s="310" t="s">
        <v>998</v>
      </c>
      <c r="B378" s="310" t="s">
        <v>799</v>
      </c>
      <c r="C378" s="310"/>
      <c r="D378" s="310" t="s">
        <v>800</v>
      </c>
      <c r="E378" s="570">
        <f>E379</f>
        <v>26500</v>
      </c>
      <c r="F378" s="570">
        <f>F379</f>
        <v>26500</v>
      </c>
      <c r="G378" s="570">
        <f t="shared" ref="G378:O378" si="323">G379</f>
        <v>0</v>
      </c>
      <c r="H378" s="570">
        <f t="shared" si="323"/>
        <v>0</v>
      </c>
      <c r="I378" s="570">
        <f t="shared" si="323"/>
        <v>0</v>
      </c>
      <c r="J378" s="570">
        <f t="shared" si="323"/>
        <v>0</v>
      </c>
      <c r="K378" s="570">
        <f t="shared" si="323"/>
        <v>0</v>
      </c>
      <c r="L378" s="570">
        <f t="shared" si="323"/>
        <v>0</v>
      </c>
      <c r="M378" s="570">
        <f t="shared" si="323"/>
        <v>0</v>
      </c>
      <c r="N378" s="570">
        <f t="shared" si="323"/>
        <v>0</v>
      </c>
      <c r="O378" s="570">
        <f t="shared" si="323"/>
        <v>0</v>
      </c>
      <c r="P378" s="570">
        <f>P379</f>
        <v>26500</v>
      </c>
      <c r="Q378" s="47"/>
      <c r="R378" s="46"/>
    </row>
    <row r="379" spans="1:18" ht="48" thickTop="1" thickBot="1" x14ac:dyDescent="0.25">
      <c r="A379" s="101" t="s">
        <v>999</v>
      </c>
      <c r="B379" s="101" t="s">
        <v>350</v>
      </c>
      <c r="C379" s="101" t="s">
        <v>170</v>
      </c>
      <c r="D379" s="101" t="s">
        <v>262</v>
      </c>
      <c r="E379" s="324">
        <f t="shared" ref="E379" si="324">F379</f>
        <v>26500</v>
      </c>
      <c r="F379" s="453">
        <f>(50000)-23500</f>
        <v>26500</v>
      </c>
      <c r="G379" s="453"/>
      <c r="H379" s="453"/>
      <c r="I379" s="453"/>
      <c r="J379" s="324">
        <f t="shared" ref="J379" si="325">L379+O379</f>
        <v>0</v>
      </c>
      <c r="K379" s="453">
        <f>((0)+5000000-1000000)-4000000</f>
        <v>0</v>
      </c>
      <c r="L379" s="453"/>
      <c r="M379" s="453"/>
      <c r="N379" s="453"/>
      <c r="O379" s="450">
        <f>K379</f>
        <v>0</v>
      </c>
      <c r="P379" s="324">
        <f t="shared" ref="P379" si="326">E379+J379</f>
        <v>26500</v>
      </c>
      <c r="Q379" s="47"/>
      <c r="R379" s="46"/>
    </row>
    <row r="380" spans="1:18" ht="47.25" thickTop="1" thickBot="1" x14ac:dyDescent="0.25">
      <c r="A380" s="310" t="s">
        <v>826</v>
      </c>
      <c r="B380" s="310" t="s">
        <v>687</v>
      </c>
      <c r="C380" s="310"/>
      <c r="D380" s="310" t="s">
        <v>685</v>
      </c>
      <c r="E380" s="570">
        <f>SUM(E381:E385)-E384</f>
        <v>13657000</v>
      </c>
      <c r="F380" s="570">
        <f t="shared" ref="F380:P380" si="327">SUM(F381:F385)-F384</f>
        <v>13657000</v>
      </c>
      <c r="G380" s="570">
        <f t="shared" si="327"/>
        <v>0</v>
      </c>
      <c r="H380" s="570">
        <f t="shared" si="327"/>
        <v>0</v>
      </c>
      <c r="I380" s="570">
        <f t="shared" si="327"/>
        <v>0</v>
      </c>
      <c r="J380" s="570">
        <f>SUM(J381:J385)-J384</f>
        <v>0</v>
      </c>
      <c r="K380" s="570">
        <f t="shared" si="327"/>
        <v>0</v>
      </c>
      <c r="L380" s="570">
        <f t="shared" si="327"/>
        <v>0</v>
      </c>
      <c r="M380" s="570">
        <f t="shared" si="327"/>
        <v>0</v>
      </c>
      <c r="N380" s="570">
        <f t="shared" si="327"/>
        <v>0</v>
      </c>
      <c r="O380" s="570">
        <f t="shared" si="327"/>
        <v>0</v>
      </c>
      <c r="P380" s="570">
        <f t="shared" si="327"/>
        <v>13657000</v>
      </c>
      <c r="Q380" s="47"/>
      <c r="R380" s="46"/>
    </row>
    <row r="381" spans="1:18" ht="48" thickTop="1" thickBot="1" x14ac:dyDescent="0.25">
      <c r="A381" s="101" t="s">
        <v>260</v>
      </c>
      <c r="B381" s="101" t="s">
        <v>261</v>
      </c>
      <c r="C381" s="101" t="s">
        <v>259</v>
      </c>
      <c r="D381" s="101" t="s">
        <v>258</v>
      </c>
      <c r="E381" s="324">
        <f t="shared" ref="E381:E385" si="328">F381</f>
        <v>12948500</v>
      </c>
      <c r="F381" s="453">
        <f>(((2045000)+6200000)+50000+120000+33500+500000+5000000-2000000)+1000000</f>
        <v>12948500</v>
      </c>
      <c r="G381" s="453"/>
      <c r="H381" s="453"/>
      <c r="I381" s="453"/>
      <c r="J381" s="324">
        <f t="shared" ref="J381:J385" si="329">L381+O381</f>
        <v>0</v>
      </c>
      <c r="K381" s="453"/>
      <c r="L381" s="453"/>
      <c r="M381" s="453"/>
      <c r="N381" s="453"/>
      <c r="O381" s="450">
        <f>K381</f>
        <v>0</v>
      </c>
      <c r="P381" s="324">
        <f t="shared" ref="P381:P385" si="330">E381+J381</f>
        <v>12948500</v>
      </c>
      <c r="Q381" s="20"/>
      <c r="R381" s="46"/>
    </row>
    <row r="382" spans="1:18" ht="48" thickTop="1" thickBot="1" x14ac:dyDescent="0.25">
      <c r="A382" s="101" t="s">
        <v>252</v>
      </c>
      <c r="B382" s="101" t="s">
        <v>254</v>
      </c>
      <c r="C382" s="101" t="s">
        <v>213</v>
      </c>
      <c r="D382" s="101" t="s">
        <v>253</v>
      </c>
      <c r="E382" s="324">
        <f t="shared" si="328"/>
        <v>708500</v>
      </c>
      <c r="F382" s="453">
        <f>((505000)+100000)+103500</f>
        <v>708500</v>
      </c>
      <c r="G382" s="453"/>
      <c r="H382" s="453"/>
      <c r="I382" s="453"/>
      <c r="J382" s="324">
        <f t="shared" si="329"/>
        <v>0</v>
      </c>
      <c r="K382" s="453"/>
      <c r="L382" s="453"/>
      <c r="M382" s="453"/>
      <c r="N382" s="453"/>
      <c r="O382" s="450">
        <f>K382</f>
        <v>0</v>
      </c>
      <c r="P382" s="324">
        <f t="shared" si="330"/>
        <v>708500</v>
      </c>
      <c r="Q382" s="20"/>
      <c r="R382" s="46"/>
    </row>
    <row r="383" spans="1:18" ht="48" hidden="1" thickTop="1" thickBot="1" x14ac:dyDescent="0.25">
      <c r="A383" s="101" t="s">
        <v>1283</v>
      </c>
      <c r="B383" s="101" t="s">
        <v>212</v>
      </c>
      <c r="C383" s="101" t="s">
        <v>213</v>
      </c>
      <c r="D383" s="101" t="s">
        <v>41</v>
      </c>
      <c r="E383" s="324">
        <f t="shared" si="328"/>
        <v>0</v>
      </c>
      <c r="F383" s="453">
        <f>(200000)-200000</f>
        <v>0</v>
      </c>
      <c r="G383" s="453"/>
      <c r="H383" s="453"/>
      <c r="I383" s="453"/>
      <c r="J383" s="324">
        <f t="shared" si="329"/>
        <v>0</v>
      </c>
      <c r="K383" s="453">
        <f>(100000)-100000</f>
        <v>0</v>
      </c>
      <c r="L383" s="453"/>
      <c r="M383" s="453"/>
      <c r="N383" s="453"/>
      <c r="O383" s="450">
        <f>K383</f>
        <v>0</v>
      </c>
      <c r="P383" s="324">
        <f t="shared" si="330"/>
        <v>0</v>
      </c>
      <c r="Q383" s="20"/>
      <c r="R383" s="46"/>
    </row>
    <row r="384" spans="1:18" ht="48" hidden="1" thickTop="1" thickBot="1" x14ac:dyDescent="0.25">
      <c r="A384" s="138" t="s">
        <v>827</v>
      </c>
      <c r="B384" s="138" t="s">
        <v>690</v>
      </c>
      <c r="C384" s="138"/>
      <c r="D384" s="138" t="s">
        <v>688</v>
      </c>
      <c r="E384" s="139">
        <f>E385</f>
        <v>0</v>
      </c>
      <c r="F384" s="139">
        <f t="shared" ref="F384:P384" si="331">F385</f>
        <v>0</v>
      </c>
      <c r="G384" s="139">
        <f t="shared" si="331"/>
        <v>0</v>
      </c>
      <c r="H384" s="139">
        <f t="shared" si="331"/>
        <v>0</v>
      </c>
      <c r="I384" s="139">
        <f t="shared" si="331"/>
        <v>0</v>
      </c>
      <c r="J384" s="139">
        <f t="shared" si="331"/>
        <v>0</v>
      </c>
      <c r="K384" s="139">
        <f t="shared" si="331"/>
        <v>0</v>
      </c>
      <c r="L384" s="139">
        <f t="shared" si="331"/>
        <v>0</v>
      </c>
      <c r="M384" s="139">
        <f t="shared" si="331"/>
        <v>0</v>
      </c>
      <c r="N384" s="139">
        <f t="shared" si="331"/>
        <v>0</v>
      </c>
      <c r="O384" s="139">
        <f t="shared" si="331"/>
        <v>0</v>
      </c>
      <c r="P384" s="139">
        <f t="shared" si="331"/>
        <v>0</v>
      </c>
      <c r="Q384" s="20"/>
      <c r="R384" s="46"/>
    </row>
    <row r="385" spans="1:18" ht="48" hidden="1" thickTop="1" thickBot="1" x14ac:dyDescent="0.25">
      <c r="A385" s="126" t="s">
        <v>256</v>
      </c>
      <c r="B385" s="126" t="s">
        <v>257</v>
      </c>
      <c r="C385" s="126" t="s">
        <v>170</v>
      </c>
      <c r="D385" s="126" t="s">
        <v>255</v>
      </c>
      <c r="E385" s="125">
        <f t="shared" si="328"/>
        <v>0</v>
      </c>
      <c r="F385" s="132"/>
      <c r="G385" s="132"/>
      <c r="H385" s="132"/>
      <c r="I385" s="132"/>
      <c r="J385" s="125">
        <f t="shared" si="329"/>
        <v>0</v>
      </c>
      <c r="K385" s="132"/>
      <c r="L385" s="132"/>
      <c r="M385" s="132"/>
      <c r="N385" s="132"/>
      <c r="O385" s="130">
        <f>K385</f>
        <v>0</v>
      </c>
      <c r="P385" s="125">
        <f t="shared" si="330"/>
        <v>0</v>
      </c>
      <c r="Q385" s="20"/>
      <c r="R385" s="46"/>
    </row>
    <row r="386" spans="1:18" ht="47.25" thickTop="1" thickBot="1" x14ac:dyDescent="0.25">
      <c r="A386" s="308" t="s">
        <v>1285</v>
      </c>
      <c r="B386" s="308" t="s">
        <v>692</v>
      </c>
      <c r="C386" s="308"/>
      <c r="D386" s="308" t="s">
        <v>693</v>
      </c>
      <c r="E386" s="324">
        <f t="shared" ref="E386:P387" si="332">E387</f>
        <v>416040</v>
      </c>
      <c r="F386" s="324">
        <f t="shared" si="332"/>
        <v>416040</v>
      </c>
      <c r="G386" s="324">
        <f t="shared" si="332"/>
        <v>0</v>
      </c>
      <c r="H386" s="324">
        <f t="shared" si="332"/>
        <v>0</v>
      </c>
      <c r="I386" s="324">
        <f t="shared" si="332"/>
        <v>0</v>
      </c>
      <c r="J386" s="324">
        <f t="shared" si="332"/>
        <v>123960</v>
      </c>
      <c r="K386" s="324">
        <f t="shared" si="332"/>
        <v>123960</v>
      </c>
      <c r="L386" s="324">
        <f t="shared" si="332"/>
        <v>0</v>
      </c>
      <c r="M386" s="324">
        <f t="shared" si="332"/>
        <v>0</v>
      </c>
      <c r="N386" s="324">
        <f t="shared" si="332"/>
        <v>0</v>
      </c>
      <c r="O386" s="324">
        <f t="shared" si="332"/>
        <v>123960</v>
      </c>
      <c r="P386" s="324">
        <f t="shared" si="332"/>
        <v>540000</v>
      </c>
      <c r="Q386" s="20"/>
      <c r="R386" s="46"/>
    </row>
    <row r="387" spans="1:18" ht="47.25" thickTop="1" thickBot="1" x14ac:dyDescent="0.25">
      <c r="A387" s="310" t="s">
        <v>1286</v>
      </c>
      <c r="B387" s="310" t="s">
        <v>1168</v>
      </c>
      <c r="C387" s="310"/>
      <c r="D387" s="310" t="s">
        <v>1166</v>
      </c>
      <c r="E387" s="312">
        <f t="shared" si="332"/>
        <v>416040</v>
      </c>
      <c r="F387" s="312">
        <f t="shared" si="332"/>
        <v>416040</v>
      </c>
      <c r="G387" s="312">
        <f t="shared" si="332"/>
        <v>0</v>
      </c>
      <c r="H387" s="312">
        <f t="shared" si="332"/>
        <v>0</v>
      </c>
      <c r="I387" s="312">
        <f t="shared" si="332"/>
        <v>0</v>
      </c>
      <c r="J387" s="312">
        <f t="shared" si="332"/>
        <v>123960</v>
      </c>
      <c r="K387" s="312">
        <f t="shared" si="332"/>
        <v>123960</v>
      </c>
      <c r="L387" s="312">
        <f t="shared" si="332"/>
        <v>0</v>
      </c>
      <c r="M387" s="312">
        <f t="shared" si="332"/>
        <v>0</v>
      </c>
      <c r="N387" s="312">
        <f t="shared" si="332"/>
        <v>0</v>
      </c>
      <c r="O387" s="312">
        <f t="shared" si="332"/>
        <v>123960</v>
      </c>
      <c r="P387" s="312">
        <f t="shared" si="332"/>
        <v>540000</v>
      </c>
      <c r="Q387" s="20"/>
      <c r="R387" s="46"/>
    </row>
    <row r="388" spans="1:18" ht="48" thickTop="1" thickBot="1" x14ac:dyDescent="0.25">
      <c r="A388" s="101" t="s">
        <v>1287</v>
      </c>
      <c r="B388" s="101" t="s">
        <v>1172</v>
      </c>
      <c r="C388" s="101" t="s">
        <v>1170</v>
      </c>
      <c r="D388" s="101" t="s">
        <v>1169</v>
      </c>
      <c r="E388" s="324">
        <f>F388</f>
        <v>416040</v>
      </c>
      <c r="F388" s="453">
        <f>(500000)+150230-234190</f>
        <v>416040</v>
      </c>
      <c r="G388" s="453"/>
      <c r="H388" s="453"/>
      <c r="I388" s="453"/>
      <c r="J388" s="324">
        <f>L388+O388</f>
        <v>123960</v>
      </c>
      <c r="K388" s="453">
        <f>(350000)-226040</f>
        <v>123960</v>
      </c>
      <c r="L388" s="453"/>
      <c r="M388" s="453"/>
      <c r="N388" s="453"/>
      <c r="O388" s="450">
        <f>K388</f>
        <v>123960</v>
      </c>
      <c r="P388" s="324">
        <f>E388+J388</f>
        <v>540000</v>
      </c>
      <c r="Q388" s="20"/>
      <c r="R388" s="46"/>
    </row>
    <row r="389" spans="1:18" ht="47.25" hidden="1" thickTop="1" thickBot="1" x14ac:dyDescent="0.25">
      <c r="A389" s="123" t="s">
        <v>901</v>
      </c>
      <c r="B389" s="123" t="s">
        <v>698</v>
      </c>
      <c r="C389" s="123"/>
      <c r="D389" s="123" t="s">
        <v>699</v>
      </c>
      <c r="E389" s="125">
        <f>E390</f>
        <v>0</v>
      </c>
      <c r="F389" s="125">
        <f t="shared" ref="F389:P390" si="333">F390</f>
        <v>0</v>
      </c>
      <c r="G389" s="125">
        <f t="shared" si="333"/>
        <v>0</v>
      </c>
      <c r="H389" s="125">
        <f t="shared" si="333"/>
        <v>0</v>
      </c>
      <c r="I389" s="125">
        <f t="shared" si="333"/>
        <v>0</v>
      </c>
      <c r="J389" s="125">
        <f t="shared" si="333"/>
        <v>0</v>
      </c>
      <c r="K389" s="125">
        <f t="shared" si="333"/>
        <v>0</v>
      </c>
      <c r="L389" s="125">
        <f t="shared" si="333"/>
        <v>0</v>
      </c>
      <c r="M389" s="125">
        <f t="shared" si="333"/>
        <v>0</v>
      </c>
      <c r="N389" s="125">
        <f t="shared" si="333"/>
        <v>0</v>
      </c>
      <c r="O389" s="125">
        <f t="shared" si="333"/>
        <v>0</v>
      </c>
      <c r="P389" s="125">
        <f t="shared" si="333"/>
        <v>0</v>
      </c>
      <c r="Q389" s="20"/>
      <c r="R389" s="46"/>
    </row>
    <row r="390" spans="1:18" ht="91.5" hidden="1" thickTop="1" thickBot="1" x14ac:dyDescent="0.25">
      <c r="A390" s="134" t="s">
        <v>902</v>
      </c>
      <c r="B390" s="134" t="s">
        <v>701</v>
      </c>
      <c r="C390" s="134"/>
      <c r="D390" s="134" t="s">
        <v>702</v>
      </c>
      <c r="E390" s="135">
        <f>E391</f>
        <v>0</v>
      </c>
      <c r="F390" s="135">
        <f t="shared" si="333"/>
        <v>0</v>
      </c>
      <c r="G390" s="135">
        <f t="shared" si="333"/>
        <v>0</v>
      </c>
      <c r="H390" s="135">
        <f t="shared" si="333"/>
        <v>0</v>
      </c>
      <c r="I390" s="135">
        <f t="shared" si="333"/>
        <v>0</v>
      </c>
      <c r="J390" s="135">
        <f t="shared" si="333"/>
        <v>0</v>
      </c>
      <c r="K390" s="135">
        <f t="shared" si="333"/>
        <v>0</v>
      </c>
      <c r="L390" s="135">
        <f t="shared" si="333"/>
        <v>0</v>
      </c>
      <c r="M390" s="135">
        <f t="shared" si="333"/>
        <v>0</v>
      </c>
      <c r="N390" s="135">
        <f t="shared" si="333"/>
        <v>0</v>
      </c>
      <c r="O390" s="135">
        <f t="shared" si="333"/>
        <v>0</v>
      </c>
      <c r="P390" s="135">
        <f t="shared" si="333"/>
        <v>0</v>
      </c>
      <c r="Q390" s="20"/>
      <c r="R390" s="46"/>
    </row>
    <row r="391" spans="1:18" ht="48" hidden="1" thickTop="1" thickBot="1" x14ac:dyDescent="0.25">
      <c r="A391" s="126" t="s">
        <v>903</v>
      </c>
      <c r="B391" s="126" t="s">
        <v>363</v>
      </c>
      <c r="C391" s="126" t="s">
        <v>43</v>
      </c>
      <c r="D391" s="126" t="s">
        <v>364</v>
      </c>
      <c r="E391" s="125">
        <f t="shared" ref="E391" si="334">F391</f>
        <v>0</v>
      </c>
      <c r="F391" s="132"/>
      <c r="G391" s="132"/>
      <c r="H391" s="132"/>
      <c r="I391" s="132"/>
      <c r="J391" s="125">
        <f>L391+O391</f>
        <v>0</v>
      </c>
      <c r="K391" s="132"/>
      <c r="L391" s="132"/>
      <c r="M391" s="132"/>
      <c r="N391" s="132"/>
      <c r="O391" s="130">
        <f>K391</f>
        <v>0</v>
      </c>
      <c r="P391" s="125">
        <f>E391+J391</f>
        <v>0</v>
      </c>
      <c r="Q391" s="20"/>
      <c r="R391" s="46"/>
    </row>
    <row r="392" spans="1:18" ht="120" customHeight="1" thickTop="1" thickBot="1" x14ac:dyDescent="0.25">
      <c r="A392" s="689" t="s">
        <v>164</v>
      </c>
      <c r="B392" s="689"/>
      <c r="C392" s="689"/>
      <c r="D392" s="690" t="s">
        <v>882</v>
      </c>
      <c r="E392" s="691">
        <f>E393</f>
        <v>7583188</v>
      </c>
      <c r="F392" s="692">
        <f t="shared" ref="F392:G392" si="335">F393</f>
        <v>7583188</v>
      </c>
      <c r="G392" s="692">
        <f t="shared" si="335"/>
        <v>5935080</v>
      </c>
      <c r="H392" s="692">
        <f>H393</f>
        <v>150433</v>
      </c>
      <c r="I392" s="692">
        <f t="shared" ref="I392" si="336">I393</f>
        <v>0</v>
      </c>
      <c r="J392" s="691">
        <f>J393</f>
        <v>1200000</v>
      </c>
      <c r="K392" s="692">
        <f>K393</f>
        <v>0</v>
      </c>
      <c r="L392" s="692">
        <f>L393</f>
        <v>1200000</v>
      </c>
      <c r="M392" s="692">
        <f t="shared" ref="M392" si="337">M393</f>
        <v>0</v>
      </c>
      <c r="N392" s="692">
        <f>N393</f>
        <v>0</v>
      </c>
      <c r="O392" s="691">
        <f>O393</f>
        <v>0</v>
      </c>
      <c r="P392" s="692">
        <f t="shared" ref="P392" si="338">P393</f>
        <v>8783188</v>
      </c>
      <c r="Q392" s="20"/>
    </row>
    <row r="393" spans="1:18" ht="120" customHeight="1" thickTop="1" thickBot="1" x14ac:dyDescent="0.25">
      <c r="A393" s="693" t="s">
        <v>165</v>
      </c>
      <c r="B393" s="693"/>
      <c r="C393" s="693"/>
      <c r="D393" s="694" t="s">
        <v>881</v>
      </c>
      <c r="E393" s="695">
        <f>E394+E397+E400</f>
        <v>7583188</v>
      </c>
      <c r="F393" s="695">
        <f t="shared" ref="F393:P393" si="339">F394+F397+F400</f>
        <v>7583188</v>
      </c>
      <c r="G393" s="695">
        <f>G394+G397+G400</f>
        <v>5935080</v>
      </c>
      <c r="H393" s="695">
        <f t="shared" si="339"/>
        <v>150433</v>
      </c>
      <c r="I393" s="695">
        <f t="shared" si="339"/>
        <v>0</v>
      </c>
      <c r="J393" s="695">
        <f>J394+J397+J400</f>
        <v>1200000</v>
      </c>
      <c r="K393" s="695">
        <f t="shared" si="339"/>
        <v>0</v>
      </c>
      <c r="L393" s="695">
        <f>L394+L397+L400</f>
        <v>1200000</v>
      </c>
      <c r="M393" s="695">
        <f t="shared" si="339"/>
        <v>0</v>
      </c>
      <c r="N393" s="695">
        <f t="shared" si="339"/>
        <v>0</v>
      </c>
      <c r="O393" s="695">
        <f t="shared" si="339"/>
        <v>0</v>
      </c>
      <c r="P393" s="695">
        <f t="shared" si="339"/>
        <v>8783188</v>
      </c>
      <c r="Q393" s="487" t="b">
        <f>P393=P395+P399</f>
        <v>1</v>
      </c>
      <c r="R393" s="46"/>
    </row>
    <row r="394" spans="1:18" ht="47.25" thickTop="1" thickBot="1" x14ac:dyDescent="0.25">
      <c r="A394" s="308" t="s">
        <v>828</v>
      </c>
      <c r="B394" s="308" t="s">
        <v>680</v>
      </c>
      <c r="C394" s="308"/>
      <c r="D394" s="308" t="s">
        <v>681</v>
      </c>
      <c r="E394" s="324">
        <f>SUM(E395:E396)</f>
        <v>7583188</v>
      </c>
      <c r="F394" s="324">
        <f t="shared" ref="F394:N394" si="340">SUM(F395:F396)</f>
        <v>7583188</v>
      </c>
      <c r="G394" s="324">
        <f t="shared" si="340"/>
        <v>5935080</v>
      </c>
      <c r="H394" s="324">
        <f t="shared" si="340"/>
        <v>150433</v>
      </c>
      <c r="I394" s="324">
        <f t="shared" si="340"/>
        <v>0</v>
      </c>
      <c r="J394" s="324">
        <f t="shared" si="340"/>
        <v>0</v>
      </c>
      <c r="K394" s="324">
        <f t="shared" si="340"/>
        <v>0</v>
      </c>
      <c r="L394" s="324">
        <f t="shared" si="340"/>
        <v>0</v>
      </c>
      <c r="M394" s="324">
        <f t="shared" si="340"/>
        <v>0</v>
      </c>
      <c r="N394" s="324">
        <f t="shared" si="340"/>
        <v>0</v>
      </c>
      <c r="O394" s="324">
        <f>SUM(O395:O396)</f>
        <v>0</v>
      </c>
      <c r="P394" s="324">
        <f t="shared" ref="P394" si="341">SUM(P395:P396)</f>
        <v>7583188</v>
      </c>
      <c r="Q394" s="47"/>
      <c r="R394" s="46"/>
    </row>
    <row r="395" spans="1:18" ht="93" thickTop="1" thickBot="1" x14ac:dyDescent="0.25">
      <c r="A395" s="101" t="s">
        <v>421</v>
      </c>
      <c r="B395" s="101" t="s">
        <v>236</v>
      </c>
      <c r="C395" s="101" t="s">
        <v>234</v>
      </c>
      <c r="D395" s="101" t="s">
        <v>235</v>
      </c>
      <c r="E395" s="324">
        <f>F395</f>
        <v>7583188</v>
      </c>
      <c r="F395" s="453">
        <f>((7070528)+28860)+483800</f>
        <v>7583188</v>
      </c>
      <c r="G395" s="453">
        <f>(5498880)+436200</f>
        <v>5935080</v>
      </c>
      <c r="H395" s="453">
        <f>(121573)+28860</f>
        <v>150433</v>
      </c>
      <c r="I395" s="453"/>
      <c r="J395" s="324">
        <f t="shared" ref="J395:J399" si="342">L395+O395</f>
        <v>0</v>
      </c>
      <c r="K395" s="453"/>
      <c r="L395" s="453"/>
      <c r="M395" s="453"/>
      <c r="N395" s="453"/>
      <c r="O395" s="450">
        <f>K395</f>
        <v>0</v>
      </c>
      <c r="P395" s="324">
        <f t="shared" ref="P395:P399" si="343">E395+J395</f>
        <v>7583188</v>
      </c>
      <c r="Q395" s="47"/>
      <c r="R395" s="46"/>
    </row>
    <row r="396" spans="1:18" ht="93" hidden="1" thickTop="1" thickBot="1" x14ac:dyDescent="0.25">
      <c r="A396" s="41" t="s">
        <v>631</v>
      </c>
      <c r="B396" s="41" t="s">
        <v>362</v>
      </c>
      <c r="C396" s="41" t="s">
        <v>623</v>
      </c>
      <c r="D396" s="41" t="s">
        <v>624</v>
      </c>
      <c r="E396" s="150">
        <f>F396</f>
        <v>0</v>
      </c>
      <c r="F396" s="127">
        <v>0</v>
      </c>
      <c r="G396" s="127"/>
      <c r="H396" s="127"/>
      <c r="I396" s="127"/>
      <c r="J396" s="125">
        <f t="shared" si="342"/>
        <v>0</v>
      </c>
      <c r="K396" s="127"/>
      <c r="L396" s="128"/>
      <c r="M396" s="128"/>
      <c r="N396" s="128"/>
      <c r="O396" s="130">
        <f t="shared" ref="O396" si="344">K396</f>
        <v>0</v>
      </c>
      <c r="P396" s="125">
        <f t="shared" ref="P396" si="345">+J396+E396</f>
        <v>0</v>
      </c>
      <c r="Q396" s="47"/>
      <c r="R396" s="46"/>
    </row>
    <row r="397" spans="1:18" ht="47.25" thickTop="1" thickBot="1" x14ac:dyDescent="0.25">
      <c r="A397" s="308" t="s">
        <v>829</v>
      </c>
      <c r="B397" s="308" t="s">
        <v>692</v>
      </c>
      <c r="C397" s="308"/>
      <c r="D397" s="308" t="s">
        <v>693</v>
      </c>
      <c r="E397" s="309">
        <f>E398</f>
        <v>0</v>
      </c>
      <c r="F397" s="309">
        <f t="shared" ref="F397:P398" si="346">F398</f>
        <v>0</v>
      </c>
      <c r="G397" s="309">
        <f t="shared" si="346"/>
        <v>0</v>
      </c>
      <c r="H397" s="309">
        <f t="shared" si="346"/>
        <v>0</v>
      </c>
      <c r="I397" s="309">
        <f t="shared" si="346"/>
        <v>0</v>
      </c>
      <c r="J397" s="309">
        <f t="shared" si="346"/>
        <v>1200000</v>
      </c>
      <c r="K397" s="309">
        <f t="shared" si="346"/>
        <v>0</v>
      </c>
      <c r="L397" s="309">
        <f t="shared" si="346"/>
        <v>1200000</v>
      </c>
      <c r="M397" s="309">
        <f t="shared" si="346"/>
        <v>0</v>
      </c>
      <c r="N397" s="309">
        <f t="shared" si="346"/>
        <v>0</v>
      </c>
      <c r="O397" s="309">
        <f t="shared" si="346"/>
        <v>0</v>
      </c>
      <c r="P397" s="309">
        <f t="shared" si="346"/>
        <v>1200000</v>
      </c>
      <c r="Q397" s="47"/>
      <c r="R397" s="46"/>
    </row>
    <row r="398" spans="1:18" ht="47.25" thickTop="1" thickBot="1" x14ac:dyDescent="0.25">
      <c r="A398" s="310" t="s">
        <v>830</v>
      </c>
      <c r="B398" s="310" t="s">
        <v>831</v>
      </c>
      <c r="C398" s="310"/>
      <c r="D398" s="310" t="s">
        <v>832</v>
      </c>
      <c r="E398" s="311">
        <f>E399</f>
        <v>0</v>
      </c>
      <c r="F398" s="311">
        <f t="shared" si="346"/>
        <v>0</v>
      </c>
      <c r="G398" s="311">
        <f t="shared" si="346"/>
        <v>0</v>
      </c>
      <c r="H398" s="311">
        <f t="shared" si="346"/>
        <v>0</v>
      </c>
      <c r="I398" s="311">
        <f t="shared" si="346"/>
        <v>0</v>
      </c>
      <c r="J398" s="311">
        <f t="shared" si="346"/>
        <v>1200000</v>
      </c>
      <c r="K398" s="311">
        <f t="shared" si="346"/>
        <v>0</v>
      </c>
      <c r="L398" s="311">
        <f t="shared" si="346"/>
        <v>1200000</v>
      </c>
      <c r="M398" s="311">
        <f t="shared" si="346"/>
        <v>0</v>
      </c>
      <c r="N398" s="311">
        <f t="shared" si="346"/>
        <v>0</v>
      </c>
      <c r="O398" s="311">
        <f t="shared" si="346"/>
        <v>0</v>
      </c>
      <c r="P398" s="311">
        <f t="shared" si="346"/>
        <v>1200000</v>
      </c>
      <c r="Q398" s="47"/>
      <c r="R398" s="46"/>
    </row>
    <row r="399" spans="1:18" ht="48" thickTop="1" thickBot="1" x14ac:dyDescent="0.25">
      <c r="A399" s="101" t="s">
        <v>1109</v>
      </c>
      <c r="B399" s="101" t="s">
        <v>1110</v>
      </c>
      <c r="C399" s="101" t="s">
        <v>51</v>
      </c>
      <c r="D399" s="101" t="s">
        <v>1111</v>
      </c>
      <c r="E399" s="324">
        <v>0</v>
      </c>
      <c r="F399" s="453"/>
      <c r="G399" s="453"/>
      <c r="H399" s="453"/>
      <c r="I399" s="453"/>
      <c r="J399" s="324">
        <f t="shared" si="342"/>
        <v>1200000</v>
      </c>
      <c r="K399" s="324"/>
      <c r="L399" s="453">
        <f>80000+60000+60000+80000+20000+100000+500000+300000</f>
        <v>1200000</v>
      </c>
      <c r="M399" s="453"/>
      <c r="N399" s="453"/>
      <c r="O399" s="450">
        <f>K399</f>
        <v>0</v>
      </c>
      <c r="P399" s="324">
        <f t="shared" si="343"/>
        <v>1200000</v>
      </c>
      <c r="Q399" s="487" t="b">
        <f>J399=[1]d9!F20</f>
        <v>1</v>
      </c>
    </row>
    <row r="400" spans="1:18" ht="47.25" hidden="1" thickTop="1" thickBot="1" x14ac:dyDescent="0.25">
      <c r="A400" s="123" t="s">
        <v>1231</v>
      </c>
      <c r="B400" s="123" t="s">
        <v>698</v>
      </c>
      <c r="C400" s="123"/>
      <c r="D400" s="123" t="s">
        <v>699</v>
      </c>
      <c r="E400" s="125">
        <f t="shared" ref="E400:P400" si="347">E401</f>
        <v>0</v>
      </c>
      <c r="F400" s="125">
        <f t="shared" si="347"/>
        <v>0</v>
      </c>
      <c r="G400" s="125">
        <f t="shared" si="347"/>
        <v>0</v>
      </c>
      <c r="H400" s="125">
        <f t="shared" si="347"/>
        <v>0</v>
      </c>
      <c r="I400" s="125">
        <f t="shared" si="347"/>
        <v>0</v>
      </c>
      <c r="J400" s="125">
        <f t="shared" si="347"/>
        <v>0</v>
      </c>
      <c r="K400" s="125">
        <f t="shared" si="347"/>
        <v>0</v>
      </c>
      <c r="L400" s="125">
        <f t="shared" si="347"/>
        <v>0</v>
      </c>
      <c r="M400" s="125">
        <f t="shared" si="347"/>
        <v>0</v>
      </c>
      <c r="N400" s="125">
        <f t="shared" si="347"/>
        <v>0</v>
      </c>
      <c r="O400" s="125">
        <f t="shared" si="347"/>
        <v>0</v>
      </c>
      <c r="P400" s="125">
        <f t="shared" si="347"/>
        <v>0</v>
      </c>
      <c r="Q400" s="47"/>
    </row>
    <row r="401" spans="1:19" ht="91.5" hidden="1" thickTop="1" thickBot="1" x14ac:dyDescent="0.25">
      <c r="A401" s="134" t="s">
        <v>1230</v>
      </c>
      <c r="B401" s="134" t="s">
        <v>513</v>
      </c>
      <c r="C401" s="134" t="s">
        <v>43</v>
      </c>
      <c r="D401" s="134" t="s">
        <v>514</v>
      </c>
      <c r="E401" s="135">
        <f t="shared" ref="E401" si="348">F401</f>
        <v>0</v>
      </c>
      <c r="F401" s="135">
        <v>0</v>
      </c>
      <c r="G401" s="135"/>
      <c r="H401" s="135"/>
      <c r="I401" s="135"/>
      <c r="J401" s="135">
        <f>L401+O401</f>
        <v>0</v>
      </c>
      <c r="K401" s="132">
        <v>0</v>
      </c>
      <c r="L401" s="135"/>
      <c r="M401" s="135"/>
      <c r="N401" s="135"/>
      <c r="O401" s="135">
        <f>(K401+0)</f>
        <v>0</v>
      </c>
      <c r="P401" s="135">
        <f>E401+J401</f>
        <v>0</v>
      </c>
      <c r="Q401" s="47"/>
    </row>
    <row r="402" spans="1:19" ht="120" customHeight="1" thickTop="1" thickBot="1" x14ac:dyDescent="0.25">
      <c r="A402" s="689" t="s">
        <v>162</v>
      </c>
      <c r="B402" s="689"/>
      <c r="C402" s="689"/>
      <c r="D402" s="690" t="s">
        <v>891</v>
      </c>
      <c r="E402" s="691">
        <f>E403</f>
        <v>10239624</v>
      </c>
      <c r="F402" s="692">
        <f t="shared" ref="F402:G402" si="349">F403</f>
        <v>10239624</v>
      </c>
      <c r="G402" s="692">
        <f t="shared" si="349"/>
        <v>7593804</v>
      </c>
      <c r="H402" s="692">
        <f>H403</f>
        <v>329783</v>
      </c>
      <c r="I402" s="692">
        <f t="shared" ref="I402" si="350">I403</f>
        <v>0</v>
      </c>
      <c r="J402" s="691">
        <f>J403</f>
        <v>145000</v>
      </c>
      <c r="K402" s="692">
        <f>K403</f>
        <v>145000</v>
      </c>
      <c r="L402" s="692">
        <f>L403</f>
        <v>0</v>
      </c>
      <c r="M402" s="692">
        <f t="shared" ref="M402" si="351">M403</f>
        <v>0</v>
      </c>
      <c r="N402" s="692">
        <f>N403</f>
        <v>0</v>
      </c>
      <c r="O402" s="691">
        <f>O403</f>
        <v>145000</v>
      </c>
      <c r="P402" s="692">
        <f t="shared" ref="P402" si="352">P403</f>
        <v>10384624</v>
      </c>
      <c r="Q402" s="20"/>
    </row>
    <row r="403" spans="1:19" ht="120" customHeight="1" thickTop="1" thickBot="1" x14ac:dyDescent="0.25">
      <c r="A403" s="693" t="s">
        <v>163</v>
      </c>
      <c r="B403" s="693"/>
      <c r="C403" s="693"/>
      <c r="D403" s="694" t="s">
        <v>890</v>
      </c>
      <c r="E403" s="695">
        <f>E404+E406</f>
        <v>10239624</v>
      </c>
      <c r="F403" s="695">
        <f t="shared" ref="F403:I403" si="353">F404+F406</f>
        <v>10239624</v>
      </c>
      <c r="G403" s="695">
        <f t="shared" si="353"/>
        <v>7593804</v>
      </c>
      <c r="H403" s="695">
        <f t="shared" si="353"/>
        <v>329783</v>
      </c>
      <c r="I403" s="695">
        <f t="shared" si="353"/>
        <v>0</v>
      </c>
      <c r="J403" s="695">
        <f>L403+O403</f>
        <v>145000</v>
      </c>
      <c r="K403" s="695">
        <f t="shared" ref="K403:O403" si="354">K404+K406</f>
        <v>145000</v>
      </c>
      <c r="L403" s="695">
        <f t="shared" si="354"/>
        <v>0</v>
      </c>
      <c r="M403" s="695">
        <f t="shared" si="354"/>
        <v>0</v>
      </c>
      <c r="N403" s="695">
        <f t="shared" si="354"/>
        <v>0</v>
      </c>
      <c r="O403" s="695">
        <f t="shared" si="354"/>
        <v>145000</v>
      </c>
      <c r="P403" s="695">
        <f>E403+J403</f>
        <v>10384624</v>
      </c>
      <c r="Q403" s="487" t="b">
        <f>P403=P405+P408+P410</f>
        <v>1</v>
      </c>
      <c r="R403" s="45"/>
    </row>
    <row r="404" spans="1:19" ht="47.25" thickTop="1" thickBot="1" x14ac:dyDescent="0.25">
      <c r="A404" s="308" t="s">
        <v>833</v>
      </c>
      <c r="B404" s="308" t="s">
        <v>680</v>
      </c>
      <c r="C404" s="308"/>
      <c r="D404" s="308" t="s">
        <v>681</v>
      </c>
      <c r="E404" s="324">
        <f>SUM(E405)</f>
        <v>9969624</v>
      </c>
      <c r="F404" s="324">
        <f t="shared" ref="F404:P404" si="355">SUM(F405)</f>
        <v>9969624</v>
      </c>
      <c r="G404" s="324">
        <f t="shared" si="355"/>
        <v>7593804</v>
      </c>
      <c r="H404" s="324">
        <f t="shared" si="355"/>
        <v>329783</v>
      </c>
      <c r="I404" s="324">
        <f t="shared" si="355"/>
        <v>0</v>
      </c>
      <c r="J404" s="324">
        <f t="shared" si="355"/>
        <v>60000</v>
      </c>
      <c r="K404" s="324">
        <f t="shared" si="355"/>
        <v>60000</v>
      </c>
      <c r="L404" s="324">
        <f t="shared" si="355"/>
        <v>0</v>
      </c>
      <c r="M404" s="324">
        <f t="shared" si="355"/>
        <v>0</v>
      </c>
      <c r="N404" s="324">
        <f t="shared" si="355"/>
        <v>0</v>
      </c>
      <c r="O404" s="324">
        <f t="shared" si="355"/>
        <v>60000</v>
      </c>
      <c r="P404" s="324">
        <f t="shared" si="355"/>
        <v>10029624</v>
      </c>
      <c r="Q404" s="47"/>
      <c r="R404" s="45"/>
    </row>
    <row r="405" spans="1:19" ht="93" thickTop="1" thickBot="1" x14ac:dyDescent="0.25">
      <c r="A405" s="101" t="s">
        <v>417</v>
      </c>
      <c r="B405" s="101" t="s">
        <v>236</v>
      </c>
      <c r="C405" s="101" t="s">
        <v>234</v>
      </c>
      <c r="D405" s="101" t="s">
        <v>235</v>
      </c>
      <c r="E405" s="324">
        <f>F405</f>
        <v>9969624</v>
      </c>
      <c r="F405" s="453">
        <f>((10159624)+9000)-250000+15000+15000+5000+16000</f>
        <v>9969624</v>
      </c>
      <c r="G405" s="453">
        <f>(7843804)-250000</f>
        <v>7593804</v>
      </c>
      <c r="H405" s="453">
        <v>329783</v>
      </c>
      <c r="I405" s="453"/>
      <c r="J405" s="324">
        <f>L405+O405</f>
        <v>60000</v>
      </c>
      <c r="K405" s="453">
        <f>(0)+60000</f>
        <v>60000</v>
      </c>
      <c r="L405" s="453"/>
      <c r="M405" s="453"/>
      <c r="N405" s="453"/>
      <c r="O405" s="450">
        <f>K405</f>
        <v>60000</v>
      </c>
      <c r="P405" s="324">
        <f>E405+J405</f>
        <v>10029624</v>
      </c>
      <c r="Q405" s="20"/>
      <c r="R405" s="45"/>
    </row>
    <row r="406" spans="1:19" ht="47.25" thickTop="1" thickBot="1" x14ac:dyDescent="0.25">
      <c r="A406" s="308" t="s">
        <v>834</v>
      </c>
      <c r="B406" s="308" t="s">
        <v>744</v>
      </c>
      <c r="C406" s="101"/>
      <c r="D406" s="308" t="s">
        <v>790</v>
      </c>
      <c r="E406" s="324">
        <f t="shared" ref="E406:P406" si="356">E407+E409</f>
        <v>270000</v>
      </c>
      <c r="F406" s="324">
        <f t="shared" si="356"/>
        <v>270000</v>
      </c>
      <c r="G406" s="324">
        <f t="shared" si="356"/>
        <v>0</v>
      </c>
      <c r="H406" s="324">
        <f t="shared" si="356"/>
        <v>0</v>
      </c>
      <c r="I406" s="324">
        <f t="shared" si="356"/>
        <v>0</v>
      </c>
      <c r="J406" s="324">
        <f t="shared" si="356"/>
        <v>85000</v>
      </c>
      <c r="K406" s="324">
        <f t="shared" si="356"/>
        <v>85000</v>
      </c>
      <c r="L406" s="324">
        <f t="shared" si="356"/>
        <v>0</v>
      </c>
      <c r="M406" s="324">
        <f t="shared" si="356"/>
        <v>0</v>
      </c>
      <c r="N406" s="324">
        <f t="shared" si="356"/>
        <v>0</v>
      </c>
      <c r="O406" s="324">
        <f t="shared" si="356"/>
        <v>85000</v>
      </c>
      <c r="P406" s="324">
        <f t="shared" si="356"/>
        <v>355000</v>
      </c>
      <c r="Q406" s="20"/>
      <c r="R406" s="47"/>
    </row>
    <row r="407" spans="1:19" ht="47.25" thickTop="1" thickBot="1" x14ac:dyDescent="0.25">
      <c r="A407" s="310" t="s">
        <v>835</v>
      </c>
      <c r="B407" s="310" t="s">
        <v>836</v>
      </c>
      <c r="C407" s="310"/>
      <c r="D407" s="310" t="s">
        <v>837</v>
      </c>
      <c r="E407" s="312">
        <f>SUM(E408)</f>
        <v>270000</v>
      </c>
      <c r="F407" s="312">
        <f t="shared" ref="F407:P407" si="357">SUM(F408)</f>
        <v>270000</v>
      </c>
      <c r="G407" s="312">
        <f t="shared" si="357"/>
        <v>0</v>
      </c>
      <c r="H407" s="312">
        <f t="shared" si="357"/>
        <v>0</v>
      </c>
      <c r="I407" s="312">
        <f t="shared" si="357"/>
        <v>0</v>
      </c>
      <c r="J407" s="312">
        <f t="shared" si="357"/>
        <v>0</v>
      </c>
      <c r="K407" s="312">
        <f t="shared" si="357"/>
        <v>0</v>
      </c>
      <c r="L407" s="312">
        <f t="shared" si="357"/>
        <v>0</v>
      </c>
      <c r="M407" s="312">
        <f t="shared" si="357"/>
        <v>0</v>
      </c>
      <c r="N407" s="312">
        <f t="shared" si="357"/>
        <v>0</v>
      </c>
      <c r="O407" s="312">
        <f t="shared" si="357"/>
        <v>0</v>
      </c>
      <c r="P407" s="312">
        <f t="shared" si="357"/>
        <v>270000</v>
      </c>
      <c r="Q407" s="20"/>
      <c r="R407" s="47"/>
    </row>
    <row r="408" spans="1:19" ht="48" thickTop="1" thickBot="1" x14ac:dyDescent="0.25">
      <c r="A408" s="101" t="s">
        <v>306</v>
      </c>
      <c r="B408" s="101" t="s">
        <v>307</v>
      </c>
      <c r="C408" s="101" t="s">
        <v>308</v>
      </c>
      <c r="D408" s="101" t="s">
        <v>460</v>
      </c>
      <c r="E408" s="324">
        <f>F408</f>
        <v>270000</v>
      </c>
      <c r="F408" s="453">
        <f>((30000)+80000+50000)+110000</f>
        <v>270000</v>
      </c>
      <c r="G408" s="453"/>
      <c r="H408" s="453"/>
      <c r="I408" s="453"/>
      <c r="J408" s="324">
        <f>L408+O408</f>
        <v>0</v>
      </c>
      <c r="K408" s="453">
        <f>(30000)-30000</f>
        <v>0</v>
      </c>
      <c r="L408" s="453"/>
      <c r="M408" s="453"/>
      <c r="N408" s="453"/>
      <c r="O408" s="450">
        <f>(K408)</f>
        <v>0</v>
      </c>
      <c r="P408" s="324">
        <f>E408+J408</f>
        <v>270000</v>
      </c>
      <c r="Q408" s="20"/>
      <c r="R408" s="45"/>
    </row>
    <row r="409" spans="1:19" ht="47.25" thickTop="1" thickBot="1" x14ac:dyDescent="0.25">
      <c r="A409" s="310" t="s">
        <v>838</v>
      </c>
      <c r="B409" s="310" t="s">
        <v>687</v>
      </c>
      <c r="C409" s="101"/>
      <c r="D409" s="310" t="s">
        <v>839</v>
      </c>
      <c r="E409" s="312">
        <f>SUM(E410)</f>
        <v>0</v>
      </c>
      <c r="F409" s="312">
        <f t="shared" ref="F409:P409" si="358">SUM(F410)</f>
        <v>0</v>
      </c>
      <c r="G409" s="312">
        <f t="shared" si="358"/>
        <v>0</v>
      </c>
      <c r="H409" s="312">
        <f t="shared" si="358"/>
        <v>0</v>
      </c>
      <c r="I409" s="312">
        <f t="shared" si="358"/>
        <v>0</v>
      </c>
      <c r="J409" s="312">
        <f t="shared" si="358"/>
        <v>85000</v>
      </c>
      <c r="K409" s="312">
        <f t="shared" si="358"/>
        <v>85000</v>
      </c>
      <c r="L409" s="312">
        <f t="shared" si="358"/>
        <v>0</v>
      </c>
      <c r="M409" s="312">
        <f t="shared" si="358"/>
        <v>0</v>
      </c>
      <c r="N409" s="312">
        <f t="shared" si="358"/>
        <v>0</v>
      </c>
      <c r="O409" s="312">
        <f t="shared" si="358"/>
        <v>85000</v>
      </c>
      <c r="P409" s="312">
        <f t="shared" si="358"/>
        <v>85000</v>
      </c>
      <c r="Q409" s="20"/>
    </row>
    <row r="410" spans="1:19" ht="48" thickTop="1" thickBot="1" x14ac:dyDescent="0.25">
      <c r="A410" s="101" t="s">
        <v>368</v>
      </c>
      <c r="B410" s="101" t="s">
        <v>369</v>
      </c>
      <c r="C410" s="101" t="s">
        <v>170</v>
      </c>
      <c r="D410" s="101" t="s">
        <v>370</v>
      </c>
      <c r="E410" s="324">
        <f>F410</f>
        <v>0</v>
      </c>
      <c r="F410" s="453"/>
      <c r="G410" s="453"/>
      <c r="H410" s="453"/>
      <c r="I410" s="453"/>
      <c r="J410" s="324">
        <f>L410+O410</f>
        <v>85000</v>
      </c>
      <c r="K410" s="453">
        <f>(((5000)+10000)+50000)+20000</f>
        <v>85000</v>
      </c>
      <c r="L410" s="453"/>
      <c r="M410" s="453"/>
      <c r="N410" s="453"/>
      <c r="O410" s="450">
        <f>K410</f>
        <v>85000</v>
      </c>
      <c r="P410" s="324">
        <f>E410+J410</f>
        <v>85000</v>
      </c>
      <c r="Q410" s="20"/>
      <c r="R410" s="45"/>
    </row>
    <row r="411" spans="1:19" ht="120" customHeight="1" thickTop="1" thickBot="1" x14ac:dyDescent="0.25">
      <c r="A411" s="689" t="s">
        <v>168</v>
      </c>
      <c r="B411" s="689"/>
      <c r="C411" s="689"/>
      <c r="D411" s="690" t="s">
        <v>27</v>
      </c>
      <c r="E411" s="691">
        <f>E412</f>
        <v>15933685.010000002</v>
      </c>
      <c r="F411" s="692">
        <f t="shared" ref="F411:G411" si="359">F412</f>
        <v>15933685.010000002</v>
      </c>
      <c r="G411" s="692">
        <f t="shared" si="359"/>
        <v>9003383</v>
      </c>
      <c r="H411" s="692">
        <f>H412</f>
        <v>258373</v>
      </c>
      <c r="I411" s="692">
        <f t="shared" ref="I411" si="360">I412</f>
        <v>0</v>
      </c>
      <c r="J411" s="691">
        <f>J412</f>
        <v>0</v>
      </c>
      <c r="K411" s="692">
        <f>K412</f>
        <v>0</v>
      </c>
      <c r="L411" s="692">
        <f>L412</f>
        <v>0</v>
      </c>
      <c r="M411" s="692">
        <f t="shared" ref="M411" si="361">M412</f>
        <v>0</v>
      </c>
      <c r="N411" s="692">
        <f>N412</f>
        <v>0</v>
      </c>
      <c r="O411" s="691">
        <f>O412</f>
        <v>0</v>
      </c>
      <c r="P411" s="692">
        <f t="shared" ref="P411" si="362">P412</f>
        <v>15933685.010000002</v>
      </c>
      <c r="Q411" s="20"/>
    </row>
    <row r="412" spans="1:19" ht="120" customHeight="1" thickTop="1" thickBot="1" x14ac:dyDescent="0.25">
      <c r="A412" s="693" t="s">
        <v>169</v>
      </c>
      <c r="B412" s="693"/>
      <c r="C412" s="693"/>
      <c r="D412" s="694" t="s">
        <v>40</v>
      </c>
      <c r="E412" s="695">
        <f>E413+E419+E426+E416</f>
        <v>15933685.010000002</v>
      </c>
      <c r="F412" s="695">
        <f t="shared" ref="F412:P412" si="363">F413+F419+F426+F416</f>
        <v>15933685.010000002</v>
      </c>
      <c r="G412" s="695">
        <f t="shared" si="363"/>
        <v>9003383</v>
      </c>
      <c r="H412" s="695">
        <f t="shared" si="363"/>
        <v>258373</v>
      </c>
      <c r="I412" s="695">
        <f t="shared" si="363"/>
        <v>0</v>
      </c>
      <c r="J412" s="695">
        <f t="shared" si="363"/>
        <v>0</v>
      </c>
      <c r="K412" s="695">
        <f t="shared" si="363"/>
        <v>0</v>
      </c>
      <c r="L412" s="695">
        <f t="shared" si="363"/>
        <v>0</v>
      </c>
      <c r="M412" s="695">
        <f t="shared" si="363"/>
        <v>0</v>
      </c>
      <c r="N412" s="695">
        <f t="shared" si="363"/>
        <v>0</v>
      </c>
      <c r="O412" s="695">
        <f t="shared" si="363"/>
        <v>0</v>
      </c>
      <c r="P412" s="695">
        <f t="shared" si="363"/>
        <v>15933685.010000002</v>
      </c>
      <c r="Q412" s="487" t="b">
        <f>P412=P414+P420+P422</f>
        <v>1</v>
      </c>
      <c r="R412" s="45"/>
    </row>
    <row r="413" spans="1:19" ht="47.25" thickTop="1" thickBot="1" x14ac:dyDescent="0.25">
      <c r="A413" s="308" t="s">
        <v>840</v>
      </c>
      <c r="B413" s="308" t="s">
        <v>680</v>
      </c>
      <c r="C413" s="308"/>
      <c r="D413" s="308" t="s">
        <v>681</v>
      </c>
      <c r="E413" s="324">
        <f>SUM(E414:E415)</f>
        <v>11266342</v>
      </c>
      <c r="F413" s="324">
        <f t="shared" ref="F413:P413" si="364">SUM(F414:F415)</f>
        <v>11266342</v>
      </c>
      <c r="G413" s="324">
        <f t="shared" si="364"/>
        <v>9003383</v>
      </c>
      <c r="H413" s="324">
        <f t="shared" si="364"/>
        <v>258373</v>
      </c>
      <c r="I413" s="324">
        <f t="shared" si="364"/>
        <v>0</v>
      </c>
      <c r="J413" s="324">
        <f t="shared" si="364"/>
        <v>0</v>
      </c>
      <c r="K413" s="324">
        <f t="shared" si="364"/>
        <v>0</v>
      </c>
      <c r="L413" s="324">
        <f t="shared" si="364"/>
        <v>0</v>
      </c>
      <c r="M413" s="324">
        <f t="shared" si="364"/>
        <v>0</v>
      </c>
      <c r="N413" s="324">
        <f t="shared" si="364"/>
        <v>0</v>
      </c>
      <c r="O413" s="324">
        <f t="shared" si="364"/>
        <v>0</v>
      </c>
      <c r="P413" s="324">
        <f t="shared" si="364"/>
        <v>11266342</v>
      </c>
      <c r="Q413" s="47"/>
      <c r="R413" s="50"/>
    </row>
    <row r="414" spans="1:19" ht="93" thickTop="1" thickBot="1" x14ac:dyDescent="0.25">
      <c r="A414" s="101" t="s">
        <v>419</v>
      </c>
      <c r="B414" s="101" t="s">
        <v>236</v>
      </c>
      <c r="C414" s="101" t="s">
        <v>234</v>
      </c>
      <c r="D414" s="101" t="s">
        <v>235</v>
      </c>
      <c r="E414" s="324">
        <f>F414</f>
        <v>11266342</v>
      </c>
      <c r="F414" s="453">
        <f>(10337342)+929000</f>
        <v>11266342</v>
      </c>
      <c r="G414" s="453">
        <f>(8214383)+789000</f>
        <v>9003383</v>
      </c>
      <c r="H414" s="453">
        <v>258373</v>
      </c>
      <c r="I414" s="453"/>
      <c r="J414" s="324">
        <f>L414+O414</f>
        <v>0</v>
      </c>
      <c r="K414" s="453">
        <v>0</v>
      </c>
      <c r="L414" s="453"/>
      <c r="M414" s="453"/>
      <c r="N414" s="453"/>
      <c r="O414" s="450">
        <f>K414</f>
        <v>0</v>
      </c>
      <c r="P414" s="324">
        <f>E414+J414</f>
        <v>11266342</v>
      </c>
      <c r="Q414" s="47"/>
      <c r="R414" s="50"/>
      <c r="S414" s="47"/>
    </row>
    <row r="415" spans="1:19" ht="93" hidden="1" thickTop="1" thickBot="1" x14ac:dyDescent="0.25">
      <c r="A415" s="126" t="s">
        <v>632</v>
      </c>
      <c r="B415" s="126" t="s">
        <v>362</v>
      </c>
      <c r="C415" s="126" t="s">
        <v>623</v>
      </c>
      <c r="D415" s="126" t="s">
        <v>624</v>
      </c>
      <c r="E415" s="150">
        <f>F415</f>
        <v>0</v>
      </c>
      <c r="F415" s="127"/>
      <c r="G415" s="127"/>
      <c r="H415" s="127"/>
      <c r="I415" s="127"/>
      <c r="J415" s="125">
        <f t="shared" ref="J415" si="365">L415+O415</f>
        <v>0</v>
      </c>
      <c r="K415" s="127"/>
      <c r="L415" s="128"/>
      <c r="M415" s="128"/>
      <c r="N415" s="128"/>
      <c r="O415" s="130">
        <f t="shared" ref="O415" si="366">K415</f>
        <v>0</v>
      </c>
      <c r="P415" s="125">
        <f t="shared" ref="P415" si="367">+J415+E415</f>
        <v>0</v>
      </c>
      <c r="Q415" s="47"/>
      <c r="R415" s="50"/>
    </row>
    <row r="416" spans="1:19" ht="47.25" hidden="1" thickTop="1" thickBot="1" x14ac:dyDescent="0.25">
      <c r="A416" s="134" t="s">
        <v>1186</v>
      </c>
      <c r="B416" s="134" t="s">
        <v>687</v>
      </c>
      <c r="C416" s="134"/>
      <c r="D416" s="134" t="s">
        <v>685</v>
      </c>
      <c r="E416" s="163">
        <f>E417</f>
        <v>0</v>
      </c>
      <c r="F416" s="163">
        <f t="shared" ref="F416:P417" si="368">F417</f>
        <v>0</v>
      </c>
      <c r="G416" s="163">
        <f t="shared" si="368"/>
        <v>0</v>
      </c>
      <c r="H416" s="163">
        <f t="shared" si="368"/>
        <v>0</v>
      </c>
      <c r="I416" s="163">
        <f t="shared" si="368"/>
        <v>0</v>
      </c>
      <c r="J416" s="163">
        <f t="shared" si="368"/>
        <v>0</v>
      </c>
      <c r="K416" s="163">
        <f t="shared" si="368"/>
        <v>0</v>
      </c>
      <c r="L416" s="163">
        <f t="shared" si="368"/>
        <v>0</v>
      </c>
      <c r="M416" s="163">
        <f t="shared" si="368"/>
        <v>0</v>
      </c>
      <c r="N416" s="163">
        <f t="shared" si="368"/>
        <v>0</v>
      </c>
      <c r="O416" s="163">
        <f t="shared" si="368"/>
        <v>0</v>
      </c>
      <c r="P416" s="163">
        <f t="shared" si="368"/>
        <v>0</v>
      </c>
      <c r="Q416" s="47"/>
      <c r="R416" s="50"/>
    </row>
    <row r="417" spans="1:18" ht="48" hidden="1" thickTop="1" thickBot="1" x14ac:dyDescent="0.25">
      <c r="A417" s="138" t="s">
        <v>1187</v>
      </c>
      <c r="B417" s="138" t="s">
        <v>690</v>
      </c>
      <c r="C417" s="138"/>
      <c r="D417" s="138" t="s">
        <v>688</v>
      </c>
      <c r="E417" s="139">
        <f>E418</f>
        <v>0</v>
      </c>
      <c r="F417" s="139">
        <f t="shared" si="368"/>
        <v>0</v>
      </c>
      <c r="G417" s="139">
        <f t="shared" si="368"/>
        <v>0</v>
      </c>
      <c r="H417" s="139">
        <f t="shared" si="368"/>
        <v>0</v>
      </c>
      <c r="I417" s="139">
        <f t="shared" si="368"/>
        <v>0</v>
      </c>
      <c r="J417" s="139">
        <f t="shared" si="368"/>
        <v>0</v>
      </c>
      <c r="K417" s="139">
        <f t="shared" si="368"/>
        <v>0</v>
      </c>
      <c r="L417" s="139">
        <f t="shared" si="368"/>
        <v>0</v>
      </c>
      <c r="M417" s="139">
        <f t="shared" si="368"/>
        <v>0</v>
      </c>
      <c r="N417" s="139">
        <f t="shared" si="368"/>
        <v>0</v>
      </c>
      <c r="O417" s="139">
        <f t="shared" si="368"/>
        <v>0</v>
      </c>
      <c r="P417" s="139">
        <f t="shared" si="368"/>
        <v>0</v>
      </c>
      <c r="Q417" s="47"/>
      <c r="R417" s="50"/>
    </row>
    <row r="418" spans="1:18" ht="48" hidden="1" thickTop="1" thickBot="1" x14ac:dyDescent="0.25">
      <c r="A418" s="126" t="s">
        <v>1188</v>
      </c>
      <c r="B418" s="126" t="s">
        <v>257</v>
      </c>
      <c r="C418" s="126" t="s">
        <v>170</v>
      </c>
      <c r="D418" s="126" t="s">
        <v>255</v>
      </c>
      <c r="E418" s="125">
        <f t="shared" ref="E418" si="369">F418</f>
        <v>0</v>
      </c>
      <c r="F418" s="132"/>
      <c r="G418" s="132"/>
      <c r="H418" s="132"/>
      <c r="I418" s="132"/>
      <c r="J418" s="125">
        <f t="shared" ref="J418" si="370">L418+O418</f>
        <v>0</v>
      </c>
      <c r="K418" s="132"/>
      <c r="L418" s="132"/>
      <c r="M418" s="132"/>
      <c r="N418" s="132"/>
      <c r="O418" s="130">
        <f>K418</f>
        <v>0</v>
      </c>
      <c r="P418" s="125">
        <f t="shared" ref="P418" si="371">E418+J418</f>
        <v>0</v>
      </c>
      <c r="Q418" s="47"/>
      <c r="R418" s="50"/>
    </row>
    <row r="419" spans="1:18" ht="47.25" thickTop="1" thickBot="1" x14ac:dyDescent="0.25">
      <c r="A419" s="308" t="s">
        <v>841</v>
      </c>
      <c r="B419" s="308" t="s">
        <v>692</v>
      </c>
      <c r="C419" s="308"/>
      <c r="D419" s="308" t="s">
        <v>693</v>
      </c>
      <c r="E419" s="309">
        <f t="shared" ref="E419:P419" si="372">E420+E421+E423</f>
        <v>4667343.0100000016</v>
      </c>
      <c r="F419" s="309">
        <f t="shared" si="372"/>
        <v>4667343.0100000016</v>
      </c>
      <c r="G419" s="309">
        <f t="shared" si="372"/>
        <v>0</v>
      </c>
      <c r="H419" s="309">
        <f t="shared" si="372"/>
        <v>0</v>
      </c>
      <c r="I419" s="309">
        <f t="shared" si="372"/>
        <v>0</v>
      </c>
      <c r="J419" s="309">
        <f t="shared" si="372"/>
        <v>0</v>
      </c>
      <c r="K419" s="309">
        <f t="shared" si="372"/>
        <v>0</v>
      </c>
      <c r="L419" s="309">
        <f t="shared" si="372"/>
        <v>0</v>
      </c>
      <c r="M419" s="309">
        <f t="shared" si="372"/>
        <v>0</v>
      </c>
      <c r="N419" s="309">
        <f t="shared" si="372"/>
        <v>0</v>
      </c>
      <c r="O419" s="309">
        <f t="shared" si="372"/>
        <v>0</v>
      </c>
      <c r="P419" s="309">
        <f t="shared" si="372"/>
        <v>4667343.0100000016</v>
      </c>
      <c r="Q419" s="47"/>
      <c r="R419" s="50"/>
    </row>
    <row r="420" spans="1:18" ht="47.25" thickTop="1" thickBot="1" x14ac:dyDescent="0.25">
      <c r="A420" s="510">
        <v>3718600</v>
      </c>
      <c r="B420" s="510">
        <v>8600</v>
      </c>
      <c r="C420" s="310" t="s">
        <v>362</v>
      </c>
      <c r="D420" s="510" t="s">
        <v>451</v>
      </c>
      <c r="E420" s="312">
        <f>F420</f>
        <v>835650</v>
      </c>
      <c r="F420" s="312">
        <f>(525644)+310006</f>
        <v>835650</v>
      </c>
      <c r="G420" s="312"/>
      <c r="H420" s="312"/>
      <c r="I420" s="312"/>
      <c r="J420" s="312">
        <f>L420+O420</f>
        <v>0</v>
      </c>
      <c r="K420" s="312"/>
      <c r="L420" s="312"/>
      <c r="M420" s="312"/>
      <c r="N420" s="312"/>
      <c r="O420" s="511">
        <f>K420</f>
        <v>0</v>
      </c>
      <c r="P420" s="312">
        <f>E420+J420</f>
        <v>835650</v>
      </c>
      <c r="Q420" s="20"/>
    </row>
    <row r="421" spans="1:18" ht="47.25" thickTop="1" thickBot="1" x14ac:dyDescent="0.25">
      <c r="A421" s="510">
        <v>3718700</v>
      </c>
      <c r="B421" s="510">
        <v>8700</v>
      </c>
      <c r="C421" s="310"/>
      <c r="D421" s="510" t="s">
        <v>842</v>
      </c>
      <c r="E421" s="312">
        <f t="shared" ref="E421:P421" si="373">E422</f>
        <v>3831693.0100000016</v>
      </c>
      <c r="F421" s="312">
        <f t="shared" si="373"/>
        <v>3831693.0100000016</v>
      </c>
      <c r="G421" s="312">
        <f t="shared" si="373"/>
        <v>0</v>
      </c>
      <c r="H421" s="312">
        <f t="shared" si="373"/>
        <v>0</v>
      </c>
      <c r="I421" s="312">
        <f t="shared" si="373"/>
        <v>0</v>
      </c>
      <c r="J421" s="312">
        <f t="shared" si="373"/>
        <v>0</v>
      </c>
      <c r="K421" s="312">
        <f t="shared" si="373"/>
        <v>0</v>
      </c>
      <c r="L421" s="312">
        <f t="shared" si="373"/>
        <v>0</v>
      </c>
      <c r="M421" s="312">
        <f t="shared" si="373"/>
        <v>0</v>
      </c>
      <c r="N421" s="312">
        <f t="shared" si="373"/>
        <v>0</v>
      </c>
      <c r="O421" s="312">
        <f t="shared" si="373"/>
        <v>0</v>
      </c>
      <c r="P421" s="312">
        <f t="shared" si="373"/>
        <v>3831693.0100000016</v>
      </c>
      <c r="Q421" s="20"/>
    </row>
    <row r="422" spans="1:18" ht="69" customHeight="1" thickTop="1" thickBot="1" x14ac:dyDescent="0.25">
      <c r="A422" s="326">
        <v>3718710</v>
      </c>
      <c r="B422" s="326">
        <v>8710</v>
      </c>
      <c r="C422" s="101" t="s">
        <v>42</v>
      </c>
      <c r="D422" s="461" t="s">
        <v>638</v>
      </c>
      <c r="E422" s="324">
        <f>F422</f>
        <v>3831693.0100000016</v>
      </c>
      <c r="F422" s="453">
        <f>((50431231.78-20000000-8000000)-12299538.77-300000)-6000000</f>
        <v>3831693.0100000016</v>
      </c>
      <c r="G422" s="453"/>
      <c r="H422" s="453"/>
      <c r="I422" s="453"/>
      <c r="J422" s="324">
        <f>L422+O422</f>
        <v>0</v>
      </c>
      <c r="K422" s="453"/>
      <c r="L422" s="453"/>
      <c r="M422" s="453"/>
      <c r="N422" s="453"/>
      <c r="O422" s="450">
        <f>K422</f>
        <v>0</v>
      </c>
      <c r="P422" s="324">
        <f>E422+J422</f>
        <v>3831693.0100000016</v>
      </c>
      <c r="Q422" s="20"/>
    </row>
    <row r="423" spans="1:18" ht="47.25" hidden="1" thickTop="1" thickBot="1" x14ac:dyDescent="0.25">
      <c r="A423" s="164">
        <v>3718800</v>
      </c>
      <c r="B423" s="164">
        <v>8800</v>
      </c>
      <c r="C423" s="134"/>
      <c r="D423" s="164" t="s">
        <v>850</v>
      </c>
      <c r="E423" s="135">
        <f>E424</f>
        <v>0</v>
      </c>
      <c r="F423" s="135">
        <f>F424</f>
        <v>0</v>
      </c>
      <c r="G423" s="135">
        <f t="shared" ref="G423:P424" si="374">G424</f>
        <v>0</v>
      </c>
      <c r="H423" s="135">
        <f t="shared" si="374"/>
        <v>0</v>
      </c>
      <c r="I423" s="135">
        <f t="shared" si="374"/>
        <v>0</v>
      </c>
      <c r="J423" s="135">
        <f t="shared" si="374"/>
        <v>0</v>
      </c>
      <c r="K423" s="135">
        <f t="shared" si="374"/>
        <v>0</v>
      </c>
      <c r="L423" s="135">
        <f t="shared" si="374"/>
        <v>0</v>
      </c>
      <c r="M423" s="135">
        <f t="shared" si="374"/>
        <v>0</v>
      </c>
      <c r="N423" s="135">
        <f t="shared" si="374"/>
        <v>0</v>
      </c>
      <c r="O423" s="135">
        <f t="shared" si="374"/>
        <v>0</v>
      </c>
      <c r="P423" s="135">
        <f t="shared" si="374"/>
        <v>0</v>
      </c>
      <c r="Q423" s="20"/>
    </row>
    <row r="424" spans="1:18" ht="93" hidden="1" thickTop="1" thickBot="1" x14ac:dyDescent="0.25">
      <c r="A424" s="165">
        <v>3718880</v>
      </c>
      <c r="B424" s="165">
        <v>8880</v>
      </c>
      <c r="C424" s="138"/>
      <c r="D424" s="151" t="s">
        <v>1136</v>
      </c>
      <c r="E424" s="139">
        <f>E425</f>
        <v>0</v>
      </c>
      <c r="F424" s="139">
        <f t="shared" ref="F424" si="375">F425</f>
        <v>0</v>
      </c>
      <c r="G424" s="139">
        <f t="shared" si="374"/>
        <v>0</v>
      </c>
      <c r="H424" s="139">
        <f t="shared" si="374"/>
        <v>0</v>
      </c>
      <c r="I424" s="139">
        <f t="shared" si="374"/>
        <v>0</v>
      </c>
      <c r="J424" s="139">
        <f t="shared" si="374"/>
        <v>0</v>
      </c>
      <c r="K424" s="139">
        <f t="shared" si="374"/>
        <v>0</v>
      </c>
      <c r="L424" s="139">
        <f t="shared" si="374"/>
        <v>0</v>
      </c>
      <c r="M424" s="139">
        <f t="shared" si="374"/>
        <v>0</v>
      </c>
      <c r="N424" s="139">
        <f t="shared" si="374"/>
        <v>0</v>
      </c>
      <c r="O424" s="139">
        <f t="shared" si="374"/>
        <v>0</v>
      </c>
      <c r="P424" s="139">
        <f t="shared" si="374"/>
        <v>0</v>
      </c>
      <c r="Q424" s="20"/>
    </row>
    <row r="425" spans="1:18" ht="93" hidden="1" thickTop="1" thickBot="1" x14ac:dyDescent="0.25">
      <c r="A425" s="126">
        <v>3718881</v>
      </c>
      <c r="B425" s="126">
        <v>8881</v>
      </c>
      <c r="C425" s="126" t="s">
        <v>170</v>
      </c>
      <c r="D425" s="126" t="s">
        <v>1137</v>
      </c>
      <c r="E425" s="150">
        <f>F425</f>
        <v>0</v>
      </c>
      <c r="F425" s="127">
        <f>(2500000)-2500000</f>
        <v>0</v>
      </c>
      <c r="G425" s="127"/>
      <c r="H425" s="127"/>
      <c r="I425" s="127"/>
      <c r="J425" s="125">
        <f t="shared" ref="J425" si="376">L425+O425</f>
        <v>0</v>
      </c>
      <c r="K425" s="127"/>
      <c r="L425" s="128"/>
      <c r="M425" s="128"/>
      <c r="N425" s="128"/>
      <c r="O425" s="130">
        <f t="shared" ref="O425" si="377">K425</f>
        <v>0</v>
      </c>
      <c r="P425" s="125">
        <f t="shared" ref="P425" si="378">+J425+E425</f>
        <v>0</v>
      </c>
      <c r="Q425" s="20"/>
    </row>
    <row r="426" spans="1:18" ht="47.25" hidden="1" thickTop="1" thickBot="1" x14ac:dyDescent="0.25">
      <c r="A426" s="123" t="s">
        <v>843</v>
      </c>
      <c r="B426" s="123" t="s">
        <v>698</v>
      </c>
      <c r="C426" s="123"/>
      <c r="D426" s="123" t="s">
        <v>699</v>
      </c>
      <c r="E426" s="125">
        <f>E427</f>
        <v>0</v>
      </c>
      <c r="F426" s="125">
        <f t="shared" ref="F426:P427" si="379">F427</f>
        <v>0</v>
      </c>
      <c r="G426" s="125">
        <f t="shared" si="379"/>
        <v>0</v>
      </c>
      <c r="H426" s="125">
        <f t="shared" si="379"/>
        <v>0</v>
      </c>
      <c r="I426" s="125">
        <f t="shared" si="379"/>
        <v>0</v>
      </c>
      <c r="J426" s="125">
        <f t="shared" si="379"/>
        <v>0</v>
      </c>
      <c r="K426" s="125">
        <f t="shared" si="379"/>
        <v>0</v>
      </c>
      <c r="L426" s="125">
        <f t="shared" si="379"/>
        <v>0</v>
      </c>
      <c r="M426" s="125">
        <f t="shared" si="379"/>
        <v>0</v>
      </c>
      <c r="N426" s="125">
        <f t="shared" si="379"/>
        <v>0</v>
      </c>
      <c r="O426" s="125">
        <f t="shared" si="379"/>
        <v>0</v>
      </c>
      <c r="P426" s="125">
        <f t="shared" si="379"/>
        <v>0</v>
      </c>
      <c r="Q426" s="20"/>
    </row>
    <row r="427" spans="1:18" ht="47.25" hidden="1" thickTop="1" thickBot="1" x14ac:dyDescent="0.25">
      <c r="A427" s="164">
        <v>3719100</v>
      </c>
      <c r="B427" s="134" t="s">
        <v>845</v>
      </c>
      <c r="C427" s="134"/>
      <c r="D427" s="134" t="s">
        <v>844</v>
      </c>
      <c r="E427" s="135">
        <f>E428</f>
        <v>0</v>
      </c>
      <c r="F427" s="135">
        <f t="shared" si="379"/>
        <v>0</v>
      </c>
      <c r="G427" s="135">
        <f t="shared" si="379"/>
        <v>0</v>
      </c>
      <c r="H427" s="135">
        <f t="shared" si="379"/>
        <v>0</v>
      </c>
      <c r="I427" s="135">
        <f t="shared" si="379"/>
        <v>0</v>
      </c>
      <c r="J427" s="135">
        <f t="shared" si="379"/>
        <v>0</v>
      </c>
      <c r="K427" s="135">
        <f t="shared" si="379"/>
        <v>0</v>
      </c>
      <c r="L427" s="135">
        <f t="shared" si="379"/>
        <v>0</v>
      </c>
      <c r="M427" s="135">
        <f t="shared" si="379"/>
        <v>0</v>
      </c>
      <c r="N427" s="135">
        <f t="shared" si="379"/>
        <v>0</v>
      </c>
      <c r="O427" s="135">
        <f t="shared" si="379"/>
        <v>0</v>
      </c>
      <c r="P427" s="135">
        <f t="shared" si="379"/>
        <v>0</v>
      </c>
      <c r="Q427" s="20"/>
    </row>
    <row r="428" spans="1:18" ht="51" hidden="1" customHeight="1" thickTop="1" thickBot="1" x14ac:dyDescent="0.25">
      <c r="A428" s="149">
        <v>3719110</v>
      </c>
      <c r="B428" s="149">
        <v>9110</v>
      </c>
      <c r="C428" s="126" t="s">
        <v>43</v>
      </c>
      <c r="D428" s="397" t="s">
        <v>450</v>
      </c>
      <c r="E428" s="125">
        <f>F428</f>
        <v>0</v>
      </c>
      <c r="F428" s="132">
        <v>0</v>
      </c>
      <c r="G428" s="132"/>
      <c r="H428" s="132"/>
      <c r="I428" s="132"/>
      <c r="J428" s="125">
        <f>L428+O428</f>
        <v>0</v>
      </c>
      <c r="K428" s="132"/>
      <c r="L428" s="132"/>
      <c r="M428" s="132"/>
      <c r="N428" s="132"/>
      <c r="O428" s="130">
        <f>K428</f>
        <v>0</v>
      </c>
      <c r="P428" s="125">
        <f>E428+J428</f>
        <v>0</v>
      </c>
      <c r="Q428" s="20"/>
    </row>
    <row r="429" spans="1:18" ht="111" customHeight="1" thickTop="1" thickBot="1" x14ac:dyDescent="0.25">
      <c r="A429" s="636" t="s">
        <v>381</v>
      </c>
      <c r="B429" s="636" t="s">
        <v>381</v>
      </c>
      <c r="C429" s="636" t="s">
        <v>381</v>
      </c>
      <c r="D429" s="636" t="s">
        <v>391</v>
      </c>
      <c r="E429" s="637">
        <f t="shared" ref="E429:P429" si="380">E16+E48+E220+E106+E138+E199++E320+E345+E412+E373+E393+E403+E354+E285+E256</f>
        <v>4027009369.23</v>
      </c>
      <c r="F429" s="637">
        <f t="shared" si="380"/>
        <v>4027009369.23</v>
      </c>
      <c r="G429" s="637">
        <f t="shared" si="380"/>
        <v>1861485916.73</v>
      </c>
      <c r="H429" s="637">
        <f t="shared" si="380"/>
        <v>197978336.79000002</v>
      </c>
      <c r="I429" s="637">
        <f t="shared" si="380"/>
        <v>0</v>
      </c>
      <c r="J429" s="637">
        <f t="shared" si="380"/>
        <v>1218268667.6600001</v>
      </c>
      <c r="K429" s="637">
        <f t="shared" si="380"/>
        <v>964622761.51000023</v>
      </c>
      <c r="L429" s="637">
        <f>L16+L48+L220+L106+L138+L199++L320+L345+L412+L373+L393+L403+L354+L285+L256</f>
        <v>235602054.55000001</v>
      </c>
      <c r="M429" s="637">
        <f t="shared" si="380"/>
        <v>64772033</v>
      </c>
      <c r="N429" s="637">
        <f t="shared" si="380"/>
        <v>19222521</v>
      </c>
      <c r="O429" s="637">
        <f t="shared" si="380"/>
        <v>982666613.11000013</v>
      </c>
      <c r="P429" s="637">
        <f t="shared" si="380"/>
        <v>5245278036.8900003</v>
      </c>
      <c r="Q429" s="79" t="b">
        <f>P429=J429+E429</f>
        <v>1</v>
      </c>
    </row>
    <row r="430" spans="1:18" ht="46.5" thickTop="1" x14ac:dyDescent="0.2">
      <c r="A430" s="776" t="s">
        <v>1495</v>
      </c>
      <c r="B430" s="777"/>
      <c r="C430" s="777"/>
      <c r="D430" s="777"/>
      <c r="E430" s="777"/>
      <c r="F430" s="777"/>
      <c r="G430" s="777"/>
      <c r="H430" s="777"/>
      <c r="I430" s="777"/>
      <c r="J430" s="777"/>
      <c r="K430" s="777"/>
      <c r="L430" s="777"/>
      <c r="M430" s="777"/>
      <c r="N430" s="777"/>
      <c r="O430" s="777"/>
      <c r="P430" s="777"/>
      <c r="Q430" s="56"/>
    </row>
    <row r="431" spans="1:18" ht="60.75" hidden="1" x14ac:dyDescent="0.2">
      <c r="A431" s="15"/>
      <c r="B431" s="16"/>
      <c r="C431" s="16"/>
      <c r="D431" s="16"/>
      <c r="E431" s="534">
        <f>F431</f>
        <v>4027009369.23</v>
      </c>
      <c r="F431" s="534">
        <f>(((((((3716414441.2)+222038975.97)+1158900+4436136.01)+21294370.59-600000-300000)-7761000+280000)+73066.32+30269.34)+55231335.91)+14712873.89</f>
        <v>4027009369.23</v>
      </c>
      <c r="G431" s="534">
        <f>((((95820900+1446614253+3269881+127110999+52092425+53854513+94248348+1953964)+45702476.39+3377320)+949920+3007261+436671+76680)-35140527.66+50000+3000000-3300000-1000000)+2326226-32528600-1061095+7132000-2850000-157698-3500000</f>
        <v>1861485916.73</v>
      </c>
      <c r="H431" s="534">
        <f>((((((6241293+170645348+208800+8158262+4493410+2946945+4237921+58880)+92902.78)+140989.01)+137643)+73066.32+30269.34)-513671.33+28860+430240)-52783+333006.6+297938.07+45000-55983</f>
        <v>197978336.78999996</v>
      </c>
      <c r="I431" s="534">
        <v>0</v>
      </c>
      <c r="J431" s="534">
        <f>(((((((480219450.8+[1]d2!E42-[1]d4!O29)+268859015.4)+7672111)+156908194.41+600000+300000)+7761000-280000)+121582175)+(198000726.08-121582175))+101668669.97</f>
        <v>1218268667.6600001</v>
      </c>
      <c r="K431" s="534">
        <f>((((((480219450.8+[1]d2!F42-[1]d4!P29-1200000-5215800-229145152)+268859015.4-4737.15-663952)+156908194.41+600000+300000)+7761000-280000)+121582175)+(198000726.08-121582175)-1300000)+101668669.97-8444154</f>
        <v>964622761.51000011</v>
      </c>
      <c r="L431" s="534">
        <f>(((((2604400+176000+570000+1000000)+206347210+6239260+10895910+1888442+1200000)+4737.15)-152499)-411508+1800000)+3440102.4</f>
        <v>235602054.55000001</v>
      </c>
      <c r="M431" s="534">
        <f>((53944610+2604685+8032370+704165)-133500)-380297</f>
        <v>64772033</v>
      </c>
      <c r="N431" s="534">
        <f>(17336870+705805+284620+524376)+370850</f>
        <v>19222521</v>
      </c>
      <c r="O431" s="534">
        <f>(((((((480219450.8+[1]d2!F42-[1]d4!O29-1200000-5215800-229145152+865400+3487390+24000+237940+25000)+268859015.4-4737.15)+7672111)+152499+156908194.41+600000+300000)+7761000-280000)+121582175)+(198000726.08-121582175)-1300000+411508-500000)+101668669.97+-3440102.4</f>
        <v>982666613.11000013</v>
      </c>
      <c r="P431" s="534">
        <f>((((((4196633892+[1]d2!C46-[1]d4!Q29)+490897991.37)+7672111+4436136.01+1158900)+178202565)+73066.32+121612444.34)+253232061.99-121582175)+116381543.86</f>
        <v>5245278036.8899994</v>
      </c>
      <c r="Q431" s="79" t="b">
        <f>E431+J431=P431</f>
        <v>1</v>
      </c>
      <c r="R431" s="56"/>
    </row>
    <row r="432" spans="1:18" ht="45.75" hidden="1" x14ac:dyDescent="0.65">
      <c r="A432" s="15"/>
      <c r="B432" s="16"/>
      <c r="C432" s="16"/>
      <c r="D432" s="535" t="s">
        <v>1458</v>
      </c>
      <c r="E432" s="316"/>
      <c r="F432" s="316"/>
      <c r="G432" s="2"/>
      <c r="H432" s="3"/>
      <c r="I432" s="2"/>
      <c r="J432" s="3"/>
      <c r="K432" s="2" t="s">
        <v>1459</v>
      </c>
      <c r="L432" s="2"/>
      <c r="M432" s="2"/>
      <c r="N432" s="2"/>
      <c r="O432" s="2"/>
      <c r="P432" s="2"/>
      <c r="Q432" s="56"/>
    </row>
    <row r="433" spans="1:18" ht="45.75" x14ac:dyDescent="0.65">
      <c r="A433" s="166"/>
      <c r="B433" s="167"/>
      <c r="C433" s="167"/>
      <c r="D433" s="3" t="s">
        <v>1423</v>
      </c>
      <c r="E433" s="316"/>
      <c r="F433" s="316"/>
      <c r="G433" s="2"/>
      <c r="H433" s="3"/>
      <c r="I433" s="2"/>
      <c r="J433" s="3"/>
      <c r="K433" s="3" t="s">
        <v>1424</v>
      </c>
      <c r="L433" s="200"/>
      <c r="M433" s="200"/>
      <c r="N433" s="200"/>
      <c r="O433" s="200"/>
      <c r="P433" s="200"/>
      <c r="Q433" s="56"/>
    </row>
    <row r="434" spans="1:18" ht="26.45" customHeight="1" x14ac:dyDescent="0.65">
      <c r="A434" s="15"/>
      <c r="B434" s="16"/>
      <c r="C434" s="16"/>
      <c r="D434" s="771"/>
      <c r="E434" s="771"/>
      <c r="F434" s="771"/>
      <c r="G434" s="771"/>
      <c r="H434" s="771"/>
      <c r="I434" s="771"/>
      <c r="J434" s="771"/>
      <c r="K434" s="771"/>
      <c r="L434" s="771"/>
      <c r="M434" s="771"/>
      <c r="N434" s="771"/>
      <c r="O434" s="771"/>
      <c r="P434" s="771"/>
      <c r="Q434" s="83"/>
    </row>
    <row r="435" spans="1:18" ht="50.25" customHeight="1" thickBot="1" x14ac:dyDescent="0.7">
      <c r="A435" s="15"/>
      <c r="B435" s="16"/>
      <c r="C435" s="16"/>
      <c r="D435" s="785" t="s">
        <v>522</v>
      </c>
      <c r="E435" s="786"/>
      <c r="F435" s="786"/>
      <c r="G435" s="357"/>
      <c r="H435" s="357"/>
      <c r="I435" s="2"/>
      <c r="J435" s="2"/>
      <c r="K435" s="3" t="s">
        <v>1326</v>
      </c>
      <c r="L435" s="2"/>
      <c r="M435" s="2"/>
      <c r="N435" s="2"/>
      <c r="O435" s="2"/>
      <c r="P435" s="2"/>
      <c r="Q435" s="83"/>
    </row>
    <row r="436" spans="1:18" ht="47.25" thickTop="1" thickBot="1" x14ac:dyDescent="0.7">
      <c r="A436" s="19"/>
      <c r="B436" s="19"/>
      <c r="C436" s="19"/>
      <c r="D436" s="751"/>
      <c r="E436" s="751"/>
      <c r="F436" s="751"/>
      <c r="G436" s="751"/>
      <c r="H436" s="751"/>
      <c r="I436" s="751"/>
      <c r="J436" s="751"/>
      <c r="K436" s="751"/>
      <c r="L436" s="751"/>
      <c r="M436" s="751"/>
      <c r="N436" s="751"/>
      <c r="O436" s="751"/>
      <c r="P436" s="751"/>
      <c r="Q436" s="84"/>
    </row>
    <row r="437" spans="1:18" ht="95.25" customHeight="1" thickTop="1" x14ac:dyDescent="0.55000000000000004">
      <c r="E437" s="651"/>
      <c r="G437" s="58"/>
      <c r="H437" s="58"/>
      <c r="I437" s="91"/>
      <c r="J437" s="92"/>
      <c r="K437" s="92"/>
      <c r="L437" s="91"/>
      <c r="M437" s="91"/>
      <c r="N437" s="91"/>
      <c r="O437" s="91"/>
      <c r="P437" s="92"/>
      <c r="Q437" s="82"/>
    </row>
    <row r="438" spans="1:18" x14ac:dyDescent="0.2">
      <c r="E438" s="59"/>
      <c r="F438" s="60"/>
      <c r="G438" s="58"/>
      <c r="H438" s="58"/>
      <c r="I438" s="91"/>
      <c r="J438" s="93"/>
      <c r="K438" s="93"/>
      <c r="L438" s="91"/>
      <c r="M438" s="91"/>
      <c r="N438" s="91"/>
      <c r="O438" s="91"/>
      <c r="P438" s="92"/>
    </row>
    <row r="439" spans="1:18" x14ac:dyDescent="0.2">
      <c r="E439" s="59"/>
      <c r="F439" s="60"/>
      <c r="G439" s="58"/>
      <c r="H439" s="58"/>
      <c r="I439" s="91"/>
      <c r="J439" s="93"/>
      <c r="K439" s="93"/>
      <c r="L439" s="91"/>
      <c r="M439" s="91"/>
      <c r="N439" s="91"/>
      <c r="O439" s="91"/>
      <c r="P439" s="92"/>
    </row>
    <row r="440" spans="1:18" ht="60.75" x14ac:dyDescent="0.2">
      <c r="E440" s="651" t="b">
        <f>E431=E429</f>
        <v>1</v>
      </c>
      <c r="F440" s="651" t="b">
        <f>F431=F429</f>
        <v>1</v>
      </c>
      <c r="G440" s="651" t="b">
        <f>G431=G429</f>
        <v>1</v>
      </c>
      <c r="H440" s="651" t="b">
        <f t="shared" ref="H440:O440" si="381">H431=H429</f>
        <v>1</v>
      </c>
      <c r="I440" s="651" t="b">
        <f>I431=I429</f>
        <v>1</v>
      </c>
      <c r="J440" s="651" t="b">
        <f>J431=J429</f>
        <v>1</v>
      </c>
      <c r="K440" s="651" t="b">
        <f>K431=K429</f>
        <v>1</v>
      </c>
      <c r="L440" s="651" t="b">
        <f t="shared" si="381"/>
        <v>1</v>
      </c>
      <c r="M440" s="651" t="b">
        <f t="shared" si="381"/>
        <v>1</v>
      </c>
      <c r="N440" s="651" t="b">
        <f>N431=N429</f>
        <v>1</v>
      </c>
      <c r="O440" s="651" t="b">
        <f t="shared" si="381"/>
        <v>1</v>
      </c>
      <c r="P440" s="651" t="b">
        <f>P431=P429</f>
        <v>1</v>
      </c>
    </row>
    <row r="441" spans="1:18" ht="61.5" x14ac:dyDescent="0.2">
      <c r="E441" s="651" t="b">
        <f>E429=F429</f>
        <v>1</v>
      </c>
      <c r="F441" s="652">
        <f>F422/E429</f>
        <v>9.514984095337865E-4</v>
      </c>
      <c r="G441" s="86"/>
      <c r="H441" s="87"/>
      <c r="I441" s="88"/>
      <c r="J441" s="651" t="b">
        <f>J431=L431+O431</f>
        <v>1</v>
      </c>
      <c r="K441" s="94"/>
      <c r="L441" s="79"/>
      <c r="M441" s="88"/>
      <c r="N441" s="88"/>
      <c r="O441" s="79"/>
      <c r="P441" s="651" t="b">
        <f>E429+J429=P429</f>
        <v>1</v>
      </c>
    </row>
    <row r="442" spans="1:18" ht="60.75" x14ac:dyDescent="0.2">
      <c r="E442" s="89"/>
      <c r="F442" s="90"/>
      <c r="G442" s="89"/>
      <c r="H442" s="653">
        <f>H431-H429</f>
        <v>0</v>
      </c>
      <c r="I442" s="89"/>
      <c r="J442" s="59"/>
      <c r="K442" s="59"/>
    </row>
    <row r="443" spans="1:18" ht="61.5" x14ac:dyDescent="0.2">
      <c r="A443" s="21"/>
      <c r="B443" s="21"/>
      <c r="C443" s="21"/>
      <c r="D443" s="22"/>
      <c r="E443" s="37">
        <f>E429-E431</f>
        <v>0</v>
      </c>
      <c r="F443" s="652">
        <f>400000/E429</f>
        <v>9.9329294601686901E-5</v>
      </c>
      <c r="G443" s="86"/>
      <c r="H443" s="61"/>
      <c r="I443" s="22"/>
      <c r="J443" s="37">
        <f>J429-J431</f>
        <v>0</v>
      </c>
      <c r="K443" s="37">
        <f>K429-K431</f>
        <v>0</v>
      </c>
      <c r="L443" s="37"/>
      <c r="M443" s="37"/>
      <c r="N443" s="37"/>
      <c r="O443" s="37">
        <f>O429-O431</f>
        <v>0</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167">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K33:K34"/>
    <mergeCell ref="L33:L34"/>
    <mergeCell ref="M33:M34"/>
    <mergeCell ref="N33:N34"/>
    <mergeCell ref="O33:O34"/>
    <mergeCell ref="P33:P34"/>
    <mergeCell ref="O12:O13"/>
    <mergeCell ref="A33:A34"/>
    <mergeCell ref="B33:B34"/>
    <mergeCell ref="C33:C34"/>
    <mergeCell ref="E33:E34"/>
    <mergeCell ref="F33:F34"/>
    <mergeCell ref="G33:G34"/>
    <mergeCell ref="H33:H34"/>
    <mergeCell ref="I33:I34"/>
    <mergeCell ref="J33:J34"/>
    <mergeCell ref="N167:N170"/>
    <mergeCell ref="O167:O170"/>
    <mergeCell ref="P167:P170"/>
    <mergeCell ref="Q167:Q170"/>
    <mergeCell ref="R167:R170"/>
    <mergeCell ref="A171:A174"/>
    <mergeCell ref="B171:B174"/>
    <mergeCell ref="C171:C174"/>
    <mergeCell ref="E171:E174"/>
    <mergeCell ref="F171:F174"/>
    <mergeCell ref="H167:H170"/>
    <mergeCell ref="I167:I170"/>
    <mergeCell ref="J167:J170"/>
    <mergeCell ref="K167:K170"/>
    <mergeCell ref="L167:L170"/>
    <mergeCell ref="M167:M170"/>
    <mergeCell ref="A167:A170"/>
    <mergeCell ref="B167:B170"/>
    <mergeCell ref="C167:C170"/>
    <mergeCell ref="E167:E170"/>
    <mergeCell ref="F167:F170"/>
    <mergeCell ref="G167:G170"/>
    <mergeCell ref="M171:M174"/>
    <mergeCell ref="N171:N174"/>
    <mergeCell ref="P171:P174"/>
    <mergeCell ref="R171:R174"/>
    <mergeCell ref="A175:A177"/>
    <mergeCell ref="B175:B177"/>
    <mergeCell ref="C175:C177"/>
    <mergeCell ref="E175:E177"/>
    <mergeCell ref="F175:F177"/>
    <mergeCell ref="G171:G174"/>
    <mergeCell ref="H171:H174"/>
    <mergeCell ref="I171:I174"/>
    <mergeCell ref="J171:J174"/>
    <mergeCell ref="K171:K174"/>
    <mergeCell ref="L171:L174"/>
    <mergeCell ref="M175:M177"/>
    <mergeCell ref="N175:N177"/>
    <mergeCell ref="O175:O177"/>
    <mergeCell ref="P175:P177"/>
    <mergeCell ref="R175:R177"/>
    <mergeCell ref="K175:K177"/>
    <mergeCell ref="L175:L177"/>
    <mergeCell ref="F178:F180"/>
    <mergeCell ref="G175:G177"/>
    <mergeCell ref="H175:H177"/>
    <mergeCell ref="I175:I177"/>
    <mergeCell ref="J175:J177"/>
    <mergeCell ref="O171:O174"/>
    <mergeCell ref="M178:M180"/>
    <mergeCell ref="N178:N180"/>
    <mergeCell ref="O178:O180"/>
    <mergeCell ref="P178:P180"/>
    <mergeCell ref="R178:R180"/>
    <mergeCell ref="A196:A197"/>
    <mergeCell ref="B196:B197"/>
    <mergeCell ref="C196:C197"/>
    <mergeCell ref="E196:E197"/>
    <mergeCell ref="F196:F197"/>
    <mergeCell ref="G178:G180"/>
    <mergeCell ref="H178:H180"/>
    <mergeCell ref="I178:I180"/>
    <mergeCell ref="J178:J180"/>
    <mergeCell ref="K178:K180"/>
    <mergeCell ref="L178:L180"/>
    <mergeCell ref="M196:M197"/>
    <mergeCell ref="N196:N197"/>
    <mergeCell ref="O196:O197"/>
    <mergeCell ref="P196:P197"/>
    <mergeCell ref="J196:J197"/>
    <mergeCell ref="K196:K197"/>
    <mergeCell ref="L196:L197"/>
    <mergeCell ref="A178:A180"/>
    <mergeCell ref="B178:B180"/>
    <mergeCell ref="C178:C180"/>
    <mergeCell ref="E178:E180"/>
    <mergeCell ref="A277:A278"/>
    <mergeCell ref="B277:B278"/>
    <mergeCell ref="C277:C278"/>
    <mergeCell ref="E277:E278"/>
    <mergeCell ref="F277:F278"/>
    <mergeCell ref="G277:G278"/>
    <mergeCell ref="G196:G197"/>
    <mergeCell ref="H196:H197"/>
    <mergeCell ref="I196:I197"/>
    <mergeCell ref="I308:I309"/>
    <mergeCell ref="N277:N278"/>
    <mergeCell ref="O277:O278"/>
    <mergeCell ref="P277:P278"/>
    <mergeCell ref="A308:A309"/>
    <mergeCell ref="B308:B309"/>
    <mergeCell ref="C308:C309"/>
    <mergeCell ref="E308:E309"/>
    <mergeCell ref="F308:F309"/>
    <mergeCell ref="G308:G309"/>
    <mergeCell ref="H308:H309"/>
    <mergeCell ref="H277:H278"/>
    <mergeCell ref="I277:I278"/>
    <mergeCell ref="J277:J278"/>
    <mergeCell ref="K277:K278"/>
    <mergeCell ref="L277:L278"/>
    <mergeCell ref="M277:M278"/>
    <mergeCell ref="O308:O309"/>
    <mergeCell ref="P308:P309"/>
    <mergeCell ref="J308:J309"/>
    <mergeCell ref="K308:K309"/>
    <mergeCell ref="L308:L309"/>
    <mergeCell ref="M308:M309"/>
    <mergeCell ref="N308:N309"/>
    <mergeCell ref="P341:P342"/>
    <mergeCell ref="A430:P430"/>
    <mergeCell ref="D434:P434"/>
    <mergeCell ref="D435:F435"/>
    <mergeCell ref="D436:P436"/>
    <mergeCell ref="J341:J342"/>
    <mergeCell ref="K341:K342"/>
    <mergeCell ref="L341:L342"/>
    <mergeCell ref="M341:M342"/>
    <mergeCell ref="N341:N342"/>
    <mergeCell ref="O341:O342"/>
    <mergeCell ref="A341:A342"/>
    <mergeCell ref="B341:B342"/>
    <mergeCell ref="C341:C342"/>
    <mergeCell ref="E341:E342"/>
    <mergeCell ref="F341:F342"/>
    <mergeCell ref="G341:G342"/>
    <mergeCell ref="H341:H342"/>
    <mergeCell ref="I341:I342"/>
  </mergeCells>
  <conditionalFormatting sqref="Q345:Q352">
    <cfRule type="iconSet" priority="17">
      <iconSet iconSet="3Arrows">
        <cfvo type="percent" val="0"/>
        <cfvo type="percent" val="33"/>
        <cfvo type="percent" val="67"/>
      </iconSet>
    </cfRule>
  </conditionalFormatting>
  <conditionalFormatting sqref="Q354:Q355">
    <cfRule type="iconSet" priority="13">
      <iconSet iconSet="3Arrows">
        <cfvo type="percent" val="0"/>
        <cfvo type="percent" val="33"/>
        <cfvo type="percent" val="67"/>
      </iconSet>
    </cfRule>
  </conditionalFormatting>
  <conditionalFormatting sqref="Q356:Q371">
    <cfRule type="iconSet" priority="21">
      <iconSet iconSet="3Arrows">
        <cfvo type="percent" val="0"/>
        <cfvo type="percent" val="33"/>
        <cfvo type="percent" val="67"/>
      </iconSet>
    </cfRule>
  </conditionalFormatting>
  <conditionalFormatting sqref="Q393:Q398">
    <cfRule type="iconSet" priority="20">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8">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16">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23">
      <iconSet iconSet="3Arrows">
        <cfvo type="percent" val="0"/>
        <cfvo type="percent" val="33"/>
        <cfvo type="percent" val="67"/>
      </iconSet>
    </cfRule>
  </conditionalFormatting>
  <conditionalFormatting sqref="R345:R346">
    <cfRule type="iconSet" priority="11">
      <iconSet iconSet="3Arrows">
        <cfvo type="percent" val="0"/>
        <cfvo type="percent" val="33"/>
        <cfvo type="percent" val="67"/>
      </iconSet>
    </cfRule>
  </conditionalFormatting>
  <conditionalFormatting sqref="R347:R352">
    <cfRule type="iconSet" priority="10">
      <iconSet iconSet="3Arrows">
        <cfvo type="percent" val="0"/>
        <cfvo type="percent" val="33"/>
        <cfvo type="percent" val="67"/>
      </iconSet>
    </cfRule>
  </conditionalFormatting>
  <conditionalFormatting sqref="R354:R355">
    <cfRule type="iconSet" priority="12">
      <iconSet iconSet="3Arrows">
        <cfvo type="percent" val="0"/>
        <cfvo type="percent" val="33"/>
        <cfvo type="percent" val="67"/>
      </iconSet>
    </cfRule>
  </conditionalFormatting>
  <conditionalFormatting sqref="R356:R371">
    <cfRule type="iconSet" priority="22">
      <iconSet iconSet="3Arrows">
        <cfvo type="percent" val="0"/>
        <cfvo type="percent" val="33"/>
        <cfvo type="percent" val="67"/>
      </iconSet>
    </cfRule>
  </conditionalFormatting>
  <conditionalFormatting sqref="R381:R391">
    <cfRule type="iconSet" priority="18">
      <iconSet iconSet="3Arrows">
        <cfvo type="percent" val="0"/>
        <cfvo type="percent" val="33"/>
        <cfvo type="percent" val="67"/>
      </iconSet>
    </cfRule>
  </conditionalFormatting>
  <conditionalFormatting sqref="R393:R394">
    <cfRule type="iconSet" priority="9">
      <iconSet iconSet="3Arrows">
        <cfvo type="percent" val="0"/>
        <cfvo type="percent" val="33"/>
        <cfvo type="percent" val="67"/>
      </iconSet>
    </cfRule>
  </conditionalFormatting>
  <conditionalFormatting sqref="R395:R398">
    <cfRule type="iconSet" priority="19">
      <iconSet iconSet="3Arrows">
        <cfvo type="percent" val="0"/>
        <cfvo type="percent" val="33"/>
        <cfvo type="percent" val="67"/>
      </iconSet>
    </cfRule>
  </conditionalFormatting>
  <conditionalFormatting sqref="R405:R407 Q404:R404 R403">
    <cfRule type="iconSet" priority="15">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59" max="15" man="1"/>
    <brk id="204"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T452"/>
  <sheetViews>
    <sheetView view="pageBreakPreview" zoomScale="24" zoomScaleNormal="25" zoomScaleSheetLayoutView="24" zoomScalePageLayoutView="10" workbookViewId="0">
      <pane ySplit="14" topLeftCell="A130" activePane="bottomLeft" state="frozen"/>
      <selection activeCell="H6" sqref="H6"/>
      <selection pane="bottomLeft" activeCell="D145" sqref="D145"/>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58" t="s">
        <v>492</v>
      </c>
      <c r="O1" s="759"/>
      <c r="P1" s="759"/>
      <c r="Q1" s="759"/>
    </row>
    <row r="2" spans="1:18" ht="45.75" x14ac:dyDescent="0.2">
      <c r="A2" s="76"/>
      <c r="B2" s="76"/>
      <c r="C2" s="76"/>
      <c r="D2" s="76"/>
      <c r="E2" s="77"/>
      <c r="F2" s="78"/>
      <c r="G2" s="77"/>
      <c r="H2" s="77"/>
      <c r="I2" s="77"/>
      <c r="J2" s="77"/>
      <c r="K2" s="77"/>
      <c r="L2" s="77"/>
      <c r="M2" s="77"/>
      <c r="N2" s="758" t="s">
        <v>1627</v>
      </c>
      <c r="O2" s="760"/>
      <c r="P2" s="760"/>
      <c r="Q2" s="760"/>
    </row>
    <row r="3" spans="1:18" ht="40.700000000000003" customHeight="1" x14ac:dyDescent="0.2">
      <c r="A3" s="76"/>
      <c r="B3" s="76"/>
      <c r="C3" s="76"/>
      <c r="D3" s="76"/>
      <c r="E3" s="77"/>
      <c r="F3" s="78"/>
      <c r="G3" s="77"/>
      <c r="H3" s="77"/>
      <c r="I3" s="77"/>
      <c r="J3" s="77"/>
      <c r="K3" s="77"/>
      <c r="L3" s="77"/>
      <c r="M3" s="77"/>
      <c r="N3" s="77"/>
      <c r="O3" s="758"/>
      <c r="P3" s="761"/>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2" t="s">
        <v>1613</v>
      </c>
      <c r="B5" s="762"/>
      <c r="C5" s="762"/>
      <c r="D5" s="762"/>
      <c r="E5" s="762"/>
      <c r="F5" s="762"/>
      <c r="G5" s="762"/>
      <c r="H5" s="762"/>
      <c r="I5" s="762"/>
      <c r="J5" s="762"/>
      <c r="K5" s="762"/>
      <c r="L5" s="762"/>
      <c r="M5" s="762"/>
      <c r="N5" s="762"/>
      <c r="O5" s="762"/>
      <c r="P5" s="762"/>
      <c r="Q5" s="80"/>
    </row>
    <row r="6" spans="1:18" ht="45" x14ac:dyDescent="0.2">
      <c r="A6" s="762" t="s">
        <v>1473</v>
      </c>
      <c r="B6" s="762"/>
      <c r="C6" s="762"/>
      <c r="D6" s="762"/>
      <c r="E6" s="762"/>
      <c r="F6" s="762"/>
      <c r="G6" s="762"/>
      <c r="H6" s="762"/>
      <c r="I6" s="762"/>
      <c r="J6" s="762"/>
      <c r="K6" s="762"/>
      <c r="L6" s="762"/>
      <c r="M6" s="762"/>
      <c r="N6" s="762"/>
      <c r="O6" s="762"/>
      <c r="P6" s="762"/>
      <c r="Q6" s="80"/>
    </row>
    <row r="7" spans="1:18" ht="45" x14ac:dyDescent="0.2">
      <c r="A7" s="77"/>
      <c r="B7" s="77"/>
      <c r="C7" s="77"/>
      <c r="D7" s="77"/>
      <c r="E7" s="77"/>
      <c r="F7" s="77"/>
      <c r="G7" s="77"/>
      <c r="H7" s="77"/>
      <c r="I7" s="77"/>
      <c r="J7" s="77"/>
      <c r="K7" s="77"/>
      <c r="L7" s="77"/>
      <c r="M7" s="77"/>
      <c r="N7" s="77"/>
      <c r="O7" s="77"/>
      <c r="P7" s="77"/>
      <c r="Q7" s="80"/>
    </row>
    <row r="8" spans="1:18" ht="45.75" x14ac:dyDescent="0.65">
      <c r="A8" s="763">
        <v>2256400000</v>
      </c>
      <c r="B8" s="764"/>
      <c r="C8" s="77"/>
      <c r="D8" s="393"/>
      <c r="E8" s="393"/>
      <c r="F8" s="393"/>
      <c r="G8" s="393"/>
      <c r="H8" s="393"/>
      <c r="I8" s="393"/>
      <c r="J8" s="393"/>
      <c r="K8" s="393"/>
      <c r="L8" s="393"/>
      <c r="M8" s="393"/>
      <c r="N8" s="393"/>
      <c r="O8" s="393"/>
      <c r="P8" s="393"/>
      <c r="Q8" s="13"/>
    </row>
    <row r="9" spans="1:18" ht="45.75" x14ac:dyDescent="0.2">
      <c r="A9" s="768" t="s">
        <v>489</v>
      </c>
      <c r="B9" s="769"/>
      <c r="C9" s="77"/>
      <c r="D9" s="393"/>
      <c r="E9" s="393"/>
      <c r="F9" s="393"/>
      <c r="G9" s="393"/>
      <c r="H9" s="393"/>
      <c r="I9" s="393"/>
      <c r="J9" s="393"/>
      <c r="K9" s="393"/>
      <c r="L9" s="393"/>
      <c r="M9" s="393"/>
      <c r="N9" s="393"/>
      <c r="O9" s="393"/>
      <c r="P9" s="393"/>
      <c r="Q9" s="13"/>
    </row>
    <row r="10" spans="1:18" ht="53.45" customHeight="1" thickBot="1" x14ac:dyDescent="0.25">
      <c r="A10" s="77"/>
      <c r="B10" s="77"/>
      <c r="C10" s="77"/>
      <c r="D10" s="393"/>
      <c r="E10" s="393"/>
      <c r="F10" s="394"/>
      <c r="G10" s="393"/>
      <c r="H10" s="393"/>
      <c r="I10" s="393"/>
      <c r="J10" s="393"/>
      <c r="K10" s="393"/>
      <c r="L10" s="393"/>
      <c r="M10" s="393"/>
      <c r="N10" s="393"/>
      <c r="O10" s="393"/>
      <c r="P10" s="313" t="s">
        <v>404</v>
      </c>
      <c r="Q10" s="13"/>
    </row>
    <row r="11" spans="1:18" ht="62.45" customHeight="1" thickTop="1" thickBot="1" x14ac:dyDescent="0.25">
      <c r="A11" s="767" t="s">
        <v>490</v>
      </c>
      <c r="B11" s="767" t="s">
        <v>491</v>
      </c>
      <c r="C11" s="767" t="s">
        <v>390</v>
      </c>
      <c r="D11" s="767" t="s">
        <v>572</v>
      </c>
      <c r="E11" s="765" t="s">
        <v>12</v>
      </c>
      <c r="F11" s="765"/>
      <c r="G11" s="765"/>
      <c r="H11" s="765"/>
      <c r="I11" s="765"/>
      <c r="J11" s="765" t="s">
        <v>52</v>
      </c>
      <c r="K11" s="765"/>
      <c r="L11" s="765"/>
      <c r="M11" s="765"/>
      <c r="N11" s="765"/>
      <c r="O11" s="766"/>
      <c r="P11" s="765" t="s">
        <v>11</v>
      </c>
      <c r="Q11" s="20"/>
    </row>
    <row r="12" spans="1:18" ht="96" customHeight="1" thickTop="1" thickBot="1" x14ac:dyDescent="0.25">
      <c r="A12" s="765"/>
      <c r="B12" s="770"/>
      <c r="C12" s="770"/>
      <c r="D12" s="765"/>
      <c r="E12" s="767" t="s">
        <v>384</v>
      </c>
      <c r="F12" s="767" t="s">
        <v>53</v>
      </c>
      <c r="G12" s="767" t="s">
        <v>13</v>
      </c>
      <c r="H12" s="767"/>
      <c r="I12" s="767" t="s">
        <v>55</v>
      </c>
      <c r="J12" s="767" t="s">
        <v>384</v>
      </c>
      <c r="K12" s="767" t="s">
        <v>385</v>
      </c>
      <c r="L12" s="767" t="s">
        <v>53</v>
      </c>
      <c r="M12" s="767" t="s">
        <v>13</v>
      </c>
      <c r="N12" s="767"/>
      <c r="O12" s="767" t="s">
        <v>55</v>
      </c>
      <c r="P12" s="765"/>
      <c r="Q12" s="20"/>
    </row>
    <row r="13" spans="1:18" ht="328.7" customHeight="1" thickTop="1" thickBot="1" x14ac:dyDescent="0.25">
      <c r="A13" s="770"/>
      <c r="B13" s="770"/>
      <c r="C13" s="770"/>
      <c r="D13" s="770"/>
      <c r="E13" s="767"/>
      <c r="F13" s="767"/>
      <c r="G13" s="314" t="s">
        <v>54</v>
      </c>
      <c r="H13" s="314" t="s">
        <v>15</v>
      </c>
      <c r="I13" s="767"/>
      <c r="J13" s="767"/>
      <c r="K13" s="767"/>
      <c r="L13" s="767"/>
      <c r="M13" s="314" t="s">
        <v>54</v>
      </c>
      <c r="N13" s="314" t="s">
        <v>15</v>
      </c>
      <c r="O13" s="767"/>
      <c r="P13" s="765"/>
      <c r="Q13" s="20"/>
    </row>
    <row r="14" spans="1:18" s="24" customFormat="1" ht="47.25" thickTop="1" thickBot="1" x14ac:dyDescent="0.25">
      <c r="A14" s="308" t="s">
        <v>2</v>
      </c>
      <c r="B14" s="308" t="s">
        <v>3</v>
      </c>
      <c r="C14" s="308" t="s">
        <v>14</v>
      </c>
      <c r="D14" s="308" t="s">
        <v>5</v>
      </c>
      <c r="E14" s="308" t="s">
        <v>392</v>
      </c>
      <c r="F14" s="308" t="s">
        <v>393</v>
      </c>
      <c r="G14" s="308" t="s">
        <v>394</v>
      </c>
      <c r="H14" s="308" t="s">
        <v>395</v>
      </c>
      <c r="I14" s="308" t="s">
        <v>396</v>
      </c>
      <c r="J14" s="308" t="s">
        <v>397</v>
      </c>
      <c r="K14" s="308" t="s">
        <v>398</v>
      </c>
      <c r="L14" s="308" t="s">
        <v>399</v>
      </c>
      <c r="M14" s="308" t="s">
        <v>400</v>
      </c>
      <c r="N14" s="308" t="s">
        <v>401</v>
      </c>
      <c r="O14" s="308" t="s">
        <v>402</v>
      </c>
      <c r="P14" s="308" t="s">
        <v>403</v>
      </c>
      <c r="Q14" s="124"/>
      <c r="R14" s="23"/>
    </row>
    <row r="15" spans="1:18" s="24" customFormat="1" ht="120" customHeight="1" thickTop="1" thickBot="1" x14ac:dyDescent="0.25">
      <c r="A15" s="689" t="s">
        <v>148</v>
      </c>
      <c r="B15" s="689"/>
      <c r="C15" s="689"/>
      <c r="D15" s="690" t="s">
        <v>150</v>
      </c>
      <c r="E15" s="691">
        <f>E16</f>
        <v>6394400</v>
      </c>
      <c r="F15" s="692">
        <f t="shared" ref="F15:N15" si="0">F16</f>
        <v>6394400</v>
      </c>
      <c r="G15" s="692">
        <f t="shared" si="0"/>
        <v>2900000</v>
      </c>
      <c r="H15" s="692">
        <f t="shared" si="0"/>
        <v>0</v>
      </c>
      <c r="I15" s="692">
        <f t="shared" si="0"/>
        <v>0</v>
      </c>
      <c r="J15" s="691">
        <f t="shared" si="0"/>
        <v>13285000</v>
      </c>
      <c r="K15" s="692">
        <f t="shared" si="0"/>
        <v>13285000</v>
      </c>
      <c r="L15" s="692">
        <f t="shared" si="0"/>
        <v>0</v>
      </c>
      <c r="M15" s="692">
        <f t="shared" si="0"/>
        <v>0</v>
      </c>
      <c r="N15" s="692">
        <f t="shared" si="0"/>
        <v>0</v>
      </c>
      <c r="O15" s="691">
        <f>O16</f>
        <v>13285000</v>
      </c>
      <c r="P15" s="692">
        <f t="shared" ref="P15" si="1">P16</f>
        <v>19679400</v>
      </c>
      <c r="Q15" s="25"/>
      <c r="R15" s="25"/>
    </row>
    <row r="16" spans="1:18" s="24" customFormat="1" ht="120" customHeight="1" thickTop="1" thickBot="1" x14ac:dyDescent="0.25">
      <c r="A16" s="693" t="s">
        <v>149</v>
      </c>
      <c r="B16" s="693"/>
      <c r="C16" s="693"/>
      <c r="D16" s="694" t="s">
        <v>151</v>
      </c>
      <c r="E16" s="695">
        <f>E17+E25+E36+E42+E22</f>
        <v>6394400</v>
      </c>
      <c r="F16" s="695">
        <f>F17+F25+F36+F42+F22</f>
        <v>6394400</v>
      </c>
      <c r="G16" s="695">
        <f>G17+G25+G36+G42+G22</f>
        <v>2900000</v>
      </c>
      <c r="H16" s="695">
        <f>H17+H25+H36+H42+H22</f>
        <v>0</v>
      </c>
      <c r="I16" s="695">
        <f>I17+I25+I36+I42+I22</f>
        <v>0</v>
      </c>
      <c r="J16" s="695">
        <f>L16+O16</f>
        <v>13285000</v>
      </c>
      <c r="K16" s="695">
        <f>K17+K25+K36+K42+K22</f>
        <v>13285000</v>
      </c>
      <c r="L16" s="695">
        <f>L17+L25+L36+L42+L22</f>
        <v>0</v>
      </c>
      <c r="M16" s="695">
        <f>M17+M25+M36+M42+M22</f>
        <v>0</v>
      </c>
      <c r="N16" s="695">
        <f>N17+N25+N36+N42+N22</f>
        <v>0</v>
      </c>
      <c r="O16" s="695">
        <f>O17+O25+O36+O42+O22</f>
        <v>13285000</v>
      </c>
      <c r="P16" s="695">
        <f>E16+J16</f>
        <v>19679400</v>
      </c>
      <c r="Q16" s="549" t="b">
        <f>P16=P18+P21+P27+P31+P33+P35+P38+P39+P41+P44+P45+P46+P24</f>
        <v>1</v>
      </c>
      <c r="R16" s="26"/>
    </row>
    <row r="17" spans="1:18" s="28" customFormat="1" ht="47.25" thickTop="1" thickBot="1" x14ac:dyDescent="0.25">
      <c r="A17" s="308" t="s">
        <v>679</v>
      </c>
      <c r="B17" s="308" t="s">
        <v>680</v>
      </c>
      <c r="C17" s="308"/>
      <c r="D17" s="308" t="s">
        <v>681</v>
      </c>
      <c r="E17" s="324">
        <f>'d3'!E17-d3П!E17</f>
        <v>-235600</v>
      </c>
      <c r="F17" s="324">
        <f>'d3'!F17-d3П!F17</f>
        <v>-235600</v>
      </c>
      <c r="G17" s="324">
        <f>'d3'!G17-d3П!G17</f>
        <v>2900000</v>
      </c>
      <c r="H17" s="324">
        <f>'d3'!H17-d3П!H17</f>
        <v>0</v>
      </c>
      <c r="I17" s="324">
        <f>'d3'!I17-d3П!I17</f>
        <v>0</v>
      </c>
      <c r="J17" s="324">
        <f>'d3'!J17-d3П!J17</f>
        <v>30000</v>
      </c>
      <c r="K17" s="324">
        <f>'d3'!K17-d3П!K17</f>
        <v>30000</v>
      </c>
      <c r="L17" s="324">
        <f>'d3'!L17-d3П!L17</f>
        <v>0</v>
      </c>
      <c r="M17" s="324">
        <f>'d3'!M17-d3П!M17</f>
        <v>0</v>
      </c>
      <c r="N17" s="324">
        <f>'d3'!N17-d3П!N17</f>
        <v>0</v>
      </c>
      <c r="O17" s="324">
        <f>'d3'!O17-d3П!O17</f>
        <v>30000</v>
      </c>
      <c r="P17" s="324">
        <f>'d3'!P17-d3П!P17</f>
        <v>-205600</v>
      </c>
      <c r="Q17" s="31"/>
      <c r="R17" s="27"/>
    </row>
    <row r="18" spans="1:18" ht="173.25" customHeight="1" thickTop="1" thickBot="1" x14ac:dyDescent="0.25">
      <c r="A18" s="101" t="s">
        <v>232</v>
      </c>
      <c r="B18" s="101" t="s">
        <v>233</v>
      </c>
      <c r="C18" s="101" t="s">
        <v>234</v>
      </c>
      <c r="D18" s="101" t="s">
        <v>231</v>
      </c>
      <c r="E18" s="324">
        <f>'d3'!E18-d3П!E18</f>
        <v>3150000</v>
      </c>
      <c r="F18" s="324">
        <f>'d3'!F18-d3П!F18</f>
        <v>3150000</v>
      </c>
      <c r="G18" s="324">
        <f>'d3'!G18-d3П!G18</f>
        <v>2900000</v>
      </c>
      <c r="H18" s="324">
        <f>'d3'!H18-d3П!H18</f>
        <v>0</v>
      </c>
      <c r="I18" s="324">
        <f>'d3'!I18-d3П!I18</f>
        <v>0</v>
      </c>
      <c r="J18" s="324">
        <f>'d3'!J18-d3П!J18</f>
        <v>30000</v>
      </c>
      <c r="K18" s="324">
        <f>'d3'!K18-d3П!K18</f>
        <v>30000</v>
      </c>
      <c r="L18" s="324">
        <f>'d3'!L18-d3П!L18</f>
        <v>0</v>
      </c>
      <c r="M18" s="324">
        <f>'d3'!M18-d3П!M18</f>
        <v>0</v>
      </c>
      <c r="N18" s="324">
        <f>'d3'!N18-d3П!N18</f>
        <v>0</v>
      </c>
      <c r="O18" s="324">
        <f>'d3'!O18-d3П!O18</f>
        <v>30000</v>
      </c>
      <c r="P18" s="324">
        <f>'d3'!P18-d3П!P18</f>
        <v>3180000</v>
      </c>
      <c r="Q18" s="131"/>
      <c r="R18" s="29"/>
    </row>
    <row r="19" spans="1:18" ht="93" hidden="1" customHeight="1" thickTop="1" thickBot="1" x14ac:dyDescent="0.25">
      <c r="A19" s="126" t="s">
        <v>583</v>
      </c>
      <c r="B19" s="126" t="s">
        <v>236</v>
      </c>
      <c r="C19" s="126" t="s">
        <v>234</v>
      </c>
      <c r="D19" s="126" t="s">
        <v>235</v>
      </c>
      <c r="E19" s="324">
        <f>'d3'!E19-d3П!E19</f>
        <v>0</v>
      </c>
      <c r="F19" s="324">
        <f>'d3'!F19-d3П!F19</f>
        <v>0</v>
      </c>
      <c r="G19" s="324">
        <f>'d3'!G19-d3П!G19</f>
        <v>0</v>
      </c>
      <c r="H19" s="324">
        <f>'d3'!H19-d3П!H19</f>
        <v>0</v>
      </c>
      <c r="I19" s="324">
        <f>'d3'!I19-d3П!I19</f>
        <v>0</v>
      </c>
      <c r="J19" s="324">
        <f>'d3'!J19-d3П!J19</f>
        <v>0</v>
      </c>
      <c r="K19" s="324">
        <f>'d3'!K19-d3П!K19</f>
        <v>0</v>
      </c>
      <c r="L19" s="324">
        <f>'d3'!L19-d3П!L19</f>
        <v>0</v>
      </c>
      <c r="M19" s="324">
        <f>'d3'!M19-d3П!M19</f>
        <v>0</v>
      </c>
      <c r="N19" s="324">
        <f>'d3'!N19-d3П!N19</f>
        <v>0</v>
      </c>
      <c r="O19" s="324">
        <f>'d3'!O19-d3П!O19</f>
        <v>0</v>
      </c>
      <c r="P19" s="324">
        <f>'d3'!P19-d3П!P19</f>
        <v>0</v>
      </c>
      <c r="Q19" s="131"/>
      <c r="R19" s="29"/>
    </row>
    <row r="20" spans="1:18" ht="93" hidden="1" customHeight="1" thickTop="1" thickBot="1" x14ac:dyDescent="0.25">
      <c r="A20" s="126" t="s">
        <v>622</v>
      </c>
      <c r="B20" s="126" t="s">
        <v>362</v>
      </c>
      <c r="C20" s="126" t="s">
        <v>623</v>
      </c>
      <c r="D20" s="126" t="s">
        <v>624</v>
      </c>
      <c r="E20" s="324">
        <f>'d3'!E20-d3П!E20</f>
        <v>0</v>
      </c>
      <c r="F20" s="324">
        <f>'d3'!F20-d3П!F20</f>
        <v>0</v>
      </c>
      <c r="G20" s="324">
        <f>'d3'!G20-d3П!G20</f>
        <v>0</v>
      </c>
      <c r="H20" s="324">
        <f>'d3'!H20-d3П!H20</f>
        <v>0</v>
      </c>
      <c r="I20" s="324">
        <f>'d3'!I20-d3П!I20</f>
        <v>0</v>
      </c>
      <c r="J20" s="324">
        <f>'d3'!J20-d3П!J20</f>
        <v>0</v>
      </c>
      <c r="K20" s="324">
        <f>'d3'!K20-d3П!K20</f>
        <v>0</v>
      </c>
      <c r="L20" s="324">
        <f>'d3'!L20-d3П!L20</f>
        <v>0</v>
      </c>
      <c r="M20" s="324">
        <f>'d3'!M20-d3П!M20</f>
        <v>0</v>
      </c>
      <c r="N20" s="324">
        <f>'d3'!N20-d3П!N20</f>
        <v>0</v>
      </c>
      <c r="O20" s="324">
        <f>'d3'!O20-d3П!O20</f>
        <v>0</v>
      </c>
      <c r="P20" s="324">
        <f>'d3'!P20-d3П!P20</f>
        <v>0</v>
      </c>
      <c r="Q20" s="131"/>
      <c r="R20" s="30"/>
    </row>
    <row r="21" spans="1:18" ht="47.25" thickTop="1" thickBot="1" x14ac:dyDescent="0.25">
      <c r="A21" s="101" t="s">
        <v>247</v>
      </c>
      <c r="B21" s="101" t="s">
        <v>43</v>
      </c>
      <c r="C21" s="101" t="s">
        <v>42</v>
      </c>
      <c r="D21" s="101" t="s">
        <v>248</v>
      </c>
      <c r="E21" s="324">
        <f>'d3'!E21-d3П!E21</f>
        <v>-3385600</v>
      </c>
      <c r="F21" s="324">
        <f>'d3'!F21-d3П!F21</f>
        <v>-3385600</v>
      </c>
      <c r="G21" s="324">
        <f>'d3'!G21-d3П!G21</f>
        <v>0</v>
      </c>
      <c r="H21" s="324">
        <f>'d3'!H21-d3П!H21</f>
        <v>0</v>
      </c>
      <c r="I21" s="324">
        <f>'d3'!I21-d3П!I21</f>
        <v>0</v>
      </c>
      <c r="J21" s="324">
        <f>'d3'!J21-d3П!J21</f>
        <v>0</v>
      </c>
      <c r="K21" s="324">
        <f>'d3'!K21-d3П!K21</f>
        <v>0</v>
      </c>
      <c r="L21" s="324">
        <f>'d3'!L21-d3П!L21</f>
        <v>0</v>
      </c>
      <c r="M21" s="324">
        <f>'d3'!M21-d3П!M21</f>
        <v>0</v>
      </c>
      <c r="N21" s="324">
        <f>'d3'!N21-d3П!N21</f>
        <v>0</v>
      </c>
      <c r="O21" s="324">
        <f>'d3'!O21-d3П!O21</f>
        <v>0</v>
      </c>
      <c r="P21" s="324">
        <f>'d3'!P21-d3П!P21</f>
        <v>-3385600</v>
      </c>
      <c r="Q21" s="131"/>
      <c r="R21" s="30"/>
    </row>
    <row r="22" spans="1:18" ht="47.25" thickTop="1" thickBot="1" x14ac:dyDescent="0.25">
      <c r="A22" s="308" t="s">
        <v>1592</v>
      </c>
      <c r="B22" s="308" t="s">
        <v>707</v>
      </c>
      <c r="C22" s="308"/>
      <c r="D22" s="308" t="s">
        <v>708</v>
      </c>
      <c r="E22" s="324">
        <f>'d3'!E22-d3П!E22</f>
        <v>0</v>
      </c>
      <c r="F22" s="324">
        <f>'d3'!F22-d3П!F22</f>
        <v>0</v>
      </c>
      <c r="G22" s="324">
        <f>'d3'!G22-d3П!G22</f>
        <v>0</v>
      </c>
      <c r="H22" s="324">
        <f>'d3'!H22-d3П!H22</f>
        <v>0</v>
      </c>
      <c r="I22" s="324">
        <f>'d3'!I22-d3П!I22</f>
        <v>0</v>
      </c>
      <c r="J22" s="324">
        <f>'d3'!J22-d3П!J22</f>
        <v>55000</v>
      </c>
      <c r="K22" s="324">
        <f>'d3'!K22-d3П!K22</f>
        <v>55000</v>
      </c>
      <c r="L22" s="324">
        <f>'d3'!L22-d3П!L22</f>
        <v>0</v>
      </c>
      <c r="M22" s="324">
        <f>'d3'!M22-d3П!M22</f>
        <v>0</v>
      </c>
      <c r="N22" s="324">
        <f>'d3'!N22-d3П!N22</f>
        <v>0</v>
      </c>
      <c r="O22" s="324">
        <f>'d3'!O22-d3П!O22</f>
        <v>55000</v>
      </c>
      <c r="P22" s="324">
        <f>'d3'!P22-d3П!P22</f>
        <v>55000</v>
      </c>
      <c r="Q22" s="131"/>
      <c r="R22" s="30"/>
    </row>
    <row r="23" spans="1:18" ht="47.25" thickTop="1" thickBot="1" x14ac:dyDescent="0.25">
      <c r="A23" s="325" t="s">
        <v>1593</v>
      </c>
      <c r="B23" s="325" t="s">
        <v>735</v>
      </c>
      <c r="C23" s="325"/>
      <c r="D23" s="325" t="s">
        <v>736</v>
      </c>
      <c r="E23" s="324">
        <f>'d3'!E23-d3П!E23</f>
        <v>0</v>
      </c>
      <c r="F23" s="324">
        <f>'d3'!F23-d3П!F23</f>
        <v>0</v>
      </c>
      <c r="G23" s="324">
        <f>'d3'!G23-d3П!G23</f>
        <v>0</v>
      </c>
      <c r="H23" s="324">
        <f>'d3'!H23-d3П!H23</f>
        <v>0</v>
      </c>
      <c r="I23" s="324">
        <f>'d3'!I23-d3П!I23</f>
        <v>0</v>
      </c>
      <c r="J23" s="324">
        <f>'d3'!J23-d3П!J23</f>
        <v>55000</v>
      </c>
      <c r="K23" s="324">
        <f>'d3'!K23-d3П!K23</f>
        <v>55000</v>
      </c>
      <c r="L23" s="324">
        <f>'d3'!L23-d3П!L23</f>
        <v>0</v>
      </c>
      <c r="M23" s="324">
        <f>'d3'!M23-d3П!M23</f>
        <v>0</v>
      </c>
      <c r="N23" s="324">
        <f>'d3'!N23-d3П!N23</f>
        <v>0</v>
      </c>
      <c r="O23" s="324">
        <f>'d3'!O23-d3П!O23</f>
        <v>55000</v>
      </c>
      <c r="P23" s="324">
        <f>'d3'!P23-d3П!P23</f>
        <v>55000</v>
      </c>
      <c r="Q23" s="131"/>
      <c r="R23" s="30"/>
    </row>
    <row r="24" spans="1:18" ht="93" thickTop="1" thickBot="1" x14ac:dyDescent="0.25">
      <c r="A24" s="101" t="s">
        <v>1594</v>
      </c>
      <c r="B24" s="101" t="s">
        <v>329</v>
      </c>
      <c r="C24" s="101" t="s">
        <v>191</v>
      </c>
      <c r="D24" s="461" t="s">
        <v>331</v>
      </c>
      <c r="E24" s="324">
        <f>'d3'!E24-d3П!E24</f>
        <v>0</v>
      </c>
      <c r="F24" s="324">
        <f>'d3'!F24-d3П!F24</f>
        <v>0</v>
      </c>
      <c r="G24" s="324">
        <f>'d3'!G24-d3П!G24</f>
        <v>0</v>
      </c>
      <c r="H24" s="324">
        <f>'d3'!H24-d3П!H24</f>
        <v>0</v>
      </c>
      <c r="I24" s="324">
        <f>'d3'!I24-d3П!I24</f>
        <v>0</v>
      </c>
      <c r="J24" s="324">
        <f>'d3'!J24-d3П!J24</f>
        <v>55000</v>
      </c>
      <c r="K24" s="324">
        <f>'d3'!K24-d3П!K24</f>
        <v>55000</v>
      </c>
      <c r="L24" s="324">
        <f>'d3'!L24-d3П!L24</f>
        <v>0</v>
      </c>
      <c r="M24" s="324">
        <f>'d3'!M24-d3П!M24</f>
        <v>0</v>
      </c>
      <c r="N24" s="324">
        <f>'d3'!N24-d3П!N24</f>
        <v>0</v>
      </c>
      <c r="O24" s="324">
        <f>'d3'!O24-d3П!O24</f>
        <v>55000</v>
      </c>
      <c r="P24" s="324">
        <f>'d3'!P24-d3П!P24</f>
        <v>55000</v>
      </c>
      <c r="Q24" s="131"/>
      <c r="R24" s="30"/>
    </row>
    <row r="25" spans="1:18" s="28" customFormat="1" ht="47.25" thickTop="1" thickBot="1" x14ac:dyDescent="0.3">
      <c r="A25" s="308" t="s">
        <v>743</v>
      </c>
      <c r="B25" s="308" t="s">
        <v>744</v>
      </c>
      <c r="C25" s="308"/>
      <c r="D25" s="308" t="s">
        <v>745</v>
      </c>
      <c r="E25" s="324">
        <f>'d3'!E25-d3П!E25</f>
        <v>0</v>
      </c>
      <c r="F25" s="324">
        <f>'d3'!F25-d3П!F25</f>
        <v>0</v>
      </c>
      <c r="G25" s="324">
        <f>'d3'!G25-d3П!G25</f>
        <v>0</v>
      </c>
      <c r="H25" s="324">
        <f>'d3'!H25-d3П!H25</f>
        <v>0</v>
      </c>
      <c r="I25" s="324">
        <f>'d3'!I25-d3П!I25</f>
        <v>0</v>
      </c>
      <c r="J25" s="324">
        <f>'d3'!J25-d3П!J25</f>
        <v>0</v>
      </c>
      <c r="K25" s="324">
        <f>'d3'!K25-d3П!K25</f>
        <v>0</v>
      </c>
      <c r="L25" s="324">
        <f>'d3'!L25-d3П!L25</f>
        <v>0</v>
      </c>
      <c r="M25" s="324">
        <f>'d3'!M25-d3П!M25</f>
        <v>0</v>
      </c>
      <c r="N25" s="324">
        <f>'d3'!N25-d3П!N25</f>
        <v>0</v>
      </c>
      <c r="O25" s="324">
        <f>'d3'!O25-d3П!O25</f>
        <v>0</v>
      </c>
      <c r="P25" s="324">
        <f>'d3'!P25-d3П!P25</f>
        <v>0</v>
      </c>
      <c r="Q25" s="133"/>
      <c r="R25" s="31"/>
    </row>
    <row r="26" spans="1:18" s="33" customFormat="1" ht="47.25" thickTop="1" thickBot="1" x14ac:dyDescent="0.25">
      <c r="A26" s="310" t="s">
        <v>682</v>
      </c>
      <c r="B26" s="310" t="s">
        <v>683</v>
      </c>
      <c r="C26" s="310"/>
      <c r="D26" s="310" t="s">
        <v>684</v>
      </c>
      <c r="E26" s="324">
        <f>'d3'!E26-d3П!E26</f>
        <v>0</v>
      </c>
      <c r="F26" s="324">
        <f>'d3'!F26-d3П!F26</f>
        <v>0</v>
      </c>
      <c r="G26" s="324">
        <f>'d3'!G26-d3П!G26</f>
        <v>0</v>
      </c>
      <c r="H26" s="324">
        <f>'d3'!H26-d3П!H26</f>
        <v>0</v>
      </c>
      <c r="I26" s="324">
        <f>'d3'!I26-d3П!I26</f>
        <v>0</v>
      </c>
      <c r="J26" s="324">
        <f>'d3'!J26-d3П!J26</f>
        <v>0</v>
      </c>
      <c r="K26" s="324">
        <f>'d3'!K26-d3П!K26</f>
        <v>0</v>
      </c>
      <c r="L26" s="324">
        <f>'d3'!L26-d3П!L26</f>
        <v>0</v>
      </c>
      <c r="M26" s="324">
        <f>'d3'!M26-d3П!M26</f>
        <v>0</v>
      </c>
      <c r="N26" s="324">
        <f>'d3'!N26-d3П!N26</f>
        <v>0</v>
      </c>
      <c r="O26" s="324">
        <f>'d3'!O26-d3П!O26</f>
        <v>0</v>
      </c>
      <c r="P26" s="324">
        <f>'d3'!P26-d3П!P26</f>
        <v>0</v>
      </c>
      <c r="Q26" s="136"/>
      <c r="R26" s="32"/>
    </row>
    <row r="27" spans="1:18" ht="47.25" thickTop="1" thickBot="1" x14ac:dyDescent="0.25">
      <c r="A27" s="101" t="s">
        <v>238</v>
      </c>
      <c r="B27" s="101" t="s">
        <v>239</v>
      </c>
      <c r="C27" s="101" t="s">
        <v>240</v>
      </c>
      <c r="D27" s="101" t="s">
        <v>237</v>
      </c>
      <c r="E27" s="324">
        <f>'d3'!E27-d3П!E27</f>
        <v>0</v>
      </c>
      <c r="F27" s="324">
        <f>'d3'!F27-d3П!F27</f>
        <v>0</v>
      </c>
      <c r="G27" s="324">
        <f>'d3'!G27-d3П!G27</f>
        <v>0</v>
      </c>
      <c r="H27" s="324">
        <f>'d3'!H27-d3П!H27</f>
        <v>0</v>
      </c>
      <c r="I27" s="324">
        <f>'d3'!I27-d3П!I27</f>
        <v>0</v>
      </c>
      <c r="J27" s="324">
        <f>'d3'!J27-d3П!J27</f>
        <v>0</v>
      </c>
      <c r="K27" s="324">
        <f>'d3'!K27-d3П!K27</f>
        <v>0</v>
      </c>
      <c r="L27" s="324">
        <f>'d3'!L27-d3П!L27</f>
        <v>0</v>
      </c>
      <c r="M27" s="324">
        <f>'d3'!M27-d3П!M27</f>
        <v>0</v>
      </c>
      <c r="N27" s="324">
        <f>'d3'!N27-d3П!N27</f>
        <v>0</v>
      </c>
      <c r="O27" s="324">
        <f>'d3'!O27-d3П!O27</f>
        <v>0</v>
      </c>
      <c r="P27" s="324">
        <f>'d3'!P27-d3П!P27</f>
        <v>0</v>
      </c>
      <c r="Q27" s="131"/>
      <c r="R27" s="29"/>
    </row>
    <row r="28" spans="1:18" ht="93" hidden="1" customHeight="1" thickTop="1" thickBot="1" x14ac:dyDescent="0.25">
      <c r="A28" s="41" t="s">
        <v>971</v>
      </c>
      <c r="B28" s="41" t="s">
        <v>972</v>
      </c>
      <c r="C28" s="41" t="s">
        <v>240</v>
      </c>
      <c r="D28" s="41" t="s">
        <v>973</v>
      </c>
      <c r="E28" s="324">
        <f>'d3'!E28-d3П!E28</f>
        <v>0</v>
      </c>
      <c r="F28" s="324">
        <f>'d3'!F28-d3П!F28</f>
        <v>0</v>
      </c>
      <c r="G28" s="324">
        <f>'d3'!G28-d3П!G28</f>
        <v>0</v>
      </c>
      <c r="H28" s="324">
        <f>'d3'!H28-d3П!H28</f>
        <v>0</v>
      </c>
      <c r="I28" s="324">
        <f>'d3'!I28-d3П!I28</f>
        <v>0</v>
      </c>
      <c r="J28" s="324">
        <f>'d3'!J28-d3П!J28</f>
        <v>0</v>
      </c>
      <c r="K28" s="324">
        <f>'d3'!K28-d3П!K28</f>
        <v>0</v>
      </c>
      <c r="L28" s="324">
        <f>'d3'!L28-d3П!L28</f>
        <v>0</v>
      </c>
      <c r="M28" s="324">
        <f>'d3'!M28-d3П!M28</f>
        <v>0</v>
      </c>
      <c r="N28" s="324">
        <f>'d3'!N28-d3П!N28</f>
        <v>0</v>
      </c>
      <c r="O28" s="324">
        <f>'d3'!O28-d3П!O28</f>
        <v>0</v>
      </c>
      <c r="P28" s="324">
        <f>'d3'!P28-d3П!P28</f>
        <v>0</v>
      </c>
      <c r="Q28" s="131"/>
      <c r="R28" s="29"/>
    </row>
    <row r="29" spans="1:18" ht="47.25" thickTop="1" thickBot="1" x14ac:dyDescent="0.25">
      <c r="A29" s="310" t="s">
        <v>686</v>
      </c>
      <c r="B29" s="310" t="s">
        <v>687</v>
      </c>
      <c r="C29" s="310"/>
      <c r="D29" s="310" t="s">
        <v>685</v>
      </c>
      <c r="E29" s="324">
        <f>'d3'!E29-d3П!E29</f>
        <v>0</v>
      </c>
      <c r="F29" s="324">
        <f>'d3'!F29-d3П!F29</f>
        <v>0</v>
      </c>
      <c r="G29" s="324">
        <f>'d3'!G29-d3П!G29</f>
        <v>0</v>
      </c>
      <c r="H29" s="324">
        <f>'d3'!H29-d3П!H29</f>
        <v>0</v>
      </c>
      <c r="I29" s="324">
        <f>'d3'!I29-d3П!I29</f>
        <v>0</v>
      </c>
      <c r="J29" s="324">
        <f>'d3'!J29-d3П!J29</f>
        <v>0</v>
      </c>
      <c r="K29" s="324">
        <f>'d3'!K29-d3П!K29</f>
        <v>0</v>
      </c>
      <c r="L29" s="324">
        <f>'d3'!L29-d3П!L29</f>
        <v>0</v>
      </c>
      <c r="M29" s="324">
        <f>'d3'!M29-d3П!M29</f>
        <v>0</v>
      </c>
      <c r="N29" s="324">
        <f>'d3'!N29-d3П!N29</f>
        <v>0</v>
      </c>
      <c r="O29" s="324">
        <f>'d3'!O29-d3П!O29</f>
        <v>0</v>
      </c>
      <c r="P29" s="324">
        <f>'d3'!P29-d3П!P29</f>
        <v>0</v>
      </c>
      <c r="Q29" s="137"/>
      <c r="R29" s="34"/>
    </row>
    <row r="30" spans="1:18" ht="48" hidden="1" customHeight="1" thickTop="1" thickBot="1" x14ac:dyDescent="0.25">
      <c r="A30" s="101" t="s">
        <v>1384</v>
      </c>
      <c r="B30" s="101" t="s">
        <v>212</v>
      </c>
      <c r="C30" s="101" t="s">
        <v>213</v>
      </c>
      <c r="D30" s="101" t="s">
        <v>41</v>
      </c>
      <c r="E30" s="324">
        <f>'d3'!E30-d3П!E30</f>
        <v>0</v>
      </c>
      <c r="F30" s="324">
        <f>'d3'!F30-d3П!F30</f>
        <v>0</v>
      </c>
      <c r="G30" s="324">
        <f>'d3'!G30-d3П!G30</f>
        <v>0</v>
      </c>
      <c r="H30" s="324">
        <f>'d3'!H30-d3П!H30</f>
        <v>0</v>
      </c>
      <c r="I30" s="324">
        <f>'d3'!I30-d3П!I30</f>
        <v>0</v>
      </c>
      <c r="J30" s="324">
        <f>'d3'!J30-d3П!J30</f>
        <v>0</v>
      </c>
      <c r="K30" s="324">
        <f>'d3'!K30-d3П!K30</f>
        <v>0</v>
      </c>
      <c r="L30" s="324">
        <f>'d3'!L30-d3П!L30</f>
        <v>0</v>
      </c>
      <c r="M30" s="324">
        <f>'d3'!M30-d3П!M30</f>
        <v>0</v>
      </c>
      <c r="N30" s="324">
        <f>'d3'!N30-d3П!N30</f>
        <v>0</v>
      </c>
      <c r="O30" s="324">
        <f>'d3'!O30-d3П!O30</f>
        <v>0</v>
      </c>
      <c r="P30" s="324">
        <f>'d3'!P30-d3П!P30</f>
        <v>0</v>
      </c>
      <c r="Q30" s="137"/>
      <c r="R30" s="34"/>
    </row>
    <row r="31" spans="1:18" ht="47.25" thickTop="1" thickBot="1" x14ac:dyDescent="0.25">
      <c r="A31" s="101" t="s">
        <v>299</v>
      </c>
      <c r="B31" s="101" t="s">
        <v>300</v>
      </c>
      <c r="C31" s="101" t="s">
        <v>170</v>
      </c>
      <c r="D31" s="101" t="s">
        <v>441</v>
      </c>
      <c r="E31" s="324">
        <f>'d3'!E31-d3П!E31</f>
        <v>0</v>
      </c>
      <c r="F31" s="324">
        <f>'d3'!F31-d3П!F31</f>
        <v>0</v>
      </c>
      <c r="G31" s="324">
        <f>'d3'!G31-d3П!G31</f>
        <v>0</v>
      </c>
      <c r="H31" s="324">
        <f>'d3'!H31-d3П!H31</f>
        <v>0</v>
      </c>
      <c r="I31" s="324">
        <f>'d3'!I31-d3П!I31</f>
        <v>0</v>
      </c>
      <c r="J31" s="324">
        <f>'d3'!J31-d3П!J31</f>
        <v>0</v>
      </c>
      <c r="K31" s="324">
        <f>'d3'!K31-d3П!K31</f>
        <v>0</v>
      </c>
      <c r="L31" s="324">
        <f>'d3'!L31-d3П!L31</f>
        <v>0</v>
      </c>
      <c r="M31" s="324">
        <f>'d3'!M31-d3П!M31</f>
        <v>0</v>
      </c>
      <c r="N31" s="324">
        <f>'d3'!N31-d3П!N31</f>
        <v>0</v>
      </c>
      <c r="O31" s="324">
        <f>'d3'!O31-d3П!O31</f>
        <v>0</v>
      </c>
      <c r="P31" s="324">
        <f>'d3'!P31-d3П!P31</f>
        <v>0</v>
      </c>
      <c r="Q31" s="131"/>
      <c r="R31" s="30"/>
    </row>
    <row r="32" spans="1:18" ht="47.25" thickTop="1" thickBot="1" x14ac:dyDescent="0.25">
      <c r="A32" s="325" t="s">
        <v>689</v>
      </c>
      <c r="B32" s="325" t="s">
        <v>690</v>
      </c>
      <c r="C32" s="325"/>
      <c r="D32" s="550" t="s">
        <v>688</v>
      </c>
      <c r="E32" s="324">
        <f>'d3'!E32-d3П!E32</f>
        <v>0</v>
      </c>
      <c r="F32" s="324">
        <f>'d3'!F32-d3П!F32</f>
        <v>0</v>
      </c>
      <c r="G32" s="324">
        <f>'d3'!G32-d3П!G32</f>
        <v>0</v>
      </c>
      <c r="H32" s="324">
        <f>'d3'!H32-d3П!H32</f>
        <v>0</v>
      </c>
      <c r="I32" s="324">
        <f>'d3'!I32-d3П!I32</f>
        <v>0</v>
      </c>
      <c r="J32" s="324">
        <f>'d3'!J32-d3П!J32</f>
        <v>0</v>
      </c>
      <c r="K32" s="324">
        <f>'d3'!K32-d3П!K32</f>
        <v>0</v>
      </c>
      <c r="L32" s="324">
        <f>'d3'!L32-d3П!L32</f>
        <v>0</v>
      </c>
      <c r="M32" s="324">
        <f>'d3'!M32-d3П!M32</f>
        <v>0</v>
      </c>
      <c r="N32" s="324">
        <f>'d3'!N32-d3П!N32</f>
        <v>0</v>
      </c>
      <c r="O32" s="324">
        <f>'d3'!O32-d3П!O32</f>
        <v>0</v>
      </c>
      <c r="P32" s="324">
        <f>'d3'!P32-d3П!P32</f>
        <v>0</v>
      </c>
      <c r="Q32" s="137"/>
      <c r="R32" s="35"/>
    </row>
    <row r="33" spans="1:18" s="33" customFormat="1" ht="156.75" customHeight="1" thickTop="1" thickBot="1" x14ac:dyDescent="0.7">
      <c r="A33" s="732" t="s">
        <v>339</v>
      </c>
      <c r="B33" s="732" t="s">
        <v>338</v>
      </c>
      <c r="C33" s="732" t="s">
        <v>170</v>
      </c>
      <c r="D33" s="551" t="s">
        <v>439</v>
      </c>
      <c r="E33" s="737">
        <f>'d3'!E33-d3П!E33</f>
        <v>0</v>
      </c>
      <c r="F33" s="737">
        <f>'d3'!F33-d3П!F33</f>
        <v>0</v>
      </c>
      <c r="G33" s="737">
        <f>'d3'!G33-d3П!G33</f>
        <v>0</v>
      </c>
      <c r="H33" s="737">
        <f>'d3'!H33-d3П!H33</f>
        <v>0</v>
      </c>
      <c r="I33" s="737">
        <f>'d3'!I33-d3П!I33</f>
        <v>0</v>
      </c>
      <c r="J33" s="737">
        <f>'d3'!J33-d3П!J33</f>
        <v>0</v>
      </c>
      <c r="K33" s="737">
        <f>'d3'!K33-d3П!K33</f>
        <v>0</v>
      </c>
      <c r="L33" s="737">
        <f>'d3'!L33-d3П!L33</f>
        <v>0</v>
      </c>
      <c r="M33" s="737">
        <f>'d3'!M33-d3П!M33</f>
        <v>0</v>
      </c>
      <c r="N33" s="737">
        <f>'d3'!N33-d3П!N33</f>
        <v>0</v>
      </c>
      <c r="O33" s="737">
        <f>'d3'!O33-d3П!O33</f>
        <v>0</v>
      </c>
      <c r="P33" s="737">
        <f>'d3'!P33-d3П!P33</f>
        <v>0</v>
      </c>
      <c r="Q33" s="140"/>
      <c r="R33" s="36"/>
    </row>
    <row r="34" spans="1:18" s="33" customFormat="1" ht="120.75" customHeight="1" thickTop="1" thickBot="1" x14ac:dyDescent="0.25">
      <c r="A34" s="733"/>
      <c r="B34" s="743"/>
      <c r="C34" s="733"/>
      <c r="D34" s="552" t="s">
        <v>440</v>
      </c>
      <c r="E34" s="738"/>
      <c r="F34" s="738">
        <f>'d3'!F34-d3П!F34</f>
        <v>0</v>
      </c>
      <c r="G34" s="738">
        <f>'d3'!G34-d3П!G34</f>
        <v>0</v>
      </c>
      <c r="H34" s="738">
        <f>'d3'!H34-d3П!H34</f>
        <v>0</v>
      </c>
      <c r="I34" s="738">
        <f>'d3'!I34-d3П!I34</f>
        <v>0</v>
      </c>
      <c r="J34" s="738">
        <f>'d3'!J34-d3П!J34</f>
        <v>0</v>
      </c>
      <c r="K34" s="738">
        <f>'d3'!K34-d3П!K34</f>
        <v>0</v>
      </c>
      <c r="L34" s="738">
        <f>'d3'!L34-d3П!L34</f>
        <v>0</v>
      </c>
      <c r="M34" s="738">
        <f>'d3'!M34-d3П!M34</f>
        <v>0</v>
      </c>
      <c r="N34" s="738">
        <f>'d3'!N34-d3П!N34</f>
        <v>0</v>
      </c>
      <c r="O34" s="738">
        <f>'d3'!O34-d3П!O34</f>
        <v>0</v>
      </c>
      <c r="P34" s="738">
        <f>'d3'!P34-d3П!P34</f>
        <v>0</v>
      </c>
      <c r="Q34" s="36"/>
      <c r="R34" s="36"/>
    </row>
    <row r="35" spans="1:18" s="33" customFormat="1" ht="79.5" customHeight="1" thickTop="1" thickBot="1" x14ac:dyDescent="0.25">
      <c r="A35" s="101" t="s">
        <v>909</v>
      </c>
      <c r="B35" s="101" t="s">
        <v>257</v>
      </c>
      <c r="C35" s="101" t="s">
        <v>170</v>
      </c>
      <c r="D35" s="101" t="s">
        <v>255</v>
      </c>
      <c r="E35" s="324">
        <f>'d3'!E35-d3П!E35</f>
        <v>0</v>
      </c>
      <c r="F35" s="324">
        <f>'d3'!F35-d3П!F35</f>
        <v>0</v>
      </c>
      <c r="G35" s="324">
        <f>'d3'!G35-d3П!G35</f>
        <v>0</v>
      </c>
      <c r="H35" s="324">
        <f>'d3'!H35-d3П!H35</f>
        <v>0</v>
      </c>
      <c r="I35" s="324">
        <f>'d3'!I35-d3П!I35</f>
        <v>0</v>
      </c>
      <c r="J35" s="324">
        <f>'d3'!J35-d3П!J35</f>
        <v>0</v>
      </c>
      <c r="K35" s="324">
        <f>'d3'!K35-d3П!K35</f>
        <v>0</v>
      </c>
      <c r="L35" s="324">
        <f>'d3'!L35-d3П!L35</f>
        <v>0</v>
      </c>
      <c r="M35" s="324">
        <f>'d3'!M35-d3П!M35</f>
        <v>0</v>
      </c>
      <c r="N35" s="324">
        <f>'d3'!N35-d3П!N35</f>
        <v>0</v>
      </c>
      <c r="O35" s="324">
        <f>'d3'!O35-d3П!O35</f>
        <v>0</v>
      </c>
      <c r="P35" s="324">
        <f>'d3'!P35-d3П!P35</f>
        <v>0</v>
      </c>
      <c r="Q35" s="36"/>
      <c r="R35" s="36"/>
    </row>
    <row r="36" spans="1:18" s="33" customFormat="1" ht="65.25" customHeight="1" thickTop="1" thickBot="1" x14ac:dyDescent="0.25">
      <c r="A36" s="308" t="s">
        <v>691</v>
      </c>
      <c r="B36" s="308" t="s">
        <v>692</v>
      </c>
      <c r="C36" s="308"/>
      <c r="D36" s="308" t="s">
        <v>693</v>
      </c>
      <c r="E36" s="324">
        <f>'d3'!E36-d3П!E36</f>
        <v>60000</v>
      </c>
      <c r="F36" s="324">
        <f>'d3'!F36-d3П!F36</f>
        <v>60000</v>
      </c>
      <c r="G36" s="324">
        <f>'d3'!G36-d3П!G36</f>
        <v>0</v>
      </c>
      <c r="H36" s="324">
        <f>'d3'!H36-d3П!H36</f>
        <v>0</v>
      </c>
      <c r="I36" s="324">
        <f>'d3'!I36-d3П!I36</f>
        <v>0</v>
      </c>
      <c r="J36" s="324">
        <f>'d3'!J36-d3П!J36</f>
        <v>8600000</v>
      </c>
      <c r="K36" s="324">
        <f>'d3'!K36-d3П!K36</f>
        <v>8600000</v>
      </c>
      <c r="L36" s="324">
        <f>'d3'!L36-d3П!L36</f>
        <v>0</v>
      </c>
      <c r="M36" s="324">
        <f>'d3'!M36-d3П!M36</f>
        <v>0</v>
      </c>
      <c r="N36" s="324">
        <f>'d3'!N36-d3П!N36</f>
        <v>0</v>
      </c>
      <c r="O36" s="324">
        <f>'d3'!O36-d3П!O36</f>
        <v>8600000</v>
      </c>
      <c r="P36" s="324">
        <f>'d3'!P36-d3П!P36</f>
        <v>8660000</v>
      </c>
      <c r="Q36" s="36"/>
      <c r="R36" s="36"/>
    </row>
    <row r="37" spans="1:18" s="33" customFormat="1" ht="75.75" customHeight="1" thickTop="1" thickBot="1" x14ac:dyDescent="0.25">
      <c r="A37" s="310" t="s">
        <v>1167</v>
      </c>
      <c r="B37" s="310" t="s">
        <v>1168</v>
      </c>
      <c r="C37" s="310"/>
      <c r="D37" s="310" t="s">
        <v>1166</v>
      </c>
      <c r="E37" s="324">
        <f>'d3'!E37-d3П!E37</f>
        <v>60000</v>
      </c>
      <c r="F37" s="324">
        <f>'d3'!F37-d3П!F37</f>
        <v>60000</v>
      </c>
      <c r="G37" s="324">
        <f>'d3'!G37-d3П!G37</f>
        <v>0</v>
      </c>
      <c r="H37" s="324">
        <f>'d3'!H37-d3П!H37</f>
        <v>0</v>
      </c>
      <c r="I37" s="324">
        <f>'d3'!I37-d3П!I37</f>
        <v>0</v>
      </c>
      <c r="J37" s="324">
        <f>'d3'!J37-d3П!J37</f>
        <v>8600000</v>
      </c>
      <c r="K37" s="324">
        <f>'d3'!K37-d3П!K37</f>
        <v>8600000</v>
      </c>
      <c r="L37" s="324">
        <f>'d3'!L37-d3П!L37</f>
        <v>0</v>
      </c>
      <c r="M37" s="324">
        <f>'d3'!M37-d3П!M37</f>
        <v>0</v>
      </c>
      <c r="N37" s="324">
        <f>'d3'!N37-d3П!N37</f>
        <v>0</v>
      </c>
      <c r="O37" s="324">
        <f>'d3'!O37-d3П!O37</f>
        <v>8600000</v>
      </c>
      <c r="P37" s="324">
        <f>'d3'!P37-d3П!P37</f>
        <v>8660000</v>
      </c>
      <c r="Q37" s="36"/>
      <c r="R37" s="36"/>
    </row>
    <row r="38" spans="1:18" s="33" customFormat="1" ht="60.75" customHeight="1" thickTop="1" thickBot="1" x14ac:dyDescent="0.25">
      <c r="A38" s="101" t="s">
        <v>1194</v>
      </c>
      <c r="B38" s="101" t="s">
        <v>1195</v>
      </c>
      <c r="C38" s="101" t="s">
        <v>1170</v>
      </c>
      <c r="D38" s="101" t="s">
        <v>1196</v>
      </c>
      <c r="E38" s="324">
        <f>'d3'!E38-d3П!E38</f>
        <v>0</v>
      </c>
      <c r="F38" s="324">
        <f>'d3'!F38-d3П!F38</f>
        <v>0</v>
      </c>
      <c r="G38" s="324">
        <f>'d3'!G38-d3П!G38</f>
        <v>0</v>
      </c>
      <c r="H38" s="324">
        <f>'d3'!H38-d3П!H38</f>
        <v>0</v>
      </c>
      <c r="I38" s="324">
        <f>'d3'!I38-d3П!I38</f>
        <v>0</v>
      </c>
      <c r="J38" s="324">
        <f>'d3'!J38-d3П!J38</f>
        <v>8600000</v>
      </c>
      <c r="K38" s="324">
        <f>'d3'!K38-d3П!K38</f>
        <v>8600000</v>
      </c>
      <c r="L38" s="324">
        <f>'d3'!L38-d3П!L38</f>
        <v>0</v>
      </c>
      <c r="M38" s="324">
        <f>'d3'!M38-d3П!M38</f>
        <v>0</v>
      </c>
      <c r="N38" s="324">
        <f>'d3'!N38-d3П!N38</f>
        <v>0</v>
      </c>
      <c r="O38" s="324">
        <f>'d3'!O38-d3П!O38</f>
        <v>8600000</v>
      </c>
      <c r="P38" s="324">
        <f>'d3'!P38-d3П!P38</f>
        <v>8600000</v>
      </c>
      <c r="Q38" s="36"/>
      <c r="R38" s="36"/>
    </row>
    <row r="39" spans="1:18" s="33" customFormat="1" ht="72.75" customHeight="1" thickTop="1" thickBot="1" x14ac:dyDescent="0.25">
      <c r="A39" s="101" t="s">
        <v>1171</v>
      </c>
      <c r="B39" s="101" t="s">
        <v>1172</v>
      </c>
      <c r="C39" s="101" t="s">
        <v>1170</v>
      </c>
      <c r="D39" s="101" t="s">
        <v>1169</v>
      </c>
      <c r="E39" s="324">
        <f>'d3'!E39-d3П!E39</f>
        <v>60000</v>
      </c>
      <c r="F39" s="324">
        <f>'d3'!F39-d3П!F39</f>
        <v>60000</v>
      </c>
      <c r="G39" s="324">
        <f>'d3'!G39-d3П!G39</f>
        <v>0</v>
      </c>
      <c r="H39" s="324">
        <f>'d3'!H39-d3П!H39</f>
        <v>0</v>
      </c>
      <c r="I39" s="324">
        <f>'d3'!I39-d3П!I39</f>
        <v>0</v>
      </c>
      <c r="J39" s="324">
        <f>'d3'!J39-d3П!J39</f>
        <v>0</v>
      </c>
      <c r="K39" s="324">
        <f>'d3'!K39-d3П!K39</f>
        <v>0</v>
      </c>
      <c r="L39" s="324">
        <f>'d3'!L39-d3П!L39</f>
        <v>0</v>
      </c>
      <c r="M39" s="324">
        <f>'d3'!M39-d3П!M39</f>
        <v>0</v>
      </c>
      <c r="N39" s="324">
        <f>'d3'!N39-d3П!N39</f>
        <v>0</v>
      </c>
      <c r="O39" s="324">
        <f>'d3'!O39-d3П!O39</f>
        <v>0</v>
      </c>
      <c r="P39" s="324">
        <f>'d3'!P39-d3П!P39</f>
        <v>60000</v>
      </c>
      <c r="Q39" s="36"/>
      <c r="R39" s="36"/>
    </row>
    <row r="40" spans="1:18" s="33" customFormat="1" ht="47.25" thickTop="1" thickBot="1" x14ac:dyDescent="0.25">
      <c r="A40" s="310" t="s">
        <v>694</v>
      </c>
      <c r="B40" s="310" t="s">
        <v>695</v>
      </c>
      <c r="C40" s="310"/>
      <c r="D40" s="310" t="s">
        <v>696</v>
      </c>
      <c r="E40" s="324">
        <f>'d3'!E40-d3П!E40</f>
        <v>0</v>
      </c>
      <c r="F40" s="324">
        <f>'d3'!F40-d3П!F40</f>
        <v>0</v>
      </c>
      <c r="G40" s="324">
        <f>'d3'!G40-d3П!G40</f>
        <v>0</v>
      </c>
      <c r="H40" s="324">
        <f>'d3'!H40-d3П!H40</f>
        <v>0</v>
      </c>
      <c r="I40" s="324">
        <f>'d3'!I40-d3П!I40</f>
        <v>0</v>
      </c>
      <c r="J40" s="324">
        <f>'d3'!J40-d3П!J40</f>
        <v>0</v>
      </c>
      <c r="K40" s="324">
        <f>'d3'!K40-d3П!K40</f>
        <v>0</v>
      </c>
      <c r="L40" s="324">
        <f>'d3'!L40-d3П!L40</f>
        <v>0</v>
      </c>
      <c r="M40" s="324">
        <f>'d3'!M40-d3П!M40</f>
        <v>0</v>
      </c>
      <c r="N40" s="324">
        <f>'d3'!N40-d3П!N40</f>
        <v>0</v>
      </c>
      <c r="O40" s="324">
        <f>'d3'!O40-d3П!O40</f>
        <v>0</v>
      </c>
      <c r="P40" s="324">
        <f>'d3'!P40-d3П!P40</f>
        <v>0</v>
      </c>
      <c r="Q40" s="36"/>
    </row>
    <row r="41" spans="1:18" ht="47.25" thickTop="1" thickBot="1" x14ac:dyDescent="0.25">
      <c r="A41" s="101" t="s">
        <v>241</v>
      </c>
      <c r="B41" s="101" t="s">
        <v>242</v>
      </c>
      <c r="C41" s="101" t="s">
        <v>243</v>
      </c>
      <c r="D41" s="101" t="s">
        <v>244</v>
      </c>
      <c r="E41" s="324">
        <f>'d3'!E41-d3П!E41</f>
        <v>0</v>
      </c>
      <c r="F41" s="324">
        <f>'d3'!F41-d3П!F41</f>
        <v>0</v>
      </c>
      <c r="G41" s="324">
        <f>'d3'!G41-d3П!G41</f>
        <v>0</v>
      </c>
      <c r="H41" s="324">
        <f>'d3'!H41-d3П!H41</f>
        <v>0</v>
      </c>
      <c r="I41" s="324">
        <f>'d3'!I41-d3П!I41</f>
        <v>0</v>
      </c>
      <c r="J41" s="324">
        <f>'d3'!J41-d3П!J41</f>
        <v>0</v>
      </c>
      <c r="K41" s="324">
        <f>'d3'!K41-d3П!K41</f>
        <v>0</v>
      </c>
      <c r="L41" s="324">
        <f>'d3'!L41-d3П!L41</f>
        <v>0</v>
      </c>
      <c r="M41" s="324">
        <f>'d3'!M41-d3П!M41</f>
        <v>0</v>
      </c>
      <c r="N41" s="324">
        <f>'d3'!N41-d3П!N41</f>
        <v>0</v>
      </c>
      <c r="O41" s="324">
        <f>'d3'!O41-d3П!O41</f>
        <v>0</v>
      </c>
      <c r="P41" s="324">
        <f>'d3'!P41-d3П!P41</f>
        <v>0</v>
      </c>
      <c r="Q41" s="20"/>
    </row>
    <row r="42" spans="1:18" ht="72" customHeight="1" thickTop="1" thickBot="1" x14ac:dyDescent="0.25">
      <c r="A42" s="308" t="s">
        <v>697</v>
      </c>
      <c r="B42" s="308" t="s">
        <v>698</v>
      </c>
      <c r="C42" s="308"/>
      <c r="D42" s="308" t="s">
        <v>699</v>
      </c>
      <c r="E42" s="324">
        <f>'d3'!E42-d3П!E42</f>
        <v>6570000</v>
      </c>
      <c r="F42" s="324">
        <f>'d3'!F42-d3П!F42</f>
        <v>6570000</v>
      </c>
      <c r="G42" s="324">
        <f>'d3'!G42-d3П!G42</f>
        <v>0</v>
      </c>
      <c r="H42" s="324">
        <f>'d3'!H42-d3П!H42</f>
        <v>0</v>
      </c>
      <c r="I42" s="324">
        <f>'d3'!I42-d3П!I42</f>
        <v>0</v>
      </c>
      <c r="J42" s="324">
        <f>'d3'!J42-d3П!J42</f>
        <v>4600000</v>
      </c>
      <c r="K42" s="324">
        <f>'d3'!K42-d3П!K42</f>
        <v>4600000</v>
      </c>
      <c r="L42" s="324">
        <f>'d3'!L42-d3П!L42</f>
        <v>0</v>
      </c>
      <c r="M42" s="324">
        <f>'d3'!M42-d3П!M42</f>
        <v>0</v>
      </c>
      <c r="N42" s="324">
        <f>'d3'!N42-d3П!N42</f>
        <v>0</v>
      </c>
      <c r="O42" s="324">
        <f>'d3'!O42-d3П!O42</f>
        <v>4600000</v>
      </c>
      <c r="P42" s="324">
        <f>'d3'!P42-d3П!P42</f>
        <v>11170000</v>
      </c>
      <c r="Q42" s="20"/>
    </row>
    <row r="43" spans="1:18" s="33" customFormat="1" ht="91.5" thickTop="1" thickBot="1" x14ac:dyDescent="0.25">
      <c r="A43" s="310" t="s">
        <v>700</v>
      </c>
      <c r="B43" s="310" t="s">
        <v>701</v>
      </c>
      <c r="C43" s="310"/>
      <c r="D43" s="310" t="s">
        <v>702</v>
      </c>
      <c r="E43" s="324">
        <f>'d3'!E43-d3П!E43</f>
        <v>0</v>
      </c>
      <c r="F43" s="324">
        <f>'d3'!F43-d3П!F43</f>
        <v>0</v>
      </c>
      <c r="G43" s="324">
        <f>'d3'!G43-d3П!G43</f>
        <v>0</v>
      </c>
      <c r="H43" s="324">
        <f>'d3'!H43-d3П!H43</f>
        <v>0</v>
      </c>
      <c r="I43" s="324">
        <f>'d3'!I43-d3П!I43</f>
        <v>0</v>
      </c>
      <c r="J43" s="324">
        <f>'d3'!J43-d3П!J43</f>
        <v>0</v>
      </c>
      <c r="K43" s="324">
        <f>'d3'!K43-d3П!K43</f>
        <v>0</v>
      </c>
      <c r="L43" s="324">
        <f>'d3'!L43-d3П!L43</f>
        <v>0</v>
      </c>
      <c r="M43" s="324">
        <f>'d3'!M43-d3П!M43</f>
        <v>0</v>
      </c>
      <c r="N43" s="324">
        <f>'d3'!N43-d3П!N43</f>
        <v>0</v>
      </c>
      <c r="O43" s="324">
        <f>'d3'!O43-d3П!O43</f>
        <v>0</v>
      </c>
      <c r="P43" s="324">
        <f>'d3'!P43-d3П!P43</f>
        <v>0</v>
      </c>
      <c r="Q43" s="36"/>
      <c r="R43" s="36"/>
    </row>
    <row r="44" spans="1:18" ht="138.75" thickTop="1" thickBot="1" x14ac:dyDescent="0.25">
      <c r="A44" s="101" t="s">
        <v>245</v>
      </c>
      <c r="B44" s="101" t="s">
        <v>246</v>
      </c>
      <c r="C44" s="101" t="s">
        <v>43</v>
      </c>
      <c r="D44" s="101" t="s">
        <v>442</v>
      </c>
      <c r="E44" s="324">
        <f>'d3'!E44-d3П!E44</f>
        <v>0</v>
      </c>
      <c r="F44" s="324">
        <f>'d3'!F44-d3П!F44</f>
        <v>0</v>
      </c>
      <c r="G44" s="324">
        <f>'d3'!G44-d3П!G44</f>
        <v>0</v>
      </c>
      <c r="H44" s="324">
        <f>'d3'!H44-d3П!H44</f>
        <v>0</v>
      </c>
      <c r="I44" s="324">
        <f>'d3'!I44-d3П!I44</f>
        <v>0</v>
      </c>
      <c r="J44" s="324">
        <f>'d3'!J44-d3П!J44</f>
        <v>0</v>
      </c>
      <c r="K44" s="324">
        <f>'d3'!K44-d3П!K44</f>
        <v>0</v>
      </c>
      <c r="L44" s="324">
        <f>'d3'!L44-d3П!L44</f>
        <v>0</v>
      </c>
      <c r="M44" s="324">
        <f>'d3'!M44-d3П!M44</f>
        <v>0</v>
      </c>
      <c r="N44" s="324">
        <f>'d3'!N44-d3П!N44</f>
        <v>0</v>
      </c>
      <c r="O44" s="324">
        <f>'d3'!O44-d3П!O44</f>
        <v>0</v>
      </c>
      <c r="P44" s="324">
        <f>'d3'!P44-d3П!P44</f>
        <v>0</v>
      </c>
      <c r="Q44" s="20"/>
    </row>
    <row r="45" spans="1:18" ht="47.25" thickTop="1" thickBot="1" x14ac:dyDescent="0.25">
      <c r="A45" s="101" t="s">
        <v>574</v>
      </c>
      <c r="B45" s="101" t="s">
        <v>363</v>
      </c>
      <c r="C45" s="101" t="s">
        <v>43</v>
      </c>
      <c r="D45" s="101" t="s">
        <v>364</v>
      </c>
      <c r="E45" s="324">
        <f>'d3'!E45-d3П!E45</f>
        <v>0</v>
      </c>
      <c r="F45" s="324">
        <f>'d3'!F45-d3П!F45</f>
        <v>0</v>
      </c>
      <c r="G45" s="324">
        <f>'d3'!G45-d3П!G45</f>
        <v>0</v>
      </c>
      <c r="H45" s="324">
        <f>'d3'!H45-d3П!H45</f>
        <v>0</v>
      </c>
      <c r="I45" s="324">
        <f>'d3'!I45-d3П!I45</f>
        <v>0</v>
      </c>
      <c r="J45" s="324">
        <f>'d3'!J45-d3П!J45</f>
        <v>0</v>
      </c>
      <c r="K45" s="324">
        <f>'d3'!K45-d3П!K45</f>
        <v>0</v>
      </c>
      <c r="L45" s="324">
        <f>'d3'!L45-d3П!L45</f>
        <v>0</v>
      </c>
      <c r="M45" s="324">
        <f>'d3'!M45-d3П!M45</f>
        <v>0</v>
      </c>
      <c r="N45" s="324">
        <f>'d3'!N45-d3П!N45</f>
        <v>0</v>
      </c>
      <c r="O45" s="324">
        <f>'d3'!O45-d3П!O45</f>
        <v>0</v>
      </c>
      <c r="P45" s="324">
        <f>'d3'!P45-d3П!P45</f>
        <v>0</v>
      </c>
      <c r="Q45" s="20"/>
    </row>
    <row r="46" spans="1:18" ht="91.5" thickTop="1" thickBot="1" x14ac:dyDescent="0.25">
      <c r="A46" s="310" t="s">
        <v>512</v>
      </c>
      <c r="B46" s="310" t="s">
        <v>513</v>
      </c>
      <c r="C46" s="310" t="s">
        <v>43</v>
      </c>
      <c r="D46" s="310" t="s">
        <v>514</v>
      </c>
      <c r="E46" s="324">
        <f>'d3'!E46-d3П!E46</f>
        <v>6570000</v>
      </c>
      <c r="F46" s="324">
        <f>'d3'!F46-d3П!F46</f>
        <v>6570000</v>
      </c>
      <c r="G46" s="324">
        <f>'d3'!G46-d3П!G46</f>
        <v>0</v>
      </c>
      <c r="H46" s="324">
        <f>'d3'!H46-d3П!H46</f>
        <v>0</v>
      </c>
      <c r="I46" s="324">
        <f>'d3'!I46-d3П!I46</f>
        <v>0</v>
      </c>
      <c r="J46" s="324">
        <f>'d3'!J46-d3П!J46</f>
        <v>4600000</v>
      </c>
      <c r="K46" s="324">
        <f>'d3'!K46-d3П!K46</f>
        <v>4600000</v>
      </c>
      <c r="L46" s="324">
        <f>'d3'!L46-d3П!L46</f>
        <v>0</v>
      </c>
      <c r="M46" s="324">
        <f>'d3'!M46-d3П!M46</f>
        <v>0</v>
      </c>
      <c r="N46" s="324">
        <f>'d3'!N46-d3П!N46</f>
        <v>0</v>
      </c>
      <c r="O46" s="324">
        <f>'d3'!O46-d3П!O46</f>
        <v>4600000</v>
      </c>
      <c r="P46" s="324">
        <f>'d3'!P46-d3П!P46</f>
        <v>11170000</v>
      </c>
      <c r="Q46" s="20"/>
      <c r="R46" s="26"/>
    </row>
    <row r="47" spans="1:18" ht="120" customHeight="1" thickTop="1" thickBot="1" x14ac:dyDescent="0.25">
      <c r="A47" s="689" t="s">
        <v>152</v>
      </c>
      <c r="B47" s="689"/>
      <c r="C47" s="689"/>
      <c r="D47" s="690" t="s">
        <v>0</v>
      </c>
      <c r="E47" s="691">
        <f>E48</f>
        <v>12423117.950000048</v>
      </c>
      <c r="F47" s="692">
        <f t="shared" ref="F47" si="2">F48</f>
        <v>12423117.950000048</v>
      </c>
      <c r="G47" s="692">
        <f>G48</f>
        <v>2779610</v>
      </c>
      <c r="H47" s="692">
        <f>H48</f>
        <v>1592283.9499999881</v>
      </c>
      <c r="I47" s="692">
        <f t="shared" ref="I47" si="3">I48</f>
        <v>0</v>
      </c>
      <c r="J47" s="691">
        <f>J48</f>
        <v>-4751730.6999999881</v>
      </c>
      <c r="K47" s="692">
        <f>K48</f>
        <v>-4751730.6999999881</v>
      </c>
      <c r="L47" s="692">
        <f>L48</f>
        <v>-238000</v>
      </c>
      <c r="M47" s="692">
        <f t="shared" ref="M47" si="4">M48</f>
        <v>0</v>
      </c>
      <c r="N47" s="692">
        <f>N48</f>
        <v>0</v>
      </c>
      <c r="O47" s="691">
        <f>O48</f>
        <v>-4513730.6999999881</v>
      </c>
      <c r="P47" s="692">
        <f t="shared" ref="P47" si="5">P48</f>
        <v>7671387.2500000596</v>
      </c>
      <c r="Q47" s="20"/>
    </row>
    <row r="48" spans="1:18" ht="120" customHeight="1" thickTop="1" thickBot="1" x14ac:dyDescent="0.25">
      <c r="A48" s="693" t="s">
        <v>153</v>
      </c>
      <c r="B48" s="693"/>
      <c r="C48" s="693"/>
      <c r="D48" s="694" t="s">
        <v>1</v>
      </c>
      <c r="E48" s="695">
        <f>E49+E90+E102+E93+E99</f>
        <v>12423117.950000048</v>
      </c>
      <c r="F48" s="695">
        <f>F49+F90+F102+F93+F99</f>
        <v>12423117.950000048</v>
      </c>
      <c r="G48" s="695">
        <f>G49+G90+G102+G93+G99</f>
        <v>2779610</v>
      </c>
      <c r="H48" s="695">
        <f>H49+H90+H102+H93+H99</f>
        <v>1592283.9499999881</v>
      </c>
      <c r="I48" s="695">
        <f>I49+I90+I102+I93+I99</f>
        <v>0</v>
      </c>
      <c r="J48" s="695">
        <f>L48+O48</f>
        <v>-4751730.6999999881</v>
      </c>
      <c r="K48" s="695">
        <f>K49+K90+K102+K93+K99</f>
        <v>-4751730.6999999881</v>
      </c>
      <c r="L48" s="695">
        <f>L49+L90+L102+L93+L99</f>
        <v>-238000</v>
      </c>
      <c r="M48" s="695">
        <f>M49+M90+M102+M93+M99</f>
        <v>0</v>
      </c>
      <c r="N48" s="695">
        <f>N49+N90+N102+N93+N99</f>
        <v>0</v>
      </c>
      <c r="O48" s="695">
        <f>O49+O90+O102+O93+O99</f>
        <v>-4513730.6999999881</v>
      </c>
      <c r="P48" s="695">
        <f>E48+J48</f>
        <v>7671387.2500000596</v>
      </c>
      <c r="Q48" s="549" t="b">
        <f>P48=P50+P52+P53+P54+P56+P57+P60+P62+P63+P65+P66+P68+P69+P70+P80+P91+P92+P96+P98+P59+P86+P87+P74+P75+P77+P78+P72+P73+P89</f>
        <v>0</v>
      </c>
      <c r="R48" s="26"/>
    </row>
    <row r="49" spans="1:20" ht="47.25" thickTop="1" thickBot="1" x14ac:dyDescent="0.25">
      <c r="A49" s="308" t="s">
        <v>703</v>
      </c>
      <c r="B49" s="308" t="s">
        <v>704</v>
      </c>
      <c r="C49" s="308"/>
      <c r="D49" s="308" t="s">
        <v>705</v>
      </c>
      <c r="E49" s="324">
        <f>'d3'!E49-d3П!E49</f>
        <v>12423117.950000048</v>
      </c>
      <c r="F49" s="324">
        <f>'d3'!F49-d3П!F49</f>
        <v>12423117.950000048</v>
      </c>
      <c r="G49" s="324">
        <f>'d3'!G49-d3П!G49</f>
        <v>2779610</v>
      </c>
      <c r="H49" s="324">
        <f>'d3'!H49-d3П!H49</f>
        <v>1592283.9499999881</v>
      </c>
      <c r="I49" s="324">
        <f>'d3'!I49-d3П!I49</f>
        <v>0</v>
      </c>
      <c r="J49" s="324">
        <f>'d3'!J49-d3П!J49</f>
        <v>2805495.8899999857</v>
      </c>
      <c r="K49" s="324">
        <f>'d3'!K49-d3П!K49</f>
        <v>2805495.8900000155</v>
      </c>
      <c r="L49" s="324">
        <f>'d3'!L49-d3П!L49</f>
        <v>-238000</v>
      </c>
      <c r="M49" s="324">
        <f>'d3'!M49-d3П!M49</f>
        <v>0</v>
      </c>
      <c r="N49" s="324">
        <f>'d3'!N49-d3П!N49</f>
        <v>0</v>
      </c>
      <c r="O49" s="324">
        <f>'d3'!O49-d3П!O49</f>
        <v>3043495.8900000155</v>
      </c>
      <c r="P49" s="324">
        <f>'d3'!P49-d3П!P49</f>
        <v>15228613.839999676</v>
      </c>
      <c r="Q49" s="30"/>
      <c r="R49" s="26"/>
    </row>
    <row r="50" spans="1:20" ht="47.25" thickTop="1" thickBot="1" x14ac:dyDescent="0.6">
      <c r="A50" s="101" t="s">
        <v>198</v>
      </c>
      <c r="B50" s="101" t="s">
        <v>199</v>
      </c>
      <c r="C50" s="101" t="s">
        <v>201</v>
      </c>
      <c r="D50" s="101" t="s">
        <v>202</v>
      </c>
      <c r="E50" s="324">
        <f>'d3'!E50-d3П!E50</f>
        <v>1372483</v>
      </c>
      <c r="F50" s="324">
        <f>'d3'!F50-d3П!F50</f>
        <v>1372483</v>
      </c>
      <c r="G50" s="324">
        <f>'d3'!G50-d3П!G50</f>
        <v>0</v>
      </c>
      <c r="H50" s="324">
        <f>'d3'!H50-d3П!H50</f>
        <v>-209000</v>
      </c>
      <c r="I50" s="324">
        <f>'d3'!I50-d3П!I50</f>
        <v>0</v>
      </c>
      <c r="J50" s="324">
        <f>'d3'!J50-d3П!J50</f>
        <v>144016</v>
      </c>
      <c r="K50" s="324">
        <f>'d3'!K50-d3П!K50</f>
        <v>144016</v>
      </c>
      <c r="L50" s="324">
        <f>'d3'!L50-d3П!L50</f>
        <v>0</v>
      </c>
      <c r="M50" s="324">
        <f>'d3'!M50-d3П!M50</f>
        <v>0</v>
      </c>
      <c r="N50" s="324">
        <f>'d3'!N50-d3П!N50</f>
        <v>0</v>
      </c>
      <c r="O50" s="324">
        <f>'d3'!O50-d3П!O50</f>
        <v>144016</v>
      </c>
      <c r="P50" s="324">
        <f>'d3'!P50-d3П!P50</f>
        <v>1516499</v>
      </c>
      <c r="Q50" s="141"/>
      <c r="R50" s="26"/>
    </row>
    <row r="51" spans="1:20" ht="47.25" thickTop="1" thickBot="1" x14ac:dyDescent="0.6">
      <c r="A51" s="325" t="s">
        <v>203</v>
      </c>
      <c r="B51" s="325" t="s">
        <v>200</v>
      </c>
      <c r="C51" s="325"/>
      <c r="D51" s="325" t="s">
        <v>641</v>
      </c>
      <c r="E51" s="324">
        <f>'d3'!E51-d3П!E51</f>
        <v>231400</v>
      </c>
      <c r="F51" s="324">
        <f>'d3'!F51-d3П!F51</f>
        <v>231400</v>
      </c>
      <c r="G51" s="324">
        <f>'d3'!G51-d3П!G51</f>
        <v>0</v>
      </c>
      <c r="H51" s="324">
        <f>'d3'!H51-d3П!H51</f>
        <v>2150000</v>
      </c>
      <c r="I51" s="324">
        <f>'d3'!I51-d3П!I51</f>
        <v>0</v>
      </c>
      <c r="J51" s="324">
        <f>'d3'!J51-d3П!J51</f>
        <v>1877368.8900000006</v>
      </c>
      <c r="K51" s="324">
        <f>'d3'!K51-d3П!K51</f>
        <v>1877368.8900000006</v>
      </c>
      <c r="L51" s="324">
        <f>'d3'!L51-d3П!L51</f>
        <v>0</v>
      </c>
      <c r="M51" s="324">
        <f>'d3'!M51-d3П!M51</f>
        <v>0</v>
      </c>
      <c r="N51" s="324">
        <f>'d3'!N51-d3П!N51</f>
        <v>0</v>
      </c>
      <c r="O51" s="324">
        <f>'d3'!O51-d3П!O51</f>
        <v>1877368.8900000006</v>
      </c>
      <c r="P51" s="324">
        <f>'d3'!P51-d3П!P51</f>
        <v>2108768.8899999857</v>
      </c>
      <c r="Q51" s="141"/>
      <c r="R51" s="37"/>
    </row>
    <row r="52" spans="1:20" ht="93" thickTop="1" thickBot="1" x14ac:dyDescent="0.6">
      <c r="A52" s="101" t="s">
        <v>639</v>
      </c>
      <c r="B52" s="101" t="s">
        <v>640</v>
      </c>
      <c r="C52" s="101" t="s">
        <v>204</v>
      </c>
      <c r="D52" s="101" t="s">
        <v>1257</v>
      </c>
      <c r="E52" s="324">
        <f>'d3'!E52-d3П!E52</f>
        <v>2110000</v>
      </c>
      <c r="F52" s="324">
        <f>'d3'!F52-d3П!F52</f>
        <v>2110000</v>
      </c>
      <c r="G52" s="324">
        <f>'d3'!G52-d3П!G52</f>
        <v>0</v>
      </c>
      <c r="H52" s="324">
        <f>'d3'!H52-d3П!H52</f>
        <v>2150000</v>
      </c>
      <c r="I52" s="324">
        <f>'d3'!I52-d3П!I52</f>
        <v>0</v>
      </c>
      <c r="J52" s="324">
        <f>'d3'!J52-d3П!J52</f>
        <v>1877368.8900000006</v>
      </c>
      <c r="K52" s="324">
        <f>'d3'!K52-d3П!K52</f>
        <v>1877368.8900000006</v>
      </c>
      <c r="L52" s="324">
        <f>'d3'!L52-d3П!L52</f>
        <v>0</v>
      </c>
      <c r="M52" s="324">
        <f>'d3'!M52-d3П!M52</f>
        <v>0</v>
      </c>
      <c r="N52" s="324">
        <f>'d3'!N52-d3П!N52</f>
        <v>0</v>
      </c>
      <c r="O52" s="324">
        <f>'d3'!O52-d3П!O52</f>
        <v>1877368.8900000006</v>
      </c>
      <c r="P52" s="324">
        <f>'d3'!P52-d3П!P52</f>
        <v>3987368.8899999857</v>
      </c>
      <c r="Q52" s="141"/>
      <c r="R52" s="26"/>
      <c r="T52" s="38"/>
    </row>
    <row r="53" spans="1:20" ht="138.75" thickTop="1" thickBot="1" x14ac:dyDescent="0.25">
      <c r="A53" s="101" t="s">
        <v>648</v>
      </c>
      <c r="B53" s="101" t="s">
        <v>649</v>
      </c>
      <c r="C53" s="101" t="s">
        <v>207</v>
      </c>
      <c r="D53" s="101" t="s">
        <v>1258</v>
      </c>
      <c r="E53" s="324">
        <f>'d3'!E53-d3П!E53</f>
        <v>1400</v>
      </c>
      <c r="F53" s="324">
        <f>'d3'!F53-d3П!F53</f>
        <v>1400</v>
      </c>
      <c r="G53" s="324">
        <f>'d3'!G53-d3П!G53</f>
        <v>0</v>
      </c>
      <c r="H53" s="324">
        <f>'d3'!H53-d3П!H53</f>
        <v>0</v>
      </c>
      <c r="I53" s="324">
        <f>'d3'!I53-d3П!I53</f>
        <v>0</v>
      </c>
      <c r="J53" s="324">
        <f>'d3'!J53-d3П!J53</f>
        <v>0</v>
      </c>
      <c r="K53" s="324">
        <f>'d3'!K53-d3П!K53</f>
        <v>0</v>
      </c>
      <c r="L53" s="324">
        <f>'d3'!L53-d3П!L53</f>
        <v>0</v>
      </c>
      <c r="M53" s="324">
        <f>'d3'!M53-d3П!M53</f>
        <v>0</v>
      </c>
      <c r="N53" s="324">
        <f>'d3'!N53-d3П!N53</f>
        <v>0</v>
      </c>
      <c r="O53" s="324">
        <f>'d3'!O53-d3П!O53</f>
        <v>0</v>
      </c>
      <c r="P53" s="324">
        <f>'d3'!P53-d3П!P53</f>
        <v>1400</v>
      </c>
      <c r="Q53" s="20"/>
      <c r="R53" s="27"/>
    </row>
    <row r="54" spans="1:20" ht="93" thickTop="1" thickBot="1" x14ac:dyDescent="0.25">
      <c r="A54" s="101" t="s">
        <v>989</v>
      </c>
      <c r="B54" s="101" t="s">
        <v>990</v>
      </c>
      <c r="C54" s="101" t="s">
        <v>207</v>
      </c>
      <c r="D54" s="101" t="s">
        <v>1259</v>
      </c>
      <c r="E54" s="324">
        <f>'d3'!E54-d3П!E54</f>
        <v>-1880000</v>
      </c>
      <c r="F54" s="324">
        <f>'d3'!F54-d3П!F54</f>
        <v>-1880000</v>
      </c>
      <c r="G54" s="324">
        <f>'d3'!G54-d3П!G54</f>
        <v>0</v>
      </c>
      <c r="H54" s="324">
        <f>'d3'!H54-d3П!H54</f>
        <v>0</v>
      </c>
      <c r="I54" s="324">
        <f>'d3'!I54-d3П!I54</f>
        <v>0</v>
      </c>
      <c r="J54" s="324">
        <f>'d3'!J54-d3П!J54</f>
        <v>0</v>
      </c>
      <c r="K54" s="324">
        <f>'d3'!K54-d3П!K54</f>
        <v>0</v>
      </c>
      <c r="L54" s="324">
        <f>'d3'!L54-d3П!L54</f>
        <v>0</v>
      </c>
      <c r="M54" s="324">
        <f>'d3'!M54-d3П!M54</f>
        <v>0</v>
      </c>
      <c r="N54" s="324">
        <f>'d3'!N54-d3П!N54</f>
        <v>0</v>
      </c>
      <c r="O54" s="324">
        <f>'d3'!O54-d3П!O54</f>
        <v>0</v>
      </c>
      <c r="P54" s="324">
        <f>'d3'!P54-d3П!P54</f>
        <v>-1880000</v>
      </c>
      <c r="Q54" s="20"/>
      <c r="R54" s="27"/>
    </row>
    <row r="55" spans="1:20" ht="47.25" thickTop="1" thickBot="1" x14ac:dyDescent="0.25">
      <c r="A55" s="325" t="s">
        <v>497</v>
      </c>
      <c r="B55" s="325" t="s">
        <v>205</v>
      </c>
      <c r="C55" s="325"/>
      <c r="D55" s="325" t="s">
        <v>654</v>
      </c>
      <c r="E55" s="324">
        <f>'d3'!E55-d3П!E55</f>
        <v>0</v>
      </c>
      <c r="F55" s="324">
        <f>'d3'!F55-d3П!F55</f>
        <v>0</v>
      </c>
      <c r="G55" s="324">
        <f>'d3'!G55-d3П!G55</f>
        <v>0</v>
      </c>
      <c r="H55" s="324">
        <f>'d3'!H55-d3П!H55</f>
        <v>0</v>
      </c>
      <c r="I55" s="324">
        <f>'d3'!I55-d3П!I55</f>
        <v>0</v>
      </c>
      <c r="J55" s="324">
        <f>'d3'!J55-d3П!J55</f>
        <v>0</v>
      </c>
      <c r="K55" s="324">
        <f>'d3'!K55-d3П!K55</f>
        <v>0</v>
      </c>
      <c r="L55" s="324">
        <f>'d3'!L55-d3П!L55</f>
        <v>0</v>
      </c>
      <c r="M55" s="324">
        <f>'d3'!M55-d3П!M55</f>
        <v>0</v>
      </c>
      <c r="N55" s="324">
        <f>'d3'!N55-d3П!N55</f>
        <v>0</v>
      </c>
      <c r="O55" s="324">
        <f>'d3'!O55-d3П!O55</f>
        <v>0</v>
      </c>
      <c r="P55" s="324">
        <f>'d3'!P55-d3П!P55</f>
        <v>0</v>
      </c>
      <c r="Q55" s="20"/>
      <c r="R55" s="35"/>
    </row>
    <row r="56" spans="1:20" ht="93" thickTop="1" thickBot="1" x14ac:dyDescent="0.25">
      <c r="A56" s="101" t="s">
        <v>655</v>
      </c>
      <c r="B56" s="101" t="s">
        <v>656</v>
      </c>
      <c r="C56" s="101" t="s">
        <v>204</v>
      </c>
      <c r="D56" s="101" t="s">
        <v>1260</v>
      </c>
      <c r="E56" s="324">
        <f>'d3'!E56-d3П!E56</f>
        <v>50900</v>
      </c>
      <c r="F56" s="324">
        <f>'d3'!F56-d3П!F56</f>
        <v>50900</v>
      </c>
      <c r="G56" s="324">
        <f>'d3'!G56-d3П!G56</f>
        <v>23000</v>
      </c>
      <c r="H56" s="324">
        <f>'d3'!H56-d3П!H56</f>
        <v>0</v>
      </c>
      <c r="I56" s="324">
        <f>'d3'!I56-d3П!I56</f>
        <v>0</v>
      </c>
      <c r="J56" s="324">
        <f>'d3'!J56-d3П!J56</f>
        <v>0</v>
      </c>
      <c r="K56" s="324">
        <f>'d3'!K56-d3П!K56</f>
        <v>0</v>
      </c>
      <c r="L56" s="324">
        <f>'d3'!L56-d3П!L56</f>
        <v>0</v>
      </c>
      <c r="M56" s="324">
        <f>'d3'!M56-d3П!M56</f>
        <v>0</v>
      </c>
      <c r="N56" s="324">
        <f>'d3'!N56-d3П!N56</f>
        <v>0</v>
      </c>
      <c r="O56" s="324">
        <f>'d3'!O56-d3П!O56</f>
        <v>0</v>
      </c>
      <c r="P56" s="324">
        <f>'d3'!P56-d3П!P56</f>
        <v>50900</v>
      </c>
      <c r="Q56" s="20"/>
      <c r="R56" s="30"/>
    </row>
    <row r="57" spans="1:20" ht="93" thickTop="1" thickBot="1" x14ac:dyDescent="0.25">
      <c r="A57" s="101" t="s">
        <v>1112</v>
      </c>
      <c r="B57" s="339" t="s">
        <v>1113</v>
      </c>
      <c r="C57" s="101" t="s">
        <v>207</v>
      </c>
      <c r="D57" s="101" t="s">
        <v>1261</v>
      </c>
      <c r="E57" s="324">
        <f>'d3'!E57-d3П!E57</f>
        <v>-50900</v>
      </c>
      <c r="F57" s="324">
        <f>'d3'!F57-d3П!F57</f>
        <v>-50900</v>
      </c>
      <c r="G57" s="324">
        <f>'d3'!G57-d3П!G57</f>
        <v>-23000</v>
      </c>
      <c r="H57" s="324">
        <f>'d3'!H57-d3П!H57</f>
        <v>0</v>
      </c>
      <c r="I57" s="324">
        <f>'d3'!I57-d3П!I57</f>
        <v>0</v>
      </c>
      <c r="J57" s="324">
        <f>'d3'!J57-d3П!J57</f>
        <v>0</v>
      </c>
      <c r="K57" s="324">
        <f>'d3'!K57-d3П!K57</f>
        <v>0</v>
      </c>
      <c r="L57" s="324">
        <f>'d3'!L57-d3П!L57</f>
        <v>0</v>
      </c>
      <c r="M57" s="324">
        <f>'d3'!M57-d3П!M57</f>
        <v>0</v>
      </c>
      <c r="N57" s="324">
        <f>'d3'!N57-d3П!N57</f>
        <v>0</v>
      </c>
      <c r="O57" s="324">
        <f>'d3'!O57-d3П!O57</f>
        <v>0</v>
      </c>
      <c r="P57" s="324">
        <f>'d3'!P57-d3П!P57</f>
        <v>-50900</v>
      </c>
      <c r="Q57" s="20"/>
      <c r="R57" s="30"/>
    </row>
    <row r="58" spans="1:20" ht="276" thickTop="1" thickBot="1" x14ac:dyDescent="0.25">
      <c r="A58" s="550" t="s">
        <v>925</v>
      </c>
      <c r="B58" s="550" t="s">
        <v>50</v>
      </c>
      <c r="C58" s="550"/>
      <c r="D58" s="634" t="s">
        <v>1538</v>
      </c>
      <c r="E58" s="324">
        <f>'d3'!E58-d3П!E58</f>
        <v>0</v>
      </c>
      <c r="F58" s="324">
        <f>'d3'!F58-d3П!F58</f>
        <v>0</v>
      </c>
      <c r="G58" s="324">
        <f>'d3'!G58-d3П!G58</f>
        <v>0</v>
      </c>
      <c r="H58" s="324">
        <f>'d3'!H58-d3П!H58</f>
        <v>0</v>
      </c>
      <c r="I58" s="324">
        <f>'d3'!I58-d3П!I58</f>
        <v>0</v>
      </c>
      <c r="J58" s="324">
        <f>'d3'!J58-d3П!J58</f>
        <v>0</v>
      </c>
      <c r="K58" s="324">
        <f>'d3'!K58-d3П!K58</f>
        <v>0</v>
      </c>
      <c r="L58" s="324">
        <f>'d3'!L58-d3П!L58</f>
        <v>0</v>
      </c>
      <c r="M58" s="324">
        <f>'d3'!M58-d3П!M58</f>
        <v>0</v>
      </c>
      <c r="N58" s="324">
        <f>'d3'!N58-d3П!N58</f>
        <v>0</v>
      </c>
      <c r="O58" s="324">
        <f>'d3'!O58-d3П!O58</f>
        <v>0</v>
      </c>
      <c r="P58" s="324">
        <f>'d3'!P58-d3П!P58</f>
        <v>0</v>
      </c>
      <c r="Q58" s="20"/>
      <c r="R58" s="30"/>
    </row>
    <row r="59" spans="1:20" ht="310.7" customHeight="1" thickTop="1" thickBot="1" x14ac:dyDescent="0.25">
      <c r="A59" s="101" t="s">
        <v>926</v>
      </c>
      <c r="B59" s="101" t="s">
        <v>927</v>
      </c>
      <c r="C59" s="101" t="s">
        <v>204</v>
      </c>
      <c r="D59" s="101" t="s">
        <v>1539</v>
      </c>
      <c r="E59" s="324">
        <f>'d3'!E59-d3П!E59</f>
        <v>0</v>
      </c>
      <c r="F59" s="324">
        <f>'d3'!F59-d3П!F59</f>
        <v>0</v>
      </c>
      <c r="G59" s="324">
        <f>'d3'!G59-d3П!G59</f>
        <v>0</v>
      </c>
      <c r="H59" s="324">
        <f>'d3'!H59-d3П!H59</f>
        <v>0</v>
      </c>
      <c r="I59" s="324">
        <f>'d3'!I59-d3П!I59</f>
        <v>0</v>
      </c>
      <c r="J59" s="324">
        <f>'d3'!J59-d3П!J59</f>
        <v>0</v>
      </c>
      <c r="K59" s="324">
        <f>'d3'!K59-d3П!K59</f>
        <v>0</v>
      </c>
      <c r="L59" s="324">
        <f>'d3'!L59-d3П!L59</f>
        <v>0</v>
      </c>
      <c r="M59" s="324">
        <f>'d3'!M59-d3П!M59</f>
        <v>0</v>
      </c>
      <c r="N59" s="324">
        <f>'d3'!N59-d3П!N59</f>
        <v>0</v>
      </c>
      <c r="O59" s="324">
        <f>'d3'!O59-d3П!O59</f>
        <v>0</v>
      </c>
      <c r="P59" s="324">
        <f>'d3'!P59-d3П!P59</f>
        <v>0</v>
      </c>
      <c r="Q59" s="20"/>
      <c r="R59" s="26"/>
    </row>
    <row r="60" spans="1:20" ht="93" thickTop="1" thickBot="1" x14ac:dyDescent="0.25">
      <c r="A60" s="101" t="s">
        <v>657</v>
      </c>
      <c r="B60" s="101" t="s">
        <v>206</v>
      </c>
      <c r="C60" s="101" t="s">
        <v>181</v>
      </c>
      <c r="D60" s="101" t="s">
        <v>498</v>
      </c>
      <c r="E60" s="324">
        <f>'d3'!E60-d3П!E60</f>
        <v>-100000</v>
      </c>
      <c r="F60" s="324">
        <f>'d3'!F60-d3П!F60</f>
        <v>-100000</v>
      </c>
      <c r="G60" s="324">
        <f>'d3'!G60-d3П!G60</f>
        <v>0</v>
      </c>
      <c r="H60" s="324">
        <f>'d3'!H60-d3П!H60</f>
        <v>-100000</v>
      </c>
      <c r="I60" s="324">
        <f>'d3'!I60-d3П!I60</f>
        <v>0</v>
      </c>
      <c r="J60" s="324">
        <f>'d3'!J60-d3П!J60</f>
        <v>0</v>
      </c>
      <c r="K60" s="324">
        <f>'d3'!K60-d3П!K60</f>
        <v>0</v>
      </c>
      <c r="L60" s="324">
        <f>'d3'!L60-d3П!L60</f>
        <v>0</v>
      </c>
      <c r="M60" s="324">
        <f>'d3'!M60-d3П!M60</f>
        <v>0</v>
      </c>
      <c r="N60" s="324">
        <f>'d3'!N60-d3П!N60</f>
        <v>0</v>
      </c>
      <c r="O60" s="324">
        <f>'d3'!O60-d3П!O60</f>
        <v>0</v>
      </c>
      <c r="P60" s="324">
        <f>'d3'!P60-d3П!P60</f>
        <v>-100000</v>
      </c>
      <c r="Q60" s="20"/>
      <c r="R60" s="26"/>
    </row>
    <row r="61" spans="1:20" ht="93" thickTop="1" thickBot="1" x14ac:dyDescent="0.25">
      <c r="A61" s="325" t="s">
        <v>208</v>
      </c>
      <c r="B61" s="325" t="s">
        <v>191</v>
      </c>
      <c r="C61" s="325"/>
      <c r="D61" s="325" t="s">
        <v>499</v>
      </c>
      <c r="E61" s="324">
        <f>'d3'!E61-d3П!E61</f>
        <v>18283.949999988079</v>
      </c>
      <c r="F61" s="324">
        <f>'d3'!F61-d3П!F61</f>
        <v>18283.949999988079</v>
      </c>
      <c r="G61" s="324">
        <f>'d3'!G61-d3П!G61</f>
        <v>0</v>
      </c>
      <c r="H61" s="324">
        <f>'d3'!H61-d3П!H61</f>
        <v>18283.949999999255</v>
      </c>
      <c r="I61" s="324">
        <f>'d3'!I61-d3П!I61</f>
        <v>0</v>
      </c>
      <c r="J61" s="324">
        <f>'d3'!J61-d3П!J61</f>
        <v>682111</v>
      </c>
      <c r="K61" s="324">
        <f>'d3'!K61-d3П!K61</f>
        <v>682111</v>
      </c>
      <c r="L61" s="324">
        <f>'d3'!L61-d3П!L61</f>
        <v>0</v>
      </c>
      <c r="M61" s="324">
        <f>'d3'!M61-d3П!M61</f>
        <v>0</v>
      </c>
      <c r="N61" s="324">
        <f>'d3'!N61-d3П!N61</f>
        <v>0</v>
      </c>
      <c r="O61" s="324">
        <f>'d3'!O61-d3П!O61</f>
        <v>682111</v>
      </c>
      <c r="P61" s="324">
        <f>'d3'!P61-d3П!P61</f>
        <v>700394.94999998808</v>
      </c>
      <c r="Q61" s="20"/>
      <c r="R61" s="35"/>
    </row>
    <row r="62" spans="1:20" ht="93" thickTop="1" thickBot="1" x14ac:dyDescent="0.25">
      <c r="A62" s="101" t="s">
        <v>658</v>
      </c>
      <c r="B62" s="101" t="s">
        <v>659</v>
      </c>
      <c r="C62" s="101" t="s">
        <v>209</v>
      </c>
      <c r="D62" s="101" t="s">
        <v>660</v>
      </c>
      <c r="E62" s="324">
        <f>'d3'!E62-d3П!E62</f>
        <v>18283.949999988079</v>
      </c>
      <c r="F62" s="324">
        <f>'d3'!F62-d3П!F62</f>
        <v>18283.949999988079</v>
      </c>
      <c r="G62" s="324">
        <f>'d3'!G62-d3П!G62</f>
        <v>0</v>
      </c>
      <c r="H62" s="324">
        <f>'d3'!H62-d3П!H62</f>
        <v>18283.949999999255</v>
      </c>
      <c r="I62" s="324">
        <f>'d3'!I62-d3П!I62</f>
        <v>0</v>
      </c>
      <c r="J62" s="324">
        <f>'d3'!J62-d3П!J62</f>
        <v>682111</v>
      </c>
      <c r="K62" s="324">
        <f>'d3'!K62-d3П!K62</f>
        <v>682111</v>
      </c>
      <c r="L62" s="324">
        <f>'d3'!L62-d3П!L62</f>
        <v>0</v>
      </c>
      <c r="M62" s="324">
        <f>'d3'!M62-d3П!M62</f>
        <v>0</v>
      </c>
      <c r="N62" s="324">
        <f>'d3'!N62-d3П!N62</f>
        <v>0</v>
      </c>
      <c r="O62" s="324">
        <f>'d3'!O62-d3П!O62</f>
        <v>682111</v>
      </c>
      <c r="P62" s="324">
        <f>'d3'!P62-d3П!P62</f>
        <v>700394.94999998808</v>
      </c>
      <c r="Q62" s="20"/>
      <c r="R62" s="26"/>
    </row>
    <row r="63" spans="1:20" ht="93" thickTop="1" thickBot="1" x14ac:dyDescent="0.25">
      <c r="A63" s="101" t="s">
        <v>662</v>
      </c>
      <c r="B63" s="101" t="s">
        <v>661</v>
      </c>
      <c r="C63" s="101" t="s">
        <v>209</v>
      </c>
      <c r="D63" s="101" t="s">
        <v>663</v>
      </c>
      <c r="E63" s="324">
        <f>'d3'!E63-d3П!E63</f>
        <v>0</v>
      </c>
      <c r="F63" s="324">
        <f>'d3'!F63-d3П!F63</f>
        <v>0</v>
      </c>
      <c r="G63" s="324">
        <f>'d3'!G63-d3П!G63</f>
        <v>0</v>
      </c>
      <c r="H63" s="324">
        <f>'d3'!H63-d3П!H63</f>
        <v>0</v>
      </c>
      <c r="I63" s="324">
        <f>'d3'!I63-d3П!I63</f>
        <v>0</v>
      </c>
      <c r="J63" s="324">
        <f>'d3'!J63-d3П!J63</f>
        <v>0</v>
      </c>
      <c r="K63" s="324">
        <f>'d3'!K63-d3П!K63</f>
        <v>0</v>
      </c>
      <c r="L63" s="324">
        <f>'d3'!L63-d3П!L63</f>
        <v>0</v>
      </c>
      <c r="M63" s="324">
        <f>'d3'!M63-d3П!M63</f>
        <v>0</v>
      </c>
      <c r="N63" s="324">
        <f>'d3'!N63-d3П!N63</f>
        <v>0</v>
      </c>
      <c r="O63" s="324">
        <f>'d3'!O63-d3П!O63</f>
        <v>0</v>
      </c>
      <c r="P63" s="324">
        <f>'d3'!P63-d3П!P63</f>
        <v>0</v>
      </c>
      <c r="Q63" s="20"/>
      <c r="R63" s="30"/>
    </row>
    <row r="64" spans="1:20" ht="47.25" thickTop="1" thickBot="1" x14ac:dyDescent="0.25">
      <c r="A64" s="325" t="s">
        <v>665</v>
      </c>
      <c r="B64" s="325" t="s">
        <v>664</v>
      </c>
      <c r="C64" s="325"/>
      <c r="D64" s="325" t="s">
        <v>666</v>
      </c>
      <c r="E64" s="324">
        <f>'d3'!E64-d3П!E64</f>
        <v>-267000</v>
      </c>
      <c r="F64" s="324">
        <f>'d3'!F64-d3П!F64</f>
        <v>-267000</v>
      </c>
      <c r="G64" s="324">
        <f>'d3'!G64-d3П!G64</f>
        <v>0</v>
      </c>
      <c r="H64" s="324">
        <f>'d3'!H64-d3П!H64</f>
        <v>-267000</v>
      </c>
      <c r="I64" s="324">
        <f>'d3'!I64-d3П!I64</f>
        <v>0</v>
      </c>
      <c r="J64" s="324">
        <f>'d3'!J64-d3П!J64</f>
        <v>0</v>
      </c>
      <c r="K64" s="324">
        <f>'d3'!K64-d3П!K64</f>
        <v>0</v>
      </c>
      <c r="L64" s="324">
        <f>'d3'!L64-d3П!L64</f>
        <v>0</v>
      </c>
      <c r="M64" s="324">
        <f>'d3'!M64-d3П!M64</f>
        <v>0</v>
      </c>
      <c r="N64" s="324">
        <f>'d3'!N64-d3П!N64</f>
        <v>0</v>
      </c>
      <c r="O64" s="324">
        <f>'d3'!O64-d3П!O64</f>
        <v>0</v>
      </c>
      <c r="P64" s="324">
        <f>'d3'!P64-d3П!P64</f>
        <v>-267000</v>
      </c>
      <c r="Q64" s="20"/>
      <c r="R64" s="35"/>
    </row>
    <row r="65" spans="1:18" ht="47.25" thickTop="1" thickBot="1" x14ac:dyDescent="0.25">
      <c r="A65" s="101" t="s">
        <v>667</v>
      </c>
      <c r="B65" s="101" t="s">
        <v>668</v>
      </c>
      <c r="C65" s="101" t="s">
        <v>210</v>
      </c>
      <c r="D65" s="101" t="s">
        <v>500</v>
      </c>
      <c r="E65" s="324">
        <f>'d3'!E65-d3П!E65</f>
        <v>-267000</v>
      </c>
      <c r="F65" s="324">
        <f>'d3'!F65-d3П!F65</f>
        <v>-267000</v>
      </c>
      <c r="G65" s="324">
        <f>'d3'!G65-d3П!G65</f>
        <v>0</v>
      </c>
      <c r="H65" s="324">
        <f>'d3'!H65-d3П!H65</f>
        <v>-267000</v>
      </c>
      <c r="I65" s="324">
        <f>'d3'!I65-d3П!I65</f>
        <v>0</v>
      </c>
      <c r="J65" s="324">
        <f>'d3'!J65-d3П!J65</f>
        <v>0</v>
      </c>
      <c r="K65" s="324">
        <f>'d3'!K65-d3П!K65</f>
        <v>0</v>
      </c>
      <c r="L65" s="324">
        <f>'d3'!L65-d3П!L65</f>
        <v>0</v>
      </c>
      <c r="M65" s="324">
        <f>'d3'!M65-d3П!M65</f>
        <v>0</v>
      </c>
      <c r="N65" s="324">
        <f>'d3'!N65-d3П!N65</f>
        <v>0</v>
      </c>
      <c r="O65" s="324">
        <f>'d3'!O65-d3П!O65</f>
        <v>0</v>
      </c>
      <c r="P65" s="324">
        <f>'d3'!P65-d3П!P65</f>
        <v>-267000</v>
      </c>
      <c r="Q65" s="20"/>
      <c r="R65" s="30"/>
    </row>
    <row r="66" spans="1:18" ht="47.25" thickTop="1" thickBot="1" x14ac:dyDescent="0.25">
      <c r="A66" s="101" t="s">
        <v>669</v>
      </c>
      <c r="B66" s="101" t="s">
        <v>670</v>
      </c>
      <c r="C66" s="101" t="s">
        <v>210</v>
      </c>
      <c r="D66" s="101" t="s">
        <v>337</v>
      </c>
      <c r="E66" s="324">
        <f>'d3'!E66-d3П!E66</f>
        <v>0</v>
      </c>
      <c r="F66" s="324">
        <f>'d3'!F66-d3П!F66</f>
        <v>0</v>
      </c>
      <c r="G66" s="324">
        <f>'d3'!G66-d3П!G66</f>
        <v>0</v>
      </c>
      <c r="H66" s="324">
        <f>'d3'!H66-d3П!H66</f>
        <v>0</v>
      </c>
      <c r="I66" s="324">
        <f>'d3'!I66-d3П!I66</f>
        <v>0</v>
      </c>
      <c r="J66" s="324">
        <f>'d3'!J66-d3П!J66</f>
        <v>0</v>
      </c>
      <c r="K66" s="324">
        <f>'d3'!K66-d3П!K66</f>
        <v>0</v>
      </c>
      <c r="L66" s="324">
        <f>'d3'!L66-d3П!L66</f>
        <v>0</v>
      </c>
      <c r="M66" s="324">
        <f>'d3'!M66-d3П!M66</f>
        <v>0</v>
      </c>
      <c r="N66" s="324">
        <f>'d3'!N66-d3П!N66</f>
        <v>0</v>
      </c>
      <c r="O66" s="324">
        <f>'d3'!O66-d3П!O66</f>
        <v>0</v>
      </c>
      <c r="P66" s="324">
        <f>'d3'!P66-d3П!P66</f>
        <v>0</v>
      </c>
      <c r="Q66" s="20"/>
      <c r="R66" s="30"/>
    </row>
    <row r="67" spans="1:18" ht="47.25" thickTop="1" thickBot="1" x14ac:dyDescent="0.25">
      <c r="A67" s="325" t="s">
        <v>671</v>
      </c>
      <c r="B67" s="325" t="s">
        <v>672</v>
      </c>
      <c r="C67" s="325"/>
      <c r="D67" s="325" t="s">
        <v>428</v>
      </c>
      <c r="E67" s="324">
        <f>'d3'!E67-d3П!E67</f>
        <v>9200</v>
      </c>
      <c r="F67" s="324">
        <f>'d3'!F67-d3П!F67</f>
        <v>9200</v>
      </c>
      <c r="G67" s="324">
        <f>'d3'!G67-d3П!G67</f>
        <v>5400</v>
      </c>
      <c r="H67" s="324">
        <f>'d3'!H67-d3П!H67</f>
        <v>0</v>
      </c>
      <c r="I67" s="324">
        <f>'d3'!I67-d3П!I67</f>
        <v>0</v>
      </c>
      <c r="J67" s="324">
        <f>'d3'!J67-d3П!J67</f>
        <v>0</v>
      </c>
      <c r="K67" s="324">
        <f>'d3'!K67-d3П!K67</f>
        <v>0</v>
      </c>
      <c r="L67" s="324">
        <f>'d3'!L67-d3П!L67</f>
        <v>0</v>
      </c>
      <c r="M67" s="324">
        <f>'d3'!M67-d3П!M67</f>
        <v>0</v>
      </c>
      <c r="N67" s="324">
        <f>'d3'!N67-d3П!N67</f>
        <v>0</v>
      </c>
      <c r="O67" s="324">
        <f>'d3'!O67-d3П!O67</f>
        <v>0</v>
      </c>
      <c r="P67" s="324">
        <f>'d3'!P67-d3П!P67</f>
        <v>9200</v>
      </c>
      <c r="Q67" s="20"/>
      <c r="R67" s="35"/>
    </row>
    <row r="68" spans="1:18" ht="93" thickTop="1" thickBot="1" x14ac:dyDescent="0.25">
      <c r="A68" s="101" t="s">
        <v>673</v>
      </c>
      <c r="B68" s="101" t="s">
        <v>674</v>
      </c>
      <c r="C68" s="101" t="s">
        <v>210</v>
      </c>
      <c r="D68" s="101" t="s">
        <v>675</v>
      </c>
      <c r="E68" s="324">
        <f>'d3'!E68-d3П!E68</f>
        <v>9200</v>
      </c>
      <c r="F68" s="324">
        <f>'d3'!F68-d3П!F68</f>
        <v>9200</v>
      </c>
      <c r="G68" s="324">
        <f>'d3'!G68-d3П!G68</f>
        <v>5400</v>
      </c>
      <c r="H68" s="324">
        <f>'d3'!H68-d3П!H68</f>
        <v>0</v>
      </c>
      <c r="I68" s="324">
        <f>'d3'!I68-d3П!I68</f>
        <v>0</v>
      </c>
      <c r="J68" s="324">
        <f>'d3'!J68-d3П!J68</f>
        <v>0</v>
      </c>
      <c r="K68" s="324">
        <f>'d3'!K68-d3П!K68</f>
        <v>0</v>
      </c>
      <c r="L68" s="324">
        <f>'d3'!L68-d3П!L68</f>
        <v>0</v>
      </c>
      <c r="M68" s="324">
        <f>'d3'!M68-d3П!M68</f>
        <v>0</v>
      </c>
      <c r="N68" s="324">
        <f>'d3'!N68-d3П!N68</f>
        <v>0</v>
      </c>
      <c r="O68" s="324">
        <f>'d3'!O68-d3П!O68</f>
        <v>0</v>
      </c>
      <c r="P68" s="324">
        <f>'d3'!P68-d3П!P68</f>
        <v>9200</v>
      </c>
      <c r="Q68" s="20"/>
      <c r="R68" s="26"/>
    </row>
    <row r="69" spans="1:18" ht="93" thickTop="1" thickBot="1" x14ac:dyDescent="0.25">
      <c r="A69" s="101" t="s">
        <v>676</v>
      </c>
      <c r="B69" s="101" t="s">
        <v>677</v>
      </c>
      <c r="C69" s="101" t="s">
        <v>210</v>
      </c>
      <c r="D69" s="101" t="s">
        <v>678</v>
      </c>
      <c r="E69" s="324">
        <f>'d3'!E69-d3П!E69</f>
        <v>0</v>
      </c>
      <c r="F69" s="324">
        <f>'d3'!F69-d3П!F69</f>
        <v>0</v>
      </c>
      <c r="G69" s="324">
        <f>'d3'!G69-d3П!G69</f>
        <v>0</v>
      </c>
      <c r="H69" s="324">
        <f>'d3'!H69-d3П!H69</f>
        <v>0</v>
      </c>
      <c r="I69" s="324">
        <f>'d3'!I69-d3П!I69</f>
        <v>0</v>
      </c>
      <c r="J69" s="324">
        <f>'d3'!J69-d3П!J69</f>
        <v>0</v>
      </c>
      <c r="K69" s="324">
        <f>'d3'!K69-d3П!K69</f>
        <v>0</v>
      </c>
      <c r="L69" s="324">
        <f>'d3'!L69-d3П!L69</f>
        <v>0</v>
      </c>
      <c r="M69" s="324">
        <f>'d3'!M69-d3П!M69</f>
        <v>0</v>
      </c>
      <c r="N69" s="324">
        <f>'d3'!N69-d3П!N69</f>
        <v>0</v>
      </c>
      <c r="O69" s="324">
        <f>'d3'!O69-d3П!O69</f>
        <v>0</v>
      </c>
      <c r="P69" s="324">
        <f>'d3'!P69-d3П!P69</f>
        <v>0</v>
      </c>
      <c r="Q69" s="20"/>
      <c r="R69" s="30"/>
    </row>
    <row r="70" spans="1:18" ht="93" thickTop="1" thickBot="1" x14ac:dyDescent="0.25">
      <c r="A70" s="101" t="s">
        <v>645</v>
      </c>
      <c r="B70" s="101" t="s">
        <v>646</v>
      </c>
      <c r="C70" s="101" t="s">
        <v>210</v>
      </c>
      <c r="D70" s="101" t="s">
        <v>647</v>
      </c>
      <c r="E70" s="324">
        <f>'d3'!E70-d3П!E70</f>
        <v>36100</v>
      </c>
      <c r="F70" s="324">
        <f>'d3'!F70-d3П!F70</f>
        <v>36100</v>
      </c>
      <c r="G70" s="324">
        <f>'d3'!G70-d3П!G70</f>
        <v>36100</v>
      </c>
      <c r="H70" s="324">
        <f>'d3'!H70-d3П!H70</f>
        <v>0</v>
      </c>
      <c r="I70" s="324">
        <f>'d3'!I70-d3П!I70</f>
        <v>0</v>
      </c>
      <c r="J70" s="324">
        <f>'d3'!J70-d3П!J70</f>
        <v>0</v>
      </c>
      <c r="K70" s="324">
        <f>'d3'!K70-d3П!K70</f>
        <v>0</v>
      </c>
      <c r="L70" s="324">
        <f>'d3'!L70-d3П!L70</f>
        <v>0</v>
      </c>
      <c r="M70" s="324">
        <f>'d3'!M70-d3П!M70</f>
        <v>0</v>
      </c>
      <c r="N70" s="324">
        <f>'d3'!N70-d3П!N70</f>
        <v>0</v>
      </c>
      <c r="O70" s="324">
        <f>'d3'!O70-d3П!O70</f>
        <v>0</v>
      </c>
      <c r="P70" s="324">
        <f>'d3'!P70-d3П!P70</f>
        <v>36100</v>
      </c>
      <c r="Q70" s="20"/>
      <c r="R70" s="26"/>
    </row>
    <row r="71" spans="1:18" s="33" customFormat="1" ht="93" thickTop="1" thickBot="1" x14ac:dyDescent="0.25">
      <c r="A71" s="325" t="s">
        <v>650</v>
      </c>
      <c r="B71" s="325" t="s">
        <v>651</v>
      </c>
      <c r="C71" s="325"/>
      <c r="D71" s="325" t="s">
        <v>1610</v>
      </c>
      <c r="E71" s="324">
        <f>'d3'!E71-d3П!E71</f>
        <v>0</v>
      </c>
      <c r="F71" s="324">
        <f>'d3'!F71-d3П!F71</f>
        <v>0</v>
      </c>
      <c r="G71" s="324">
        <f>'d3'!G71-d3П!G71</f>
        <v>0</v>
      </c>
      <c r="H71" s="324">
        <f>'d3'!H71-d3П!H71</f>
        <v>0</v>
      </c>
      <c r="I71" s="324">
        <f>'d3'!I71-d3П!I71</f>
        <v>0</v>
      </c>
      <c r="J71" s="324">
        <f>'d3'!J71-d3П!J71</f>
        <v>0</v>
      </c>
      <c r="K71" s="324">
        <f>'d3'!K71-d3П!K71</f>
        <v>0</v>
      </c>
      <c r="L71" s="324">
        <f>'d3'!L71-d3П!L71</f>
        <v>0</v>
      </c>
      <c r="M71" s="324">
        <f>'d3'!M71-d3П!M71</f>
        <v>0</v>
      </c>
      <c r="N71" s="324">
        <f>'d3'!N71-d3П!N71</f>
        <v>0</v>
      </c>
      <c r="O71" s="324">
        <f>'d3'!O71-d3П!O71</f>
        <v>0</v>
      </c>
      <c r="P71" s="324">
        <f>'d3'!P71-d3П!P71</f>
        <v>0</v>
      </c>
      <c r="Q71" s="36"/>
      <c r="R71" s="37"/>
    </row>
    <row r="72" spans="1:18" s="33" customFormat="1" ht="180.75" customHeight="1" thickTop="1" thickBot="1" x14ac:dyDescent="0.25">
      <c r="A72" s="101" t="s">
        <v>652</v>
      </c>
      <c r="B72" s="101" t="s">
        <v>653</v>
      </c>
      <c r="C72" s="101" t="s">
        <v>210</v>
      </c>
      <c r="D72" s="101" t="s">
        <v>1611</v>
      </c>
      <c r="E72" s="324">
        <f>'d3'!E72-d3П!E72</f>
        <v>0</v>
      </c>
      <c r="F72" s="324">
        <f>'d3'!F72-d3П!F72</f>
        <v>0</v>
      </c>
      <c r="G72" s="324">
        <f>'d3'!G72-d3П!G72</f>
        <v>0</v>
      </c>
      <c r="H72" s="324">
        <f>'d3'!H72-d3П!H72</f>
        <v>0</v>
      </c>
      <c r="I72" s="324">
        <f>'d3'!I72-d3П!I72</f>
        <v>0</v>
      </c>
      <c r="J72" s="324">
        <f>'d3'!J72-d3П!J72</f>
        <v>0</v>
      </c>
      <c r="K72" s="324">
        <f>'d3'!K72-d3П!K72</f>
        <v>0</v>
      </c>
      <c r="L72" s="324">
        <f>'d3'!L72-d3П!L72</f>
        <v>0</v>
      </c>
      <c r="M72" s="324">
        <f>'d3'!M72-d3П!M72</f>
        <v>0</v>
      </c>
      <c r="N72" s="324">
        <f>'d3'!N72-d3П!N72</f>
        <v>0</v>
      </c>
      <c r="O72" s="324">
        <f>'d3'!O72-d3П!O72</f>
        <v>0</v>
      </c>
      <c r="P72" s="324">
        <f>'d3'!P72-d3П!P72</f>
        <v>0</v>
      </c>
      <c r="Q72" s="36"/>
      <c r="R72" s="26"/>
    </row>
    <row r="73" spans="1:18" s="33" customFormat="1" ht="171.75" customHeight="1" thickTop="1" thickBot="1" x14ac:dyDescent="0.25">
      <c r="A73" s="101" t="s">
        <v>974</v>
      </c>
      <c r="B73" s="101" t="s">
        <v>975</v>
      </c>
      <c r="C73" s="101" t="s">
        <v>210</v>
      </c>
      <c r="D73" s="101" t="s">
        <v>1612</v>
      </c>
      <c r="E73" s="324">
        <f>'d3'!E73-d3П!E73</f>
        <v>0</v>
      </c>
      <c r="F73" s="324">
        <f>'d3'!F73-d3П!F73</f>
        <v>0</v>
      </c>
      <c r="G73" s="324">
        <f>'d3'!G73-d3П!G73</f>
        <v>0</v>
      </c>
      <c r="H73" s="324">
        <f>'d3'!H73-d3П!H73</f>
        <v>0</v>
      </c>
      <c r="I73" s="324">
        <f>'d3'!I73-d3П!I73</f>
        <v>0</v>
      </c>
      <c r="J73" s="324">
        <f>'d3'!J73-d3П!J73</f>
        <v>0</v>
      </c>
      <c r="K73" s="324">
        <f>'d3'!K73-d3П!K73</f>
        <v>0</v>
      </c>
      <c r="L73" s="324">
        <f>'d3'!L73-d3П!L73</f>
        <v>0</v>
      </c>
      <c r="M73" s="324">
        <f>'d3'!M73-d3П!M73</f>
        <v>0</v>
      </c>
      <c r="N73" s="324">
        <f>'d3'!N73-d3П!N73</f>
        <v>0</v>
      </c>
      <c r="O73" s="324">
        <f>'d3'!O73-d3П!O73</f>
        <v>0</v>
      </c>
      <c r="P73" s="324">
        <f>'d3'!P73-d3П!P73</f>
        <v>0</v>
      </c>
      <c r="Q73" s="36"/>
      <c r="R73" s="26"/>
    </row>
    <row r="74" spans="1:18" s="33" customFormat="1" ht="138.75" thickTop="1" thickBot="1" x14ac:dyDescent="0.25">
      <c r="A74" s="101" t="s">
        <v>642</v>
      </c>
      <c r="B74" s="101" t="s">
        <v>643</v>
      </c>
      <c r="C74" s="101" t="s">
        <v>210</v>
      </c>
      <c r="D74" s="101" t="s">
        <v>644</v>
      </c>
      <c r="E74" s="324">
        <f>'d3'!E74-d3П!E74</f>
        <v>3336851</v>
      </c>
      <c r="F74" s="324">
        <f>'d3'!F74-d3П!F74</f>
        <v>3336851</v>
      </c>
      <c r="G74" s="324">
        <f>'d3'!G74-d3П!G74</f>
        <v>2738110</v>
      </c>
      <c r="H74" s="324">
        <f>'d3'!H74-d3П!H74</f>
        <v>0</v>
      </c>
      <c r="I74" s="324">
        <f>'d3'!I74-d3П!I74</f>
        <v>0</v>
      </c>
      <c r="J74" s="324">
        <f>'d3'!J74-d3П!J74</f>
        <v>0</v>
      </c>
      <c r="K74" s="324">
        <f>'d3'!K74-d3П!K74</f>
        <v>0</v>
      </c>
      <c r="L74" s="324">
        <f>'d3'!L74-d3П!L74</f>
        <v>0</v>
      </c>
      <c r="M74" s="324">
        <f>'d3'!M74-d3П!M74</f>
        <v>0</v>
      </c>
      <c r="N74" s="324">
        <f>'d3'!N74-d3П!N74</f>
        <v>0</v>
      </c>
      <c r="O74" s="324">
        <f>'d3'!O74-d3П!O74</f>
        <v>0</v>
      </c>
      <c r="P74" s="324">
        <f>'d3'!P74-d3П!P74</f>
        <v>3336851</v>
      </c>
      <c r="Q74" s="36"/>
      <c r="R74" s="26"/>
    </row>
    <row r="75" spans="1:18" s="33" customFormat="1" ht="160.5" customHeight="1" thickTop="1" thickBot="1" x14ac:dyDescent="0.25">
      <c r="A75" s="101" t="s">
        <v>936</v>
      </c>
      <c r="B75" s="101" t="s">
        <v>937</v>
      </c>
      <c r="C75" s="101" t="s">
        <v>210</v>
      </c>
      <c r="D75" s="101" t="s">
        <v>1427</v>
      </c>
      <c r="E75" s="324">
        <f>'d3'!E75-d3П!E75</f>
        <v>0</v>
      </c>
      <c r="F75" s="324">
        <f>'d3'!F75-d3П!F75</f>
        <v>0</v>
      </c>
      <c r="G75" s="324">
        <f>'d3'!G75-d3П!G75</f>
        <v>0</v>
      </c>
      <c r="H75" s="324">
        <f>'d3'!H75-d3П!H75</f>
        <v>0</v>
      </c>
      <c r="I75" s="324">
        <f>'d3'!I75-d3П!I75</f>
        <v>0</v>
      </c>
      <c r="J75" s="324">
        <f>'d3'!J75-d3П!J75</f>
        <v>0</v>
      </c>
      <c r="K75" s="324">
        <f>'d3'!K75-d3П!K75</f>
        <v>0</v>
      </c>
      <c r="L75" s="324">
        <f>'d3'!L75-d3П!L75</f>
        <v>0</v>
      </c>
      <c r="M75" s="324">
        <f>'d3'!M75-d3П!M75</f>
        <v>0</v>
      </c>
      <c r="N75" s="324">
        <f>'d3'!N75-d3П!N75</f>
        <v>0</v>
      </c>
      <c r="O75" s="324">
        <f>'d3'!O75-d3П!O75</f>
        <v>0</v>
      </c>
      <c r="P75" s="324">
        <f>'d3'!P75-d3П!P75</f>
        <v>0</v>
      </c>
      <c r="Q75" s="36"/>
      <c r="R75" s="26"/>
    </row>
    <row r="76" spans="1:18" s="33" customFormat="1" ht="93" thickTop="1" thickBot="1" x14ac:dyDescent="0.25">
      <c r="A76" s="325" t="s">
        <v>991</v>
      </c>
      <c r="B76" s="325" t="s">
        <v>993</v>
      </c>
      <c r="C76" s="325"/>
      <c r="D76" s="325" t="s">
        <v>1419</v>
      </c>
      <c r="E76" s="324">
        <f>'d3'!E76-d3П!E76</f>
        <v>0</v>
      </c>
      <c r="F76" s="324">
        <f>'d3'!F76-d3П!F76</f>
        <v>0</v>
      </c>
      <c r="G76" s="324">
        <f>'d3'!G76-d3П!G76</f>
        <v>0</v>
      </c>
      <c r="H76" s="324">
        <f>'d3'!H76-d3П!H76</f>
        <v>0</v>
      </c>
      <c r="I76" s="324">
        <f>'d3'!I76-d3П!I76</f>
        <v>0</v>
      </c>
      <c r="J76" s="324">
        <f>'d3'!J76-d3П!J76</f>
        <v>0</v>
      </c>
      <c r="K76" s="324">
        <f>'d3'!K76-d3П!K76</f>
        <v>0</v>
      </c>
      <c r="L76" s="324">
        <f>'d3'!L76-d3П!L76</f>
        <v>0</v>
      </c>
      <c r="M76" s="324">
        <f>'d3'!M76-d3П!M76</f>
        <v>0</v>
      </c>
      <c r="N76" s="324">
        <f>'d3'!N76-d3П!N76</f>
        <v>0</v>
      </c>
      <c r="O76" s="324">
        <f>'d3'!O76-d3П!O76</f>
        <v>0</v>
      </c>
      <c r="P76" s="324">
        <f>'d3'!P76-d3П!P76</f>
        <v>0</v>
      </c>
      <c r="Q76" s="36"/>
      <c r="R76" s="26"/>
    </row>
    <row r="77" spans="1:18" s="33" customFormat="1" ht="189" customHeight="1" thickTop="1" thickBot="1" x14ac:dyDescent="0.25">
      <c r="A77" s="101" t="s">
        <v>992</v>
      </c>
      <c r="B77" s="101" t="s">
        <v>994</v>
      </c>
      <c r="C77" s="101" t="s">
        <v>210</v>
      </c>
      <c r="D77" s="101" t="s">
        <v>1233</v>
      </c>
      <c r="E77" s="324">
        <f>'d3'!E77-d3П!E77</f>
        <v>0</v>
      </c>
      <c r="F77" s="324">
        <f>'d3'!F77-d3П!F77</f>
        <v>0</v>
      </c>
      <c r="G77" s="324">
        <f>'d3'!G77-d3П!G77</f>
        <v>0</v>
      </c>
      <c r="H77" s="324">
        <f>'d3'!H77-d3П!H77</f>
        <v>0</v>
      </c>
      <c r="I77" s="324">
        <f>'d3'!I77-d3П!I77</f>
        <v>0</v>
      </c>
      <c r="J77" s="324">
        <f>'d3'!J77-d3П!J77</f>
        <v>0</v>
      </c>
      <c r="K77" s="324">
        <f>'d3'!K77-d3П!K77</f>
        <v>0</v>
      </c>
      <c r="L77" s="324">
        <f>'d3'!L77-d3П!L77</f>
        <v>0</v>
      </c>
      <c r="M77" s="324">
        <f>'d3'!M77-d3П!M77</f>
        <v>0</v>
      </c>
      <c r="N77" s="324">
        <f>'d3'!N77-d3П!N77</f>
        <v>0</v>
      </c>
      <c r="O77" s="324">
        <f>'d3'!O77-d3П!O77</f>
        <v>0</v>
      </c>
      <c r="P77" s="324">
        <f>'d3'!P77-d3П!P77</f>
        <v>0</v>
      </c>
      <c r="Q77" s="36"/>
      <c r="R77" s="26"/>
    </row>
    <row r="78" spans="1:18" s="33" customFormat="1" ht="176.25" customHeight="1" thickTop="1" thickBot="1" x14ac:dyDescent="0.25">
      <c r="A78" s="101" t="s">
        <v>1032</v>
      </c>
      <c r="B78" s="101" t="s">
        <v>1033</v>
      </c>
      <c r="C78" s="101" t="s">
        <v>210</v>
      </c>
      <c r="D78" s="101" t="s">
        <v>1564</v>
      </c>
      <c r="E78" s="324">
        <f>'d3'!E78-d3П!E78</f>
        <v>0</v>
      </c>
      <c r="F78" s="324">
        <f>'d3'!F78-d3П!F78</f>
        <v>0</v>
      </c>
      <c r="G78" s="324">
        <f>'d3'!G78-d3П!G78</f>
        <v>0</v>
      </c>
      <c r="H78" s="324">
        <f>'d3'!H78-d3П!H78</f>
        <v>0</v>
      </c>
      <c r="I78" s="324">
        <f>'d3'!I78-d3П!I78</f>
        <v>0</v>
      </c>
      <c r="J78" s="324">
        <f>'d3'!J78-d3П!J78</f>
        <v>0</v>
      </c>
      <c r="K78" s="324">
        <f>'d3'!K78-d3П!K78</f>
        <v>0</v>
      </c>
      <c r="L78" s="324">
        <f>'d3'!L78-d3П!L78</f>
        <v>0</v>
      </c>
      <c r="M78" s="324">
        <f>'d3'!M78-d3П!M78</f>
        <v>0</v>
      </c>
      <c r="N78" s="324">
        <f>'d3'!N78-d3П!N78</f>
        <v>0</v>
      </c>
      <c r="O78" s="324">
        <f>'d3'!O78-d3П!O78</f>
        <v>0</v>
      </c>
      <c r="P78" s="324">
        <f>'d3'!P78-d3П!P78</f>
        <v>0</v>
      </c>
      <c r="Q78" s="36"/>
      <c r="R78" s="26"/>
    </row>
    <row r="79" spans="1:18" s="33" customFormat="1" ht="114.75" customHeight="1" thickTop="1" thickBot="1" x14ac:dyDescent="0.25">
      <c r="A79" s="325" t="s">
        <v>1371</v>
      </c>
      <c r="B79" s="325" t="s">
        <v>1372</v>
      </c>
      <c r="C79" s="325"/>
      <c r="D79" s="325" t="s">
        <v>1527</v>
      </c>
      <c r="E79" s="324">
        <f>'d3'!E79-d3П!E79</f>
        <v>0</v>
      </c>
      <c r="F79" s="324">
        <f>'d3'!F79-d3П!F79</f>
        <v>0</v>
      </c>
      <c r="G79" s="324">
        <f>'d3'!G79-d3П!G79</f>
        <v>0</v>
      </c>
      <c r="H79" s="324">
        <f>'d3'!H79-d3П!H79</f>
        <v>0</v>
      </c>
      <c r="I79" s="324">
        <f>'d3'!I79-d3П!I79</f>
        <v>0</v>
      </c>
      <c r="J79" s="324">
        <f>'d3'!J79-d3П!J79</f>
        <v>0</v>
      </c>
      <c r="K79" s="324">
        <f>'d3'!K79-d3П!K79</f>
        <v>0</v>
      </c>
      <c r="L79" s="324">
        <f>'d3'!L79-d3П!L79</f>
        <v>0</v>
      </c>
      <c r="M79" s="324">
        <f>'d3'!M79-d3П!M79</f>
        <v>0</v>
      </c>
      <c r="N79" s="324">
        <f>'d3'!N79-d3П!N79</f>
        <v>0</v>
      </c>
      <c r="O79" s="324">
        <f>'d3'!O79-d3П!O79</f>
        <v>0</v>
      </c>
      <c r="P79" s="324">
        <f>'d3'!P79-d3П!P79</f>
        <v>0</v>
      </c>
      <c r="Q79" s="36"/>
      <c r="R79" s="26"/>
    </row>
    <row r="80" spans="1:18" s="33" customFormat="1" ht="163.5" customHeight="1" thickTop="1" thickBot="1" x14ac:dyDescent="0.25">
      <c r="A80" s="101" t="s">
        <v>1373</v>
      </c>
      <c r="B80" s="101" t="s">
        <v>1374</v>
      </c>
      <c r="C80" s="101" t="s">
        <v>210</v>
      </c>
      <c r="D80" s="101" t="s">
        <v>1528</v>
      </c>
      <c r="E80" s="324">
        <f>'d3'!E80-d3П!E80</f>
        <v>0</v>
      </c>
      <c r="F80" s="324">
        <f>'d3'!F80-d3П!F80</f>
        <v>0</v>
      </c>
      <c r="G80" s="324">
        <f>'d3'!G80-d3П!G80</f>
        <v>0</v>
      </c>
      <c r="H80" s="324">
        <f>'d3'!H80-d3П!H80</f>
        <v>0</v>
      </c>
      <c r="I80" s="324">
        <f>'d3'!I80-d3П!I80</f>
        <v>0</v>
      </c>
      <c r="J80" s="324">
        <f>'d3'!J80-d3П!J80</f>
        <v>0</v>
      </c>
      <c r="K80" s="324">
        <f>'d3'!K80-d3П!K80</f>
        <v>0</v>
      </c>
      <c r="L80" s="324">
        <f>'d3'!L80-d3П!L80</f>
        <v>0</v>
      </c>
      <c r="M80" s="324">
        <f>'d3'!M80-d3П!M80</f>
        <v>0</v>
      </c>
      <c r="N80" s="324">
        <f>'d3'!N80-d3П!N80</f>
        <v>0</v>
      </c>
      <c r="O80" s="324">
        <f>'d3'!O80-d3П!O80</f>
        <v>0</v>
      </c>
      <c r="P80" s="324">
        <f>'d3'!P80-d3П!P80</f>
        <v>0</v>
      </c>
      <c r="Q80" s="36"/>
      <c r="R80" s="26"/>
    </row>
    <row r="81" spans="1:18" s="33" customFormat="1" ht="138.75" hidden="1" thickTop="1" thickBot="1" x14ac:dyDescent="0.25">
      <c r="A81" s="126" t="s">
        <v>1375</v>
      </c>
      <c r="B81" s="126" t="s">
        <v>1376</v>
      </c>
      <c r="C81" s="126" t="s">
        <v>210</v>
      </c>
      <c r="D81" s="126" t="s">
        <v>1377</v>
      </c>
      <c r="E81" s="324">
        <f>'d3'!E81-d3П!E81</f>
        <v>0</v>
      </c>
      <c r="F81" s="324">
        <f>'d3'!F81-d3П!F81</f>
        <v>0</v>
      </c>
      <c r="G81" s="324">
        <f>'d3'!G81-d3П!G81</f>
        <v>0</v>
      </c>
      <c r="H81" s="324">
        <f>'d3'!H81-d3П!H81</f>
        <v>0</v>
      </c>
      <c r="I81" s="324">
        <f>'d3'!I81-d3П!I81</f>
        <v>0</v>
      </c>
      <c r="J81" s="324">
        <f>'d3'!J81-d3П!J81</f>
        <v>0</v>
      </c>
      <c r="K81" s="324">
        <f>'d3'!K81-d3П!K81</f>
        <v>0</v>
      </c>
      <c r="L81" s="324">
        <f>'d3'!L81-d3П!L81</f>
        <v>0</v>
      </c>
      <c r="M81" s="324">
        <f>'d3'!M81-d3П!M81</f>
        <v>0</v>
      </c>
      <c r="N81" s="324">
        <f>'d3'!N81-d3П!N81</f>
        <v>0</v>
      </c>
      <c r="O81" s="324">
        <f>'d3'!O81-d3П!O81</f>
        <v>0</v>
      </c>
      <c r="P81" s="324">
        <f>'d3'!P81-d3П!P81</f>
        <v>0</v>
      </c>
      <c r="Q81" s="36"/>
      <c r="R81" s="26"/>
    </row>
    <row r="82" spans="1:18" s="33" customFormat="1" ht="138.75" hidden="1" thickTop="1" thickBot="1" x14ac:dyDescent="0.25">
      <c r="A82" s="138" t="s">
        <v>1440</v>
      </c>
      <c r="B82" s="138" t="s">
        <v>1439</v>
      </c>
      <c r="C82" s="138"/>
      <c r="D82" s="138" t="s">
        <v>1441</v>
      </c>
      <c r="E82" s="324">
        <f>'d3'!E82-d3П!E82</f>
        <v>0</v>
      </c>
      <c r="F82" s="324">
        <f>'d3'!F82-d3П!F82</f>
        <v>0</v>
      </c>
      <c r="G82" s="324">
        <f>'d3'!G82-d3П!G82</f>
        <v>0</v>
      </c>
      <c r="H82" s="324">
        <f>'d3'!H82-d3П!H82</f>
        <v>0</v>
      </c>
      <c r="I82" s="324">
        <f>'d3'!I82-d3П!I82</f>
        <v>0</v>
      </c>
      <c r="J82" s="324">
        <f>'d3'!J82-d3П!J82</f>
        <v>0</v>
      </c>
      <c r="K82" s="324">
        <f>'d3'!K82-d3П!K82</f>
        <v>0</v>
      </c>
      <c r="L82" s="324">
        <f>'d3'!L82-d3П!L82</f>
        <v>0</v>
      </c>
      <c r="M82" s="324">
        <f>'d3'!M82-d3П!M82</f>
        <v>0</v>
      </c>
      <c r="N82" s="324">
        <f>'d3'!N82-d3П!N82</f>
        <v>0</v>
      </c>
      <c r="O82" s="324">
        <f>'d3'!O82-d3П!O82</f>
        <v>0</v>
      </c>
      <c r="P82" s="324">
        <f>'d3'!P82-d3П!P82</f>
        <v>0</v>
      </c>
      <c r="Q82" s="36"/>
      <c r="R82" s="26"/>
    </row>
    <row r="83" spans="1:18" s="33" customFormat="1" ht="93" hidden="1" thickTop="1" thickBot="1" x14ac:dyDescent="0.25">
      <c r="A83" s="126" t="s">
        <v>1442</v>
      </c>
      <c r="B83" s="126" t="s">
        <v>1443</v>
      </c>
      <c r="C83" s="126" t="s">
        <v>210</v>
      </c>
      <c r="D83" s="126" t="s">
        <v>1447</v>
      </c>
      <c r="E83" s="324">
        <f>'d3'!E83-d3П!E83</f>
        <v>0</v>
      </c>
      <c r="F83" s="324">
        <f>'d3'!F83-d3П!F83</f>
        <v>0</v>
      </c>
      <c r="G83" s="324">
        <f>'d3'!G83-d3П!G83</f>
        <v>0</v>
      </c>
      <c r="H83" s="324">
        <f>'d3'!H83-d3П!H83</f>
        <v>0</v>
      </c>
      <c r="I83" s="324">
        <f>'d3'!I83-d3П!I83</f>
        <v>0</v>
      </c>
      <c r="J83" s="324">
        <f>'d3'!J83-d3П!J83</f>
        <v>0</v>
      </c>
      <c r="K83" s="324">
        <f>'d3'!K83-d3П!K83</f>
        <v>0</v>
      </c>
      <c r="L83" s="324">
        <f>'d3'!L83-d3П!L83</f>
        <v>0</v>
      </c>
      <c r="M83" s="324">
        <f>'d3'!M83-d3П!M83</f>
        <v>0</v>
      </c>
      <c r="N83" s="324">
        <f>'d3'!N83-d3П!N83</f>
        <v>0</v>
      </c>
      <c r="O83" s="324">
        <f>'d3'!O83-d3П!O83</f>
        <v>0</v>
      </c>
      <c r="P83" s="324">
        <f>'d3'!P83-d3П!P83</f>
        <v>0</v>
      </c>
      <c r="Q83" s="36"/>
      <c r="R83" s="26"/>
    </row>
    <row r="84" spans="1:18" s="33" customFormat="1" ht="138.75" hidden="1" thickTop="1" thickBot="1" x14ac:dyDescent="0.25">
      <c r="A84" s="126" t="s">
        <v>1444</v>
      </c>
      <c r="B84" s="126" t="s">
        <v>1445</v>
      </c>
      <c r="C84" s="126" t="s">
        <v>210</v>
      </c>
      <c r="D84" s="126" t="s">
        <v>1446</v>
      </c>
      <c r="E84" s="324">
        <f>'d3'!E84-d3П!E84</f>
        <v>0</v>
      </c>
      <c r="F84" s="324">
        <f>'d3'!F84-d3П!F84</f>
        <v>0</v>
      </c>
      <c r="G84" s="324">
        <f>'d3'!G84-d3П!G84</f>
        <v>0</v>
      </c>
      <c r="H84" s="324">
        <f>'d3'!H84-d3П!H84</f>
        <v>0</v>
      </c>
      <c r="I84" s="324">
        <f>'d3'!I84-d3П!I84</f>
        <v>0</v>
      </c>
      <c r="J84" s="324">
        <f>'d3'!J84-d3П!J84</f>
        <v>0</v>
      </c>
      <c r="K84" s="324">
        <f>'d3'!K84-d3П!K84</f>
        <v>0</v>
      </c>
      <c r="L84" s="324">
        <f>'d3'!L84-d3П!L84</f>
        <v>0</v>
      </c>
      <c r="M84" s="324">
        <f>'d3'!M84-d3П!M84</f>
        <v>0</v>
      </c>
      <c r="N84" s="324">
        <f>'d3'!N84-d3П!N84</f>
        <v>0</v>
      </c>
      <c r="O84" s="324">
        <f>'d3'!O84-d3П!O84</f>
        <v>0</v>
      </c>
      <c r="P84" s="324">
        <f>'d3'!P84-d3П!P84</f>
        <v>0</v>
      </c>
      <c r="Q84" s="36"/>
      <c r="R84" s="26"/>
    </row>
    <row r="85" spans="1:18" s="33" customFormat="1" ht="213" customHeight="1" thickTop="1" thickBot="1" x14ac:dyDescent="0.25">
      <c r="A85" s="325" t="s">
        <v>1541</v>
      </c>
      <c r="B85" s="325" t="s">
        <v>1543</v>
      </c>
      <c r="C85" s="126"/>
      <c r="D85" s="325" t="s">
        <v>1540</v>
      </c>
      <c r="E85" s="324">
        <f>'d3'!E85-d3П!E85</f>
        <v>-102000</v>
      </c>
      <c r="F85" s="324">
        <f>'d3'!F85-d3П!F85</f>
        <v>-102000</v>
      </c>
      <c r="G85" s="324">
        <f>'d3'!G85-d3П!G85</f>
        <v>0</v>
      </c>
      <c r="H85" s="324">
        <f>'d3'!H85-d3П!H85</f>
        <v>0</v>
      </c>
      <c r="I85" s="324">
        <f>'d3'!I85-d3П!I85</f>
        <v>0</v>
      </c>
      <c r="J85" s="324">
        <f>'d3'!J85-d3П!J85</f>
        <v>102000</v>
      </c>
      <c r="K85" s="324">
        <f>'d3'!K85-d3П!K85</f>
        <v>102000</v>
      </c>
      <c r="L85" s="324">
        <f>'d3'!L85-d3П!L85</f>
        <v>-238000</v>
      </c>
      <c r="M85" s="324">
        <f>'d3'!M85-d3П!M85</f>
        <v>0</v>
      </c>
      <c r="N85" s="324">
        <f>'d3'!N85-d3П!N85</f>
        <v>0</v>
      </c>
      <c r="O85" s="324">
        <f>'d3'!O85-d3П!O85</f>
        <v>340000</v>
      </c>
      <c r="P85" s="324">
        <f>'d3'!P85-d3П!P85</f>
        <v>0</v>
      </c>
      <c r="Q85" s="36"/>
      <c r="R85" s="26"/>
    </row>
    <row r="86" spans="1:18" s="33" customFormat="1" ht="230.25" thickTop="1" thickBot="1" x14ac:dyDescent="0.25">
      <c r="A86" s="101" t="s">
        <v>1544</v>
      </c>
      <c r="B86" s="101" t="s">
        <v>1542</v>
      </c>
      <c r="C86" s="101" t="s">
        <v>210</v>
      </c>
      <c r="D86" s="101" t="s">
        <v>1545</v>
      </c>
      <c r="E86" s="324">
        <f>'d3'!E86-d3П!E86</f>
        <v>-102000</v>
      </c>
      <c r="F86" s="324">
        <f>'d3'!F86-d3П!F86</f>
        <v>-102000</v>
      </c>
      <c r="G86" s="324">
        <f>'d3'!G86-d3П!G86</f>
        <v>0</v>
      </c>
      <c r="H86" s="324">
        <f>'d3'!H86-d3П!H86</f>
        <v>0</v>
      </c>
      <c r="I86" s="324">
        <f>'d3'!I86-d3П!I86</f>
        <v>0</v>
      </c>
      <c r="J86" s="324">
        <f>'d3'!J86-d3П!J86</f>
        <v>102000</v>
      </c>
      <c r="K86" s="324">
        <f>'d3'!K86-d3П!K86</f>
        <v>102000</v>
      </c>
      <c r="L86" s="324">
        <f>'d3'!L86-d3П!L86</f>
        <v>0</v>
      </c>
      <c r="M86" s="324">
        <f>'d3'!M86-d3П!M86</f>
        <v>0</v>
      </c>
      <c r="N86" s="324">
        <f>'d3'!N86-d3П!N86</f>
        <v>0</v>
      </c>
      <c r="O86" s="324">
        <f>'d3'!O86-d3П!O86</f>
        <v>102000</v>
      </c>
      <c r="P86" s="324">
        <f>'d3'!P86-d3П!P86</f>
        <v>0</v>
      </c>
      <c r="Q86" s="36"/>
      <c r="R86" s="26"/>
    </row>
    <row r="87" spans="1:18" s="33" customFormat="1" ht="219" customHeight="1" thickTop="1" thickBot="1" x14ac:dyDescent="0.25">
      <c r="A87" s="101" t="s">
        <v>1546</v>
      </c>
      <c r="B87" s="101" t="s">
        <v>1547</v>
      </c>
      <c r="C87" s="101" t="s">
        <v>210</v>
      </c>
      <c r="D87" s="101" t="s">
        <v>1548</v>
      </c>
      <c r="E87" s="324">
        <f>'d3'!E87-d3П!E87</f>
        <v>0</v>
      </c>
      <c r="F87" s="324">
        <f>'d3'!F87-d3П!F87</f>
        <v>0</v>
      </c>
      <c r="G87" s="324">
        <f>'d3'!G87-d3П!G87</f>
        <v>0</v>
      </c>
      <c r="H87" s="324">
        <f>'d3'!H87-d3П!H87</f>
        <v>0</v>
      </c>
      <c r="I87" s="324">
        <f>'d3'!I87-d3П!I87</f>
        <v>0</v>
      </c>
      <c r="J87" s="324">
        <f>'d3'!J87-d3П!J87</f>
        <v>0</v>
      </c>
      <c r="K87" s="324">
        <f>'d3'!K87-d3П!K87</f>
        <v>0</v>
      </c>
      <c r="L87" s="324">
        <f>'d3'!L87-d3П!L87</f>
        <v>-238000</v>
      </c>
      <c r="M87" s="324">
        <f>'d3'!M87-d3П!M87</f>
        <v>0</v>
      </c>
      <c r="N87" s="324">
        <f>'d3'!N87-d3П!N87</f>
        <v>0</v>
      </c>
      <c r="O87" s="324">
        <f>'d3'!O87-d3П!O87</f>
        <v>238000</v>
      </c>
      <c r="P87" s="324">
        <f>'d3'!P87-d3П!P87</f>
        <v>0</v>
      </c>
      <c r="Q87" s="36"/>
      <c r="R87" s="26"/>
    </row>
    <row r="88" spans="1:18" s="33" customFormat="1" ht="93" thickTop="1" thickBot="1" x14ac:dyDescent="0.25">
      <c r="A88" s="325" t="s">
        <v>1616</v>
      </c>
      <c r="B88" s="325" t="s">
        <v>1619</v>
      </c>
      <c r="C88" s="126"/>
      <c r="D88" s="325" t="s">
        <v>1620</v>
      </c>
      <c r="E88" s="324">
        <f>'d3'!E88-d3П!E88</f>
        <v>7887800</v>
      </c>
      <c r="F88" s="324">
        <f>'d3'!F88-d3П!F88</f>
        <v>7887800</v>
      </c>
      <c r="G88" s="324">
        <f>'d3'!G88-d3П!G88</f>
        <v>0</v>
      </c>
      <c r="H88" s="324">
        <f>'d3'!H88-d3П!H88</f>
        <v>0</v>
      </c>
      <c r="I88" s="324">
        <f>'d3'!I88-d3П!I88</f>
        <v>0</v>
      </c>
      <c r="J88" s="324">
        <f>'d3'!J88-d3П!J88</f>
        <v>0</v>
      </c>
      <c r="K88" s="324">
        <f>'d3'!K88-d3П!K88</f>
        <v>0</v>
      </c>
      <c r="L88" s="324">
        <f>'d3'!L88-d3П!L88</f>
        <v>0</v>
      </c>
      <c r="M88" s="324">
        <f>'d3'!M88-d3П!M88</f>
        <v>0</v>
      </c>
      <c r="N88" s="324">
        <f>'d3'!N88-d3П!N88</f>
        <v>0</v>
      </c>
      <c r="O88" s="324">
        <f>'d3'!O88-d3П!O88</f>
        <v>0</v>
      </c>
      <c r="P88" s="324">
        <f>'d3'!P88-d3П!P88</f>
        <v>7887800</v>
      </c>
      <c r="Q88" s="36"/>
      <c r="R88" s="26"/>
    </row>
    <row r="89" spans="1:18" s="33" customFormat="1" ht="138.75" thickTop="1" thickBot="1" x14ac:dyDescent="0.25">
      <c r="A89" s="101" t="s">
        <v>1617</v>
      </c>
      <c r="B89" s="101" t="s">
        <v>1618</v>
      </c>
      <c r="C89" s="101" t="s">
        <v>210</v>
      </c>
      <c r="D89" s="101" t="s">
        <v>1621</v>
      </c>
      <c r="E89" s="324">
        <f>'d3'!E89-d3П!E89</f>
        <v>7887800</v>
      </c>
      <c r="F89" s="324">
        <f>'d3'!F89-d3П!F89</f>
        <v>7887800</v>
      </c>
      <c r="G89" s="324">
        <f>'d3'!G89-d3П!G89</f>
        <v>0</v>
      </c>
      <c r="H89" s="324">
        <f>'d3'!H89-d3П!H89</f>
        <v>0</v>
      </c>
      <c r="I89" s="324">
        <f>'d3'!I89-d3П!I89</f>
        <v>0</v>
      </c>
      <c r="J89" s="324">
        <f>'d3'!J89-d3П!J89</f>
        <v>0</v>
      </c>
      <c r="K89" s="324">
        <f>'d3'!K89-d3П!K89</f>
        <v>0</v>
      </c>
      <c r="L89" s="324">
        <f>'d3'!L89-d3П!L89</f>
        <v>0</v>
      </c>
      <c r="M89" s="324">
        <f>'d3'!M89-d3П!M89</f>
        <v>0</v>
      </c>
      <c r="N89" s="324">
        <f>'d3'!N89-d3П!N89</f>
        <v>0</v>
      </c>
      <c r="O89" s="324">
        <f>'d3'!O89-d3П!O89</f>
        <v>0</v>
      </c>
      <c r="P89" s="324">
        <f>'d3'!P89-d3П!P89</f>
        <v>7887800</v>
      </c>
      <c r="Q89" s="36"/>
      <c r="R89" s="26"/>
    </row>
    <row r="90" spans="1:18" s="33" customFormat="1" ht="47.25" thickTop="1" thickBot="1" x14ac:dyDescent="0.25">
      <c r="A90" s="308" t="s">
        <v>706</v>
      </c>
      <c r="B90" s="308" t="s">
        <v>707</v>
      </c>
      <c r="C90" s="308"/>
      <c r="D90" s="308" t="s">
        <v>708</v>
      </c>
      <c r="E90" s="324">
        <f>'d3'!E90-d3П!E90</f>
        <v>0</v>
      </c>
      <c r="F90" s="324">
        <f>'d3'!F90-d3П!F90</f>
        <v>0</v>
      </c>
      <c r="G90" s="324">
        <f>'d3'!G90-d3П!G90</f>
        <v>0</v>
      </c>
      <c r="H90" s="324">
        <f>'d3'!H90-d3П!H90</f>
        <v>0</v>
      </c>
      <c r="I90" s="324">
        <f>'d3'!I90-d3П!I90</f>
        <v>0</v>
      </c>
      <c r="J90" s="324">
        <f>'d3'!J90-d3П!J90</f>
        <v>0</v>
      </c>
      <c r="K90" s="324">
        <f>'d3'!K90-d3П!K90</f>
        <v>0</v>
      </c>
      <c r="L90" s="324">
        <f>'d3'!L90-d3П!L90</f>
        <v>0</v>
      </c>
      <c r="M90" s="324">
        <f>'d3'!M90-d3П!M90</f>
        <v>0</v>
      </c>
      <c r="N90" s="324">
        <f>'d3'!N90-d3П!N90</f>
        <v>0</v>
      </c>
      <c r="O90" s="324">
        <f>'d3'!O90-d3П!O90</f>
        <v>0</v>
      </c>
      <c r="P90" s="324">
        <f>'d3'!P90-d3П!P90</f>
        <v>0</v>
      </c>
      <c r="Q90" s="36"/>
      <c r="R90" s="26"/>
    </row>
    <row r="91" spans="1:18" s="33" customFormat="1" ht="167.25" customHeight="1" thickTop="1" thickBot="1" x14ac:dyDescent="0.25">
      <c r="A91" s="101" t="s">
        <v>430</v>
      </c>
      <c r="B91" s="101" t="s">
        <v>431</v>
      </c>
      <c r="C91" s="101" t="s">
        <v>185</v>
      </c>
      <c r="D91" s="101" t="s">
        <v>429</v>
      </c>
      <c r="E91" s="324">
        <f>'d3'!E91-d3П!E91</f>
        <v>0</v>
      </c>
      <c r="F91" s="324">
        <f>'d3'!F91-d3П!F91</f>
        <v>0</v>
      </c>
      <c r="G91" s="324">
        <f>'d3'!G91-d3П!G91</f>
        <v>0</v>
      </c>
      <c r="H91" s="324">
        <f>'d3'!H91-d3П!H91</f>
        <v>0</v>
      </c>
      <c r="I91" s="324">
        <f>'d3'!I91-d3П!I91</f>
        <v>0</v>
      </c>
      <c r="J91" s="324">
        <f>'d3'!J91-d3П!J91</f>
        <v>0</v>
      </c>
      <c r="K91" s="324">
        <f>'d3'!K91-d3П!K91</f>
        <v>0</v>
      </c>
      <c r="L91" s="324">
        <f>'d3'!L91-d3П!L91</f>
        <v>0</v>
      </c>
      <c r="M91" s="324">
        <f>'d3'!M91-d3П!M91</f>
        <v>0</v>
      </c>
      <c r="N91" s="324">
        <f>'d3'!N91-d3П!N91</f>
        <v>0</v>
      </c>
      <c r="O91" s="324">
        <f>'d3'!O91-d3П!O91</f>
        <v>0</v>
      </c>
      <c r="P91" s="324">
        <f>'d3'!P91-d3П!P91</f>
        <v>0</v>
      </c>
      <c r="Q91" s="36"/>
      <c r="R91" s="39"/>
    </row>
    <row r="92" spans="1:18" s="33" customFormat="1" ht="114.75" customHeight="1" thickTop="1" thickBot="1" x14ac:dyDescent="0.25">
      <c r="A92" s="101" t="s">
        <v>1215</v>
      </c>
      <c r="B92" s="101" t="s">
        <v>1182</v>
      </c>
      <c r="C92" s="101" t="s">
        <v>206</v>
      </c>
      <c r="D92" s="461" t="s">
        <v>1183</v>
      </c>
      <c r="E92" s="324">
        <f>'d3'!E92-d3П!E92</f>
        <v>0</v>
      </c>
      <c r="F92" s="324">
        <f>'d3'!F92-d3П!F92</f>
        <v>0</v>
      </c>
      <c r="G92" s="324">
        <f>'d3'!G92-d3П!G92</f>
        <v>0</v>
      </c>
      <c r="H92" s="324">
        <f>'d3'!H92-d3П!H92</f>
        <v>0</v>
      </c>
      <c r="I92" s="324">
        <f>'d3'!I92-d3П!I92</f>
        <v>0</v>
      </c>
      <c r="J92" s="324">
        <f>'d3'!J92-d3П!J92</f>
        <v>0</v>
      </c>
      <c r="K92" s="324">
        <f>'d3'!K92-d3П!K92</f>
        <v>0</v>
      </c>
      <c r="L92" s="324">
        <f>'d3'!L92-d3П!L92</f>
        <v>0</v>
      </c>
      <c r="M92" s="324">
        <f>'d3'!M92-d3П!M92</f>
        <v>0</v>
      </c>
      <c r="N92" s="324">
        <f>'d3'!N92-d3П!N92</f>
        <v>0</v>
      </c>
      <c r="O92" s="324">
        <f>'d3'!O92-d3П!O92</f>
        <v>0</v>
      </c>
      <c r="P92" s="324">
        <f>'d3'!P92-d3П!P92</f>
        <v>0</v>
      </c>
      <c r="Q92" s="36"/>
      <c r="R92" s="39"/>
    </row>
    <row r="93" spans="1:18" s="33" customFormat="1" ht="57" customHeight="1" thickTop="1" thickBot="1" x14ac:dyDescent="0.25">
      <c r="A93" s="308" t="s">
        <v>1072</v>
      </c>
      <c r="B93" s="308" t="s">
        <v>744</v>
      </c>
      <c r="C93" s="308"/>
      <c r="D93" s="308" t="s">
        <v>1071</v>
      </c>
      <c r="E93" s="324">
        <f>'d3'!E93-d3П!E93</f>
        <v>0</v>
      </c>
      <c r="F93" s="324">
        <f>'d3'!F93-d3П!F93</f>
        <v>0</v>
      </c>
      <c r="G93" s="324">
        <f>'d3'!G93-d3П!G93</f>
        <v>0</v>
      </c>
      <c r="H93" s="324">
        <f>'d3'!H93-d3П!H93</f>
        <v>0</v>
      </c>
      <c r="I93" s="324">
        <f>'d3'!I93-d3П!I93</f>
        <v>0</v>
      </c>
      <c r="J93" s="324">
        <f>'d3'!J93-d3П!J93</f>
        <v>-7557226.5900000036</v>
      </c>
      <c r="K93" s="324">
        <f>'d3'!K93-d3П!K93</f>
        <v>-7557226.5900000036</v>
      </c>
      <c r="L93" s="324">
        <f>'d3'!L93-d3П!L93</f>
        <v>0</v>
      </c>
      <c r="M93" s="324">
        <f>'d3'!M93-d3П!M93</f>
        <v>0</v>
      </c>
      <c r="N93" s="324">
        <f>'d3'!N93-d3П!N93</f>
        <v>0</v>
      </c>
      <c r="O93" s="324">
        <f>'d3'!O93-d3П!O93</f>
        <v>-7557226.5900000036</v>
      </c>
      <c r="P93" s="324">
        <f>'d3'!P93-d3П!P93</f>
        <v>-7557226.5900000036</v>
      </c>
      <c r="Q93" s="36"/>
      <c r="R93" s="26"/>
    </row>
    <row r="94" spans="1:18" s="33" customFormat="1" ht="57" customHeight="1" thickTop="1" thickBot="1" x14ac:dyDescent="0.25">
      <c r="A94" s="310" t="s">
        <v>1070</v>
      </c>
      <c r="B94" s="310" t="s">
        <v>799</v>
      </c>
      <c r="C94" s="310"/>
      <c r="D94" s="310" t="s">
        <v>800</v>
      </c>
      <c r="E94" s="324">
        <f>'d3'!E94-d3П!E94</f>
        <v>0</v>
      </c>
      <c r="F94" s="324">
        <f>'d3'!F94-d3П!F94</f>
        <v>0</v>
      </c>
      <c r="G94" s="324">
        <f>'d3'!G94-d3П!G94</f>
        <v>0</v>
      </c>
      <c r="H94" s="324">
        <f>'d3'!H94-d3П!H94</f>
        <v>0</v>
      </c>
      <c r="I94" s="324">
        <f>'d3'!I94-d3П!I94</f>
        <v>0</v>
      </c>
      <c r="J94" s="324">
        <f>'d3'!J94-d3П!J94</f>
        <v>-4957226.5899999961</v>
      </c>
      <c r="K94" s="324">
        <f>'d3'!K94-d3П!K94</f>
        <v>-4957226.5899999961</v>
      </c>
      <c r="L94" s="324">
        <f>'d3'!L94-d3П!L94</f>
        <v>0</v>
      </c>
      <c r="M94" s="324">
        <f>'d3'!M94-d3П!M94</f>
        <v>0</v>
      </c>
      <c r="N94" s="324">
        <f>'d3'!N94-d3П!N94</f>
        <v>0</v>
      </c>
      <c r="O94" s="324">
        <f>'d3'!O94-d3П!O94</f>
        <v>-4957226.5899999961</v>
      </c>
      <c r="P94" s="324">
        <f>'d3'!P94-d3П!P94</f>
        <v>-4957226.5899999961</v>
      </c>
      <c r="Q94" s="36"/>
      <c r="R94" s="26"/>
    </row>
    <row r="95" spans="1:18" s="33" customFormat="1" ht="54" thickTop="1" thickBot="1" x14ac:dyDescent="0.25">
      <c r="A95" s="325" t="s">
        <v>1073</v>
      </c>
      <c r="B95" s="325" t="s">
        <v>817</v>
      </c>
      <c r="C95" s="325"/>
      <c r="D95" s="325" t="s">
        <v>1499</v>
      </c>
      <c r="E95" s="324">
        <f>'d3'!E95-d3П!E95</f>
        <v>0</v>
      </c>
      <c r="F95" s="324">
        <f>'d3'!F95-d3П!F95</f>
        <v>0</v>
      </c>
      <c r="G95" s="324">
        <f>'d3'!G95-d3П!G95</f>
        <v>0</v>
      </c>
      <c r="H95" s="324">
        <f>'d3'!H95-d3П!H95</f>
        <v>0</v>
      </c>
      <c r="I95" s="324">
        <f>'d3'!I95-d3П!I95</f>
        <v>0</v>
      </c>
      <c r="J95" s="324">
        <f>'d3'!J95-d3П!J95</f>
        <v>-4957226.5899999961</v>
      </c>
      <c r="K95" s="324">
        <f>'d3'!K95-d3П!K95</f>
        <v>-4957226.5899999961</v>
      </c>
      <c r="L95" s="324">
        <f>'d3'!L95-d3П!L95</f>
        <v>0</v>
      </c>
      <c r="M95" s="324">
        <f>'d3'!M95-d3П!M95</f>
        <v>0</v>
      </c>
      <c r="N95" s="324">
        <f>'d3'!N95-d3П!N95</f>
        <v>0</v>
      </c>
      <c r="O95" s="324">
        <f>'d3'!O95-d3П!O95</f>
        <v>-4957226.5899999961</v>
      </c>
      <c r="P95" s="324">
        <f>'d3'!P95-d3П!P95</f>
        <v>-4957226.5899999961</v>
      </c>
      <c r="Q95" s="36"/>
      <c r="R95" s="26"/>
    </row>
    <row r="96" spans="1:18" s="33" customFormat="1" ht="57" customHeight="1" thickTop="1" thickBot="1" x14ac:dyDescent="0.25">
      <c r="A96" s="101" t="s">
        <v>1085</v>
      </c>
      <c r="B96" s="101" t="s">
        <v>311</v>
      </c>
      <c r="C96" s="101" t="s">
        <v>304</v>
      </c>
      <c r="D96" s="101" t="s">
        <v>1479</v>
      </c>
      <c r="E96" s="324">
        <f>'d3'!E96-d3П!E96</f>
        <v>0</v>
      </c>
      <c r="F96" s="324">
        <f>'d3'!F96-d3П!F96</f>
        <v>0</v>
      </c>
      <c r="G96" s="324">
        <f>'d3'!G96-d3П!G96</f>
        <v>0</v>
      </c>
      <c r="H96" s="324">
        <f>'d3'!H96-d3П!H96</f>
        <v>0</v>
      </c>
      <c r="I96" s="324">
        <f>'d3'!I96-d3П!I96</f>
        <v>0</v>
      </c>
      <c r="J96" s="324">
        <f>'d3'!J96-d3П!J96</f>
        <v>-4957226.5899999961</v>
      </c>
      <c r="K96" s="324">
        <f>'d3'!K96-d3П!K96</f>
        <v>-4957226.5899999961</v>
      </c>
      <c r="L96" s="324">
        <f>'d3'!L96-d3П!L96</f>
        <v>0</v>
      </c>
      <c r="M96" s="324">
        <f>'d3'!M96-d3П!M96</f>
        <v>0</v>
      </c>
      <c r="N96" s="324">
        <f>'d3'!N96-d3П!N96</f>
        <v>0</v>
      </c>
      <c r="O96" s="324">
        <f>'d3'!O96-d3П!O96</f>
        <v>-4957226.5899999961</v>
      </c>
      <c r="P96" s="324">
        <f>'d3'!P96-d3П!P96</f>
        <v>-4957226.5899999961</v>
      </c>
      <c r="Q96" s="30"/>
      <c r="R96" s="26"/>
    </row>
    <row r="97" spans="1:18" s="33" customFormat="1" ht="57" customHeight="1" thickTop="1" thickBot="1" x14ac:dyDescent="0.25">
      <c r="A97" s="310" t="s">
        <v>1074</v>
      </c>
      <c r="B97" s="310" t="s">
        <v>687</v>
      </c>
      <c r="C97" s="310"/>
      <c r="D97" s="310" t="s">
        <v>685</v>
      </c>
      <c r="E97" s="324">
        <f>'d3'!E97-d3П!E97</f>
        <v>0</v>
      </c>
      <c r="F97" s="324">
        <f>'d3'!F97-d3П!F97</f>
        <v>0</v>
      </c>
      <c r="G97" s="324">
        <f>'d3'!G97-d3П!G97</f>
        <v>0</v>
      </c>
      <c r="H97" s="324">
        <f>'d3'!H97-d3П!H97</f>
        <v>0</v>
      </c>
      <c r="I97" s="324">
        <f>'d3'!I97-d3П!I97</f>
        <v>0</v>
      </c>
      <c r="J97" s="324">
        <f>'d3'!J97-d3П!J97</f>
        <v>-2600000</v>
      </c>
      <c r="K97" s="324">
        <f>'d3'!K97-d3П!K97</f>
        <v>-2600000</v>
      </c>
      <c r="L97" s="324">
        <f>'d3'!L97-d3П!L97</f>
        <v>0</v>
      </c>
      <c r="M97" s="324">
        <f>'d3'!M97-d3П!M97</f>
        <v>0</v>
      </c>
      <c r="N97" s="324">
        <f>'d3'!N97-d3П!N97</f>
        <v>0</v>
      </c>
      <c r="O97" s="324">
        <f>'d3'!O97-d3П!O97</f>
        <v>-2600000</v>
      </c>
      <c r="P97" s="324">
        <f>'d3'!P97-d3П!P97</f>
        <v>-2600000</v>
      </c>
      <c r="Q97" s="30"/>
      <c r="R97" s="26"/>
    </row>
    <row r="98" spans="1:18" s="33" customFormat="1" ht="57" customHeight="1" thickTop="1" thickBot="1" x14ac:dyDescent="0.25">
      <c r="A98" s="101" t="s">
        <v>1075</v>
      </c>
      <c r="B98" s="101" t="s">
        <v>212</v>
      </c>
      <c r="C98" s="101" t="s">
        <v>213</v>
      </c>
      <c r="D98" s="101" t="s">
        <v>41</v>
      </c>
      <c r="E98" s="324">
        <f>'d3'!E98-d3П!E98</f>
        <v>0</v>
      </c>
      <c r="F98" s="324">
        <f>'d3'!F98-d3П!F98</f>
        <v>0</v>
      </c>
      <c r="G98" s="324">
        <f>'d3'!G98-d3П!G98</f>
        <v>0</v>
      </c>
      <c r="H98" s="324">
        <f>'d3'!H98-d3П!H98</f>
        <v>0</v>
      </c>
      <c r="I98" s="324">
        <f>'d3'!I98-d3П!I98</f>
        <v>0</v>
      </c>
      <c r="J98" s="324">
        <f>'d3'!J98-d3П!J98</f>
        <v>-2600000</v>
      </c>
      <c r="K98" s="324">
        <f>'d3'!K98-d3П!K98</f>
        <v>-2600000</v>
      </c>
      <c r="L98" s="324">
        <f>'d3'!L98-d3П!L98</f>
        <v>0</v>
      </c>
      <c r="M98" s="324">
        <f>'d3'!M98-d3П!M98</f>
        <v>0</v>
      </c>
      <c r="N98" s="324">
        <f>'d3'!N98-d3П!N98</f>
        <v>0</v>
      </c>
      <c r="O98" s="324">
        <f>'d3'!O98-d3П!O98</f>
        <v>-2600000</v>
      </c>
      <c r="P98" s="324">
        <f>'d3'!P98-d3П!P98</f>
        <v>-2600000</v>
      </c>
      <c r="Q98" s="30"/>
      <c r="R98" s="26"/>
    </row>
    <row r="99" spans="1:18" s="33" customFormat="1" ht="47.25" hidden="1" thickTop="1" thickBot="1" x14ac:dyDescent="0.25">
      <c r="A99" s="123" t="s">
        <v>1206</v>
      </c>
      <c r="B99" s="123" t="s">
        <v>692</v>
      </c>
      <c r="C99" s="123"/>
      <c r="D99" s="123" t="s">
        <v>693</v>
      </c>
      <c r="E99" s="125">
        <f t="shared" ref="E99:P100" si="6">E100</f>
        <v>0</v>
      </c>
      <c r="F99" s="125">
        <f t="shared" si="6"/>
        <v>0</v>
      </c>
      <c r="G99" s="125">
        <f t="shared" si="6"/>
        <v>0</v>
      </c>
      <c r="H99" s="125">
        <f t="shared" si="6"/>
        <v>0</v>
      </c>
      <c r="I99" s="125">
        <f t="shared" si="6"/>
        <v>0</v>
      </c>
      <c r="J99" s="125">
        <f t="shared" si="6"/>
        <v>0</v>
      </c>
      <c r="K99" s="125">
        <f t="shared" si="6"/>
        <v>0</v>
      </c>
      <c r="L99" s="125">
        <f t="shared" si="6"/>
        <v>0</v>
      </c>
      <c r="M99" s="125">
        <f t="shared" si="6"/>
        <v>0</v>
      </c>
      <c r="N99" s="125">
        <f t="shared" si="6"/>
        <v>0</v>
      </c>
      <c r="O99" s="125">
        <f t="shared" si="6"/>
        <v>0</v>
      </c>
      <c r="P99" s="125">
        <f t="shared" si="6"/>
        <v>0</v>
      </c>
      <c r="Q99" s="30"/>
      <c r="R99" s="26"/>
    </row>
    <row r="100" spans="1:18" s="33" customFormat="1" ht="47.25" hidden="1" thickTop="1" thickBot="1" x14ac:dyDescent="0.25">
      <c r="A100" s="134" t="s">
        <v>1207</v>
      </c>
      <c r="B100" s="134" t="s">
        <v>1168</v>
      </c>
      <c r="C100" s="134"/>
      <c r="D100" s="134" t="s">
        <v>1166</v>
      </c>
      <c r="E100" s="135">
        <f t="shared" si="6"/>
        <v>0</v>
      </c>
      <c r="F100" s="135">
        <f t="shared" si="6"/>
        <v>0</v>
      </c>
      <c r="G100" s="135">
        <f t="shared" si="6"/>
        <v>0</v>
      </c>
      <c r="H100" s="135">
        <f t="shared" si="6"/>
        <v>0</v>
      </c>
      <c r="I100" s="135">
        <f t="shared" si="6"/>
        <v>0</v>
      </c>
      <c r="J100" s="135">
        <f t="shared" si="6"/>
        <v>0</v>
      </c>
      <c r="K100" s="135">
        <f t="shared" si="6"/>
        <v>0</v>
      </c>
      <c r="L100" s="135">
        <f t="shared" si="6"/>
        <v>0</v>
      </c>
      <c r="M100" s="135">
        <f t="shared" si="6"/>
        <v>0</v>
      </c>
      <c r="N100" s="135">
        <f t="shared" si="6"/>
        <v>0</v>
      </c>
      <c r="O100" s="135">
        <f t="shared" si="6"/>
        <v>0</v>
      </c>
      <c r="P100" s="135">
        <f t="shared" si="6"/>
        <v>0</v>
      </c>
      <c r="Q100" s="30"/>
      <c r="R100" s="26"/>
    </row>
    <row r="101" spans="1:18" s="33" customFormat="1" ht="48" hidden="1" thickTop="1" thickBot="1" x14ac:dyDescent="0.25">
      <c r="A101" s="126" t="s">
        <v>1208</v>
      </c>
      <c r="B101" s="126" t="s">
        <v>1172</v>
      </c>
      <c r="C101" s="126" t="s">
        <v>1170</v>
      </c>
      <c r="D101" s="126" t="s">
        <v>1169</v>
      </c>
      <c r="E101" s="125">
        <f>F101</f>
        <v>0</v>
      </c>
      <c r="F101" s="132"/>
      <c r="G101" s="132"/>
      <c r="H101" s="132"/>
      <c r="I101" s="132"/>
      <c r="J101" s="125">
        <f>L101+O101</f>
        <v>0</v>
      </c>
      <c r="K101" s="132">
        <v>0</v>
      </c>
      <c r="L101" s="132"/>
      <c r="M101" s="132"/>
      <c r="N101" s="132"/>
      <c r="O101" s="130">
        <f>K101</f>
        <v>0</v>
      </c>
      <c r="P101" s="125">
        <f>E101+J101</f>
        <v>0</v>
      </c>
      <c r="Q101" s="30"/>
      <c r="R101" s="26"/>
    </row>
    <row r="102" spans="1:18" s="33" customFormat="1" ht="47.25" hidden="1" customHeight="1" thickTop="1" thickBot="1" x14ac:dyDescent="0.25">
      <c r="A102" s="144" t="s">
        <v>1012</v>
      </c>
      <c r="B102" s="144" t="s">
        <v>698</v>
      </c>
      <c r="C102" s="144"/>
      <c r="D102" s="144" t="s">
        <v>699</v>
      </c>
      <c r="E102" s="42">
        <f>E103</f>
        <v>0</v>
      </c>
      <c r="F102" s="42">
        <f t="shared" ref="F102:P103" si="7">F103</f>
        <v>0</v>
      </c>
      <c r="G102" s="42">
        <f t="shared" si="7"/>
        <v>0</v>
      </c>
      <c r="H102" s="42">
        <f t="shared" si="7"/>
        <v>0</v>
      </c>
      <c r="I102" s="42">
        <f t="shared" si="7"/>
        <v>0</v>
      </c>
      <c r="J102" s="42">
        <f t="shared" si="7"/>
        <v>0</v>
      </c>
      <c r="K102" s="42">
        <f t="shared" si="7"/>
        <v>0</v>
      </c>
      <c r="L102" s="42">
        <f t="shared" si="7"/>
        <v>0</v>
      </c>
      <c r="M102" s="42">
        <f t="shared" si="7"/>
        <v>0</v>
      </c>
      <c r="N102" s="42">
        <f t="shared" si="7"/>
        <v>0</v>
      </c>
      <c r="O102" s="42">
        <f t="shared" si="7"/>
        <v>0</v>
      </c>
      <c r="P102" s="42">
        <f t="shared" si="7"/>
        <v>0</v>
      </c>
      <c r="Q102" s="36"/>
      <c r="R102" s="26"/>
    </row>
    <row r="103" spans="1:18" s="33" customFormat="1" ht="91.5" hidden="1" thickTop="1" thickBot="1" x14ac:dyDescent="0.25">
      <c r="A103" s="145" t="s">
        <v>1013</v>
      </c>
      <c r="B103" s="145" t="s">
        <v>701</v>
      </c>
      <c r="C103" s="145"/>
      <c r="D103" s="145" t="s">
        <v>702</v>
      </c>
      <c r="E103" s="146">
        <f>E104</f>
        <v>0</v>
      </c>
      <c r="F103" s="146">
        <f t="shared" si="7"/>
        <v>0</v>
      </c>
      <c r="G103" s="146">
        <f t="shared" si="7"/>
        <v>0</v>
      </c>
      <c r="H103" s="146">
        <f t="shared" si="7"/>
        <v>0</v>
      </c>
      <c r="I103" s="146">
        <f t="shared" si="7"/>
        <v>0</v>
      </c>
      <c r="J103" s="146">
        <f t="shared" si="7"/>
        <v>0</v>
      </c>
      <c r="K103" s="146">
        <f t="shared" si="7"/>
        <v>0</v>
      </c>
      <c r="L103" s="146">
        <f t="shared" si="7"/>
        <v>0</v>
      </c>
      <c r="M103" s="146">
        <f t="shared" si="7"/>
        <v>0</v>
      </c>
      <c r="N103" s="146">
        <f t="shared" si="7"/>
        <v>0</v>
      </c>
      <c r="O103" s="146">
        <f t="shared" si="7"/>
        <v>0</v>
      </c>
      <c r="P103" s="146">
        <f t="shared" si="7"/>
        <v>0</v>
      </c>
      <c r="Q103" s="36"/>
      <c r="R103" s="26"/>
    </row>
    <row r="104" spans="1:18" s="33" customFormat="1" ht="48" hidden="1" thickTop="1" thickBot="1" x14ac:dyDescent="0.25">
      <c r="A104" s="41" t="s">
        <v>1014</v>
      </c>
      <c r="B104" s="41" t="s">
        <v>363</v>
      </c>
      <c r="C104" s="41" t="s">
        <v>43</v>
      </c>
      <c r="D104" s="41" t="s">
        <v>364</v>
      </c>
      <c r="E104" s="42">
        <f t="shared" ref="E104" si="8">F104</f>
        <v>0</v>
      </c>
      <c r="F104" s="43"/>
      <c r="G104" s="43"/>
      <c r="H104" s="43"/>
      <c r="I104" s="43"/>
      <c r="J104" s="42">
        <f>L104+O104</f>
        <v>0</v>
      </c>
      <c r="K104" s="43"/>
      <c r="L104" s="43"/>
      <c r="M104" s="43"/>
      <c r="N104" s="43"/>
      <c r="O104" s="44">
        <f>K104</f>
        <v>0</v>
      </c>
      <c r="P104" s="42">
        <f>E104+J104</f>
        <v>0</v>
      </c>
      <c r="Q104" s="36"/>
      <c r="R104" s="26"/>
    </row>
    <row r="105" spans="1:18" ht="120" customHeight="1" thickTop="1" thickBot="1" x14ac:dyDescent="0.25">
      <c r="A105" s="689" t="s">
        <v>154</v>
      </c>
      <c r="B105" s="689"/>
      <c r="C105" s="689"/>
      <c r="D105" s="690" t="s">
        <v>18</v>
      </c>
      <c r="E105" s="691">
        <f>E106</f>
        <v>2247255</v>
      </c>
      <c r="F105" s="692">
        <f t="shared" ref="F105:G105" si="9">F106</f>
        <v>2247255</v>
      </c>
      <c r="G105" s="692">
        <f t="shared" si="9"/>
        <v>-500000</v>
      </c>
      <c r="H105" s="692">
        <f>H106</f>
        <v>0</v>
      </c>
      <c r="I105" s="692">
        <f t="shared" ref="I105" si="10">I106</f>
        <v>0</v>
      </c>
      <c r="J105" s="691">
        <f>J106</f>
        <v>-2432200</v>
      </c>
      <c r="K105" s="692">
        <f>K106</f>
        <v>-2432200</v>
      </c>
      <c r="L105" s="692">
        <f>L106</f>
        <v>0</v>
      </c>
      <c r="M105" s="692">
        <f t="shared" ref="M105" si="11">M106</f>
        <v>0</v>
      </c>
      <c r="N105" s="692">
        <f>N106</f>
        <v>0</v>
      </c>
      <c r="O105" s="691">
        <f>O106</f>
        <v>-2432200</v>
      </c>
      <c r="P105" s="692">
        <f>P106</f>
        <v>-184945</v>
      </c>
      <c r="Q105" s="20"/>
    </row>
    <row r="106" spans="1:18" ht="120" customHeight="1" thickTop="1" thickBot="1" x14ac:dyDescent="0.25">
      <c r="A106" s="693" t="s">
        <v>155</v>
      </c>
      <c r="B106" s="693"/>
      <c r="C106" s="693"/>
      <c r="D106" s="694" t="s">
        <v>36</v>
      </c>
      <c r="E106" s="695">
        <f>E107+E110+E127+E125</f>
        <v>2247255</v>
      </c>
      <c r="F106" s="695">
        <f t="shared" ref="F106:P106" si="12">F107+F110+F127+F125</f>
        <v>2247255</v>
      </c>
      <c r="G106" s="695">
        <f t="shared" si="12"/>
        <v>-500000</v>
      </c>
      <c r="H106" s="695">
        <f t="shared" si="12"/>
        <v>0</v>
      </c>
      <c r="I106" s="695">
        <f t="shared" si="12"/>
        <v>0</v>
      </c>
      <c r="J106" s="695">
        <f t="shared" si="12"/>
        <v>-2432200</v>
      </c>
      <c r="K106" s="695">
        <f t="shared" si="12"/>
        <v>-2432200</v>
      </c>
      <c r="L106" s="695">
        <f t="shared" si="12"/>
        <v>0</v>
      </c>
      <c r="M106" s="695">
        <f t="shared" si="12"/>
        <v>0</v>
      </c>
      <c r="N106" s="695">
        <f t="shared" si="12"/>
        <v>0</v>
      </c>
      <c r="O106" s="695">
        <f t="shared" si="12"/>
        <v>-2432200</v>
      </c>
      <c r="P106" s="695">
        <f t="shared" si="12"/>
        <v>-184945</v>
      </c>
      <c r="Q106" s="549" t="b">
        <f>P106=P108+P111+P112+P113+P114+P117+P121+P122+P126+P130+P124+P134</f>
        <v>1</v>
      </c>
      <c r="R106" s="26"/>
    </row>
    <row r="107" spans="1:18" ht="47.25" thickTop="1" thickBot="1" x14ac:dyDescent="0.25">
      <c r="A107" s="308" t="s">
        <v>709</v>
      </c>
      <c r="B107" s="308" t="s">
        <v>680</v>
      </c>
      <c r="C107" s="308"/>
      <c r="D107" s="308" t="s">
        <v>681</v>
      </c>
      <c r="E107" s="324">
        <f>'d3'!E107-d3П!E107</f>
        <v>0</v>
      </c>
      <c r="F107" s="324">
        <f>'d3'!F107-d3П!F107</f>
        <v>0</v>
      </c>
      <c r="G107" s="324">
        <f>'d3'!G107-d3П!G107</f>
        <v>0</v>
      </c>
      <c r="H107" s="324">
        <f>'d3'!H107-d3П!H107</f>
        <v>0</v>
      </c>
      <c r="I107" s="324">
        <f>'d3'!I107-d3П!I107</f>
        <v>0</v>
      </c>
      <c r="J107" s="324">
        <f>'d3'!J107-d3П!J107</f>
        <v>0</v>
      </c>
      <c r="K107" s="324">
        <f>'d3'!K107-d3П!K107</f>
        <v>0</v>
      </c>
      <c r="L107" s="324">
        <f>'d3'!L107-d3П!L107</f>
        <v>0</v>
      </c>
      <c r="M107" s="324">
        <f>'d3'!M107-d3П!M107</f>
        <v>0</v>
      </c>
      <c r="N107" s="324">
        <f>'d3'!N107-d3П!N107</f>
        <v>0</v>
      </c>
      <c r="O107" s="324">
        <f>'d3'!O107-d3П!O107</f>
        <v>0</v>
      </c>
      <c r="P107" s="324">
        <f>'d3'!P107-d3П!P107</f>
        <v>0</v>
      </c>
      <c r="Q107" s="30"/>
      <c r="R107" s="26"/>
    </row>
    <row r="108" spans="1:18" ht="93" thickTop="1" thickBot="1" x14ac:dyDescent="0.25">
      <c r="A108" s="101" t="s">
        <v>415</v>
      </c>
      <c r="B108" s="101" t="s">
        <v>236</v>
      </c>
      <c r="C108" s="101" t="s">
        <v>234</v>
      </c>
      <c r="D108" s="101" t="s">
        <v>235</v>
      </c>
      <c r="E108" s="324">
        <f>'d3'!E108-d3П!E108</f>
        <v>0</v>
      </c>
      <c r="F108" s="324">
        <f>'d3'!F108-d3П!F108</f>
        <v>0</v>
      </c>
      <c r="G108" s="324">
        <f>'d3'!G108-d3П!G108</f>
        <v>0</v>
      </c>
      <c r="H108" s="324">
        <f>'d3'!H108-d3П!H108</f>
        <v>0</v>
      </c>
      <c r="I108" s="324">
        <f>'d3'!I108-d3П!I108</f>
        <v>0</v>
      </c>
      <c r="J108" s="324">
        <f>'d3'!J108-d3П!J108</f>
        <v>0</v>
      </c>
      <c r="K108" s="324">
        <f>'d3'!K108-d3П!K108</f>
        <v>0</v>
      </c>
      <c r="L108" s="324">
        <f>'d3'!L108-d3П!L108</f>
        <v>0</v>
      </c>
      <c r="M108" s="324">
        <f>'d3'!M108-d3П!M108</f>
        <v>0</v>
      </c>
      <c r="N108" s="324">
        <f>'d3'!N108-d3П!N108</f>
        <v>0</v>
      </c>
      <c r="O108" s="324">
        <f>'d3'!O108-d3П!O108</f>
        <v>0</v>
      </c>
      <c r="P108" s="324">
        <f>'d3'!P108-d3П!P108</f>
        <v>0</v>
      </c>
      <c r="Q108" s="39"/>
      <c r="R108" s="26"/>
    </row>
    <row r="109" spans="1:18" ht="93" hidden="1" thickTop="1" thickBot="1" x14ac:dyDescent="0.25">
      <c r="A109" s="126" t="s">
        <v>1239</v>
      </c>
      <c r="B109" s="126" t="s">
        <v>362</v>
      </c>
      <c r="C109" s="126" t="s">
        <v>623</v>
      </c>
      <c r="D109" s="126" t="s">
        <v>624</v>
      </c>
      <c r="E109" s="324">
        <f>'d3'!E109-d3П!E109</f>
        <v>0</v>
      </c>
      <c r="F109" s="324">
        <f>'d3'!F109-d3П!F109</f>
        <v>0</v>
      </c>
      <c r="G109" s="324">
        <f>'d3'!G109-d3П!G109</f>
        <v>0</v>
      </c>
      <c r="H109" s="324">
        <f>'d3'!H109-d3П!H109</f>
        <v>0</v>
      </c>
      <c r="I109" s="324">
        <f>'d3'!I109-d3П!I109</f>
        <v>0</v>
      </c>
      <c r="J109" s="324">
        <f>'d3'!J109-d3П!J109</f>
        <v>0</v>
      </c>
      <c r="K109" s="324">
        <f>'d3'!K109-d3П!K109</f>
        <v>0</v>
      </c>
      <c r="L109" s="324">
        <f>'d3'!L109-d3П!L109</f>
        <v>0</v>
      </c>
      <c r="M109" s="324">
        <f>'d3'!M109-d3П!M109</f>
        <v>0</v>
      </c>
      <c r="N109" s="324">
        <f>'d3'!N109-d3П!N109</f>
        <v>0</v>
      </c>
      <c r="O109" s="324">
        <f>'d3'!O109-d3П!O109</f>
        <v>0</v>
      </c>
      <c r="P109" s="324">
        <f>'d3'!P109-d3П!P109</f>
        <v>0</v>
      </c>
      <c r="Q109" s="39"/>
      <c r="R109" s="26"/>
    </row>
    <row r="110" spans="1:18" ht="47.25" thickTop="1" thickBot="1" x14ac:dyDescent="0.25">
      <c r="A110" s="308" t="s">
        <v>710</v>
      </c>
      <c r="B110" s="308" t="s">
        <v>711</v>
      </c>
      <c r="C110" s="308"/>
      <c r="D110" s="308" t="s">
        <v>712</v>
      </c>
      <c r="E110" s="324">
        <f>'d3'!E110-d3П!E110</f>
        <v>2247255</v>
      </c>
      <c r="F110" s="324">
        <f>'d3'!F110-d3П!F110</f>
        <v>2247255</v>
      </c>
      <c r="G110" s="324">
        <f>'d3'!G110-d3П!G110</f>
        <v>-500000</v>
      </c>
      <c r="H110" s="324">
        <f>'d3'!H110-d3П!H110</f>
        <v>0</v>
      </c>
      <c r="I110" s="324">
        <f>'d3'!I110-d3П!I110</f>
        <v>0</v>
      </c>
      <c r="J110" s="324">
        <f>'d3'!J110-d3П!J110</f>
        <v>-2432200</v>
      </c>
      <c r="K110" s="324">
        <f>'d3'!K110-d3П!K110</f>
        <v>-2432200</v>
      </c>
      <c r="L110" s="324">
        <f>'d3'!L110-d3П!L110</f>
        <v>0</v>
      </c>
      <c r="M110" s="324">
        <f>'d3'!M110-d3П!M110</f>
        <v>0</v>
      </c>
      <c r="N110" s="324">
        <f>'d3'!N110-d3П!N110</f>
        <v>0</v>
      </c>
      <c r="O110" s="324">
        <f>'d3'!O110-d3П!O110</f>
        <v>-2432200</v>
      </c>
      <c r="P110" s="324">
        <f>'d3'!P110-d3П!P110</f>
        <v>-184945</v>
      </c>
      <c r="Q110" s="39"/>
      <c r="R110" s="39"/>
    </row>
    <row r="111" spans="1:18" ht="47.25" thickTop="1" thickBot="1" x14ac:dyDescent="0.25">
      <c r="A111" s="101" t="s">
        <v>214</v>
      </c>
      <c r="B111" s="101" t="s">
        <v>211</v>
      </c>
      <c r="C111" s="101" t="s">
        <v>215</v>
      </c>
      <c r="D111" s="101" t="s">
        <v>19</v>
      </c>
      <c r="E111" s="324">
        <f>'d3'!E111-d3П!E111</f>
        <v>2193255</v>
      </c>
      <c r="F111" s="324">
        <f>'d3'!F111-d3П!F111</f>
        <v>2193255</v>
      </c>
      <c r="G111" s="324">
        <f>'d3'!G111-d3П!G111</f>
        <v>0</v>
      </c>
      <c r="H111" s="324">
        <f>'d3'!H111-d3П!H111</f>
        <v>0</v>
      </c>
      <c r="I111" s="324">
        <f>'d3'!I111-d3П!I111</f>
        <v>0</v>
      </c>
      <c r="J111" s="324">
        <f>'d3'!J111-d3П!J111</f>
        <v>0</v>
      </c>
      <c r="K111" s="324">
        <f>'d3'!K111-d3П!K111</f>
        <v>0</v>
      </c>
      <c r="L111" s="324">
        <f>'d3'!L111-d3П!L111</f>
        <v>0</v>
      </c>
      <c r="M111" s="324">
        <f>'d3'!M111-d3П!M111</f>
        <v>0</v>
      </c>
      <c r="N111" s="324">
        <f>'d3'!N111-d3П!N111</f>
        <v>0</v>
      </c>
      <c r="O111" s="324">
        <f>'d3'!O111-d3П!O111</f>
        <v>0</v>
      </c>
      <c r="P111" s="324">
        <f>'d3'!P111-d3П!P111</f>
        <v>2193255</v>
      </c>
      <c r="Q111" s="20"/>
      <c r="R111" s="30"/>
    </row>
    <row r="112" spans="1:18" ht="47.25" thickTop="1" thickBot="1" x14ac:dyDescent="0.25">
      <c r="A112" s="101" t="s">
        <v>504</v>
      </c>
      <c r="B112" s="101" t="s">
        <v>507</v>
      </c>
      <c r="C112" s="101" t="s">
        <v>506</v>
      </c>
      <c r="D112" s="101" t="s">
        <v>505</v>
      </c>
      <c r="E112" s="324">
        <f>'d3'!E112-d3П!E112</f>
        <v>0</v>
      </c>
      <c r="F112" s="324">
        <f>'d3'!F112-d3П!F112</f>
        <v>0</v>
      </c>
      <c r="G112" s="324">
        <f>'d3'!G112-d3П!G112</f>
        <v>0</v>
      </c>
      <c r="H112" s="324">
        <f>'d3'!H112-d3П!H112</f>
        <v>0</v>
      </c>
      <c r="I112" s="324">
        <f>'d3'!I112-d3П!I112</f>
        <v>0</v>
      </c>
      <c r="J112" s="324">
        <f>'d3'!J112-d3П!J112</f>
        <v>0</v>
      </c>
      <c r="K112" s="324">
        <f>'d3'!K112-d3П!K112</f>
        <v>0</v>
      </c>
      <c r="L112" s="324">
        <f>'d3'!L112-d3П!L112</f>
        <v>0</v>
      </c>
      <c r="M112" s="324">
        <f>'d3'!M112-d3П!M112</f>
        <v>0</v>
      </c>
      <c r="N112" s="324">
        <f>'d3'!N112-d3П!N112</f>
        <v>0</v>
      </c>
      <c r="O112" s="324">
        <f>'d3'!O112-d3П!O112</f>
        <v>0</v>
      </c>
      <c r="P112" s="324">
        <f>'d3'!P112-d3П!P112</f>
        <v>0</v>
      </c>
      <c r="Q112" s="20"/>
      <c r="R112" s="39"/>
    </row>
    <row r="113" spans="1:18" ht="47.25" thickTop="1" thickBot="1" x14ac:dyDescent="0.25">
      <c r="A113" s="101" t="s">
        <v>216</v>
      </c>
      <c r="B113" s="101" t="s">
        <v>217</v>
      </c>
      <c r="C113" s="101" t="s">
        <v>218</v>
      </c>
      <c r="D113" s="101" t="s">
        <v>219</v>
      </c>
      <c r="E113" s="324">
        <f>'d3'!E113-d3П!E113</f>
        <v>2000000</v>
      </c>
      <c r="F113" s="324">
        <f>'d3'!F113-d3П!F113</f>
        <v>2000000</v>
      </c>
      <c r="G113" s="324">
        <f>'d3'!G113-d3П!G113</f>
        <v>0</v>
      </c>
      <c r="H113" s="324">
        <f>'d3'!H113-d3П!H113</f>
        <v>0</v>
      </c>
      <c r="I113" s="324">
        <f>'d3'!I113-d3П!I113</f>
        <v>0</v>
      </c>
      <c r="J113" s="324">
        <f>'d3'!J113-d3П!J113</f>
        <v>-2432200</v>
      </c>
      <c r="K113" s="324">
        <f>'d3'!K113-d3П!K113</f>
        <v>-2432200</v>
      </c>
      <c r="L113" s="324">
        <f>'d3'!L113-d3П!L113</f>
        <v>0</v>
      </c>
      <c r="M113" s="324">
        <f>'d3'!M113-d3П!M113</f>
        <v>0</v>
      </c>
      <c r="N113" s="324">
        <f>'d3'!N113-d3П!N113</f>
        <v>0</v>
      </c>
      <c r="O113" s="324">
        <f>'d3'!O113-d3П!O113</f>
        <v>-2432200</v>
      </c>
      <c r="P113" s="324">
        <f>'d3'!P113-d3П!P113</f>
        <v>-432200</v>
      </c>
      <c r="Q113" s="20"/>
      <c r="R113" s="39"/>
    </row>
    <row r="114" spans="1:18" ht="93" thickTop="1" thickBot="1" x14ac:dyDescent="0.25">
      <c r="A114" s="101" t="s">
        <v>220</v>
      </c>
      <c r="B114" s="101" t="s">
        <v>221</v>
      </c>
      <c r="C114" s="101" t="s">
        <v>222</v>
      </c>
      <c r="D114" s="101" t="s">
        <v>345</v>
      </c>
      <c r="E114" s="324">
        <f>'d3'!E114-d3П!E114</f>
        <v>-1026000</v>
      </c>
      <c r="F114" s="324">
        <f>'d3'!F114-d3П!F114</f>
        <v>-1026000</v>
      </c>
      <c r="G114" s="324">
        <f>'d3'!G114-d3П!G114</f>
        <v>0</v>
      </c>
      <c r="H114" s="324">
        <f>'d3'!H114-d3П!H114</f>
        <v>0</v>
      </c>
      <c r="I114" s="324">
        <f>'d3'!I114-d3П!I114</f>
        <v>0</v>
      </c>
      <c r="J114" s="324">
        <f>'d3'!J114-d3П!J114</f>
        <v>0</v>
      </c>
      <c r="K114" s="324">
        <f>'d3'!K114-d3П!K114</f>
        <v>0</v>
      </c>
      <c r="L114" s="324">
        <f>'d3'!L114-d3П!L114</f>
        <v>0</v>
      </c>
      <c r="M114" s="324">
        <f>'d3'!M114-d3П!M114</f>
        <v>0</v>
      </c>
      <c r="N114" s="324">
        <f>'d3'!N114-d3П!N114</f>
        <v>0</v>
      </c>
      <c r="O114" s="324">
        <f>'d3'!O114-d3П!O114</f>
        <v>0</v>
      </c>
      <c r="P114" s="324">
        <f>'d3'!P114-d3П!P114</f>
        <v>-1026000</v>
      </c>
      <c r="Q114" s="20"/>
      <c r="R114" s="39"/>
    </row>
    <row r="115" spans="1:18" ht="47.25" hidden="1" thickTop="1" thickBot="1" x14ac:dyDescent="0.25">
      <c r="A115" s="126" t="s">
        <v>223</v>
      </c>
      <c r="B115" s="126" t="s">
        <v>224</v>
      </c>
      <c r="C115" s="126" t="s">
        <v>225</v>
      </c>
      <c r="D115" s="126" t="s">
        <v>226</v>
      </c>
      <c r="E115" s="324">
        <f>'d3'!E115-d3П!E115</f>
        <v>0</v>
      </c>
      <c r="F115" s="324">
        <f>'d3'!F115-d3П!F115</f>
        <v>0</v>
      </c>
      <c r="G115" s="324">
        <f>'d3'!G115-d3П!G115</f>
        <v>0</v>
      </c>
      <c r="H115" s="324">
        <f>'d3'!H115-d3П!H115</f>
        <v>0</v>
      </c>
      <c r="I115" s="324">
        <f>'d3'!I115-d3П!I115</f>
        <v>0</v>
      </c>
      <c r="J115" s="324">
        <f>'d3'!J115-d3П!J115</f>
        <v>0</v>
      </c>
      <c r="K115" s="324">
        <f>'d3'!K115-d3П!K115</f>
        <v>0</v>
      </c>
      <c r="L115" s="324">
        <f>'d3'!L115-d3П!L115</f>
        <v>0</v>
      </c>
      <c r="M115" s="324">
        <f>'d3'!M115-d3П!M115</f>
        <v>0</v>
      </c>
      <c r="N115" s="324">
        <f>'d3'!N115-d3П!N115</f>
        <v>0</v>
      </c>
      <c r="O115" s="324">
        <f>'d3'!O115-d3П!O115</f>
        <v>0</v>
      </c>
      <c r="P115" s="324">
        <f>'d3'!P115-d3П!P115</f>
        <v>0</v>
      </c>
      <c r="Q115" s="20"/>
      <c r="R115" s="39"/>
    </row>
    <row r="116" spans="1:18" ht="47.25" thickTop="1" thickBot="1" x14ac:dyDescent="0.25">
      <c r="A116" s="325" t="s">
        <v>713</v>
      </c>
      <c r="B116" s="325" t="s">
        <v>714</v>
      </c>
      <c r="C116" s="325"/>
      <c r="D116" s="325" t="s">
        <v>715</v>
      </c>
      <c r="E116" s="324">
        <f>'d3'!E116-d3П!E116</f>
        <v>0</v>
      </c>
      <c r="F116" s="324">
        <f>'d3'!F116-d3П!F116</f>
        <v>0</v>
      </c>
      <c r="G116" s="324">
        <f>'d3'!G116-d3П!G116</f>
        <v>0</v>
      </c>
      <c r="H116" s="324">
        <f>'d3'!H116-d3П!H116</f>
        <v>0</v>
      </c>
      <c r="I116" s="324">
        <f>'d3'!I116-d3П!I116</f>
        <v>0</v>
      </c>
      <c r="J116" s="324">
        <f>'d3'!J116-d3П!J116</f>
        <v>0</v>
      </c>
      <c r="K116" s="324">
        <f>'d3'!K116-d3П!K116</f>
        <v>0</v>
      </c>
      <c r="L116" s="324">
        <f>'d3'!L116-d3П!L116</f>
        <v>0</v>
      </c>
      <c r="M116" s="324">
        <f>'d3'!M116-d3П!M116</f>
        <v>0</v>
      </c>
      <c r="N116" s="324">
        <f>'d3'!N116-d3П!N116</f>
        <v>0</v>
      </c>
      <c r="O116" s="324">
        <f>'d3'!O116-d3П!O116</f>
        <v>0</v>
      </c>
      <c r="P116" s="324">
        <f>'d3'!P116-d3П!P116</f>
        <v>0</v>
      </c>
      <c r="Q116" s="20"/>
      <c r="R116" s="39"/>
    </row>
    <row r="117" spans="1:18" ht="93" thickTop="1" thickBot="1" x14ac:dyDescent="0.25">
      <c r="A117" s="101" t="s">
        <v>227</v>
      </c>
      <c r="B117" s="101" t="s">
        <v>228</v>
      </c>
      <c r="C117" s="101" t="s">
        <v>346</v>
      </c>
      <c r="D117" s="101" t="s">
        <v>229</v>
      </c>
      <c r="E117" s="324">
        <f>'d3'!E117-d3П!E117</f>
        <v>0</v>
      </c>
      <c r="F117" s="324">
        <f>'d3'!F117-d3П!F117</f>
        <v>0</v>
      </c>
      <c r="G117" s="324">
        <f>'d3'!G117-d3П!G117</f>
        <v>0</v>
      </c>
      <c r="H117" s="324">
        <f>'d3'!H117-d3П!H117</f>
        <v>0</v>
      </c>
      <c r="I117" s="324">
        <f>'d3'!I117-d3П!I117</f>
        <v>0</v>
      </c>
      <c r="J117" s="324">
        <f>'d3'!J117-d3П!J117</f>
        <v>0</v>
      </c>
      <c r="K117" s="324">
        <f>'d3'!K117-d3П!K117</f>
        <v>0</v>
      </c>
      <c r="L117" s="324">
        <f>'d3'!L117-d3П!L117</f>
        <v>0</v>
      </c>
      <c r="M117" s="324">
        <f>'d3'!M117-d3П!M117</f>
        <v>0</v>
      </c>
      <c r="N117" s="324">
        <f>'d3'!N117-d3П!N117</f>
        <v>0</v>
      </c>
      <c r="O117" s="324">
        <f>'d3'!O117-d3П!O117</f>
        <v>0</v>
      </c>
      <c r="P117" s="324">
        <f>'d3'!P117-d3П!P117</f>
        <v>0</v>
      </c>
      <c r="Q117" s="20"/>
      <c r="R117" s="39"/>
    </row>
    <row r="118" spans="1:18" ht="47.25" hidden="1" thickTop="1" thickBot="1" x14ac:dyDescent="0.25">
      <c r="A118" s="138" t="s">
        <v>716</v>
      </c>
      <c r="B118" s="138" t="s">
        <v>717</v>
      </c>
      <c r="C118" s="138"/>
      <c r="D118" s="138" t="s">
        <v>718</v>
      </c>
      <c r="E118" s="324">
        <f>'d3'!E118-d3П!E118</f>
        <v>0</v>
      </c>
      <c r="F118" s="324">
        <f>'d3'!F118-d3П!F118</f>
        <v>0</v>
      </c>
      <c r="G118" s="324">
        <f>'d3'!G118-d3П!G118</f>
        <v>0</v>
      </c>
      <c r="H118" s="324">
        <f>'d3'!H118-d3П!H118</f>
        <v>0</v>
      </c>
      <c r="I118" s="324">
        <f>'d3'!I118-d3П!I118</f>
        <v>0</v>
      </c>
      <c r="J118" s="324">
        <f>'d3'!J118-d3П!J118</f>
        <v>0</v>
      </c>
      <c r="K118" s="324">
        <f>'d3'!K118-d3П!K118</f>
        <v>0</v>
      </c>
      <c r="L118" s="324">
        <f>'d3'!L118-d3П!L118</f>
        <v>0</v>
      </c>
      <c r="M118" s="324">
        <f>'d3'!M118-d3П!M118</f>
        <v>0</v>
      </c>
      <c r="N118" s="324">
        <f>'d3'!N118-d3П!N118</f>
        <v>0</v>
      </c>
      <c r="O118" s="324">
        <f>'d3'!O118-d3П!O118</f>
        <v>0</v>
      </c>
      <c r="P118" s="324">
        <f>'d3'!P118-d3П!P118</f>
        <v>0</v>
      </c>
      <c r="Q118" s="20"/>
      <c r="R118" s="39"/>
    </row>
    <row r="119" spans="1:18" ht="47.25" hidden="1" thickTop="1" thickBot="1" x14ac:dyDescent="0.25">
      <c r="A119" s="126" t="s">
        <v>474</v>
      </c>
      <c r="B119" s="126" t="s">
        <v>475</v>
      </c>
      <c r="C119" s="126" t="s">
        <v>230</v>
      </c>
      <c r="D119" s="126" t="s">
        <v>476</v>
      </c>
      <c r="E119" s="324">
        <f>'d3'!E119-d3П!E119</f>
        <v>0</v>
      </c>
      <c r="F119" s="324">
        <f>'d3'!F119-d3П!F119</f>
        <v>0</v>
      </c>
      <c r="G119" s="324">
        <f>'d3'!G119-d3П!G119</f>
        <v>0</v>
      </c>
      <c r="H119" s="324">
        <f>'d3'!H119-d3П!H119</f>
        <v>0</v>
      </c>
      <c r="I119" s="324">
        <f>'d3'!I119-d3П!I119</f>
        <v>0</v>
      </c>
      <c r="J119" s="324">
        <f>'d3'!J119-d3П!J119</f>
        <v>0</v>
      </c>
      <c r="K119" s="324">
        <f>'d3'!K119-d3П!K119</f>
        <v>0</v>
      </c>
      <c r="L119" s="324">
        <f>'d3'!L119-d3П!L119</f>
        <v>0</v>
      </c>
      <c r="M119" s="324">
        <f>'d3'!M119-d3П!M119</f>
        <v>0</v>
      </c>
      <c r="N119" s="324">
        <f>'d3'!N119-d3П!N119</f>
        <v>0</v>
      </c>
      <c r="O119" s="324">
        <f>'d3'!O119-d3П!O119</f>
        <v>0</v>
      </c>
      <c r="P119" s="324">
        <f>'d3'!P119-d3П!P119</f>
        <v>0</v>
      </c>
      <c r="Q119" s="20"/>
      <c r="R119" s="39"/>
    </row>
    <row r="120" spans="1:18" ht="47.25" thickTop="1" thickBot="1" x14ac:dyDescent="0.25">
      <c r="A120" s="325" t="s">
        <v>719</v>
      </c>
      <c r="B120" s="325" t="s">
        <v>720</v>
      </c>
      <c r="C120" s="325"/>
      <c r="D120" s="325" t="s">
        <v>721</v>
      </c>
      <c r="E120" s="324">
        <f>'d3'!E120-d3П!E120</f>
        <v>-920000</v>
      </c>
      <c r="F120" s="324">
        <f>'d3'!F120-d3П!F120</f>
        <v>-920000</v>
      </c>
      <c r="G120" s="324">
        <f>'d3'!G120-d3П!G120</f>
        <v>-500000</v>
      </c>
      <c r="H120" s="324">
        <f>'d3'!H120-d3П!H120</f>
        <v>0</v>
      </c>
      <c r="I120" s="324">
        <f>'d3'!I120-d3П!I120</f>
        <v>0</v>
      </c>
      <c r="J120" s="324">
        <f>'d3'!J120-d3П!J120</f>
        <v>0</v>
      </c>
      <c r="K120" s="324">
        <f>'d3'!K120-d3П!K120</f>
        <v>0</v>
      </c>
      <c r="L120" s="324">
        <f>'d3'!L120-d3П!L120</f>
        <v>0</v>
      </c>
      <c r="M120" s="324">
        <f>'d3'!M120-d3П!M120</f>
        <v>0</v>
      </c>
      <c r="N120" s="324">
        <f>'d3'!N120-d3П!N120</f>
        <v>0</v>
      </c>
      <c r="O120" s="324">
        <f>'d3'!O120-d3П!O120</f>
        <v>0</v>
      </c>
      <c r="P120" s="324">
        <f>'d3'!P120-d3П!P120</f>
        <v>-920000</v>
      </c>
      <c r="Q120" s="20"/>
      <c r="R120" s="39"/>
    </row>
    <row r="121" spans="1:18" s="33" customFormat="1" ht="47.25" thickTop="1" thickBot="1" x14ac:dyDescent="0.25">
      <c r="A121" s="101" t="s">
        <v>321</v>
      </c>
      <c r="B121" s="101" t="s">
        <v>323</v>
      </c>
      <c r="C121" s="101" t="s">
        <v>230</v>
      </c>
      <c r="D121" s="461" t="s">
        <v>319</v>
      </c>
      <c r="E121" s="324">
        <f>'d3'!E121-d3П!E121</f>
        <v>-600000</v>
      </c>
      <c r="F121" s="324">
        <f>'d3'!F121-d3П!F121</f>
        <v>-600000</v>
      </c>
      <c r="G121" s="324">
        <f>'d3'!G121-d3П!G121</f>
        <v>-500000</v>
      </c>
      <c r="H121" s="324">
        <f>'d3'!H121-d3П!H121</f>
        <v>0</v>
      </c>
      <c r="I121" s="324">
        <f>'d3'!I121-d3П!I121</f>
        <v>0</v>
      </c>
      <c r="J121" s="324">
        <f>'d3'!J121-d3П!J121</f>
        <v>0</v>
      </c>
      <c r="K121" s="324">
        <f>'d3'!K121-d3П!K121</f>
        <v>0</v>
      </c>
      <c r="L121" s="324">
        <f>'d3'!L121-d3П!L121</f>
        <v>0</v>
      </c>
      <c r="M121" s="324">
        <f>'d3'!M121-d3П!M121</f>
        <v>0</v>
      </c>
      <c r="N121" s="324">
        <f>'d3'!N121-d3П!N121</f>
        <v>0</v>
      </c>
      <c r="O121" s="324">
        <f>'d3'!O121-d3П!O121</f>
        <v>0</v>
      </c>
      <c r="P121" s="324">
        <f>'d3'!P121-d3П!P121</f>
        <v>-600000</v>
      </c>
      <c r="Q121" s="36"/>
      <c r="R121" s="26"/>
    </row>
    <row r="122" spans="1:18" s="33" customFormat="1" ht="47.25" thickTop="1" thickBot="1" x14ac:dyDescent="0.25">
      <c r="A122" s="101" t="s">
        <v>322</v>
      </c>
      <c r="B122" s="101" t="s">
        <v>324</v>
      </c>
      <c r="C122" s="101" t="s">
        <v>230</v>
      </c>
      <c r="D122" s="461" t="s">
        <v>320</v>
      </c>
      <c r="E122" s="324">
        <f>'d3'!E122-d3П!E122</f>
        <v>-320000</v>
      </c>
      <c r="F122" s="324">
        <f>'d3'!F122-d3П!F122</f>
        <v>-320000</v>
      </c>
      <c r="G122" s="324">
        <f>'d3'!G122-d3П!G122</f>
        <v>0</v>
      </c>
      <c r="H122" s="324">
        <f>'d3'!H122-d3П!H122</f>
        <v>0</v>
      </c>
      <c r="I122" s="324">
        <f>'d3'!I122-d3П!I122</f>
        <v>0</v>
      </c>
      <c r="J122" s="324">
        <f>'d3'!J122-d3П!J122</f>
        <v>0</v>
      </c>
      <c r="K122" s="324">
        <f>'d3'!K122-d3П!K122</f>
        <v>0</v>
      </c>
      <c r="L122" s="324">
        <f>'d3'!L122-d3П!L122</f>
        <v>0</v>
      </c>
      <c r="M122" s="324">
        <f>'d3'!M122-d3П!M122</f>
        <v>0</v>
      </c>
      <c r="N122" s="324">
        <f>'d3'!N122-d3П!N122</f>
        <v>0</v>
      </c>
      <c r="O122" s="324">
        <f>'d3'!O122-d3П!O122</f>
        <v>0</v>
      </c>
      <c r="P122" s="324">
        <f>'d3'!P122-d3П!P122</f>
        <v>-320000</v>
      </c>
      <c r="Q122" s="36"/>
      <c r="R122" s="39"/>
    </row>
    <row r="123" spans="1:18" s="33" customFormat="1" ht="127.5" hidden="1" customHeight="1" thickTop="1" thickBot="1" x14ac:dyDescent="0.25">
      <c r="A123" s="325" t="s">
        <v>1566</v>
      </c>
      <c r="B123" s="325" t="s">
        <v>1567</v>
      </c>
      <c r="C123" s="325"/>
      <c r="D123" s="325" t="s">
        <v>1565</v>
      </c>
      <c r="E123" s="324">
        <f>'d3'!E123-d3П!E123</f>
        <v>0</v>
      </c>
      <c r="F123" s="324">
        <f>'d3'!F123-d3П!F123</f>
        <v>0</v>
      </c>
      <c r="G123" s="324">
        <f>'d3'!G123-d3П!G123</f>
        <v>0</v>
      </c>
      <c r="H123" s="324">
        <f>'d3'!H123-d3П!H123</f>
        <v>0</v>
      </c>
      <c r="I123" s="324">
        <f>'d3'!I123-d3П!I123</f>
        <v>0</v>
      </c>
      <c r="J123" s="324">
        <f>'d3'!J123-d3П!J123</f>
        <v>0</v>
      </c>
      <c r="K123" s="324">
        <f>'d3'!K123-d3П!K123</f>
        <v>0</v>
      </c>
      <c r="L123" s="324">
        <f>'d3'!L123-d3П!L123</f>
        <v>0</v>
      </c>
      <c r="M123" s="324">
        <f>'d3'!M123-d3П!M123</f>
        <v>0</v>
      </c>
      <c r="N123" s="324">
        <f>'d3'!N123-d3П!N123</f>
        <v>0</v>
      </c>
      <c r="O123" s="324">
        <f>'d3'!O123-d3П!O123</f>
        <v>0</v>
      </c>
      <c r="P123" s="324">
        <f>'d3'!P123-d3П!P123</f>
        <v>0</v>
      </c>
      <c r="Q123" s="36"/>
      <c r="R123" s="39"/>
    </row>
    <row r="124" spans="1:18" s="684" customFormat="1" ht="138.75" hidden="1" thickTop="1" thickBot="1" x14ac:dyDescent="0.25">
      <c r="A124" s="101" t="s">
        <v>1569</v>
      </c>
      <c r="B124" s="101" t="s">
        <v>1570</v>
      </c>
      <c r="C124" s="101" t="s">
        <v>230</v>
      </c>
      <c r="D124" s="461" t="s">
        <v>1568</v>
      </c>
      <c r="E124" s="324">
        <f>'d3'!E124-d3П!E124</f>
        <v>0</v>
      </c>
      <c r="F124" s="324">
        <f>'d3'!F124-d3П!F124</f>
        <v>0</v>
      </c>
      <c r="G124" s="324">
        <f>'d3'!G124-d3П!G124</f>
        <v>0</v>
      </c>
      <c r="H124" s="324">
        <f>'d3'!H124-d3П!H124</f>
        <v>0</v>
      </c>
      <c r="I124" s="324">
        <f>'d3'!I124-d3П!I124</f>
        <v>0</v>
      </c>
      <c r="J124" s="324">
        <f>'d3'!J124-d3П!J124</f>
        <v>0</v>
      </c>
      <c r="K124" s="324">
        <f>'d3'!K124-d3П!K124</f>
        <v>0</v>
      </c>
      <c r="L124" s="324">
        <f>'d3'!L124-d3П!L124</f>
        <v>0</v>
      </c>
      <c r="M124" s="324">
        <f>'d3'!M124-d3П!M124</f>
        <v>0</v>
      </c>
      <c r="N124" s="324">
        <f>'d3'!N124-d3П!N124</f>
        <v>0</v>
      </c>
      <c r="O124" s="324">
        <f>'d3'!O124-d3П!O124</f>
        <v>0</v>
      </c>
      <c r="P124" s="324">
        <f>'d3'!P124-d3П!P124</f>
        <v>0</v>
      </c>
      <c r="Q124" s="682"/>
      <c r="R124" s="683"/>
    </row>
    <row r="125" spans="1:18" s="33" customFormat="1" ht="47.25" thickTop="1" thickBot="1" x14ac:dyDescent="0.25">
      <c r="A125" s="308" t="s">
        <v>1180</v>
      </c>
      <c r="B125" s="308" t="s">
        <v>707</v>
      </c>
      <c r="C125" s="308"/>
      <c r="D125" s="308" t="s">
        <v>708</v>
      </c>
      <c r="E125" s="324">
        <f>'d3'!E125-d3П!E125</f>
        <v>0</v>
      </c>
      <c r="F125" s="324">
        <f>'d3'!F125-d3П!F125</f>
        <v>0</v>
      </c>
      <c r="G125" s="324">
        <f>'d3'!G125-d3П!G125</f>
        <v>0</v>
      </c>
      <c r="H125" s="324">
        <f>'d3'!H125-d3П!H125</f>
        <v>0</v>
      </c>
      <c r="I125" s="324">
        <f>'d3'!I125-d3П!I125</f>
        <v>0</v>
      </c>
      <c r="J125" s="324">
        <f>'d3'!J125-d3П!J125</f>
        <v>0</v>
      </c>
      <c r="K125" s="324">
        <f>'d3'!K125-d3П!K125</f>
        <v>0</v>
      </c>
      <c r="L125" s="324">
        <f>'d3'!L125-d3П!L125</f>
        <v>0</v>
      </c>
      <c r="M125" s="324">
        <f>'d3'!M125-d3П!M125</f>
        <v>0</v>
      </c>
      <c r="N125" s="324">
        <f>'d3'!N125-d3П!N125</f>
        <v>0</v>
      </c>
      <c r="O125" s="324">
        <f>'d3'!O125-d3П!O125</f>
        <v>0</v>
      </c>
      <c r="P125" s="324">
        <f>'d3'!P125-d3П!P125</f>
        <v>0</v>
      </c>
      <c r="Q125" s="36"/>
      <c r="R125" s="39"/>
    </row>
    <row r="126" spans="1:18" s="33" customFormat="1" ht="93" thickTop="1" thickBot="1" x14ac:dyDescent="0.25">
      <c r="A126" s="101" t="s">
        <v>1181</v>
      </c>
      <c r="B126" s="101" t="s">
        <v>1182</v>
      </c>
      <c r="C126" s="101" t="s">
        <v>206</v>
      </c>
      <c r="D126" s="461" t="s">
        <v>1183</v>
      </c>
      <c r="E126" s="324">
        <f>'d3'!E126-d3П!E126</f>
        <v>0</v>
      </c>
      <c r="F126" s="324">
        <f>'d3'!F126-d3П!F126</f>
        <v>0</v>
      </c>
      <c r="G126" s="324">
        <f>'d3'!G126-d3П!G126</f>
        <v>0</v>
      </c>
      <c r="H126" s="324">
        <f>'d3'!H126-d3П!H126</f>
        <v>0</v>
      </c>
      <c r="I126" s="324">
        <f>'d3'!I126-d3П!I126</f>
        <v>0</v>
      </c>
      <c r="J126" s="324">
        <f>'d3'!J126-d3П!J126</f>
        <v>0</v>
      </c>
      <c r="K126" s="324">
        <f>'d3'!K126-d3П!K126</f>
        <v>0</v>
      </c>
      <c r="L126" s="324">
        <f>'d3'!L126-d3П!L126</f>
        <v>0</v>
      </c>
      <c r="M126" s="324">
        <f>'d3'!M126-d3П!M126</f>
        <v>0</v>
      </c>
      <c r="N126" s="324">
        <f>'d3'!N126-d3П!N126</f>
        <v>0</v>
      </c>
      <c r="O126" s="324">
        <f>'d3'!O126-d3П!O126</f>
        <v>0</v>
      </c>
      <c r="P126" s="324">
        <f>'d3'!P126-d3П!P126</f>
        <v>0</v>
      </c>
      <c r="Q126" s="36"/>
      <c r="R126" s="39"/>
    </row>
    <row r="127" spans="1:18" s="33" customFormat="1" ht="47.25" thickTop="1" thickBot="1" x14ac:dyDescent="0.25">
      <c r="A127" s="308" t="s">
        <v>746</v>
      </c>
      <c r="B127" s="308" t="s">
        <v>744</v>
      </c>
      <c r="C127" s="308"/>
      <c r="D127" s="308" t="s">
        <v>745</v>
      </c>
      <c r="E127" s="324">
        <f>'d3'!E127-d3П!E127</f>
        <v>0</v>
      </c>
      <c r="F127" s="324">
        <f>'d3'!F127-d3П!F127</f>
        <v>0</v>
      </c>
      <c r="G127" s="324">
        <f>'d3'!G127-d3П!G127</f>
        <v>0</v>
      </c>
      <c r="H127" s="324">
        <f>'d3'!H127-d3П!H127</f>
        <v>0</v>
      </c>
      <c r="I127" s="324">
        <f>'d3'!I127-d3П!I127</f>
        <v>0</v>
      </c>
      <c r="J127" s="324">
        <f>'d3'!J127-d3П!J127</f>
        <v>0</v>
      </c>
      <c r="K127" s="324">
        <f>'d3'!K127-d3П!K127</f>
        <v>0</v>
      </c>
      <c r="L127" s="324">
        <f>'d3'!L127-d3П!L127</f>
        <v>0</v>
      </c>
      <c r="M127" s="324">
        <f>'d3'!M127-d3П!M127</f>
        <v>0</v>
      </c>
      <c r="N127" s="324">
        <f>'d3'!N127-d3П!N127</f>
        <v>0</v>
      </c>
      <c r="O127" s="324">
        <f>'d3'!O127-d3П!O127</f>
        <v>0</v>
      </c>
      <c r="P127" s="324">
        <f>'d3'!P127-d3П!P127</f>
        <v>0</v>
      </c>
      <c r="Q127" s="36"/>
      <c r="R127" s="39"/>
    </row>
    <row r="128" spans="1:18" s="33" customFormat="1" ht="47.25" thickTop="1" thickBot="1" x14ac:dyDescent="0.25">
      <c r="A128" s="310" t="s">
        <v>1036</v>
      </c>
      <c r="B128" s="310" t="s">
        <v>799</v>
      </c>
      <c r="C128" s="310"/>
      <c r="D128" s="310" t="s">
        <v>800</v>
      </c>
      <c r="E128" s="324">
        <f>'d3'!E128-d3П!E128</f>
        <v>0</v>
      </c>
      <c r="F128" s="324">
        <f>'d3'!F128-d3П!F128</f>
        <v>0</v>
      </c>
      <c r="G128" s="324">
        <f>'d3'!G128-d3П!G128</f>
        <v>0</v>
      </c>
      <c r="H128" s="324">
        <f>'d3'!H128-d3П!H128</f>
        <v>0</v>
      </c>
      <c r="I128" s="324">
        <f>'d3'!I128-d3П!I128</f>
        <v>0</v>
      </c>
      <c r="J128" s="324">
        <f>'d3'!J128-d3П!J128</f>
        <v>0</v>
      </c>
      <c r="K128" s="324">
        <f>'d3'!K128-d3П!K128</f>
        <v>0</v>
      </c>
      <c r="L128" s="324">
        <f>'d3'!L128-d3П!L128</f>
        <v>0</v>
      </c>
      <c r="M128" s="324">
        <f>'d3'!M128-d3П!M128</f>
        <v>0</v>
      </c>
      <c r="N128" s="324">
        <f>'d3'!N128-d3П!N128</f>
        <v>0</v>
      </c>
      <c r="O128" s="324">
        <f>'d3'!O128-d3П!O128</f>
        <v>0</v>
      </c>
      <c r="P128" s="324">
        <f>'d3'!P128-d3П!P128</f>
        <v>0</v>
      </c>
      <c r="Q128" s="36"/>
      <c r="R128" s="39"/>
    </row>
    <row r="129" spans="1:20" s="33" customFormat="1" ht="54.75" thickTop="1" thickBot="1" x14ac:dyDescent="0.25">
      <c r="A129" s="325" t="s">
        <v>1162</v>
      </c>
      <c r="B129" s="325" t="s">
        <v>817</v>
      </c>
      <c r="C129" s="325"/>
      <c r="D129" s="325" t="s">
        <v>1483</v>
      </c>
      <c r="E129" s="324">
        <f>'d3'!E129-d3П!E129</f>
        <v>0</v>
      </c>
      <c r="F129" s="324">
        <f>'d3'!F129-d3П!F129</f>
        <v>0</v>
      </c>
      <c r="G129" s="324">
        <f>'d3'!G129-d3П!G129</f>
        <v>0</v>
      </c>
      <c r="H129" s="324">
        <f>'d3'!H129-d3П!H129</f>
        <v>0</v>
      </c>
      <c r="I129" s="324">
        <f>'d3'!I129-d3П!I129</f>
        <v>0</v>
      </c>
      <c r="J129" s="324">
        <f>'d3'!J129-d3П!J129</f>
        <v>0</v>
      </c>
      <c r="K129" s="324">
        <f>'d3'!K129-d3П!K129</f>
        <v>0</v>
      </c>
      <c r="L129" s="324">
        <f>'d3'!L129-d3П!L129</f>
        <v>0</v>
      </c>
      <c r="M129" s="324">
        <f>'d3'!M129-d3П!M129</f>
        <v>0</v>
      </c>
      <c r="N129" s="324">
        <f>'d3'!N129-d3П!N129</f>
        <v>0</v>
      </c>
      <c r="O129" s="324">
        <f>'d3'!O129-d3П!O129</f>
        <v>0</v>
      </c>
      <c r="P129" s="324">
        <f>'d3'!P129-d3П!P129</f>
        <v>0</v>
      </c>
      <c r="Q129" s="36"/>
      <c r="R129" s="39"/>
    </row>
    <row r="130" spans="1:20" s="33" customFormat="1" ht="54" thickTop="1" thickBot="1" x14ac:dyDescent="0.25">
      <c r="A130" s="101" t="s">
        <v>1161</v>
      </c>
      <c r="B130" s="101" t="s">
        <v>1163</v>
      </c>
      <c r="C130" s="101" t="s">
        <v>304</v>
      </c>
      <c r="D130" s="101" t="s">
        <v>1505</v>
      </c>
      <c r="E130" s="324">
        <f>'d3'!E130-d3П!E130</f>
        <v>0</v>
      </c>
      <c r="F130" s="324">
        <f>'d3'!F130-d3П!F130</f>
        <v>0</v>
      </c>
      <c r="G130" s="324">
        <f>'d3'!G130-d3П!G130</f>
        <v>0</v>
      </c>
      <c r="H130" s="324">
        <f>'d3'!H130-d3П!H130</f>
        <v>0</v>
      </c>
      <c r="I130" s="324">
        <f>'d3'!I130-d3П!I130</f>
        <v>0</v>
      </c>
      <c r="J130" s="324">
        <f>'d3'!J130-d3П!J130</f>
        <v>0</v>
      </c>
      <c r="K130" s="324">
        <f>'d3'!K130-d3П!K130</f>
        <v>0</v>
      </c>
      <c r="L130" s="324">
        <f>'d3'!L130-d3П!L130</f>
        <v>0</v>
      </c>
      <c r="M130" s="324">
        <f>'d3'!M130-d3П!M130</f>
        <v>0</v>
      </c>
      <c r="N130" s="324">
        <f>'d3'!N130-d3П!N130</f>
        <v>0</v>
      </c>
      <c r="O130" s="324">
        <f>'d3'!O130-d3П!O130</f>
        <v>0</v>
      </c>
      <c r="P130" s="324">
        <f>'d3'!P130-d3П!P130</f>
        <v>0</v>
      </c>
      <c r="Q130" s="36"/>
      <c r="R130" s="39"/>
    </row>
    <row r="131" spans="1:20" s="33" customFormat="1" ht="48" hidden="1" thickTop="1" thickBot="1" x14ac:dyDescent="0.25">
      <c r="A131" s="142" t="s">
        <v>1037</v>
      </c>
      <c r="B131" s="142" t="s">
        <v>1035</v>
      </c>
      <c r="C131" s="142"/>
      <c r="D131" s="142" t="s">
        <v>1034</v>
      </c>
      <c r="E131" s="143">
        <f>E132</f>
        <v>0</v>
      </c>
      <c r="F131" s="143">
        <f t="shared" ref="F131:P131" si="13">F132</f>
        <v>0</v>
      </c>
      <c r="G131" s="143">
        <f t="shared" si="13"/>
        <v>0</v>
      </c>
      <c r="H131" s="143">
        <f t="shared" si="13"/>
        <v>0</v>
      </c>
      <c r="I131" s="143">
        <f t="shared" si="13"/>
        <v>0</v>
      </c>
      <c r="J131" s="143">
        <f t="shared" si="13"/>
        <v>0</v>
      </c>
      <c r="K131" s="143">
        <f t="shared" si="13"/>
        <v>0</v>
      </c>
      <c r="L131" s="143">
        <f t="shared" si="13"/>
        <v>0</v>
      </c>
      <c r="M131" s="143">
        <f t="shared" si="13"/>
        <v>0</v>
      </c>
      <c r="N131" s="143">
        <f t="shared" si="13"/>
        <v>0</v>
      </c>
      <c r="O131" s="143">
        <f t="shared" si="13"/>
        <v>0</v>
      </c>
      <c r="P131" s="143">
        <f t="shared" si="13"/>
        <v>0</v>
      </c>
      <c r="Q131" s="36"/>
      <c r="R131" s="39"/>
    </row>
    <row r="132" spans="1:20" s="33" customFormat="1" ht="93" hidden="1" thickTop="1" thickBot="1" x14ac:dyDescent="0.25">
      <c r="A132" s="41" t="s">
        <v>1038</v>
      </c>
      <c r="B132" s="41" t="s">
        <v>1039</v>
      </c>
      <c r="C132" s="41" t="s">
        <v>170</v>
      </c>
      <c r="D132" s="41" t="s">
        <v>1040</v>
      </c>
      <c r="E132" s="42">
        <f t="shared" ref="E132:E136" si="14">F132</f>
        <v>0</v>
      </c>
      <c r="F132" s="43"/>
      <c r="G132" s="43"/>
      <c r="H132" s="43"/>
      <c r="I132" s="43"/>
      <c r="J132" s="42">
        <f t="shared" ref="J132:J136" si="15">L132+O132</f>
        <v>0</v>
      </c>
      <c r="K132" s="43"/>
      <c r="L132" s="43"/>
      <c r="M132" s="43"/>
      <c r="N132" s="43"/>
      <c r="O132" s="44">
        <f>K132</f>
        <v>0</v>
      </c>
      <c r="P132" s="42">
        <f t="shared" ref="P132:P136" si="16">E132+J132</f>
        <v>0</v>
      </c>
      <c r="Q132" s="36"/>
      <c r="R132" s="26"/>
    </row>
    <row r="133" spans="1:20" s="28" customFormat="1" ht="47.25" hidden="1" thickTop="1" thickBot="1" x14ac:dyDescent="0.25">
      <c r="A133" s="310" t="s">
        <v>722</v>
      </c>
      <c r="B133" s="310" t="s">
        <v>687</v>
      </c>
      <c r="C133" s="310"/>
      <c r="D133" s="310" t="s">
        <v>685</v>
      </c>
      <c r="E133" s="312">
        <f>E134</f>
        <v>0</v>
      </c>
      <c r="F133" s="312">
        <f t="shared" ref="F133:P133" si="17">F134</f>
        <v>0</v>
      </c>
      <c r="G133" s="312">
        <f t="shared" si="17"/>
        <v>0</v>
      </c>
      <c r="H133" s="312">
        <f t="shared" si="17"/>
        <v>0</v>
      </c>
      <c r="I133" s="312">
        <f t="shared" si="17"/>
        <v>0</v>
      </c>
      <c r="J133" s="312">
        <f t="shared" si="17"/>
        <v>0</v>
      </c>
      <c r="K133" s="312">
        <f t="shared" si="17"/>
        <v>0</v>
      </c>
      <c r="L133" s="312">
        <f t="shared" si="17"/>
        <v>0</v>
      </c>
      <c r="M133" s="312">
        <f t="shared" si="17"/>
        <v>0</v>
      </c>
      <c r="N133" s="312">
        <f t="shared" si="17"/>
        <v>0</v>
      </c>
      <c r="O133" s="312">
        <f t="shared" si="17"/>
        <v>0</v>
      </c>
      <c r="P133" s="312">
        <f t="shared" si="17"/>
        <v>0</v>
      </c>
      <c r="Q133" s="147"/>
      <c r="R133" s="40"/>
    </row>
    <row r="134" spans="1:20" s="28" customFormat="1" ht="48" hidden="1" thickTop="1" thickBot="1" x14ac:dyDescent="0.25">
      <c r="A134" s="101" t="s">
        <v>1237</v>
      </c>
      <c r="B134" s="101" t="s">
        <v>212</v>
      </c>
      <c r="C134" s="101" t="s">
        <v>213</v>
      </c>
      <c r="D134" s="101" t="s">
        <v>41</v>
      </c>
      <c r="E134" s="324">
        <f t="shared" si="14"/>
        <v>0</v>
      </c>
      <c r="F134" s="453"/>
      <c r="G134" s="453"/>
      <c r="H134" s="453"/>
      <c r="I134" s="453"/>
      <c r="J134" s="324">
        <f t="shared" ref="J134" si="18">L134+O134</f>
        <v>0</v>
      </c>
      <c r="K134" s="453">
        <f>((0)+2000000)-2000000</f>
        <v>0</v>
      </c>
      <c r="L134" s="453"/>
      <c r="M134" s="453"/>
      <c r="N134" s="453"/>
      <c r="O134" s="450">
        <f t="shared" ref="O134" si="19">K134</f>
        <v>0</v>
      </c>
      <c r="P134" s="324">
        <f t="shared" si="16"/>
        <v>0</v>
      </c>
      <c r="Q134" s="147"/>
      <c r="R134" s="40"/>
    </row>
    <row r="135" spans="1:20" s="33" customFormat="1" ht="48" hidden="1" thickTop="1" thickBot="1" x14ac:dyDescent="0.25">
      <c r="A135" s="41" t="s">
        <v>434</v>
      </c>
      <c r="B135" s="41" t="s">
        <v>197</v>
      </c>
      <c r="C135" s="41" t="s">
        <v>170</v>
      </c>
      <c r="D135" s="41" t="s">
        <v>34</v>
      </c>
      <c r="E135" s="42">
        <f t="shared" si="14"/>
        <v>0</v>
      </c>
      <c r="F135" s="43"/>
      <c r="G135" s="43"/>
      <c r="H135" s="43"/>
      <c r="I135" s="43"/>
      <c r="J135" s="42">
        <f t="shared" si="15"/>
        <v>0</v>
      </c>
      <c r="K135" s="43"/>
      <c r="L135" s="43"/>
      <c r="M135" s="43"/>
      <c r="N135" s="43"/>
      <c r="O135" s="44">
        <f t="shared" ref="O135:O136" si="20">K135</f>
        <v>0</v>
      </c>
      <c r="P135" s="42">
        <f t="shared" si="16"/>
        <v>0</v>
      </c>
      <c r="Q135" s="36"/>
      <c r="R135" s="26"/>
    </row>
    <row r="136" spans="1:20" s="33" customFormat="1" ht="48" hidden="1" thickTop="1" thickBot="1" x14ac:dyDescent="0.25">
      <c r="A136" s="41" t="s">
        <v>508</v>
      </c>
      <c r="B136" s="41" t="s">
        <v>363</v>
      </c>
      <c r="C136" s="41" t="s">
        <v>43</v>
      </c>
      <c r="D136" s="41" t="s">
        <v>364</v>
      </c>
      <c r="E136" s="42">
        <f t="shared" si="14"/>
        <v>0</v>
      </c>
      <c r="F136" s="43"/>
      <c r="G136" s="43"/>
      <c r="H136" s="43"/>
      <c r="I136" s="43"/>
      <c r="J136" s="42">
        <f t="shared" si="15"/>
        <v>0</v>
      </c>
      <c r="K136" s="43"/>
      <c r="L136" s="43"/>
      <c r="M136" s="43"/>
      <c r="N136" s="43"/>
      <c r="O136" s="44">
        <f t="shared" si="20"/>
        <v>0</v>
      </c>
      <c r="P136" s="42">
        <f t="shared" si="16"/>
        <v>0</v>
      </c>
      <c r="Q136" s="36"/>
      <c r="R136" s="30"/>
    </row>
    <row r="137" spans="1:20" ht="120" customHeight="1" thickTop="1" thickBot="1" x14ac:dyDescent="0.25">
      <c r="A137" s="689" t="s">
        <v>156</v>
      </c>
      <c r="B137" s="689"/>
      <c r="C137" s="689"/>
      <c r="D137" s="690" t="s">
        <v>37</v>
      </c>
      <c r="E137" s="691">
        <f>E138</f>
        <v>10790813.279999971</v>
      </c>
      <c r="F137" s="692">
        <f t="shared" ref="F137:G137" si="21">F138</f>
        <v>10790813.279999971</v>
      </c>
      <c r="G137" s="692">
        <f t="shared" si="21"/>
        <v>429500</v>
      </c>
      <c r="H137" s="692">
        <f>H138</f>
        <v>56171.759999999776</v>
      </c>
      <c r="I137" s="692">
        <f t="shared" ref="I137" si="22">I138</f>
        <v>0</v>
      </c>
      <c r="J137" s="691">
        <f>J138</f>
        <v>90422609.859999985</v>
      </c>
      <c r="K137" s="692">
        <f>K138</f>
        <v>90422609.859999985</v>
      </c>
      <c r="L137" s="692">
        <f>L138</f>
        <v>0</v>
      </c>
      <c r="M137" s="692">
        <f t="shared" ref="M137" si="23">M138</f>
        <v>0</v>
      </c>
      <c r="N137" s="692">
        <f>N138</f>
        <v>0</v>
      </c>
      <c r="O137" s="691">
        <f>O138</f>
        <v>90422609.859999985</v>
      </c>
      <c r="P137" s="692">
        <f>P138</f>
        <v>101213423.13999996</v>
      </c>
      <c r="Q137" s="20"/>
    </row>
    <row r="138" spans="1:20" ht="120" customHeight="1" thickTop="1" thickBot="1" x14ac:dyDescent="0.25">
      <c r="A138" s="693" t="s">
        <v>157</v>
      </c>
      <c r="B138" s="693"/>
      <c r="C138" s="693"/>
      <c r="D138" s="694" t="s">
        <v>38</v>
      </c>
      <c r="E138" s="695">
        <f>E139+E143+E185+E189</f>
        <v>10790813.279999971</v>
      </c>
      <c r="F138" s="695">
        <f>F139+F143+F185+F189</f>
        <v>10790813.279999971</v>
      </c>
      <c r="G138" s="695">
        <f>G139+G143+G185+G189</f>
        <v>429500</v>
      </c>
      <c r="H138" s="695">
        <f>H139+H143+H185+H189</f>
        <v>56171.759999999776</v>
      </c>
      <c r="I138" s="695">
        <f>I139+I143+I185+I189</f>
        <v>0</v>
      </c>
      <c r="J138" s="695">
        <f t="shared" ref="J138" si="24">L138+O138</f>
        <v>90422609.859999985</v>
      </c>
      <c r="K138" s="695">
        <f>K139+K143+K185+K189</f>
        <v>90422609.859999985</v>
      </c>
      <c r="L138" s="695">
        <f>L139+L143+L185+L189</f>
        <v>0</v>
      </c>
      <c r="M138" s="695">
        <f>M139+M143+M185+M189</f>
        <v>0</v>
      </c>
      <c r="N138" s="695">
        <f>N139+N143+N185+N189</f>
        <v>0</v>
      </c>
      <c r="O138" s="695">
        <f>O139+O143+O185+O189</f>
        <v>90422609.859999985</v>
      </c>
      <c r="P138" s="695">
        <f>E138+J138</f>
        <v>101213423.13999996</v>
      </c>
      <c r="Q138" s="487" t="b">
        <f>P138=P140+P142+P145+P146+P147+P148+P149+P150+P151+P152+P154+P155+P157+P159+P161+P162+P164+P165+P181+P183+P184+P187+P194+P192+P167+P171+P175+P158+P188</f>
        <v>1</v>
      </c>
      <c r="R138" s="46"/>
      <c r="S138" s="46"/>
      <c r="T138" s="45"/>
    </row>
    <row r="139" spans="1:20" ht="47.25" thickTop="1" thickBot="1" x14ac:dyDescent="0.25">
      <c r="A139" s="308" t="s">
        <v>723</v>
      </c>
      <c r="B139" s="308" t="s">
        <v>680</v>
      </c>
      <c r="C139" s="308"/>
      <c r="D139" s="308" t="s">
        <v>681</v>
      </c>
      <c r="E139" s="324">
        <f>'d3'!E139-d3П!E139</f>
        <v>-208000</v>
      </c>
      <c r="F139" s="324">
        <f>'d3'!F139-d3П!F139</f>
        <v>-208000</v>
      </c>
      <c r="G139" s="324">
        <f>'d3'!G139-d3П!G139</f>
        <v>-120500</v>
      </c>
      <c r="H139" s="324">
        <f>'d3'!H139-d3П!H139</f>
        <v>-38500</v>
      </c>
      <c r="I139" s="324">
        <f>'d3'!I139-d3П!I139</f>
        <v>0</v>
      </c>
      <c r="J139" s="324">
        <f>'d3'!J139-d3П!J139</f>
        <v>79000</v>
      </c>
      <c r="K139" s="324">
        <f>'d3'!K139-d3П!K139</f>
        <v>79000</v>
      </c>
      <c r="L139" s="324">
        <f>'d3'!L139-d3П!L139</f>
        <v>0</v>
      </c>
      <c r="M139" s="324">
        <f>'d3'!M139-d3П!M139</f>
        <v>0</v>
      </c>
      <c r="N139" s="324">
        <f>'d3'!N139-d3П!N139</f>
        <v>0</v>
      </c>
      <c r="O139" s="324">
        <f>'d3'!O139-d3П!O139</f>
        <v>79000</v>
      </c>
      <c r="P139" s="324">
        <f>'d3'!P139-d3П!P139</f>
        <v>-129000</v>
      </c>
      <c r="Q139" s="47"/>
      <c r="R139" s="46"/>
      <c r="T139" s="45"/>
    </row>
    <row r="140" spans="1:20" ht="93" thickTop="1" thickBot="1" x14ac:dyDescent="0.25">
      <c r="A140" s="101" t="s">
        <v>414</v>
      </c>
      <c r="B140" s="101" t="s">
        <v>236</v>
      </c>
      <c r="C140" s="101" t="s">
        <v>234</v>
      </c>
      <c r="D140" s="101" t="s">
        <v>235</v>
      </c>
      <c r="E140" s="324">
        <f>'d3'!E140-d3П!E140</f>
        <v>-208000</v>
      </c>
      <c r="F140" s="324">
        <f>'d3'!F140-d3П!F140</f>
        <v>-208000</v>
      </c>
      <c r="G140" s="324">
        <f>'d3'!G140-d3П!G140</f>
        <v>-120500</v>
      </c>
      <c r="H140" s="324">
        <f>'d3'!H140-d3П!H140</f>
        <v>-38500</v>
      </c>
      <c r="I140" s="324">
        <f>'d3'!I140-d3П!I140</f>
        <v>0</v>
      </c>
      <c r="J140" s="324">
        <f>'d3'!J140-d3П!J140</f>
        <v>79000</v>
      </c>
      <c r="K140" s="324">
        <f>'d3'!K140-d3П!K140</f>
        <v>79000</v>
      </c>
      <c r="L140" s="324">
        <f>'d3'!L140-d3П!L140</f>
        <v>0</v>
      </c>
      <c r="M140" s="324">
        <f>'d3'!M140-d3П!M140</f>
        <v>0</v>
      </c>
      <c r="N140" s="324">
        <f>'d3'!N140-d3П!N140</f>
        <v>0</v>
      </c>
      <c r="O140" s="324">
        <f>'d3'!O140-d3П!O140</f>
        <v>79000</v>
      </c>
      <c r="P140" s="324">
        <f>'d3'!P140-d3П!P140</f>
        <v>-129000</v>
      </c>
      <c r="Q140" s="47"/>
      <c r="R140" s="46"/>
      <c r="T140" s="45"/>
    </row>
    <row r="141" spans="1:20" ht="93" hidden="1" customHeight="1" thickTop="1" thickBot="1" x14ac:dyDescent="0.25">
      <c r="A141" s="101" t="s">
        <v>626</v>
      </c>
      <c r="B141" s="101" t="s">
        <v>362</v>
      </c>
      <c r="C141" s="101" t="s">
        <v>623</v>
      </c>
      <c r="D141" s="101" t="s">
        <v>624</v>
      </c>
      <c r="E141" s="324">
        <f>'d3'!E141-d3П!E141</f>
        <v>0</v>
      </c>
      <c r="F141" s="324">
        <f>'d3'!F141-d3П!F141</f>
        <v>0</v>
      </c>
      <c r="G141" s="324">
        <f>'d3'!G141-d3П!G141</f>
        <v>0</v>
      </c>
      <c r="H141" s="324">
        <f>'d3'!H141-d3П!H141</f>
        <v>0</v>
      </c>
      <c r="I141" s="324">
        <f>'d3'!I141-d3П!I141</f>
        <v>0</v>
      </c>
      <c r="J141" s="324">
        <f>'d3'!J141-d3П!J141</f>
        <v>0</v>
      </c>
      <c r="K141" s="324">
        <f>'d3'!K141-d3П!K141</f>
        <v>0</v>
      </c>
      <c r="L141" s="324">
        <f>'d3'!L141-d3П!L141</f>
        <v>0</v>
      </c>
      <c r="M141" s="324">
        <f>'d3'!M141-d3П!M141</f>
        <v>0</v>
      </c>
      <c r="N141" s="324">
        <f>'d3'!N141-d3П!N141</f>
        <v>0</v>
      </c>
      <c r="O141" s="324">
        <f>'d3'!O141-d3П!O141</f>
        <v>0</v>
      </c>
      <c r="P141" s="324">
        <f>'d3'!P141-d3П!P141</f>
        <v>0</v>
      </c>
      <c r="Q141" s="47"/>
      <c r="R141" s="46"/>
      <c r="T141" s="45"/>
    </row>
    <row r="142" spans="1:20" ht="47.25" thickTop="1" thickBot="1" x14ac:dyDescent="0.25">
      <c r="A142" s="101" t="s">
        <v>914</v>
      </c>
      <c r="B142" s="101" t="s">
        <v>43</v>
      </c>
      <c r="C142" s="101" t="s">
        <v>42</v>
      </c>
      <c r="D142" s="101" t="s">
        <v>248</v>
      </c>
      <c r="E142" s="324">
        <f>'d3'!E142-d3П!E142</f>
        <v>0</v>
      </c>
      <c r="F142" s="324">
        <f>'d3'!F142-d3П!F142</f>
        <v>0</v>
      </c>
      <c r="G142" s="324">
        <f>'d3'!G142-d3П!G142</f>
        <v>0</v>
      </c>
      <c r="H142" s="324">
        <f>'d3'!H142-d3П!H142</f>
        <v>0</v>
      </c>
      <c r="I142" s="324">
        <f>'d3'!I142-d3П!I142</f>
        <v>0</v>
      </c>
      <c r="J142" s="324">
        <f>'d3'!J142-d3П!J142</f>
        <v>0</v>
      </c>
      <c r="K142" s="324">
        <f>'d3'!K142-d3П!K142</f>
        <v>0</v>
      </c>
      <c r="L142" s="324">
        <f>'d3'!L142-d3П!L142</f>
        <v>0</v>
      </c>
      <c r="M142" s="324">
        <f>'d3'!M142-d3П!M142</f>
        <v>0</v>
      </c>
      <c r="N142" s="324">
        <f>'d3'!N142-d3П!N142</f>
        <v>0</v>
      </c>
      <c r="O142" s="324">
        <f>'d3'!O142-d3П!O142</f>
        <v>0</v>
      </c>
      <c r="P142" s="324">
        <f>'d3'!P142-d3П!P142</f>
        <v>0</v>
      </c>
      <c r="Q142" s="47"/>
      <c r="R142" s="46"/>
      <c r="T142" s="45"/>
    </row>
    <row r="143" spans="1:20" ht="47.25" thickTop="1" thickBot="1" x14ac:dyDescent="0.25">
      <c r="A143" s="308" t="s">
        <v>724</v>
      </c>
      <c r="B143" s="308" t="s">
        <v>707</v>
      </c>
      <c r="C143" s="308"/>
      <c r="D143" s="308" t="s">
        <v>708</v>
      </c>
      <c r="E143" s="324">
        <f>'d3'!E143-d3П!E143</f>
        <v>10998813.279999971</v>
      </c>
      <c r="F143" s="324">
        <f>'d3'!F143-d3П!F143</f>
        <v>10998813.279999971</v>
      </c>
      <c r="G143" s="324">
        <f>'d3'!G143-d3П!G143</f>
        <v>550000</v>
      </c>
      <c r="H143" s="324">
        <f>'d3'!H143-d3П!H143</f>
        <v>94671.759999999776</v>
      </c>
      <c r="I143" s="324">
        <f>'d3'!I143-d3П!I143</f>
        <v>0</v>
      </c>
      <c r="J143" s="324">
        <f>'d3'!J143-d3П!J143</f>
        <v>82896224.269999981</v>
      </c>
      <c r="K143" s="324">
        <f>'d3'!K143-d3П!K143</f>
        <v>82896224.269999981</v>
      </c>
      <c r="L143" s="324">
        <f>'d3'!L143-d3П!L143</f>
        <v>0</v>
      </c>
      <c r="M143" s="324">
        <f>'d3'!M143-d3П!M143</f>
        <v>0</v>
      </c>
      <c r="N143" s="324">
        <f>'d3'!N143-d3П!N143</f>
        <v>0</v>
      </c>
      <c r="O143" s="324">
        <f>'d3'!O143-d3П!O143</f>
        <v>82896224.269999981</v>
      </c>
      <c r="P143" s="324">
        <f>'d3'!P143-d3П!P143</f>
        <v>93895037.55000031</v>
      </c>
      <c r="Q143" s="47"/>
      <c r="R143" s="46"/>
      <c r="T143" s="45"/>
    </row>
    <row r="144" spans="1:20" ht="138.75" thickTop="1" thickBot="1" x14ac:dyDescent="0.25">
      <c r="A144" s="325" t="s">
        <v>725</v>
      </c>
      <c r="B144" s="325" t="s">
        <v>726</v>
      </c>
      <c r="C144" s="325"/>
      <c r="D144" s="325" t="s">
        <v>727</v>
      </c>
      <c r="E144" s="324">
        <f>'d3'!E144-d3П!E144</f>
        <v>0</v>
      </c>
      <c r="F144" s="324">
        <f>'d3'!F144-d3П!F144</f>
        <v>0</v>
      </c>
      <c r="G144" s="324">
        <f>'d3'!G144-d3П!G144</f>
        <v>0</v>
      </c>
      <c r="H144" s="324">
        <f>'d3'!H144-d3П!H144</f>
        <v>0</v>
      </c>
      <c r="I144" s="324">
        <f>'d3'!I144-d3П!I144</f>
        <v>0</v>
      </c>
      <c r="J144" s="324">
        <f>'d3'!J144-d3П!J144</f>
        <v>0</v>
      </c>
      <c r="K144" s="324">
        <f>'d3'!K144-d3П!K144</f>
        <v>0</v>
      </c>
      <c r="L144" s="324">
        <f>'d3'!L144-d3П!L144</f>
        <v>0</v>
      </c>
      <c r="M144" s="324">
        <f>'d3'!M144-d3П!M144</f>
        <v>0</v>
      </c>
      <c r="N144" s="324">
        <f>'d3'!N144-d3П!N144</f>
        <v>0</v>
      </c>
      <c r="O144" s="324">
        <f>'d3'!O144-d3П!O144</f>
        <v>0</v>
      </c>
      <c r="P144" s="324">
        <f>'d3'!P144-d3П!P144</f>
        <v>0</v>
      </c>
      <c r="Q144" s="148"/>
      <c r="R144" s="48"/>
      <c r="T144" s="49"/>
    </row>
    <row r="145" spans="1:18" s="33" customFormat="1" ht="93" thickTop="1" thickBot="1" x14ac:dyDescent="0.25">
      <c r="A145" s="101" t="s">
        <v>269</v>
      </c>
      <c r="B145" s="101" t="s">
        <v>270</v>
      </c>
      <c r="C145" s="101" t="s">
        <v>205</v>
      </c>
      <c r="D145" s="326" t="s">
        <v>271</v>
      </c>
      <c r="E145" s="324">
        <f>'d3'!E145-d3П!E145</f>
        <v>0</v>
      </c>
      <c r="F145" s="324">
        <f>'d3'!F145-d3П!F145</f>
        <v>0</v>
      </c>
      <c r="G145" s="324">
        <f>'d3'!G145-d3П!G145</f>
        <v>0</v>
      </c>
      <c r="H145" s="324">
        <f>'d3'!H145-d3П!H145</f>
        <v>0</v>
      </c>
      <c r="I145" s="324">
        <f>'d3'!I145-d3П!I145</f>
        <v>0</v>
      </c>
      <c r="J145" s="324">
        <f>'d3'!J145-d3П!J145</f>
        <v>0</v>
      </c>
      <c r="K145" s="324">
        <f>'d3'!K145-d3П!K145</f>
        <v>0</v>
      </c>
      <c r="L145" s="324">
        <f>'d3'!L145-d3П!L145</f>
        <v>0</v>
      </c>
      <c r="M145" s="324">
        <f>'d3'!M145-d3П!M145</f>
        <v>0</v>
      </c>
      <c r="N145" s="324">
        <f>'d3'!N145-d3П!N145</f>
        <v>0</v>
      </c>
      <c r="O145" s="324">
        <f>'d3'!O145-d3П!O145</f>
        <v>0</v>
      </c>
      <c r="P145" s="324">
        <f>'d3'!P145-d3П!P145</f>
        <v>0</v>
      </c>
      <c r="Q145" s="36"/>
      <c r="R145" s="46"/>
    </row>
    <row r="146" spans="1:18" s="33" customFormat="1" ht="47.25" thickTop="1" thickBot="1" x14ac:dyDescent="0.25">
      <c r="A146" s="101" t="s">
        <v>272</v>
      </c>
      <c r="B146" s="101" t="s">
        <v>273</v>
      </c>
      <c r="C146" s="101" t="s">
        <v>206</v>
      </c>
      <c r="D146" s="101" t="s">
        <v>6</v>
      </c>
      <c r="E146" s="324">
        <f>'d3'!E146-d3П!E146</f>
        <v>0</v>
      </c>
      <c r="F146" s="324">
        <f>'d3'!F146-d3П!F146</f>
        <v>0</v>
      </c>
      <c r="G146" s="324">
        <f>'d3'!G146-d3П!G146</f>
        <v>0</v>
      </c>
      <c r="H146" s="324">
        <f>'d3'!H146-d3П!H146</f>
        <v>0</v>
      </c>
      <c r="I146" s="324">
        <f>'d3'!I146-d3П!I146</f>
        <v>0</v>
      </c>
      <c r="J146" s="324">
        <f>'d3'!J146-d3П!J146</f>
        <v>0</v>
      </c>
      <c r="K146" s="324">
        <f>'d3'!K146-d3П!K146</f>
        <v>0</v>
      </c>
      <c r="L146" s="324">
        <f>'d3'!L146-d3П!L146</f>
        <v>0</v>
      </c>
      <c r="M146" s="324">
        <f>'d3'!M146-d3П!M146</f>
        <v>0</v>
      </c>
      <c r="N146" s="324">
        <f>'d3'!N146-d3П!N146</f>
        <v>0</v>
      </c>
      <c r="O146" s="324">
        <f>'d3'!O146-d3П!O146</f>
        <v>0</v>
      </c>
      <c r="P146" s="324">
        <f>'d3'!P146-d3П!P146</f>
        <v>0</v>
      </c>
      <c r="Q146" s="36"/>
      <c r="R146" s="50"/>
    </row>
    <row r="147" spans="1:18" s="33" customFormat="1" ht="93" thickTop="1" thickBot="1" x14ac:dyDescent="0.25">
      <c r="A147" s="101" t="s">
        <v>275</v>
      </c>
      <c r="B147" s="101" t="s">
        <v>276</v>
      </c>
      <c r="C147" s="101" t="s">
        <v>206</v>
      </c>
      <c r="D147" s="101" t="s">
        <v>7</v>
      </c>
      <c r="E147" s="324">
        <f>'d3'!E147-d3П!E147</f>
        <v>0</v>
      </c>
      <c r="F147" s="324">
        <f>'d3'!F147-d3П!F147</f>
        <v>0</v>
      </c>
      <c r="G147" s="324">
        <f>'d3'!G147-d3П!G147</f>
        <v>0</v>
      </c>
      <c r="H147" s="324">
        <f>'d3'!H147-d3П!H147</f>
        <v>0</v>
      </c>
      <c r="I147" s="324">
        <f>'d3'!I147-d3П!I147</f>
        <v>0</v>
      </c>
      <c r="J147" s="324">
        <f>'d3'!J147-d3П!J147</f>
        <v>0</v>
      </c>
      <c r="K147" s="324">
        <f>'d3'!K147-d3П!K147</f>
        <v>0</v>
      </c>
      <c r="L147" s="324">
        <f>'d3'!L147-d3П!L147</f>
        <v>0</v>
      </c>
      <c r="M147" s="324">
        <f>'d3'!M147-d3П!M147</f>
        <v>0</v>
      </c>
      <c r="N147" s="324">
        <f>'d3'!N147-d3П!N147</f>
        <v>0</v>
      </c>
      <c r="O147" s="324">
        <f>'d3'!O147-d3П!O147</f>
        <v>0</v>
      </c>
      <c r="P147" s="324">
        <f>'d3'!P147-d3П!P147</f>
        <v>0</v>
      </c>
      <c r="Q147" s="36"/>
      <c r="R147" s="50"/>
    </row>
    <row r="148" spans="1:18" s="33" customFormat="1" ht="93" thickTop="1" thickBot="1" x14ac:dyDescent="0.25">
      <c r="A148" s="101" t="s">
        <v>277</v>
      </c>
      <c r="B148" s="101" t="s">
        <v>274</v>
      </c>
      <c r="C148" s="101" t="s">
        <v>206</v>
      </c>
      <c r="D148" s="101" t="s">
        <v>8</v>
      </c>
      <c r="E148" s="324">
        <f>'d3'!E148-d3П!E148</f>
        <v>0</v>
      </c>
      <c r="F148" s="324">
        <f>'d3'!F148-d3П!F148</f>
        <v>0</v>
      </c>
      <c r="G148" s="324">
        <f>'d3'!G148-d3П!G148</f>
        <v>0</v>
      </c>
      <c r="H148" s="324">
        <f>'d3'!H148-d3П!H148</f>
        <v>0</v>
      </c>
      <c r="I148" s="324">
        <f>'d3'!I148-d3П!I148</f>
        <v>0</v>
      </c>
      <c r="J148" s="324">
        <f>'d3'!J148-d3П!J148</f>
        <v>0</v>
      </c>
      <c r="K148" s="324">
        <f>'d3'!K148-d3П!K148</f>
        <v>0</v>
      </c>
      <c r="L148" s="324">
        <f>'d3'!L148-d3П!L148</f>
        <v>0</v>
      </c>
      <c r="M148" s="324">
        <f>'d3'!M148-d3П!M148</f>
        <v>0</v>
      </c>
      <c r="N148" s="324">
        <f>'d3'!N148-d3П!N148</f>
        <v>0</v>
      </c>
      <c r="O148" s="324">
        <f>'d3'!O148-d3П!O148</f>
        <v>0</v>
      </c>
      <c r="P148" s="324">
        <f>'d3'!P148-d3П!P148</f>
        <v>0</v>
      </c>
      <c r="Q148" s="36"/>
      <c r="R148" s="50"/>
    </row>
    <row r="149" spans="1:18" s="33" customFormat="1" ht="93" thickTop="1" thickBot="1" x14ac:dyDescent="0.25">
      <c r="A149" s="101" t="s">
        <v>278</v>
      </c>
      <c r="B149" s="101" t="s">
        <v>279</v>
      </c>
      <c r="C149" s="101" t="s">
        <v>206</v>
      </c>
      <c r="D149" s="101" t="s">
        <v>9</v>
      </c>
      <c r="E149" s="324">
        <f>'d3'!E149-d3П!E149</f>
        <v>0</v>
      </c>
      <c r="F149" s="324">
        <f>'d3'!F149-d3П!F149</f>
        <v>0</v>
      </c>
      <c r="G149" s="324">
        <f>'d3'!G149-d3П!G149</f>
        <v>0</v>
      </c>
      <c r="H149" s="324">
        <f>'d3'!H149-d3П!H149</f>
        <v>0</v>
      </c>
      <c r="I149" s="324">
        <f>'d3'!I149-d3П!I149</f>
        <v>0</v>
      </c>
      <c r="J149" s="324">
        <f>'d3'!J149-d3П!J149</f>
        <v>0</v>
      </c>
      <c r="K149" s="324">
        <f>'d3'!K149-d3П!K149</f>
        <v>0</v>
      </c>
      <c r="L149" s="324">
        <f>'d3'!L149-d3П!L149</f>
        <v>0</v>
      </c>
      <c r="M149" s="324">
        <f>'d3'!M149-d3П!M149</f>
        <v>0</v>
      </c>
      <c r="N149" s="324">
        <f>'d3'!N149-d3П!N149</f>
        <v>0</v>
      </c>
      <c r="O149" s="324">
        <f>'d3'!O149-d3П!O149</f>
        <v>0</v>
      </c>
      <c r="P149" s="324">
        <f>'d3'!P149-d3П!P149</f>
        <v>0</v>
      </c>
      <c r="Q149" s="36"/>
      <c r="R149" s="50"/>
    </row>
    <row r="150" spans="1:18" s="33" customFormat="1" ht="93" thickTop="1" thickBot="1" x14ac:dyDescent="0.25">
      <c r="A150" s="101" t="s">
        <v>477</v>
      </c>
      <c r="B150" s="101" t="s">
        <v>478</v>
      </c>
      <c r="C150" s="101" t="s">
        <v>206</v>
      </c>
      <c r="D150" s="101" t="s">
        <v>479</v>
      </c>
      <c r="E150" s="324">
        <f>'d3'!E150-d3П!E150</f>
        <v>0</v>
      </c>
      <c r="F150" s="324">
        <f>'d3'!F150-d3П!F150</f>
        <v>0</v>
      </c>
      <c r="G150" s="324">
        <f>'d3'!G150-d3П!G150</f>
        <v>0</v>
      </c>
      <c r="H150" s="324">
        <f>'d3'!H150-d3П!H150</f>
        <v>0</v>
      </c>
      <c r="I150" s="324">
        <f>'d3'!I150-d3П!I150</f>
        <v>0</v>
      </c>
      <c r="J150" s="324">
        <f>'d3'!J150-d3П!J150</f>
        <v>0</v>
      </c>
      <c r="K150" s="324">
        <f>'d3'!K150-d3П!K150</f>
        <v>0</v>
      </c>
      <c r="L150" s="324">
        <f>'d3'!L150-d3П!L150</f>
        <v>0</v>
      </c>
      <c r="M150" s="324">
        <f>'d3'!M150-d3П!M150</f>
        <v>0</v>
      </c>
      <c r="N150" s="324">
        <f>'d3'!N150-d3П!N150</f>
        <v>0</v>
      </c>
      <c r="O150" s="324">
        <f>'d3'!O150-d3П!O150</f>
        <v>0</v>
      </c>
      <c r="P150" s="324">
        <f>'d3'!P150-d3П!P150</f>
        <v>0</v>
      </c>
      <c r="Q150" s="36"/>
      <c r="R150" s="50"/>
    </row>
    <row r="151" spans="1:18" s="33" customFormat="1" ht="93" thickTop="1" thickBot="1" x14ac:dyDescent="0.25">
      <c r="A151" s="101" t="s">
        <v>915</v>
      </c>
      <c r="B151" s="101" t="s">
        <v>916</v>
      </c>
      <c r="C151" s="101" t="s">
        <v>206</v>
      </c>
      <c r="D151" s="101" t="s">
        <v>917</v>
      </c>
      <c r="E151" s="324">
        <f>'d3'!E151-d3П!E151</f>
        <v>0</v>
      </c>
      <c r="F151" s="324">
        <f>'d3'!F151-d3П!F151</f>
        <v>0</v>
      </c>
      <c r="G151" s="324">
        <f>'d3'!G151-d3П!G151</f>
        <v>0</v>
      </c>
      <c r="H151" s="324">
        <f>'d3'!H151-d3П!H151</f>
        <v>0</v>
      </c>
      <c r="I151" s="324">
        <f>'d3'!I151-d3П!I151</f>
        <v>0</v>
      </c>
      <c r="J151" s="324">
        <f>'d3'!J151-d3П!J151</f>
        <v>0</v>
      </c>
      <c r="K151" s="324">
        <f>'d3'!K151-d3П!K151</f>
        <v>0</v>
      </c>
      <c r="L151" s="324">
        <f>'d3'!L151-d3П!L151</f>
        <v>0</v>
      </c>
      <c r="M151" s="324">
        <f>'d3'!M151-d3П!M151</f>
        <v>0</v>
      </c>
      <c r="N151" s="324">
        <f>'d3'!N151-d3П!N151</f>
        <v>0</v>
      </c>
      <c r="O151" s="324">
        <f>'d3'!O151-d3П!O151</f>
        <v>0</v>
      </c>
      <c r="P151" s="324">
        <f>'d3'!P151-d3П!P151</f>
        <v>0</v>
      </c>
      <c r="Q151" s="36"/>
      <c r="R151" s="50"/>
    </row>
    <row r="152" spans="1:18" ht="93" thickTop="1" thickBot="1" x14ac:dyDescent="0.25">
      <c r="A152" s="101" t="s">
        <v>480</v>
      </c>
      <c r="B152" s="101" t="s">
        <v>481</v>
      </c>
      <c r="C152" s="101" t="s">
        <v>205</v>
      </c>
      <c r="D152" s="101" t="s">
        <v>482</v>
      </c>
      <c r="E152" s="324">
        <f>'d3'!E152-d3П!E152</f>
        <v>0</v>
      </c>
      <c r="F152" s="324">
        <f>'d3'!F152-d3П!F152</f>
        <v>0</v>
      </c>
      <c r="G152" s="324">
        <f>'d3'!G152-d3П!G152</f>
        <v>0</v>
      </c>
      <c r="H152" s="324">
        <f>'d3'!H152-d3П!H152</f>
        <v>0</v>
      </c>
      <c r="I152" s="324">
        <f>'d3'!I152-d3П!I152</f>
        <v>0</v>
      </c>
      <c r="J152" s="324">
        <f>'d3'!J152-d3П!J152</f>
        <v>0</v>
      </c>
      <c r="K152" s="324">
        <f>'d3'!K152-d3П!K152</f>
        <v>0</v>
      </c>
      <c r="L152" s="324">
        <f>'d3'!L152-d3П!L152</f>
        <v>0</v>
      </c>
      <c r="M152" s="324">
        <f>'d3'!M152-d3П!M152</f>
        <v>0</v>
      </c>
      <c r="N152" s="324">
        <f>'d3'!N152-d3П!N152</f>
        <v>0</v>
      </c>
      <c r="O152" s="324">
        <f>'d3'!O152-d3П!O152</f>
        <v>0</v>
      </c>
      <c r="P152" s="324">
        <f>'d3'!P152-d3П!P152</f>
        <v>0</v>
      </c>
      <c r="Q152" s="20"/>
      <c r="R152" s="50"/>
    </row>
    <row r="153" spans="1:18" s="33" customFormat="1" ht="138.75" thickTop="1" thickBot="1" x14ac:dyDescent="0.25">
      <c r="A153" s="325" t="s">
        <v>728</v>
      </c>
      <c r="B153" s="325" t="s">
        <v>729</v>
      </c>
      <c r="C153" s="325"/>
      <c r="D153" s="325" t="s">
        <v>730</v>
      </c>
      <c r="E153" s="324">
        <f>'d3'!E153-d3П!E153</f>
        <v>-39000</v>
      </c>
      <c r="F153" s="324">
        <f>'d3'!F153-d3П!F153</f>
        <v>-39000</v>
      </c>
      <c r="G153" s="324">
        <f>'d3'!G153-d3П!G153</f>
        <v>0</v>
      </c>
      <c r="H153" s="324">
        <f>'d3'!H153-d3П!H153</f>
        <v>-45420</v>
      </c>
      <c r="I153" s="324">
        <f>'d3'!I153-d3П!I153</f>
        <v>0</v>
      </c>
      <c r="J153" s="324">
        <f>'d3'!J153-d3П!J153</f>
        <v>39000</v>
      </c>
      <c r="K153" s="324">
        <f>'d3'!K153-d3П!K153</f>
        <v>39000</v>
      </c>
      <c r="L153" s="324">
        <f>'d3'!L153-d3П!L153</f>
        <v>0</v>
      </c>
      <c r="M153" s="324">
        <f>'d3'!M153-d3П!M153</f>
        <v>0</v>
      </c>
      <c r="N153" s="324">
        <f>'d3'!N153-d3П!N153</f>
        <v>0</v>
      </c>
      <c r="O153" s="324">
        <f>'d3'!O153-d3П!O153</f>
        <v>39000</v>
      </c>
      <c r="P153" s="324">
        <f>'d3'!P153-d3П!P153</f>
        <v>0</v>
      </c>
      <c r="Q153" s="36"/>
      <c r="R153" s="51"/>
    </row>
    <row r="154" spans="1:18" ht="138.75" thickTop="1" thickBot="1" x14ac:dyDescent="0.25">
      <c r="A154" s="101" t="s">
        <v>267</v>
      </c>
      <c r="B154" s="101" t="s">
        <v>265</v>
      </c>
      <c r="C154" s="101" t="s">
        <v>200</v>
      </c>
      <c r="D154" s="101" t="s">
        <v>17</v>
      </c>
      <c r="E154" s="324">
        <f>'d3'!E154-d3П!E154</f>
        <v>0</v>
      </c>
      <c r="F154" s="324">
        <f>'d3'!F154-d3П!F154</f>
        <v>0</v>
      </c>
      <c r="G154" s="324">
        <f>'d3'!G154-d3П!G154</f>
        <v>0</v>
      </c>
      <c r="H154" s="324">
        <f>'d3'!H154-d3П!H154</f>
        <v>0</v>
      </c>
      <c r="I154" s="324">
        <f>'d3'!I154-d3П!I154</f>
        <v>0</v>
      </c>
      <c r="J154" s="324">
        <f>'d3'!J154-d3П!J154</f>
        <v>0</v>
      </c>
      <c r="K154" s="324">
        <f>'d3'!K154-d3П!K154</f>
        <v>0</v>
      </c>
      <c r="L154" s="324">
        <f>'d3'!L154-d3П!L154</f>
        <v>0</v>
      </c>
      <c r="M154" s="324">
        <f>'d3'!M154-d3П!M154</f>
        <v>0</v>
      </c>
      <c r="N154" s="324">
        <f>'d3'!N154-d3П!N154</f>
        <v>0</v>
      </c>
      <c r="O154" s="324">
        <f>'d3'!O154-d3П!O154</f>
        <v>0</v>
      </c>
      <c r="P154" s="324">
        <f>'d3'!P154-d3П!P154</f>
        <v>0</v>
      </c>
      <c r="Q154" s="20"/>
      <c r="R154" s="46"/>
    </row>
    <row r="155" spans="1:18" ht="93" thickTop="1" thickBot="1" x14ac:dyDescent="0.25">
      <c r="A155" s="101" t="s">
        <v>268</v>
      </c>
      <c r="B155" s="101" t="s">
        <v>266</v>
      </c>
      <c r="C155" s="101" t="s">
        <v>199</v>
      </c>
      <c r="D155" s="101" t="s">
        <v>454</v>
      </c>
      <c r="E155" s="324">
        <f>'d3'!E155-d3П!E155</f>
        <v>-39000</v>
      </c>
      <c r="F155" s="324">
        <f>'d3'!F155-d3П!F155</f>
        <v>-39000</v>
      </c>
      <c r="G155" s="324">
        <f>'d3'!G155-d3П!G155</f>
        <v>0</v>
      </c>
      <c r="H155" s="324">
        <f>'d3'!H155-d3П!H155</f>
        <v>-45420</v>
      </c>
      <c r="I155" s="324">
        <f>'d3'!I155-d3П!I155</f>
        <v>0</v>
      </c>
      <c r="J155" s="324">
        <f>'d3'!J155-d3П!J155</f>
        <v>39000</v>
      </c>
      <c r="K155" s="324">
        <f>'d3'!K155-d3П!K155</f>
        <v>39000</v>
      </c>
      <c r="L155" s="324">
        <f>'d3'!L155-d3П!L155</f>
        <v>0</v>
      </c>
      <c r="M155" s="324">
        <f>'d3'!M155-d3П!M155</f>
        <v>0</v>
      </c>
      <c r="N155" s="324">
        <f>'d3'!N155-d3П!N155</f>
        <v>0</v>
      </c>
      <c r="O155" s="324">
        <f>'d3'!O155-d3П!O155</f>
        <v>39000</v>
      </c>
      <c r="P155" s="324">
        <f>'d3'!P155-d3П!P155</f>
        <v>0</v>
      </c>
      <c r="Q155" s="20"/>
      <c r="R155" s="46"/>
    </row>
    <row r="156" spans="1:18" ht="47.25" thickTop="1" thickBot="1" x14ac:dyDescent="0.25">
      <c r="A156" s="325" t="s">
        <v>1004</v>
      </c>
      <c r="B156" s="325" t="s">
        <v>761</v>
      </c>
      <c r="C156" s="325"/>
      <c r="D156" s="325" t="s">
        <v>762</v>
      </c>
      <c r="E156" s="324">
        <f>'d3'!E156-d3П!E156</f>
        <v>-500000</v>
      </c>
      <c r="F156" s="324">
        <f>'d3'!F156-d3П!F156</f>
        <v>-500000</v>
      </c>
      <c r="G156" s="324">
        <f>'d3'!G156-d3П!G156</f>
        <v>0</v>
      </c>
      <c r="H156" s="324">
        <f>'d3'!H156-d3П!H156</f>
        <v>0</v>
      </c>
      <c r="I156" s="324">
        <f>'d3'!I156-d3П!I156</f>
        <v>0</v>
      </c>
      <c r="J156" s="324">
        <f>'d3'!J156-d3П!J156</f>
        <v>874120</v>
      </c>
      <c r="K156" s="324">
        <f>'d3'!K156-d3П!K156</f>
        <v>874120</v>
      </c>
      <c r="L156" s="324">
        <f>'d3'!L156-d3П!L156</f>
        <v>0</v>
      </c>
      <c r="M156" s="324">
        <f>'d3'!M156-d3П!M156</f>
        <v>0</v>
      </c>
      <c r="N156" s="324">
        <f>'d3'!N156-d3П!N156</f>
        <v>0</v>
      </c>
      <c r="O156" s="324">
        <f>'d3'!O156-d3П!O156</f>
        <v>874120</v>
      </c>
      <c r="P156" s="324">
        <f>'d3'!P156-d3П!P156</f>
        <v>374120</v>
      </c>
      <c r="Q156" s="20"/>
      <c r="R156" s="46"/>
    </row>
    <row r="157" spans="1:18" ht="47.25" thickTop="1" thickBot="1" x14ac:dyDescent="0.25">
      <c r="A157" s="101" t="s">
        <v>1197</v>
      </c>
      <c r="B157" s="101" t="s">
        <v>184</v>
      </c>
      <c r="C157" s="101" t="s">
        <v>185</v>
      </c>
      <c r="D157" s="101" t="s">
        <v>636</v>
      </c>
      <c r="E157" s="324">
        <f>'d3'!E157-d3П!E157</f>
        <v>0</v>
      </c>
      <c r="F157" s="324">
        <f>'d3'!F157-d3П!F157</f>
        <v>0</v>
      </c>
      <c r="G157" s="324">
        <f>'d3'!G157-d3П!G157</f>
        <v>0</v>
      </c>
      <c r="H157" s="324">
        <f>'d3'!H157-d3П!H157</f>
        <v>0</v>
      </c>
      <c r="I157" s="324">
        <f>'d3'!I157-d3П!I157</f>
        <v>0</v>
      </c>
      <c r="J157" s="324">
        <f>'d3'!J157-d3П!J157</f>
        <v>0</v>
      </c>
      <c r="K157" s="324">
        <f>'d3'!K157-d3П!K157</f>
        <v>0</v>
      </c>
      <c r="L157" s="324">
        <f>'d3'!L157-d3П!L157</f>
        <v>0</v>
      </c>
      <c r="M157" s="324">
        <f>'d3'!M157-d3П!M157</f>
        <v>0</v>
      </c>
      <c r="N157" s="324">
        <f>'d3'!N157-d3П!N157</f>
        <v>0</v>
      </c>
      <c r="O157" s="324">
        <f>'d3'!O157-d3П!O157</f>
        <v>0</v>
      </c>
      <c r="P157" s="324">
        <f>'d3'!P157-d3П!P157</f>
        <v>0</v>
      </c>
      <c r="Q157" s="20"/>
      <c r="R157" s="46"/>
    </row>
    <row r="158" spans="1:18" ht="138.75" thickTop="1" thickBot="1" x14ac:dyDescent="0.25">
      <c r="A158" s="101" t="s">
        <v>1005</v>
      </c>
      <c r="B158" s="101" t="s">
        <v>1006</v>
      </c>
      <c r="C158" s="101" t="s">
        <v>185</v>
      </c>
      <c r="D158" s="101" t="s">
        <v>1007</v>
      </c>
      <c r="E158" s="324">
        <f>'d3'!E158-d3П!E158</f>
        <v>-500000.00000000023</v>
      </c>
      <c r="F158" s="324">
        <f>'d3'!F158-d3П!F158</f>
        <v>-500000.00000000023</v>
      </c>
      <c r="G158" s="324">
        <f>'d3'!G158-d3П!G158</f>
        <v>0</v>
      </c>
      <c r="H158" s="324">
        <f>'d3'!H158-d3П!H158</f>
        <v>0</v>
      </c>
      <c r="I158" s="324">
        <f>'d3'!I158-d3П!I158</f>
        <v>0</v>
      </c>
      <c r="J158" s="324">
        <f>'d3'!J158-d3П!J158</f>
        <v>874120</v>
      </c>
      <c r="K158" s="324">
        <f>'d3'!K158-d3П!K158</f>
        <v>874120</v>
      </c>
      <c r="L158" s="324">
        <f>'d3'!L158-d3П!L158</f>
        <v>0</v>
      </c>
      <c r="M158" s="324">
        <f>'d3'!M158-d3П!M158</f>
        <v>0</v>
      </c>
      <c r="N158" s="324">
        <f>'d3'!N158-d3П!N158</f>
        <v>0</v>
      </c>
      <c r="O158" s="324">
        <f>'d3'!O158-d3П!O158</f>
        <v>874120</v>
      </c>
      <c r="P158" s="324">
        <f>'d3'!P158-d3П!P158</f>
        <v>374120</v>
      </c>
      <c r="Q158" s="20"/>
      <c r="R158" s="46"/>
    </row>
    <row r="159" spans="1:18" ht="184.5" thickTop="1" thickBot="1" x14ac:dyDescent="0.25">
      <c r="A159" s="101" t="s">
        <v>263</v>
      </c>
      <c r="B159" s="101" t="s">
        <v>264</v>
      </c>
      <c r="C159" s="101" t="s">
        <v>199</v>
      </c>
      <c r="D159" s="101" t="s">
        <v>452</v>
      </c>
      <c r="E159" s="324">
        <f>'d3'!E159-d3П!E159</f>
        <v>300000</v>
      </c>
      <c r="F159" s="324">
        <f>'d3'!F159-d3П!F159</f>
        <v>300000</v>
      </c>
      <c r="G159" s="324">
        <f>'d3'!G159-d3П!G159</f>
        <v>0</v>
      </c>
      <c r="H159" s="324">
        <f>'d3'!H159-d3П!H159</f>
        <v>0</v>
      </c>
      <c r="I159" s="324">
        <f>'d3'!I159-d3П!I159</f>
        <v>0</v>
      </c>
      <c r="J159" s="324">
        <f>'d3'!J159-d3П!J159</f>
        <v>0</v>
      </c>
      <c r="K159" s="324">
        <f>'d3'!K159-d3П!K159</f>
        <v>0</v>
      </c>
      <c r="L159" s="324">
        <f>'d3'!L159-d3П!L159</f>
        <v>0</v>
      </c>
      <c r="M159" s="324">
        <f>'d3'!M159-d3П!M159</f>
        <v>0</v>
      </c>
      <c r="N159" s="324">
        <f>'d3'!N159-d3П!N159</f>
        <v>0</v>
      </c>
      <c r="O159" s="324">
        <f>'d3'!O159-d3П!O159</f>
        <v>0</v>
      </c>
      <c r="P159" s="324">
        <f>'d3'!P159-d3П!P159</f>
        <v>300000</v>
      </c>
      <c r="Q159" s="20"/>
      <c r="R159" s="50"/>
    </row>
    <row r="160" spans="1:18" ht="47.25" thickTop="1" thickBot="1" x14ac:dyDescent="0.25">
      <c r="A160" s="325" t="s">
        <v>876</v>
      </c>
      <c r="B160" s="325" t="s">
        <v>877</v>
      </c>
      <c r="C160" s="325"/>
      <c r="D160" s="325" t="s">
        <v>878</v>
      </c>
      <c r="E160" s="324">
        <f>'d3'!E160-d3П!E160</f>
        <v>0</v>
      </c>
      <c r="F160" s="324">
        <f>'d3'!F160-d3П!F160</f>
        <v>0</v>
      </c>
      <c r="G160" s="324">
        <f>'d3'!G160-d3П!G160</f>
        <v>0</v>
      </c>
      <c r="H160" s="324">
        <f>'d3'!H160-d3П!H160</f>
        <v>0</v>
      </c>
      <c r="I160" s="324">
        <f>'d3'!I160-d3П!I160</f>
        <v>0</v>
      </c>
      <c r="J160" s="324">
        <f>'d3'!J160-d3П!J160</f>
        <v>0</v>
      </c>
      <c r="K160" s="324">
        <f>'d3'!K160-d3П!K160</f>
        <v>0</v>
      </c>
      <c r="L160" s="324">
        <f>'d3'!L160-d3П!L160</f>
        <v>0</v>
      </c>
      <c r="M160" s="324">
        <f>'d3'!M160-d3П!M160</f>
        <v>0</v>
      </c>
      <c r="N160" s="324">
        <f>'d3'!N160-d3П!N160</f>
        <v>0</v>
      </c>
      <c r="O160" s="324">
        <f>'d3'!O160-d3П!O160</f>
        <v>0</v>
      </c>
      <c r="P160" s="324">
        <f>'d3'!P160-d3П!P160</f>
        <v>0</v>
      </c>
      <c r="Q160" s="20"/>
      <c r="R160" s="50"/>
    </row>
    <row r="161" spans="1:18" ht="93" thickTop="1" thickBot="1" x14ac:dyDescent="0.25">
      <c r="A161" s="101" t="s">
        <v>483</v>
      </c>
      <c r="B161" s="101" t="s">
        <v>484</v>
      </c>
      <c r="C161" s="101" t="s">
        <v>199</v>
      </c>
      <c r="D161" s="101" t="s">
        <v>485</v>
      </c>
      <c r="E161" s="324">
        <f>'d3'!E161-d3П!E161</f>
        <v>0</v>
      </c>
      <c r="F161" s="324">
        <f>'d3'!F161-d3П!F161</f>
        <v>0</v>
      </c>
      <c r="G161" s="324">
        <f>'d3'!G161-d3П!G161</f>
        <v>0</v>
      </c>
      <c r="H161" s="324">
        <f>'d3'!H161-d3П!H161</f>
        <v>0</v>
      </c>
      <c r="I161" s="324">
        <f>'d3'!I161-d3П!I161</f>
        <v>0</v>
      </c>
      <c r="J161" s="324">
        <f>'d3'!J161-d3П!J161</f>
        <v>0</v>
      </c>
      <c r="K161" s="324">
        <f>'d3'!K161-d3П!K161</f>
        <v>0</v>
      </c>
      <c r="L161" s="324">
        <f>'d3'!L161-d3П!L161</f>
        <v>0</v>
      </c>
      <c r="M161" s="324">
        <f>'d3'!M161-d3П!M161</f>
        <v>0</v>
      </c>
      <c r="N161" s="324">
        <f>'d3'!N161-d3П!N161</f>
        <v>0</v>
      </c>
      <c r="O161" s="324">
        <f>'d3'!O161-d3П!O161</f>
        <v>0</v>
      </c>
      <c r="P161" s="324">
        <f>'d3'!P161-d3П!P161</f>
        <v>0</v>
      </c>
      <c r="Q161" s="20"/>
      <c r="R161" s="50"/>
    </row>
    <row r="162" spans="1:18" ht="138.75" thickTop="1" thickBot="1" x14ac:dyDescent="0.25">
      <c r="A162" s="101" t="s">
        <v>348</v>
      </c>
      <c r="B162" s="101" t="s">
        <v>347</v>
      </c>
      <c r="C162" s="101" t="s">
        <v>50</v>
      </c>
      <c r="D162" s="101" t="s">
        <v>453</v>
      </c>
      <c r="E162" s="324">
        <f>'d3'!E162-d3П!E162</f>
        <v>0</v>
      </c>
      <c r="F162" s="324">
        <f>'d3'!F162-d3П!F162</f>
        <v>0</v>
      </c>
      <c r="G162" s="324">
        <f>'d3'!G162-d3П!G162</f>
        <v>0</v>
      </c>
      <c r="H162" s="324">
        <f>'d3'!H162-d3П!H162</f>
        <v>0</v>
      </c>
      <c r="I162" s="324">
        <f>'d3'!I162-d3П!I162</f>
        <v>0</v>
      </c>
      <c r="J162" s="324">
        <f>'d3'!J162-d3П!J162</f>
        <v>0</v>
      </c>
      <c r="K162" s="324">
        <f>'d3'!K162-d3П!K162</f>
        <v>0</v>
      </c>
      <c r="L162" s="324">
        <f>'d3'!L162-d3П!L162</f>
        <v>0</v>
      </c>
      <c r="M162" s="324">
        <f>'d3'!M162-d3П!M162</f>
        <v>0</v>
      </c>
      <c r="N162" s="324">
        <f>'d3'!N162-d3П!N162</f>
        <v>0</v>
      </c>
      <c r="O162" s="324">
        <f>'d3'!O162-d3П!O162</f>
        <v>0</v>
      </c>
      <c r="P162" s="324">
        <f>'d3'!P162-d3П!P162</f>
        <v>0</v>
      </c>
      <c r="Q162" s="20"/>
      <c r="R162" s="50"/>
    </row>
    <row r="163" spans="1:18" s="33" customFormat="1" ht="47.25" thickTop="1" thickBot="1" x14ac:dyDescent="0.25">
      <c r="A163" s="325" t="s">
        <v>731</v>
      </c>
      <c r="B163" s="325" t="s">
        <v>732</v>
      </c>
      <c r="C163" s="325"/>
      <c r="D163" s="325" t="s">
        <v>733</v>
      </c>
      <c r="E163" s="324">
        <f>'d3'!E163-d3П!E163</f>
        <v>100000</v>
      </c>
      <c r="F163" s="324">
        <f>'d3'!F163-d3П!F163</f>
        <v>100000</v>
      </c>
      <c r="G163" s="324">
        <f>'d3'!G163-d3П!G163</f>
        <v>0</v>
      </c>
      <c r="H163" s="324">
        <f>'d3'!H163-d3П!H163</f>
        <v>0</v>
      </c>
      <c r="I163" s="324">
        <f>'d3'!I163-d3П!I163</f>
        <v>0</v>
      </c>
      <c r="J163" s="324">
        <f>'d3'!J163-d3П!J163</f>
        <v>0</v>
      </c>
      <c r="K163" s="324">
        <f>'d3'!K163-d3П!K163</f>
        <v>0</v>
      </c>
      <c r="L163" s="324">
        <f>'d3'!L163-d3П!L163</f>
        <v>0</v>
      </c>
      <c r="M163" s="324">
        <f>'d3'!M163-d3П!M163</f>
        <v>0</v>
      </c>
      <c r="N163" s="324">
        <f>'d3'!N163-d3П!N163</f>
        <v>0</v>
      </c>
      <c r="O163" s="324">
        <f>'d3'!O163-d3П!O163</f>
        <v>0</v>
      </c>
      <c r="P163" s="324">
        <f>'d3'!P163-d3П!P163</f>
        <v>100000</v>
      </c>
      <c r="Q163" s="36"/>
      <c r="R163" s="51"/>
    </row>
    <row r="164" spans="1:18" ht="93" thickTop="1" thickBot="1" x14ac:dyDescent="0.25">
      <c r="A164" s="101" t="s">
        <v>325</v>
      </c>
      <c r="B164" s="101" t="s">
        <v>326</v>
      </c>
      <c r="C164" s="101" t="s">
        <v>205</v>
      </c>
      <c r="D164" s="101" t="s">
        <v>633</v>
      </c>
      <c r="E164" s="324">
        <f>'d3'!E164-d3П!E164</f>
        <v>100000</v>
      </c>
      <c r="F164" s="324">
        <f>'d3'!F164-d3П!F164</f>
        <v>100000</v>
      </c>
      <c r="G164" s="324">
        <f>'d3'!G164-d3П!G164</f>
        <v>0</v>
      </c>
      <c r="H164" s="324">
        <f>'d3'!H164-d3П!H164</f>
        <v>0</v>
      </c>
      <c r="I164" s="324">
        <f>'d3'!I164-d3П!I164</f>
        <v>0</v>
      </c>
      <c r="J164" s="324">
        <f>'d3'!J164-d3П!J164</f>
        <v>0</v>
      </c>
      <c r="K164" s="324">
        <f>'d3'!K164-d3П!K164</f>
        <v>0</v>
      </c>
      <c r="L164" s="324">
        <f>'d3'!L164-d3П!L164</f>
        <v>0</v>
      </c>
      <c r="M164" s="324">
        <f>'d3'!M164-d3П!M164</f>
        <v>0</v>
      </c>
      <c r="N164" s="324">
        <f>'d3'!N164-d3П!N164</f>
        <v>0</v>
      </c>
      <c r="O164" s="324">
        <f>'d3'!O164-d3П!O164</f>
        <v>0</v>
      </c>
      <c r="P164" s="324">
        <f>'d3'!P164-d3П!P164</f>
        <v>100000</v>
      </c>
      <c r="Q164" s="20"/>
      <c r="R164" s="50"/>
    </row>
    <row r="165" spans="1:18" ht="47.25" thickTop="1" thickBot="1" x14ac:dyDescent="0.25">
      <c r="A165" s="101" t="s">
        <v>427</v>
      </c>
      <c r="B165" s="101" t="s">
        <v>372</v>
      </c>
      <c r="C165" s="101" t="s">
        <v>373</v>
      </c>
      <c r="D165" s="101" t="s">
        <v>371</v>
      </c>
      <c r="E165" s="324">
        <f>'d3'!E165-d3П!E165</f>
        <v>0</v>
      </c>
      <c r="F165" s="324">
        <f>'d3'!F165-d3П!F165</f>
        <v>0</v>
      </c>
      <c r="G165" s="324">
        <f>'d3'!G165-d3П!G165</f>
        <v>0</v>
      </c>
      <c r="H165" s="324">
        <f>'d3'!H165-d3П!H165</f>
        <v>0</v>
      </c>
      <c r="I165" s="324">
        <f>'d3'!I165-d3П!I165</f>
        <v>0</v>
      </c>
      <c r="J165" s="324">
        <f>'d3'!J165-d3П!J165</f>
        <v>0</v>
      </c>
      <c r="K165" s="324">
        <f>'d3'!K165-d3П!K165</f>
        <v>0</v>
      </c>
      <c r="L165" s="324">
        <f>'d3'!L165-d3П!L165</f>
        <v>0</v>
      </c>
      <c r="M165" s="324">
        <f>'d3'!M165-d3П!M165</f>
        <v>0</v>
      </c>
      <c r="N165" s="324">
        <f>'d3'!N165-d3П!N165</f>
        <v>0</v>
      </c>
      <c r="O165" s="324">
        <f>'d3'!O165-d3П!O165</f>
        <v>0</v>
      </c>
      <c r="P165" s="324">
        <f>'d3'!P165-d3П!P165</f>
        <v>0</v>
      </c>
      <c r="Q165" s="20"/>
      <c r="R165" s="50"/>
    </row>
    <row r="166" spans="1:18" ht="93" thickTop="1" thickBot="1" x14ac:dyDescent="0.25">
      <c r="A166" s="325" t="s">
        <v>1042</v>
      </c>
      <c r="B166" s="325" t="s">
        <v>1043</v>
      </c>
      <c r="C166" s="325"/>
      <c r="D166" s="325" t="s">
        <v>1041</v>
      </c>
      <c r="E166" s="324">
        <f>'d3'!E166-d3П!E166</f>
        <v>0</v>
      </c>
      <c r="F166" s="324">
        <f>'d3'!F166-d3П!F166</f>
        <v>0</v>
      </c>
      <c r="G166" s="324">
        <f>'d3'!G166-d3П!G166</f>
        <v>0</v>
      </c>
      <c r="H166" s="324">
        <f>'d3'!H166-d3П!H166</f>
        <v>0</v>
      </c>
      <c r="I166" s="324">
        <f>'d3'!I166-d3П!I166</f>
        <v>0</v>
      </c>
      <c r="J166" s="324">
        <f>'d3'!J166-d3П!J166</f>
        <v>81930717.280000001</v>
      </c>
      <c r="K166" s="324">
        <f>'d3'!K166-d3П!K166</f>
        <v>81930717.280000001</v>
      </c>
      <c r="L166" s="324">
        <f>'d3'!L166-d3П!L166</f>
        <v>0</v>
      </c>
      <c r="M166" s="324">
        <f>'d3'!M166-d3П!M166</f>
        <v>0</v>
      </c>
      <c r="N166" s="324">
        <f>'d3'!N166-d3П!N166</f>
        <v>0</v>
      </c>
      <c r="O166" s="324">
        <f>'d3'!O166-d3П!O166</f>
        <v>81930717.280000001</v>
      </c>
      <c r="P166" s="324">
        <f>'d3'!P166-d3П!P166</f>
        <v>81930717.280000001</v>
      </c>
      <c r="Q166" s="20"/>
      <c r="R166" s="50"/>
    </row>
    <row r="167" spans="1:18" ht="183.75" thickTop="1" x14ac:dyDescent="0.65">
      <c r="A167" s="740" t="s">
        <v>1044</v>
      </c>
      <c r="B167" s="740" t="s">
        <v>1045</v>
      </c>
      <c r="C167" s="740" t="s">
        <v>50</v>
      </c>
      <c r="D167" s="678" t="s">
        <v>1410</v>
      </c>
      <c r="E167" s="737">
        <f>'d3'!E167-d3П!E167</f>
        <v>0</v>
      </c>
      <c r="F167" s="737">
        <f>'d3'!F167-d3П!F167</f>
        <v>0</v>
      </c>
      <c r="G167" s="737">
        <f>'d3'!G167-d3П!G167</f>
        <v>0</v>
      </c>
      <c r="H167" s="737">
        <f>'d3'!H167-d3П!H167</f>
        <v>0</v>
      </c>
      <c r="I167" s="737">
        <f>'d3'!I167-d3П!I167</f>
        <v>0</v>
      </c>
      <c r="J167" s="737">
        <f>'d3'!J167-d3П!J167</f>
        <v>26937130.870000005</v>
      </c>
      <c r="K167" s="737">
        <f>'d3'!K167-d3П!K167</f>
        <v>26937130.870000005</v>
      </c>
      <c r="L167" s="737">
        <f>'d3'!L167-d3П!L167</f>
        <v>0</v>
      </c>
      <c r="M167" s="737">
        <f>'d3'!M167-d3П!M167</f>
        <v>0</v>
      </c>
      <c r="N167" s="737">
        <f>'d3'!N167-d3П!N167</f>
        <v>0</v>
      </c>
      <c r="O167" s="737">
        <f>'d3'!O167-d3П!O167</f>
        <v>26937130.870000005</v>
      </c>
      <c r="P167" s="737">
        <f>'d3'!P167-d3П!P167</f>
        <v>26937130.870000005</v>
      </c>
      <c r="Q167" s="778"/>
      <c r="R167" s="782"/>
    </row>
    <row r="168" spans="1:18" ht="204.75" customHeight="1" x14ac:dyDescent="0.2">
      <c r="A168" s="741"/>
      <c r="B168" s="741"/>
      <c r="C168" s="741"/>
      <c r="D168" s="679" t="s">
        <v>1411</v>
      </c>
      <c r="E168" s="913"/>
      <c r="F168" s="913">
        <f>'d3'!F168-d3П!F168</f>
        <v>0</v>
      </c>
      <c r="G168" s="913">
        <f>'d3'!G168-d3П!G168</f>
        <v>0</v>
      </c>
      <c r="H168" s="913">
        <f>'d3'!H168-d3П!H168</f>
        <v>0</v>
      </c>
      <c r="I168" s="913">
        <f>'d3'!I168-d3П!I168</f>
        <v>0</v>
      </c>
      <c r="J168" s="913">
        <f>'d3'!J168-d3П!J168</f>
        <v>0</v>
      </c>
      <c r="K168" s="913">
        <f>'d3'!K168-d3П!K168</f>
        <v>0</v>
      </c>
      <c r="L168" s="913">
        <f>'d3'!L168-d3П!L168</f>
        <v>0</v>
      </c>
      <c r="M168" s="913">
        <f>'d3'!M168-d3П!M168</f>
        <v>0</v>
      </c>
      <c r="N168" s="913">
        <f>'d3'!N168-d3П!N168</f>
        <v>0</v>
      </c>
      <c r="O168" s="913">
        <f>'d3'!O168-d3П!O168</f>
        <v>0</v>
      </c>
      <c r="P168" s="913">
        <f>'d3'!P168-d3П!P168</f>
        <v>0</v>
      </c>
      <c r="Q168" s="778"/>
      <c r="R168" s="783"/>
    </row>
    <row r="169" spans="1:18" ht="180" customHeight="1" x14ac:dyDescent="0.2">
      <c r="A169" s="741"/>
      <c r="B169" s="741"/>
      <c r="C169" s="741"/>
      <c r="D169" s="679" t="s">
        <v>1412</v>
      </c>
      <c r="E169" s="913"/>
      <c r="F169" s="913">
        <f>'d3'!F169-d3П!F169</f>
        <v>0</v>
      </c>
      <c r="G169" s="913">
        <f>'d3'!G169-d3П!G169</f>
        <v>0</v>
      </c>
      <c r="H169" s="913">
        <f>'d3'!H169-d3П!H169</f>
        <v>0</v>
      </c>
      <c r="I169" s="913">
        <f>'d3'!I169-d3П!I169</f>
        <v>0</v>
      </c>
      <c r="J169" s="913">
        <f>'d3'!J169-d3П!J169</f>
        <v>0</v>
      </c>
      <c r="K169" s="913">
        <f>'d3'!K169-d3П!K169</f>
        <v>0</v>
      </c>
      <c r="L169" s="913">
        <f>'d3'!L169-d3П!L169</f>
        <v>0</v>
      </c>
      <c r="M169" s="913">
        <f>'d3'!M169-d3П!M169</f>
        <v>0</v>
      </c>
      <c r="N169" s="913">
        <f>'d3'!N169-d3П!N169</f>
        <v>0</v>
      </c>
      <c r="O169" s="913">
        <f>'d3'!O169-d3П!O169</f>
        <v>0</v>
      </c>
      <c r="P169" s="913">
        <f>'d3'!P169-d3П!P169</f>
        <v>0</v>
      </c>
      <c r="Q169" s="778"/>
      <c r="R169" s="783"/>
    </row>
    <row r="170" spans="1:18" ht="117" customHeight="1" thickBot="1" x14ac:dyDescent="0.25">
      <c r="A170" s="742"/>
      <c r="B170" s="742"/>
      <c r="C170" s="742"/>
      <c r="D170" s="680" t="s">
        <v>1413</v>
      </c>
      <c r="E170" s="738"/>
      <c r="F170" s="738">
        <f>'d3'!F170-d3П!F170</f>
        <v>0</v>
      </c>
      <c r="G170" s="738">
        <f>'d3'!G170-d3П!G170</f>
        <v>0</v>
      </c>
      <c r="H170" s="738">
        <f>'d3'!H170-d3П!H170</f>
        <v>0</v>
      </c>
      <c r="I170" s="738">
        <f>'d3'!I170-d3П!I170</f>
        <v>0</v>
      </c>
      <c r="J170" s="738">
        <f>'d3'!J170-d3П!J170</f>
        <v>0</v>
      </c>
      <c r="K170" s="738">
        <f>'d3'!K170-d3П!K170</f>
        <v>0</v>
      </c>
      <c r="L170" s="738">
        <f>'d3'!L170-d3П!L170</f>
        <v>0</v>
      </c>
      <c r="M170" s="738">
        <f>'d3'!M170-d3П!M170</f>
        <v>0</v>
      </c>
      <c r="N170" s="738">
        <f>'d3'!N170-d3П!N170</f>
        <v>0</v>
      </c>
      <c r="O170" s="738">
        <f>'d3'!O170-d3П!O170</f>
        <v>0</v>
      </c>
      <c r="P170" s="738">
        <f>'d3'!P170-d3П!P170</f>
        <v>0</v>
      </c>
      <c r="Q170" s="778"/>
      <c r="R170" s="783"/>
    </row>
    <row r="171" spans="1:18" ht="183.75" thickTop="1" x14ac:dyDescent="0.65">
      <c r="A171" s="740" t="s">
        <v>1047</v>
      </c>
      <c r="B171" s="740" t="s">
        <v>1048</v>
      </c>
      <c r="C171" s="740" t="s">
        <v>50</v>
      </c>
      <c r="D171" s="678" t="s">
        <v>1046</v>
      </c>
      <c r="E171" s="737">
        <f>'d3'!E171-d3П!E171</f>
        <v>0</v>
      </c>
      <c r="F171" s="737">
        <f>'d3'!F171-d3П!F171</f>
        <v>0</v>
      </c>
      <c r="G171" s="737">
        <f>'d3'!G171-d3П!G171</f>
        <v>0</v>
      </c>
      <c r="H171" s="737">
        <f>'d3'!H171-d3П!H171</f>
        <v>0</v>
      </c>
      <c r="I171" s="737">
        <f>'d3'!I171-d3П!I171</f>
        <v>0</v>
      </c>
      <c r="J171" s="737">
        <f>'d3'!J171-d3П!J171</f>
        <v>46863206.099999994</v>
      </c>
      <c r="K171" s="737">
        <f>'d3'!K171-d3П!K171</f>
        <v>46863206.099999994</v>
      </c>
      <c r="L171" s="737">
        <f>'d3'!L171-d3П!L171</f>
        <v>0</v>
      </c>
      <c r="M171" s="737">
        <f>'d3'!M171-d3П!M171</f>
        <v>0</v>
      </c>
      <c r="N171" s="737">
        <f>'d3'!N171-d3П!N171</f>
        <v>0</v>
      </c>
      <c r="O171" s="737">
        <f>'d3'!O171-d3П!O171</f>
        <v>46863206.099999994</v>
      </c>
      <c r="P171" s="737">
        <f>'d3'!P171-d3П!P171</f>
        <v>46863206.099999994</v>
      </c>
      <c r="Q171" s="20"/>
      <c r="R171" s="782"/>
    </row>
    <row r="172" spans="1:18" ht="204.75" customHeight="1" x14ac:dyDescent="0.2">
      <c r="A172" s="741"/>
      <c r="B172" s="741"/>
      <c r="C172" s="741"/>
      <c r="D172" s="679" t="s">
        <v>1414</v>
      </c>
      <c r="E172" s="913"/>
      <c r="F172" s="913">
        <f>'d3'!F172-d3П!F172</f>
        <v>0</v>
      </c>
      <c r="G172" s="913">
        <f>'d3'!G172-d3П!G172</f>
        <v>0</v>
      </c>
      <c r="H172" s="913">
        <f>'d3'!H172-d3П!H172</f>
        <v>0</v>
      </c>
      <c r="I172" s="913">
        <f>'d3'!I172-d3П!I172</f>
        <v>0</v>
      </c>
      <c r="J172" s="913">
        <f>'d3'!J172-d3П!J172</f>
        <v>0</v>
      </c>
      <c r="K172" s="913">
        <f>'d3'!K172-d3П!K172</f>
        <v>0</v>
      </c>
      <c r="L172" s="913">
        <f>'d3'!L172-d3П!L172</f>
        <v>0</v>
      </c>
      <c r="M172" s="913">
        <f>'d3'!M172-d3П!M172</f>
        <v>0</v>
      </c>
      <c r="N172" s="913">
        <f>'d3'!N172-d3П!N172</f>
        <v>0</v>
      </c>
      <c r="O172" s="913">
        <f>'d3'!O172-d3П!O172</f>
        <v>0</v>
      </c>
      <c r="P172" s="913">
        <f>'d3'!P172-d3П!P172</f>
        <v>0</v>
      </c>
      <c r="Q172" s="20"/>
      <c r="R172" s="784"/>
    </row>
    <row r="173" spans="1:18" ht="201.75" customHeight="1" x14ac:dyDescent="0.2">
      <c r="A173" s="741"/>
      <c r="B173" s="741"/>
      <c r="C173" s="741"/>
      <c r="D173" s="679" t="s">
        <v>1415</v>
      </c>
      <c r="E173" s="913"/>
      <c r="F173" s="913">
        <f>'d3'!F173-d3П!F173</f>
        <v>0</v>
      </c>
      <c r="G173" s="913">
        <f>'d3'!G173-d3П!G173</f>
        <v>0</v>
      </c>
      <c r="H173" s="913">
        <f>'d3'!H173-d3П!H173</f>
        <v>0</v>
      </c>
      <c r="I173" s="913">
        <f>'d3'!I173-d3П!I173</f>
        <v>0</v>
      </c>
      <c r="J173" s="913">
        <f>'d3'!J173-d3П!J173</f>
        <v>0</v>
      </c>
      <c r="K173" s="913">
        <f>'d3'!K173-d3П!K173</f>
        <v>0</v>
      </c>
      <c r="L173" s="913">
        <f>'d3'!L173-d3П!L173</f>
        <v>0</v>
      </c>
      <c r="M173" s="913">
        <f>'d3'!M173-d3П!M173</f>
        <v>0</v>
      </c>
      <c r="N173" s="913">
        <f>'d3'!N173-d3П!N173</f>
        <v>0</v>
      </c>
      <c r="O173" s="913">
        <f>'d3'!O173-d3П!O173</f>
        <v>0</v>
      </c>
      <c r="P173" s="913">
        <f>'d3'!P173-d3П!P173</f>
        <v>0</v>
      </c>
      <c r="Q173" s="20"/>
      <c r="R173" s="784"/>
    </row>
    <row r="174" spans="1:18" ht="111" customHeight="1" thickBot="1" x14ac:dyDescent="0.25">
      <c r="A174" s="742"/>
      <c r="B174" s="742"/>
      <c r="C174" s="742"/>
      <c r="D174" s="680" t="s">
        <v>1416</v>
      </c>
      <c r="E174" s="738"/>
      <c r="F174" s="738">
        <f>'d3'!F174-d3П!F174</f>
        <v>0</v>
      </c>
      <c r="G174" s="738">
        <f>'d3'!G174-d3П!G174</f>
        <v>0</v>
      </c>
      <c r="H174" s="738">
        <f>'d3'!H174-d3П!H174</f>
        <v>0</v>
      </c>
      <c r="I174" s="738">
        <f>'d3'!I174-d3П!I174</f>
        <v>0</v>
      </c>
      <c r="J174" s="738">
        <f>'d3'!J174-d3П!J174</f>
        <v>0</v>
      </c>
      <c r="K174" s="738">
        <f>'d3'!K174-d3П!K174</f>
        <v>0</v>
      </c>
      <c r="L174" s="738">
        <f>'d3'!L174-d3П!L174</f>
        <v>0</v>
      </c>
      <c r="M174" s="738">
        <f>'d3'!M174-d3П!M174</f>
        <v>0</v>
      </c>
      <c r="N174" s="738">
        <f>'d3'!N174-d3П!N174</f>
        <v>0</v>
      </c>
      <c r="O174" s="738">
        <f>'d3'!O174-d3П!O174</f>
        <v>0</v>
      </c>
      <c r="P174" s="738">
        <f>'d3'!P174-d3П!P174</f>
        <v>0</v>
      </c>
      <c r="Q174" s="20"/>
      <c r="R174" s="784"/>
    </row>
    <row r="175" spans="1:18" ht="183.75" thickTop="1" x14ac:dyDescent="0.65">
      <c r="A175" s="740" t="s">
        <v>1049</v>
      </c>
      <c r="B175" s="740" t="s">
        <v>1050</v>
      </c>
      <c r="C175" s="740" t="s">
        <v>50</v>
      </c>
      <c r="D175" s="678" t="s">
        <v>1417</v>
      </c>
      <c r="E175" s="737">
        <f>'d3'!E175-d3П!E175</f>
        <v>0</v>
      </c>
      <c r="F175" s="737">
        <f>'d3'!F175-d3П!F175</f>
        <v>0</v>
      </c>
      <c r="G175" s="737">
        <f>'d3'!G175-d3П!G175</f>
        <v>0</v>
      </c>
      <c r="H175" s="737">
        <f>'d3'!H175-d3П!H175</f>
        <v>0</v>
      </c>
      <c r="I175" s="737">
        <f>'d3'!I175-d3П!I175</f>
        <v>0</v>
      </c>
      <c r="J175" s="737">
        <f>'d3'!J175-d3П!J175</f>
        <v>8130380.3099999987</v>
      </c>
      <c r="K175" s="737">
        <f>'d3'!K175-d3П!K175</f>
        <v>8130380.3099999987</v>
      </c>
      <c r="L175" s="737">
        <f>'d3'!L175-d3П!L175</f>
        <v>0</v>
      </c>
      <c r="M175" s="737">
        <f>'d3'!M175-d3П!M175</f>
        <v>0</v>
      </c>
      <c r="N175" s="737">
        <f>'d3'!N175-d3П!N175</f>
        <v>0</v>
      </c>
      <c r="O175" s="737">
        <f>'d3'!O175-d3П!O175</f>
        <v>8130380.3099999987</v>
      </c>
      <c r="P175" s="737">
        <f>'d3'!P175-d3П!P175</f>
        <v>8130380.3099999987</v>
      </c>
      <c r="Q175" s="20"/>
      <c r="R175" s="782"/>
    </row>
    <row r="176" spans="1:18" ht="183" x14ac:dyDescent="0.2">
      <c r="A176" s="741"/>
      <c r="B176" s="741"/>
      <c r="C176" s="741"/>
      <c r="D176" s="679" t="s">
        <v>1418</v>
      </c>
      <c r="E176" s="913"/>
      <c r="F176" s="913">
        <f>'d3'!F176-d3П!F176</f>
        <v>0</v>
      </c>
      <c r="G176" s="913">
        <f>'d3'!G176-d3П!G176</f>
        <v>0</v>
      </c>
      <c r="H176" s="913">
        <f>'d3'!H176-d3П!H176</f>
        <v>0</v>
      </c>
      <c r="I176" s="913">
        <f>'d3'!I176-d3П!I176</f>
        <v>0</v>
      </c>
      <c r="J176" s="913">
        <f>'d3'!J176-d3П!J176</f>
        <v>0</v>
      </c>
      <c r="K176" s="913">
        <f>'d3'!K176-d3П!K176</f>
        <v>0</v>
      </c>
      <c r="L176" s="913">
        <f>'d3'!L176-d3П!L176</f>
        <v>0</v>
      </c>
      <c r="M176" s="913">
        <f>'d3'!M176-d3П!M176</f>
        <v>0</v>
      </c>
      <c r="N176" s="913">
        <f>'d3'!N176-d3П!N176</f>
        <v>0</v>
      </c>
      <c r="O176" s="913">
        <f>'d3'!O176-d3П!O176</f>
        <v>0</v>
      </c>
      <c r="P176" s="913">
        <f>'d3'!P176-d3П!P176</f>
        <v>0</v>
      </c>
      <c r="Q176" s="20"/>
      <c r="R176" s="783"/>
    </row>
    <row r="177" spans="1:18" ht="70.5" customHeight="1" thickBot="1" x14ac:dyDescent="0.25">
      <c r="A177" s="742"/>
      <c r="B177" s="742"/>
      <c r="C177" s="742"/>
      <c r="D177" s="680" t="s">
        <v>1051</v>
      </c>
      <c r="E177" s="738"/>
      <c r="F177" s="738">
        <f>'d3'!F177-d3П!F177</f>
        <v>0</v>
      </c>
      <c r="G177" s="738">
        <f>'d3'!G177-d3П!G177</f>
        <v>0</v>
      </c>
      <c r="H177" s="738">
        <f>'d3'!H177-d3П!H177</f>
        <v>0</v>
      </c>
      <c r="I177" s="738">
        <f>'d3'!I177-d3П!I177</f>
        <v>0</v>
      </c>
      <c r="J177" s="738">
        <f>'d3'!J177-d3П!J177</f>
        <v>0</v>
      </c>
      <c r="K177" s="738">
        <f>'d3'!K177-d3П!K177</f>
        <v>0</v>
      </c>
      <c r="L177" s="738">
        <f>'d3'!L177-d3П!L177</f>
        <v>0</v>
      </c>
      <c r="M177" s="738">
        <f>'d3'!M177-d3П!M177</f>
        <v>0</v>
      </c>
      <c r="N177" s="738">
        <f>'d3'!N177-d3П!N177</f>
        <v>0</v>
      </c>
      <c r="O177" s="738">
        <f>'d3'!O177-d3П!O177</f>
        <v>0</v>
      </c>
      <c r="P177" s="738">
        <f>'d3'!P177-d3П!P177</f>
        <v>0</v>
      </c>
      <c r="Q177" s="20"/>
      <c r="R177" s="783"/>
    </row>
    <row r="178" spans="1:18" ht="184.5" hidden="1" customHeight="1" thickTop="1" thickBot="1" x14ac:dyDescent="0.7">
      <c r="A178" s="748" t="s">
        <v>1055</v>
      </c>
      <c r="B178" s="748" t="s">
        <v>1056</v>
      </c>
      <c r="C178" s="748" t="s">
        <v>50</v>
      </c>
      <c r="D178" s="398" t="s">
        <v>1052</v>
      </c>
      <c r="E178" s="324">
        <f>'d3'!E178-d3П!E178</f>
        <v>0</v>
      </c>
      <c r="F178" s="324">
        <f>'d3'!F178-d3П!F178</f>
        <v>0</v>
      </c>
      <c r="G178" s="324">
        <f>'d3'!G178-d3П!G178</f>
        <v>0</v>
      </c>
      <c r="H178" s="324">
        <f>'d3'!H178-d3П!H178</f>
        <v>0</v>
      </c>
      <c r="I178" s="324">
        <f>'d3'!I178-d3П!I178</f>
        <v>0</v>
      </c>
      <c r="J178" s="324">
        <f>'d3'!J178-d3П!J178</f>
        <v>0</v>
      </c>
      <c r="K178" s="324">
        <f>'d3'!K178-d3П!K178</f>
        <v>0</v>
      </c>
      <c r="L178" s="324">
        <f>'d3'!L178-d3П!L178</f>
        <v>0</v>
      </c>
      <c r="M178" s="324">
        <f>'d3'!M178-d3П!M178</f>
        <v>0</v>
      </c>
      <c r="N178" s="324">
        <f>'d3'!N178-d3П!N178</f>
        <v>0</v>
      </c>
      <c r="O178" s="324">
        <f>'d3'!O178-d3П!O178</f>
        <v>0</v>
      </c>
      <c r="P178" s="324">
        <f>'d3'!P178-d3П!P178</f>
        <v>0</v>
      </c>
      <c r="Q178" s="20"/>
      <c r="R178" s="782"/>
    </row>
    <row r="179" spans="1:18" ht="184.5" hidden="1" customHeight="1" thickTop="1" thickBot="1" x14ac:dyDescent="0.25">
      <c r="A179" s="749"/>
      <c r="B179" s="749"/>
      <c r="C179" s="749"/>
      <c r="D179" s="124" t="s">
        <v>1053</v>
      </c>
      <c r="E179" s="324">
        <f>'d3'!E179-d3П!E179</f>
        <v>0</v>
      </c>
      <c r="F179" s="324">
        <f>'d3'!F179-d3П!F179</f>
        <v>0</v>
      </c>
      <c r="G179" s="324">
        <f>'d3'!G179-d3П!G179</f>
        <v>0</v>
      </c>
      <c r="H179" s="324">
        <f>'d3'!H179-d3П!H179</f>
        <v>0</v>
      </c>
      <c r="I179" s="324">
        <f>'d3'!I179-d3П!I179</f>
        <v>0</v>
      </c>
      <c r="J179" s="324">
        <f>'d3'!J179-d3П!J179</f>
        <v>0</v>
      </c>
      <c r="K179" s="324">
        <f>'d3'!K179-d3П!K179</f>
        <v>0</v>
      </c>
      <c r="L179" s="324">
        <f>'d3'!L179-d3П!L179</f>
        <v>0</v>
      </c>
      <c r="M179" s="324">
        <f>'d3'!M179-d3П!M179</f>
        <v>0</v>
      </c>
      <c r="N179" s="324">
        <f>'d3'!N179-d3П!N179</f>
        <v>0</v>
      </c>
      <c r="O179" s="324">
        <f>'d3'!O179-d3П!O179</f>
        <v>0</v>
      </c>
      <c r="P179" s="324">
        <f>'d3'!P179-d3П!P179</f>
        <v>0</v>
      </c>
      <c r="Q179" s="20"/>
      <c r="R179" s="783"/>
    </row>
    <row r="180" spans="1:18" ht="47.25" hidden="1" customHeight="1" thickTop="1" thickBot="1" x14ac:dyDescent="0.25">
      <c r="A180" s="750"/>
      <c r="B180" s="750"/>
      <c r="C180" s="750"/>
      <c r="D180" s="399" t="s">
        <v>1054</v>
      </c>
      <c r="E180" s="324">
        <f>'d3'!E180-d3П!E180</f>
        <v>0</v>
      </c>
      <c r="F180" s="324">
        <f>'d3'!F180-d3П!F180</f>
        <v>0</v>
      </c>
      <c r="G180" s="324">
        <f>'d3'!G180-d3П!G180</f>
        <v>0</v>
      </c>
      <c r="H180" s="324">
        <f>'d3'!H180-d3П!H180</f>
        <v>0</v>
      </c>
      <c r="I180" s="324">
        <f>'d3'!I180-d3П!I180</f>
        <v>0</v>
      </c>
      <c r="J180" s="324">
        <f>'d3'!J180-d3П!J180</f>
        <v>0</v>
      </c>
      <c r="K180" s="324">
        <f>'d3'!K180-d3П!K180</f>
        <v>0</v>
      </c>
      <c r="L180" s="324">
        <f>'d3'!L180-d3П!L180</f>
        <v>0</v>
      </c>
      <c r="M180" s="324">
        <f>'d3'!M180-d3П!M180</f>
        <v>0</v>
      </c>
      <c r="N180" s="324">
        <f>'d3'!N180-d3П!N180</f>
        <v>0</v>
      </c>
      <c r="O180" s="324">
        <f>'d3'!O180-d3П!O180</f>
        <v>0</v>
      </c>
      <c r="P180" s="324">
        <f>'d3'!P180-d3П!P180</f>
        <v>0</v>
      </c>
      <c r="Q180" s="20"/>
      <c r="R180" s="783"/>
    </row>
    <row r="181" spans="1:18" ht="93" thickTop="1" thickBot="1" x14ac:dyDescent="0.25">
      <c r="A181" s="101" t="s">
        <v>1185</v>
      </c>
      <c r="B181" s="101" t="s">
        <v>1182</v>
      </c>
      <c r="C181" s="101" t="s">
        <v>206</v>
      </c>
      <c r="D181" s="461" t="s">
        <v>1183</v>
      </c>
      <c r="E181" s="324">
        <f>'d3'!E181-d3П!E181</f>
        <v>0</v>
      </c>
      <c r="F181" s="324">
        <f>'d3'!F181-d3П!F181</f>
        <v>0</v>
      </c>
      <c r="G181" s="324">
        <f>'d3'!G181-d3П!G181</f>
        <v>0</v>
      </c>
      <c r="H181" s="324">
        <f>'d3'!H181-d3П!H181</f>
        <v>0</v>
      </c>
      <c r="I181" s="324">
        <f>'d3'!I181-d3П!I181</f>
        <v>0</v>
      </c>
      <c r="J181" s="324">
        <f>'d3'!J181-d3П!J181</f>
        <v>-189776</v>
      </c>
      <c r="K181" s="324">
        <f>'d3'!K181-d3П!K181</f>
        <v>-189776</v>
      </c>
      <c r="L181" s="324">
        <f>'d3'!L181-d3П!L181</f>
        <v>0</v>
      </c>
      <c r="M181" s="324">
        <f>'d3'!M181-d3П!M181</f>
        <v>0</v>
      </c>
      <c r="N181" s="324">
        <f>'d3'!N181-d3П!N181</f>
        <v>0</v>
      </c>
      <c r="O181" s="324">
        <f>'d3'!O181-d3П!O181</f>
        <v>-189776</v>
      </c>
      <c r="P181" s="324">
        <f>'d3'!P181-d3П!P181</f>
        <v>-189776</v>
      </c>
      <c r="Q181" s="20"/>
      <c r="R181" s="21"/>
    </row>
    <row r="182" spans="1:18" s="33" customFormat="1" ht="47.25" thickTop="1" thickBot="1" x14ac:dyDescent="0.25">
      <c r="A182" s="325" t="s">
        <v>734</v>
      </c>
      <c r="B182" s="325" t="s">
        <v>735</v>
      </c>
      <c r="C182" s="325"/>
      <c r="D182" s="325" t="s">
        <v>736</v>
      </c>
      <c r="E182" s="324">
        <f>'d3'!E182-d3П!E182</f>
        <v>11137813.280000001</v>
      </c>
      <c r="F182" s="324">
        <f>'d3'!F182-d3П!F182</f>
        <v>11137813.280000001</v>
      </c>
      <c r="G182" s="324">
        <f>'d3'!G182-d3П!G182</f>
        <v>550000</v>
      </c>
      <c r="H182" s="324">
        <f>'d3'!H182-d3П!H182</f>
        <v>140091.75999999978</v>
      </c>
      <c r="I182" s="324">
        <f>'d3'!I182-d3П!I182</f>
        <v>0</v>
      </c>
      <c r="J182" s="324">
        <f>'d3'!J182-d3П!J182</f>
        <v>242162.99000000209</v>
      </c>
      <c r="K182" s="324">
        <f>'d3'!K182-d3П!K182</f>
        <v>242162.99000000209</v>
      </c>
      <c r="L182" s="324">
        <f>'d3'!L182-d3П!L182</f>
        <v>0</v>
      </c>
      <c r="M182" s="324">
        <f>'d3'!M182-d3П!M182</f>
        <v>0</v>
      </c>
      <c r="N182" s="324">
        <f>'d3'!N182-d3П!N182</f>
        <v>0</v>
      </c>
      <c r="O182" s="324">
        <f>'d3'!O182-d3П!O182</f>
        <v>242162.99000000209</v>
      </c>
      <c r="P182" s="324">
        <f>'d3'!P182-d3П!P182</f>
        <v>11379976.270000011</v>
      </c>
      <c r="Q182" s="36"/>
      <c r="R182" s="51"/>
    </row>
    <row r="183" spans="1:18" ht="93" thickTop="1" thickBot="1" x14ac:dyDescent="0.25">
      <c r="A183" s="101" t="s">
        <v>327</v>
      </c>
      <c r="B183" s="101" t="s">
        <v>329</v>
      </c>
      <c r="C183" s="101" t="s">
        <v>191</v>
      </c>
      <c r="D183" s="461" t="s">
        <v>331</v>
      </c>
      <c r="E183" s="324">
        <f>'d3'!E183-d3П!E183</f>
        <v>626172.76000000164</v>
      </c>
      <c r="F183" s="324">
        <f>'d3'!F183-d3П!F183</f>
        <v>626172.76000000164</v>
      </c>
      <c r="G183" s="324">
        <f>'d3'!G183-d3П!G183</f>
        <v>550000</v>
      </c>
      <c r="H183" s="324">
        <f>'d3'!H183-d3П!H183</f>
        <v>140091.75999999978</v>
      </c>
      <c r="I183" s="324">
        <f>'d3'!I183-d3П!I183</f>
        <v>0</v>
      </c>
      <c r="J183" s="324">
        <f>'d3'!J183-d3П!J183</f>
        <v>151162.99000000022</v>
      </c>
      <c r="K183" s="324">
        <f>'d3'!K183-d3П!K183</f>
        <v>151162.99000000022</v>
      </c>
      <c r="L183" s="324">
        <f>'d3'!L183-d3П!L183</f>
        <v>0</v>
      </c>
      <c r="M183" s="324">
        <f>'d3'!M183-d3П!M183</f>
        <v>0</v>
      </c>
      <c r="N183" s="324">
        <f>'d3'!N183-d3П!N183</f>
        <v>0</v>
      </c>
      <c r="O183" s="324">
        <f>'d3'!O183-d3П!O183</f>
        <v>151162.99000000022</v>
      </c>
      <c r="P183" s="324">
        <f>'d3'!P183-d3П!P183</f>
        <v>777335.75</v>
      </c>
      <c r="Q183" s="20"/>
      <c r="R183" s="46"/>
    </row>
    <row r="184" spans="1:18" ht="66.75" customHeight="1" thickTop="1" thickBot="1" x14ac:dyDescent="0.25">
      <c r="A184" s="101" t="s">
        <v>328</v>
      </c>
      <c r="B184" s="101" t="s">
        <v>330</v>
      </c>
      <c r="C184" s="101" t="s">
        <v>191</v>
      </c>
      <c r="D184" s="461" t="s">
        <v>332</v>
      </c>
      <c r="E184" s="324">
        <f>'d3'!E184-d3П!E184</f>
        <v>10511640.519999996</v>
      </c>
      <c r="F184" s="324">
        <f>'d3'!F184-d3П!F184</f>
        <v>10511640.519999996</v>
      </c>
      <c r="G184" s="324">
        <f>'d3'!G184-d3П!G184</f>
        <v>0</v>
      </c>
      <c r="H184" s="324">
        <f>'d3'!H184-d3П!H184</f>
        <v>0</v>
      </c>
      <c r="I184" s="324">
        <f>'d3'!I184-d3П!I184</f>
        <v>0</v>
      </c>
      <c r="J184" s="324">
        <f>'d3'!J184-d3П!J184</f>
        <v>91000</v>
      </c>
      <c r="K184" s="324">
        <f>'d3'!K184-d3П!K184</f>
        <v>91000</v>
      </c>
      <c r="L184" s="324">
        <f>'d3'!L184-d3П!L184</f>
        <v>0</v>
      </c>
      <c r="M184" s="324">
        <f>'d3'!M184-d3П!M184</f>
        <v>0</v>
      </c>
      <c r="N184" s="324">
        <f>'d3'!N184-d3П!N184</f>
        <v>0</v>
      </c>
      <c r="O184" s="324">
        <f>'d3'!O184-d3П!O184</f>
        <v>91000</v>
      </c>
      <c r="P184" s="324">
        <f>'d3'!P184-d3П!P184</f>
        <v>10602640.519999996</v>
      </c>
      <c r="Q184" s="20"/>
      <c r="R184" s="46"/>
    </row>
    <row r="185" spans="1:18" ht="47.25" thickTop="1" thickBot="1" x14ac:dyDescent="0.25">
      <c r="A185" s="308" t="s">
        <v>737</v>
      </c>
      <c r="B185" s="308" t="s">
        <v>738</v>
      </c>
      <c r="C185" s="308"/>
      <c r="D185" s="343" t="s">
        <v>739</v>
      </c>
      <c r="E185" s="324">
        <f>'d3'!E185-d3П!E185</f>
        <v>0</v>
      </c>
      <c r="F185" s="324">
        <f>'d3'!F185-d3П!F185</f>
        <v>0</v>
      </c>
      <c r="G185" s="324">
        <f>'d3'!G185-d3П!G185</f>
        <v>0</v>
      </c>
      <c r="H185" s="324">
        <f>'d3'!H185-d3П!H185</f>
        <v>0</v>
      </c>
      <c r="I185" s="324">
        <f>'d3'!I185-d3П!I185</f>
        <v>0</v>
      </c>
      <c r="J185" s="324">
        <f>'d3'!J185-d3П!J185</f>
        <v>7447385.5899999999</v>
      </c>
      <c r="K185" s="324">
        <f>'d3'!K185-d3П!K185</f>
        <v>7447385.5899999999</v>
      </c>
      <c r="L185" s="324">
        <f>'d3'!L185-d3П!L185</f>
        <v>0</v>
      </c>
      <c r="M185" s="324">
        <f>'d3'!M185-d3П!M185</f>
        <v>0</v>
      </c>
      <c r="N185" s="324">
        <f>'d3'!N185-d3П!N185</f>
        <v>0</v>
      </c>
      <c r="O185" s="324">
        <f>'d3'!O185-d3П!O185</f>
        <v>7447385.5899999999</v>
      </c>
      <c r="P185" s="324">
        <f>'d3'!P185-d3П!P185</f>
        <v>7447385.5899999999</v>
      </c>
      <c r="Q185" s="20"/>
      <c r="R185" s="46"/>
    </row>
    <row r="186" spans="1:18" s="33" customFormat="1" ht="48" thickTop="1" thickBot="1" x14ac:dyDescent="0.25">
      <c r="A186" s="325" t="s">
        <v>740</v>
      </c>
      <c r="B186" s="325" t="s">
        <v>741</v>
      </c>
      <c r="C186" s="325"/>
      <c r="D186" s="536" t="s">
        <v>742</v>
      </c>
      <c r="E186" s="324">
        <f>'d3'!E186-d3П!E186</f>
        <v>0</v>
      </c>
      <c r="F186" s="324">
        <f>'d3'!F186-d3П!F186</f>
        <v>0</v>
      </c>
      <c r="G186" s="324">
        <f>'d3'!G186-d3П!G186</f>
        <v>0</v>
      </c>
      <c r="H186" s="324">
        <f>'d3'!H186-d3П!H186</f>
        <v>0</v>
      </c>
      <c r="I186" s="324">
        <f>'d3'!I186-d3П!I186</f>
        <v>0</v>
      </c>
      <c r="J186" s="324">
        <f>'d3'!J186-d3П!J186</f>
        <v>7447385.5899999999</v>
      </c>
      <c r="K186" s="324">
        <f>'d3'!K186-d3П!K186</f>
        <v>7447385.5899999999</v>
      </c>
      <c r="L186" s="324">
        <f>'d3'!L186-d3П!L186</f>
        <v>0</v>
      </c>
      <c r="M186" s="324">
        <f>'d3'!M186-d3П!M186</f>
        <v>0</v>
      </c>
      <c r="N186" s="324">
        <f>'d3'!N186-d3П!N186</f>
        <v>0</v>
      </c>
      <c r="O186" s="324">
        <f>'d3'!O186-d3П!O186</f>
        <v>7447385.5899999999</v>
      </c>
      <c r="P186" s="324">
        <f>'d3'!P186-d3П!P186</f>
        <v>7447385.5899999999</v>
      </c>
      <c r="Q186" s="36"/>
      <c r="R186" s="52"/>
    </row>
    <row r="187" spans="1:18" ht="47.25" thickTop="1" thickBot="1" x14ac:dyDescent="0.25">
      <c r="A187" s="101" t="s">
        <v>367</v>
      </c>
      <c r="B187" s="101" t="s">
        <v>365</v>
      </c>
      <c r="C187" s="101" t="s">
        <v>340</v>
      </c>
      <c r="D187" s="461" t="s">
        <v>366</v>
      </c>
      <c r="E187" s="324">
        <f>'d3'!E187-d3П!E187</f>
        <v>0</v>
      </c>
      <c r="F187" s="324">
        <f>'d3'!F187-d3П!F187</f>
        <v>0</v>
      </c>
      <c r="G187" s="324">
        <f>'d3'!G187-d3П!G187</f>
        <v>0</v>
      </c>
      <c r="H187" s="324">
        <f>'d3'!H187-d3П!H187</f>
        <v>0</v>
      </c>
      <c r="I187" s="324">
        <f>'d3'!I187-d3П!I187</f>
        <v>0</v>
      </c>
      <c r="J187" s="324">
        <f>'d3'!J187-d3П!J187</f>
        <v>451003.58999999985</v>
      </c>
      <c r="K187" s="324">
        <f>'d3'!K187-d3П!K187</f>
        <v>451003.58999999985</v>
      </c>
      <c r="L187" s="324">
        <f>'d3'!L187-d3П!L187</f>
        <v>0</v>
      </c>
      <c r="M187" s="324">
        <f>'d3'!M187-d3П!M187</f>
        <v>0</v>
      </c>
      <c r="N187" s="324">
        <f>'d3'!N187-d3П!N187</f>
        <v>0</v>
      </c>
      <c r="O187" s="324">
        <f>'d3'!O187-d3П!O187</f>
        <v>451003.58999999985</v>
      </c>
      <c r="P187" s="324">
        <f>'d3'!P187-d3П!P187</f>
        <v>451003.58999999985</v>
      </c>
      <c r="Q187" s="20"/>
      <c r="R187" s="46"/>
    </row>
    <row r="188" spans="1:18" ht="197.25" customHeight="1" thickTop="1" thickBot="1" x14ac:dyDescent="0.25">
      <c r="A188" s="101" t="s">
        <v>1057</v>
      </c>
      <c r="B188" s="101" t="s">
        <v>1058</v>
      </c>
      <c r="C188" s="101" t="s">
        <v>340</v>
      </c>
      <c r="D188" s="461" t="s">
        <v>1059</v>
      </c>
      <c r="E188" s="324">
        <f>'d3'!E188-d3П!E188</f>
        <v>0</v>
      </c>
      <c r="F188" s="324">
        <f>'d3'!F188-d3П!F188</f>
        <v>0</v>
      </c>
      <c r="G188" s="324">
        <f>'d3'!G188-d3П!G188</f>
        <v>0</v>
      </c>
      <c r="H188" s="324">
        <f>'d3'!H188-d3П!H188</f>
        <v>0</v>
      </c>
      <c r="I188" s="324">
        <f>'d3'!I188-d3П!I188</f>
        <v>0</v>
      </c>
      <c r="J188" s="324">
        <f>'d3'!J188-d3П!J188</f>
        <v>6996382</v>
      </c>
      <c r="K188" s="324">
        <f>'d3'!K188-d3П!K188</f>
        <v>6996382</v>
      </c>
      <c r="L188" s="324">
        <f>'d3'!L188-d3П!L188</f>
        <v>0</v>
      </c>
      <c r="M188" s="324">
        <f>'d3'!M188-d3П!M188</f>
        <v>0</v>
      </c>
      <c r="N188" s="324">
        <f>'d3'!N188-d3П!N188</f>
        <v>0</v>
      </c>
      <c r="O188" s="324">
        <f>'d3'!O188-d3П!O188</f>
        <v>6996382</v>
      </c>
      <c r="P188" s="324">
        <f>'d3'!P188-d3П!P188</f>
        <v>6996382</v>
      </c>
      <c r="Q188" s="20"/>
      <c r="R188" s="46"/>
    </row>
    <row r="189" spans="1:18" ht="47.25" thickTop="1" thickBot="1" x14ac:dyDescent="0.25">
      <c r="A189" s="308" t="s">
        <v>747</v>
      </c>
      <c r="B189" s="308" t="s">
        <v>744</v>
      </c>
      <c r="C189" s="308"/>
      <c r="D189" s="308" t="s">
        <v>745</v>
      </c>
      <c r="E189" s="324">
        <f>'d3'!E189-d3П!E189</f>
        <v>0</v>
      </c>
      <c r="F189" s="324">
        <f>'d3'!F189-d3П!F189</f>
        <v>0</v>
      </c>
      <c r="G189" s="324">
        <f>'d3'!G189-d3П!G189</f>
        <v>0</v>
      </c>
      <c r="H189" s="324">
        <f>'d3'!H189-d3П!H189</f>
        <v>0</v>
      </c>
      <c r="I189" s="324">
        <f>'d3'!I189-d3П!I189</f>
        <v>0</v>
      </c>
      <c r="J189" s="324">
        <f>'d3'!J189-d3П!J189</f>
        <v>0</v>
      </c>
      <c r="K189" s="324">
        <f>'d3'!K189-d3П!K189</f>
        <v>0</v>
      </c>
      <c r="L189" s="324">
        <f>'d3'!L189-d3П!L189</f>
        <v>0</v>
      </c>
      <c r="M189" s="324">
        <f>'d3'!M189-d3П!M189</f>
        <v>0</v>
      </c>
      <c r="N189" s="324">
        <f>'d3'!N189-d3П!N189</f>
        <v>0</v>
      </c>
      <c r="O189" s="324">
        <f>'d3'!O189-d3П!O189</f>
        <v>0</v>
      </c>
      <c r="P189" s="324">
        <f>'d3'!P189-d3П!P189</f>
        <v>0</v>
      </c>
      <c r="Q189" s="20"/>
      <c r="R189" s="46"/>
    </row>
    <row r="190" spans="1:18" ht="47.25" thickTop="1" thickBot="1" x14ac:dyDescent="0.25">
      <c r="A190" s="310" t="s">
        <v>921</v>
      </c>
      <c r="B190" s="310" t="s">
        <v>799</v>
      </c>
      <c r="C190" s="310"/>
      <c r="D190" s="310" t="s">
        <v>800</v>
      </c>
      <c r="E190" s="324">
        <f>'d3'!E190-d3П!E190</f>
        <v>0</v>
      </c>
      <c r="F190" s="324">
        <f>'d3'!F190-d3П!F190</f>
        <v>0</v>
      </c>
      <c r="G190" s="324">
        <f>'d3'!G190-d3П!G190</f>
        <v>0</v>
      </c>
      <c r="H190" s="324">
        <f>'d3'!H190-d3П!H190</f>
        <v>0</v>
      </c>
      <c r="I190" s="324">
        <f>'d3'!I190-d3П!I190</f>
        <v>0</v>
      </c>
      <c r="J190" s="324">
        <f>'d3'!J190-d3П!J190</f>
        <v>0</v>
      </c>
      <c r="K190" s="324">
        <f>'d3'!K190-d3П!K190</f>
        <v>0</v>
      </c>
      <c r="L190" s="324">
        <f>'d3'!L190-d3П!L190</f>
        <v>0</v>
      </c>
      <c r="M190" s="324">
        <f>'d3'!M190-d3П!M190</f>
        <v>0</v>
      </c>
      <c r="N190" s="324">
        <f>'d3'!N190-d3П!N190</f>
        <v>0</v>
      </c>
      <c r="O190" s="324">
        <f>'d3'!O190-d3П!O190</f>
        <v>0</v>
      </c>
      <c r="P190" s="324">
        <f>'d3'!P190-d3П!P190</f>
        <v>0</v>
      </c>
      <c r="Q190" s="20"/>
      <c r="R190" s="46"/>
    </row>
    <row r="191" spans="1:18" ht="54.75" thickTop="1" thickBot="1" x14ac:dyDescent="0.25">
      <c r="A191" s="325" t="s">
        <v>918</v>
      </c>
      <c r="B191" s="325" t="s">
        <v>817</v>
      </c>
      <c r="C191" s="325"/>
      <c r="D191" s="325" t="s">
        <v>1483</v>
      </c>
      <c r="E191" s="324">
        <f>'d3'!E191-d3П!E191</f>
        <v>0</v>
      </c>
      <c r="F191" s="324">
        <f>'d3'!F191-d3П!F191</f>
        <v>0</v>
      </c>
      <c r="G191" s="324">
        <f>'d3'!G191-d3П!G191</f>
        <v>0</v>
      </c>
      <c r="H191" s="324">
        <f>'d3'!H191-d3П!H191</f>
        <v>0</v>
      </c>
      <c r="I191" s="324">
        <f>'d3'!I191-d3П!I191</f>
        <v>0</v>
      </c>
      <c r="J191" s="324">
        <f>'d3'!J191-d3П!J191</f>
        <v>0</v>
      </c>
      <c r="K191" s="324">
        <f>'d3'!K191-d3П!K191</f>
        <v>0</v>
      </c>
      <c r="L191" s="324">
        <f>'d3'!L191-d3П!L191</f>
        <v>0</v>
      </c>
      <c r="M191" s="324">
        <f>'d3'!M191-d3П!M191</f>
        <v>0</v>
      </c>
      <c r="N191" s="324">
        <f>'d3'!N191-d3П!N191</f>
        <v>0</v>
      </c>
      <c r="O191" s="324">
        <f>'d3'!O191-d3П!O191</f>
        <v>0</v>
      </c>
      <c r="P191" s="324">
        <f>'d3'!P191-d3П!P191</f>
        <v>0</v>
      </c>
      <c r="Q191" s="20"/>
      <c r="R191" s="46"/>
    </row>
    <row r="192" spans="1:18" ht="54" thickTop="1" thickBot="1" x14ac:dyDescent="0.25">
      <c r="A192" s="101" t="s">
        <v>919</v>
      </c>
      <c r="B192" s="101" t="s">
        <v>920</v>
      </c>
      <c r="C192" s="101" t="s">
        <v>304</v>
      </c>
      <c r="D192" s="101" t="s">
        <v>1583</v>
      </c>
      <c r="E192" s="324">
        <f>'d3'!E192-d3П!E192</f>
        <v>0</v>
      </c>
      <c r="F192" s="324">
        <f>'d3'!F192-d3П!F192</f>
        <v>0</v>
      </c>
      <c r="G192" s="324">
        <f>'d3'!G192-d3П!G192</f>
        <v>0</v>
      </c>
      <c r="H192" s="324">
        <f>'d3'!H192-d3П!H192</f>
        <v>0</v>
      </c>
      <c r="I192" s="324">
        <f>'d3'!I192-d3П!I192</f>
        <v>0</v>
      </c>
      <c r="J192" s="324">
        <f>'d3'!J192-d3П!J192</f>
        <v>0</v>
      </c>
      <c r="K192" s="324">
        <f>'d3'!K192-d3П!K192</f>
        <v>0</v>
      </c>
      <c r="L192" s="324">
        <f>'d3'!L192-d3П!L192</f>
        <v>0</v>
      </c>
      <c r="M192" s="324">
        <f>'d3'!M192-d3П!M192</f>
        <v>0</v>
      </c>
      <c r="N192" s="324">
        <f>'d3'!N192-d3П!N192</f>
        <v>0</v>
      </c>
      <c r="O192" s="324">
        <f>'d3'!O192-d3П!O192</f>
        <v>0</v>
      </c>
      <c r="P192" s="324">
        <f>'d3'!P192-d3П!P192</f>
        <v>0</v>
      </c>
      <c r="Q192" s="20"/>
      <c r="R192" s="46"/>
    </row>
    <row r="193" spans="1:18" ht="47.25" thickTop="1" thickBot="1" x14ac:dyDescent="0.25">
      <c r="A193" s="310" t="s">
        <v>749</v>
      </c>
      <c r="B193" s="310" t="s">
        <v>687</v>
      </c>
      <c r="C193" s="310"/>
      <c r="D193" s="310" t="s">
        <v>685</v>
      </c>
      <c r="E193" s="324">
        <f>'d3'!E193-d3П!E193</f>
        <v>0</v>
      </c>
      <c r="F193" s="324">
        <f>'d3'!F193-d3П!F193</f>
        <v>0</v>
      </c>
      <c r="G193" s="324">
        <f>'d3'!G193-d3П!G193</f>
        <v>0</v>
      </c>
      <c r="H193" s="324">
        <f>'d3'!H193-d3П!H193</f>
        <v>0</v>
      </c>
      <c r="I193" s="324">
        <f>'d3'!I193-d3П!I193</f>
        <v>0</v>
      </c>
      <c r="J193" s="324">
        <f>'d3'!J193-d3П!J193</f>
        <v>0</v>
      </c>
      <c r="K193" s="324">
        <f>'d3'!K193-d3П!K193</f>
        <v>0</v>
      </c>
      <c r="L193" s="324">
        <f>'d3'!L193-d3П!L193</f>
        <v>0</v>
      </c>
      <c r="M193" s="324">
        <f>'d3'!M193-d3П!M193</f>
        <v>0</v>
      </c>
      <c r="N193" s="324">
        <f>'d3'!N193-d3П!N193</f>
        <v>0</v>
      </c>
      <c r="O193" s="324">
        <f>'d3'!O193-d3П!O193</f>
        <v>0</v>
      </c>
      <c r="P193" s="324">
        <f>'d3'!P193-d3П!P193</f>
        <v>0</v>
      </c>
      <c r="Q193" s="20"/>
      <c r="R193" s="46"/>
    </row>
    <row r="194" spans="1:18" ht="47.25" thickTop="1" thickBot="1" x14ac:dyDescent="0.25">
      <c r="A194" s="101" t="s">
        <v>1290</v>
      </c>
      <c r="B194" s="101" t="s">
        <v>212</v>
      </c>
      <c r="C194" s="101" t="s">
        <v>213</v>
      </c>
      <c r="D194" s="101" t="s">
        <v>41</v>
      </c>
      <c r="E194" s="324">
        <f>'d3'!E194-d3П!E194</f>
        <v>0</v>
      </c>
      <c r="F194" s="324">
        <f>'d3'!F194-d3П!F194</f>
        <v>0</v>
      </c>
      <c r="G194" s="324">
        <f>'d3'!G194-d3П!G194</f>
        <v>0</v>
      </c>
      <c r="H194" s="324">
        <f>'d3'!H194-d3П!H194</f>
        <v>0</v>
      </c>
      <c r="I194" s="324">
        <f>'d3'!I194-d3П!I194</f>
        <v>0</v>
      </c>
      <c r="J194" s="324">
        <f>'d3'!J194-d3П!J194</f>
        <v>0</v>
      </c>
      <c r="K194" s="324">
        <f>'d3'!K194-d3П!K194</f>
        <v>0</v>
      </c>
      <c r="L194" s="324">
        <f>'d3'!L194-d3П!L194</f>
        <v>0</v>
      </c>
      <c r="M194" s="324">
        <f>'d3'!M194-d3П!M194</f>
        <v>0</v>
      </c>
      <c r="N194" s="324">
        <f>'d3'!N194-d3П!N194</f>
        <v>0</v>
      </c>
      <c r="O194" s="324">
        <f>'d3'!O194-d3П!O194</f>
        <v>0</v>
      </c>
      <c r="P194" s="324">
        <f>'d3'!P194-d3П!P194</f>
        <v>0</v>
      </c>
      <c r="Q194" s="20"/>
      <c r="R194" s="46"/>
    </row>
    <row r="195" spans="1:18" ht="48" hidden="1" thickTop="1" thickBot="1" x14ac:dyDescent="0.25">
      <c r="A195" s="138" t="s">
        <v>748</v>
      </c>
      <c r="B195" s="138" t="s">
        <v>690</v>
      </c>
      <c r="C195" s="138"/>
      <c r="D195" s="151" t="s">
        <v>688</v>
      </c>
      <c r="E195" s="139">
        <f>E196</f>
        <v>0</v>
      </c>
      <c r="F195" s="139">
        <f t="shared" ref="F195:P195" si="25">F196</f>
        <v>0</v>
      </c>
      <c r="G195" s="139">
        <f t="shared" si="25"/>
        <v>0</v>
      </c>
      <c r="H195" s="139">
        <f t="shared" si="25"/>
        <v>0</v>
      </c>
      <c r="I195" s="139">
        <f t="shared" si="25"/>
        <v>0</v>
      </c>
      <c r="J195" s="139">
        <f t="shared" si="25"/>
        <v>0</v>
      </c>
      <c r="K195" s="139">
        <f t="shared" si="25"/>
        <v>0</v>
      </c>
      <c r="L195" s="139">
        <f t="shared" si="25"/>
        <v>0</v>
      </c>
      <c r="M195" s="139">
        <f t="shared" si="25"/>
        <v>0</v>
      </c>
      <c r="N195" s="139">
        <f t="shared" si="25"/>
        <v>0</v>
      </c>
      <c r="O195" s="139">
        <f t="shared" si="25"/>
        <v>0</v>
      </c>
      <c r="P195" s="139">
        <f t="shared" si="25"/>
        <v>0</v>
      </c>
      <c r="Q195" s="20"/>
      <c r="R195" s="46"/>
    </row>
    <row r="196" spans="1:18" ht="138.75" hidden="1" thickTop="1" thickBot="1" x14ac:dyDescent="0.7">
      <c r="A196" s="744" t="s">
        <v>422</v>
      </c>
      <c r="B196" s="744" t="s">
        <v>338</v>
      </c>
      <c r="C196" s="744" t="s">
        <v>170</v>
      </c>
      <c r="D196" s="153" t="s">
        <v>439</v>
      </c>
      <c r="E196" s="745">
        <f t="shared" ref="E196" si="26">F196</f>
        <v>0</v>
      </c>
      <c r="F196" s="739"/>
      <c r="G196" s="739"/>
      <c r="H196" s="739"/>
      <c r="I196" s="739"/>
      <c r="J196" s="745">
        <f t="shared" ref="J196" si="27">L196+O196</f>
        <v>0</v>
      </c>
      <c r="K196" s="739"/>
      <c r="L196" s="739"/>
      <c r="M196" s="739"/>
      <c r="N196" s="739"/>
      <c r="O196" s="772">
        <f t="shared" ref="O196" si="28">K196</f>
        <v>0</v>
      </c>
      <c r="P196" s="773">
        <f t="shared" ref="P196" si="29">E196+J196</f>
        <v>0</v>
      </c>
      <c r="Q196" s="20"/>
      <c r="R196" s="50"/>
    </row>
    <row r="197" spans="1:18" ht="93" hidden="1" thickTop="1" thickBot="1" x14ac:dyDescent="0.25">
      <c r="A197" s="746"/>
      <c r="B197" s="747"/>
      <c r="C197" s="746"/>
      <c r="D197" s="154" t="s">
        <v>440</v>
      </c>
      <c r="E197" s="746"/>
      <c r="F197" s="756"/>
      <c r="G197" s="756"/>
      <c r="H197" s="756"/>
      <c r="I197" s="756"/>
      <c r="J197" s="746"/>
      <c r="K197" s="746"/>
      <c r="L197" s="756"/>
      <c r="M197" s="756"/>
      <c r="N197" s="756"/>
      <c r="O197" s="792"/>
      <c r="P197" s="793"/>
      <c r="Q197" s="20"/>
      <c r="R197" s="50"/>
    </row>
    <row r="198" spans="1:18" ht="120" customHeight="1" thickTop="1" thickBot="1" x14ac:dyDescent="0.25">
      <c r="A198" s="689">
        <v>1000000</v>
      </c>
      <c r="B198" s="689"/>
      <c r="C198" s="689"/>
      <c r="D198" s="690" t="s">
        <v>24</v>
      </c>
      <c r="E198" s="691">
        <f>E199</f>
        <v>0</v>
      </c>
      <c r="F198" s="692">
        <f t="shared" ref="F198:G198" si="30">F199</f>
        <v>0</v>
      </c>
      <c r="G198" s="692">
        <f t="shared" si="30"/>
        <v>0</v>
      </c>
      <c r="H198" s="692">
        <f>H199</f>
        <v>0</v>
      </c>
      <c r="I198" s="692">
        <f>I199</f>
        <v>0</v>
      </c>
      <c r="J198" s="691">
        <f>J199</f>
        <v>0</v>
      </c>
      <c r="K198" s="692">
        <f>K199</f>
        <v>0</v>
      </c>
      <c r="L198" s="692">
        <f>L199</f>
        <v>0</v>
      </c>
      <c r="M198" s="692">
        <f t="shared" ref="M198" si="31">M199</f>
        <v>0</v>
      </c>
      <c r="N198" s="692">
        <f>N199</f>
        <v>0</v>
      </c>
      <c r="O198" s="691">
        <f>O199</f>
        <v>0</v>
      </c>
      <c r="P198" s="692">
        <f t="shared" ref="P198" si="32">P199</f>
        <v>0</v>
      </c>
      <c r="Q198" s="20"/>
    </row>
    <row r="199" spans="1:18" ht="120" customHeight="1" thickTop="1" thickBot="1" x14ac:dyDescent="0.25">
      <c r="A199" s="693">
        <v>1010000</v>
      </c>
      <c r="B199" s="693"/>
      <c r="C199" s="693"/>
      <c r="D199" s="694" t="s">
        <v>39</v>
      </c>
      <c r="E199" s="695">
        <f>E200+E202+E216+E210</f>
        <v>0</v>
      </c>
      <c r="F199" s="695">
        <f>F200+F202+F216+F210</f>
        <v>0</v>
      </c>
      <c r="G199" s="695">
        <f>G200+G202+G216+G210</f>
        <v>0</v>
      </c>
      <c r="H199" s="695">
        <f>H200+H202+H216+H210</f>
        <v>0</v>
      </c>
      <c r="I199" s="695">
        <f>I200+I202+I216+I210</f>
        <v>0</v>
      </c>
      <c r="J199" s="695">
        <f t="shared" ref="J199" si="33">L199+O199</f>
        <v>0</v>
      </c>
      <c r="K199" s="695">
        <f>K200+K202+K216+K210</f>
        <v>0</v>
      </c>
      <c r="L199" s="695">
        <f>L200+L202+L216+L210</f>
        <v>0</v>
      </c>
      <c r="M199" s="695">
        <f>M200+M202+M216+M210</f>
        <v>0</v>
      </c>
      <c r="N199" s="695">
        <f>N200+N202+N216+N210</f>
        <v>0</v>
      </c>
      <c r="O199" s="695">
        <f>O200+O202+O216+O210</f>
        <v>0</v>
      </c>
      <c r="P199" s="695">
        <f t="shared" ref="P199" si="34">E199+J199</f>
        <v>0</v>
      </c>
      <c r="Q199" s="487" t="b">
        <f>P199=P201+P203+P204+P205+P209+P208+P213+P215</f>
        <v>1</v>
      </c>
      <c r="R199" s="46"/>
    </row>
    <row r="200" spans="1:18" ht="47.25" thickTop="1" thickBot="1" x14ac:dyDescent="0.25">
      <c r="A200" s="308" t="s">
        <v>750</v>
      </c>
      <c r="B200" s="308" t="s">
        <v>704</v>
      </c>
      <c r="C200" s="308"/>
      <c r="D200" s="308" t="s">
        <v>705</v>
      </c>
      <c r="E200" s="324">
        <f>'d3'!E200-d3П!E200</f>
        <v>0</v>
      </c>
      <c r="F200" s="324">
        <f>'d3'!F200-d3П!F200</f>
        <v>0</v>
      </c>
      <c r="G200" s="324">
        <f>'d3'!G200-d3П!G200</f>
        <v>0</v>
      </c>
      <c r="H200" s="324">
        <f>'d3'!H200-d3П!H200</f>
        <v>0</v>
      </c>
      <c r="I200" s="324">
        <f>'d3'!I200-d3П!I200</f>
        <v>0</v>
      </c>
      <c r="J200" s="324">
        <f>'d3'!J200-d3П!J200</f>
        <v>0</v>
      </c>
      <c r="K200" s="324">
        <f>'d3'!K200-d3П!K200</f>
        <v>0</v>
      </c>
      <c r="L200" s="324">
        <f>'d3'!L200-d3П!L200</f>
        <v>0</v>
      </c>
      <c r="M200" s="324">
        <f>'d3'!M200-d3П!M200</f>
        <v>0</v>
      </c>
      <c r="N200" s="324">
        <f>'d3'!N200-d3П!N200</f>
        <v>0</v>
      </c>
      <c r="O200" s="324">
        <f>'d3'!O200-d3П!O200</f>
        <v>0</v>
      </c>
      <c r="P200" s="324">
        <f>'d3'!P200-d3П!P200</f>
        <v>0</v>
      </c>
      <c r="Q200" s="47"/>
      <c r="R200" s="46"/>
    </row>
    <row r="201" spans="1:18" ht="47.25" thickTop="1" thickBot="1" x14ac:dyDescent="0.25">
      <c r="A201" s="101" t="s">
        <v>634</v>
      </c>
      <c r="B201" s="101" t="s">
        <v>635</v>
      </c>
      <c r="C201" s="101" t="s">
        <v>181</v>
      </c>
      <c r="D201" s="101" t="s">
        <v>1103</v>
      </c>
      <c r="E201" s="324">
        <f>'d3'!E201-d3П!E201</f>
        <v>0</v>
      </c>
      <c r="F201" s="324">
        <f>'d3'!F201-d3П!F201</f>
        <v>0</v>
      </c>
      <c r="G201" s="324">
        <f>'d3'!G201-d3П!G201</f>
        <v>0</v>
      </c>
      <c r="H201" s="324">
        <f>'d3'!H201-d3П!H201</f>
        <v>0</v>
      </c>
      <c r="I201" s="324">
        <f>'d3'!I201-d3П!I201</f>
        <v>0</v>
      </c>
      <c r="J201" s="324">
        <f>'d3'!J201-d3П!J201</f>
        <v>0</v>
      </c>
      <c r="K201" s="324">
        <f>'d3'!K201-d3П!K201</f>
        <v>0</v>
      </c>
      <c r="L201" s="324">
        <f>'d3'!L201-d3П!L201</f>
        <v>0</v>
      </c>
      <c r="M201" s="324">
        <f>'d3'!M201-d3П!M201</f>
        <v>0</v>
      </c>
      <c r="N201" s="324">
        <f>'d3'!N201-d3П!N201</f>
        <v>0</v>
      </c>
      <c r="O201" s="324">
        <f>'d3'!O201-d3П!O201</f>
        <v>0</v>
      </c>
      <c r="P201" s="324">
        <f>'d3'!P201-d3П!P201</f>
        <v>0</v>
      </c>
      <c r="Q201" s="20"/>
      <c r="R201" s="46"/>
    </row>
    <row r="202" spans="1:18" s="24" customFormat="1" ht="47.25" thickTop="1" thickBot="1" x14ac:dyDescent="0.25">
      <c r="A202" s="308" t="s">
        <v>751</v>
      </c>
      <c r="B202" s="308" t="s">
        <v>752</v>
      </c>
      <c r="C202" s="308"/>
      <c r="D202" s="308" t="s">
        <v>753</v>
      </c>
      <c r="E202" s="324">
        <f>'d3'!E202-d3П!E202</f>
        <v>0</v>
      </c>
      <c r="F202" s="324">
        <f>'d3'!F202-d3П!F202</f>
        <v>0</v>
      </c>
      <c r="G202" s="324">
        <f>'d3'!G202-d3П!G202</f>
        <v>0</v>
      </c>
      <c r="H202" s="324">
        <f>'d3'!H202-d3П!H202</f>
        <v>0</v>
      </c>
      <c r="I202" s="324">
        <f>'d3'!I202-d3П!I202</f>
        <v>0</v>
      </c>
      <c r="J202" s="324">
        <f>'d3'!J202-d3П!J202</f>
        <v>0</v>
      </c>
      <c r="K202" s="324">
        <f>'d3'!K202-d3П!K202</f>
        <v>0</v>
      </c>
      <c r="L202" s="324">
        <f>'d3'!L202-d3П!L202</f>
        <v>0</v>
      </c>
      <c r="M202" s="324">
        <f>'d3'!M202-d3П!M202</f>
        <v>0</v>
      </c>
      <c r="N202" s="324">
        <f>'d3'!N202-d3П!N202</f>
        <v>0</v>
      </c>
      <c r="O202" s="324">
        <f>'d3'!O202-d3П!O202</f>
        <v>0</v>
      </c>
      <c r="P202" s="324">
        <f>'d3'!P202-d3П!P202</f>
        <v>0</v>
      </c>
      <c r="Q202" s="25"/>
      <c r="R202" s="50"/>
    </row>
    <row r="203" spans="1:18" ht="47.25" thickTop="1" thickBot="1" x14ac:dyDescent="0.25">
      <c r="A203" s="101" t="s">
        <v>172</v>
      </c>
      <c r="B203" s="101" t="s">
        <v>173</v>
      </c>
      <c r="C203" s="101" t="s">
        <v>174</v>
      </c>
      <c r="D203" s="101" t="s">
        <v>175</v>
      </c>
      <c r="E203" s="324">
        <f>'d3'!E203-d3П!E203</f>
        <v>0</v>
      </c>
      <c r="F203" s="324">
        <f>'d3'!F203-d3П!F203</f>
        <v>0</v>
      </c>
      <c r="G203" s="324">
        <f>'d3'!G203-d3П!G203</f>
        <v>0</v>
      </c>
      <c r="H203" s="324">
        <f>'d3'!H203-d3П!H203</f>
        <v>0</v>
      </c>
      <c r="I203" s="324">
        <f>'d3'!I203-d3П!I203</f>
        <v>0</v>
      </c>
      <c r="J203" s="324">
        <f>'d3'!J203-d3П!J203</f>
        <v>0</v>
      </c>
      <c r="K203" s="324">
        <f>'d3'!K203-d3П!K203</f>
        <v>0</v>
      </c>
      <c r="L203" s="324">
        <f>'d3'!L203-d3П!L203</f>
        <v>0</v>
      </c>
      <c r="M203" s="324">
        <f>'d3'!M203-d3П!M203</f>
        <v>0</v>
      </c>
      <c r="N203" s="324">
        <f>'d3'!N203-d3П!N203</f>
        <v>0</v>
      </c>
      <c r="O203" s="324">
        <f>'d3'!O203-d3П!O203</f>
        <v>0</v>
      </c>
      <c r="P203" s="324">
        <f>'d3'!P203-d3П!P203</f>
        <v>0</v>
      </c>
      <c r="Q203" s="20"/>
      <c r="R203" s="46"/>
    </row>
    <row r="204" spans="1:18" ht="47.25" thickTop="1" thickBot="1" x14ac:dyDescent="0.25">
      <c r="A204" s="101" t="s">
        <v>176</v>
      </c>
      <c r="B204" s="101" t="s">
        <v>177</v>
      </c>
      <c r="C204" s="101" t="s">
        <v>174</v>
      </c>
      <c r="D204" s="101" t="s">
        <v>462</v>
      </c>
      <c r="E204" s="324">
        <f>'d3'!E204-d3П!E204</f>
        <v>0</v>
      </c>
      <c r="F204" s="324">
        <f>'d3'!F204-d3П!F204</f>
        <v>0</v>
      </c>
      <c r="G204" s="324">
        <f>'d3'!G204-d3П!G204</f>
        <v>0</v>
      </c>
      <c r="H204" s="324">
        <f>'d3'!H204-d3П!H204</f>
        <v>0</v>
      </c>
      <c r="I204" s="324">
        <f>'d3'!I204-d3П!I204</f>
        <v>0</v>
      </c>
      <c r="J204" s="324">
        <f>'d3'!J204-d3П!J204</f>
        <v>0</v>
      </c>
      <c r="K204" s="324">
        <f>'d3'!K204-d3П!K204</f>
        <v>0</v>
      </c>
      <c r="L204" s="324">
        <f>'d3'!L204-d3П!L204</f>
        <v>0</v>
      </c>
      <c r="M204" s="324">
        <f>'d3'!M204-d3П!M204</f>
        <v>0</v>
      </c>
      <c r="N204" s="324">
        <f>'d3'!N204-d3П!N204</f>
        <v>0</v>
      </c>
      <c r="O204" s="324">
        <f>'d3'!O204-d3П!O204</f>
        <v>0</v>
      </c>
      <c r="P204" s="324">
        <f>'d3'!P204-d3П!P204</f>
        <v>0</v>
      </c>
      <c r="Q204" s="20"/>
      <c r="R204" s="46"/>
    </row>
    <row r="205" spans="1:18" ht="93" thickTop="1" thickBot="1" x14ac:dyDescent="0.25">
      <c r="A205" s="101" t="s">
        <v>178</v>
      </c>
      <c r="B205" s="101" t="s">
        <v>171</v>
      </c>
      <c r="C205" s="101" t="s">
        <v>179</v>
      </c>
      <c r="D205" s="101" t="s">
        <v>180</v>
      </c>
      <c r="E205" s="324">
        <f>'d3'!E205-d3П!E205</f>
        <v>0</v>
      </c>
      <c r="F205" s="324">
        <f>'d3'!F205-d3П!F205</f>
        <v>0</v>
      </c>
      <c r="G205" s="324">
        <f>'d3'!G205-d3П!G205</f>
        <v>0</v>
      </c>
      <c r="H205" s="324">
        <f>'d3'!H205-d3П!H205</f>
        <v>0</v>
      </c>
      <c r="I205" s="324">
        <f>'d3'!I205-d3П!I205</f>
        <v>0</v>
      </c>
      <c r="J205" s="324">
        <f>'d3'!J205-d3П!J205</f>
        <v>0</v>
      </c>
      <c r="K205" s="324">
        <f>'d3'!K205-d3П!K205</f>
        <v>0</v>
      </c>
      <c r="L205" s="324">
        <f>'d3'!L205-d3П!L205</f>
        <v>0</v>
      </c>
      <c r="M205" s="324">
        <f>'d3'!M205-d3П!M205</f>
        <v>0</v>
      </c>
      <c r="N205" s="324">
        <f>'d3'!N205-d3П!N205</f>
        <v>0</v>
      </c>
      <c r="O205" s="324">
        <f>'d3'!O205-d3П!O205</f>
        <v>0</v>
      </c>
      <c r="P205" s="324">
        <f>'d3'!P205-d3П!P205</f>
        <v>0</v>
      </c>
      <c r="Q205" s="20"/>
      <c r="R205" s="46"/>
    </row>
    <row r="206" spans="1:18" ht="47.25" hidden="1" thickTop="1" thickBot="1" x14ac:dyDescent="0.25">
      <c r="A206" s="126" t="s">
        <v>1176</v>
      </c>
      <c r="B206" s="126" t="s">
        <v>1177</v>
      </c>
      <c r="C206" s="126" t="s">
        <v>1179</v>
      </c>
      <c r="D206" s="126" t="s">
        <v>1178</v>
      </c>
      <c r="E206" s="324">
        <f>'d3'!E206-d3П!E206</f>
        <v>0</v>
      </c>
      <c r="F206" s="324">
        <f>'d3'!F206-d3П!F206</f>
        <v>0</v>
      </c>
      <c r="G206" s="324">
        <f>'d3'!G206-d3П!G206</f>
        <v>0</v>
      </c>
      <c r="H206" s="324">
        <f>'d3'!H206-d3П!H206</f>
        <v>0</v>
      </c>
      <c r="I206" s="324">
        <f>'d3'!I206-d3П!I206</f>
        <v>0</v>
      </c>
      <c r="J206" s="324">
        <f>'d3'!J206-d3П!J206</f>
        <v>0</v>
      </c>
      <c r="K206" s="324">
        <f>'d3'!K206-d3П!K206</f>
        <v>0</v>
      </c>
      <c r="L206" s="324">
        <f>'d3'!L206-d3П!L206</f>
        <v>0</v>
      </c>
      <c r="M206" s="324">
        <f>'d3'!M206-d3П!M206</f>
        <v>0</v>
      </c>
      <c r="N206" s="324">
        <f>'d3'!N206-d3П!N206</f>
        <v>0</v>
      </c>
      <c r="O206" s="324">
        <f>'d3'!O206-d3П!O206</f>
        <v>0</v>
      </c>
      <c r="P206" s="324">
        <f>'d3'!P206-d3П!P206</f>
        <v>0</v>
      </c>
      <c r="Q206" s="20"/>
      <c r="R206" s="46"/>
    </row>
    <row r="207" spans="1:18" ht="47.25" thickTop="1" thickBot="1" x14ac:dyDescent="0.25">
      <c r="A207" s="325" t="s">
        <v>754</v>
      </c>
      <c r="B207" s="325" t="s">
        <v>755</v>
      </c>
      <c r="C207" s="325"/>
      <c r="D207" s="325" t="s">
        <v>756</v>
      </c>
      <c r="E207" s="324">
        <f>'d3'!E207-d3П!E207</f>
        <v>0</v>
      </c>
      <c r="F207" s="324">
        <f>'d3'!F207-d3П!F207</f>
        <v>0</v>
      </c>
      <c r="G207" s="324">
        <f>'d3'!G207-d3П!G207</f>
        <v>0</v>
      </c>
      <c r="H207" s="324">
        <f>'d3'!H207-d3П!H207</f>
        <v>0</v>
      </c>
      <c r="I207" s="324">
        <f>'d3'!I207-d3П!I207</f>
        <v>0</v>
      </c>
      <c r="J207" s="324">
        <f>'d3'!J207-d3П!J207</f>
        <v>0</v>
      </c>
      <c r="K207" s="324">
        <f>'d3'!K207-d3П!K207</f>
        <v>0</v>
      </c>
      <c r="L207" s="324">
        <f>'d3'!L207-d3П!L207</f>
        <v>0</v>
      </c>
      <c r="M207" s="324">
        <f>'d3'!M207-d3П!M207</f>
        <v>0</v>
      </c>
      <c r="N207" s="324">
        <f>'d3'!N207-d3П!N207</f>
        <v>0</v>
      </c>
      <c r="O207" s="324">
        <f>'d3'!O207-d3П!O207</f>
        <v>0</v>
      </c>
      <c r="P207" s="324">
        <f>'d3'!P207-d3П!P207</f>
        <v>0</v>
      </c>
      <c r="Q207" s="20"/>
      <c r="R207" s="46"/>
    </row>
    <row r="208" spans="1:18" ht="47.25" thickTop="1" thickBot="1" x14ac:dyDescent="0.25">
      <c r="A208" s="101" t="s">
        <v>333</v>
      </c>
      <c r="B208" s="101" t="s">
        <v>334</v>
      </c>
      <c r="C208" s="101" t="s">
        <v>182</v>
      </c>
      <c r="D208" s="101" t="s">
        <v>463</v>
      </c>
      <c r="E208" s="324">
        <f>'d3'!E208-d3П!E208</f>
        <v>0</v>
      </c>
      <c r="F208" s="324">
        <f>'d3'!F208-d3П!F208</f>
        <v>0</v>
      </c>
      <c r="G208" s="324">
        <f>'d3'!G208-d3П!G208</f>
        <v>0</v>
      </c>
      <c r="H208" s="324">
        <f>'d3'!H208-d3П!H208</f>
        <v>0</v>
      </c>
      <c r="I208" s="324">
        <f>'d3'!I208-d3П!I208</f>
        <v>0</v>
      </c>
      <c r="J208" s="324">
        <f>'d3'!J208-d3П!J208</f>
        <v>0</v>
      </c>
      <c r="K208" s="324">
        <f>'d3'!K208-d3П!K208</f>
        <v>0</v>
      </c>
      <c r="L208" s="324">
        <f>'d3'!L208-d3П!L208</f>
        <v>0</v>
      </c>
      <c r="M208" s="324">
        <f>'d3'!M208-d3П!M208</f>
        <v>0</v>
      </c>
      <c r="N208" s="324">
        <f>'d3'!N208-d3П!N208</f>
        <v>0</v>
      </c>
      <c r="O208" s="324">
        <f>'d3'!O208-d3П!O208</f>
        <v>0</v>
      </c>
      <c r="P208" s="324">
        <f>'d3'!P208-d3П!P208</f>
        <v>0</v>
      </c>
      <c r="Q208" s="20"/>
      <c r="R208" s="46"/>
    </row>
    <row r="209" spans="1:18" ht="47.25" thickTop="1" thickBot="1" x14ac:dyDescent="0.25">
      <c r="A209" s="101" t="s">
        <v>335</v>
      </c>
      <c r="B209" s="101" t="s">
        <v>336</v>
      </c>
      <c r="C209" s="101" t="s">
        <v>182</v>
      </c>
      <c r="D209" s="101" t="s">
        <v>464</v>
      </c>
      <c r="E209" s="324">
        <f>'d3'!E209-d3П!E209</f>
        <v>0</v>
      </c>
      <c r="F209" s="324">
        <f>'d3'!F209-d3П!F209</f>
        <v>0</v>
      </c>
      <c r="G209" s="324">
        <f>'d3'!G209-d3П!G209</f>
        <v>0</v>
      </c>
      <c r="H209" s="324">
        <f>'d3'!H209-d3П!H209</f>
        <v>0</v>
      </c>
      <c r="I209" s="324">
        <f>'d3'!I209-d3П!I209</f>
        <v>0</v>
      </c>
      <c r="J209" s="324">
        <f>'d3'!J209-d3П!J209</f>
        <v>0</v>
      </c>
      <c r="K209" s="324">
        <f>'d3'!K209-d3П!K209</f>
        <v>0</v>
      </c>
      <c r="L209" s="324">
        <f>'d3'!L209-d3П!L209</f>
        <v>0</v>
      </c>
      <c r="M209" s="324">
        <f>'d3'!M209-d3П!M209</f>
        <v>0</v>
      </c>
      <c r="N209" s="324">
        <f>'d3'!N209-d3П!N209</f>
        <v>0</v>
      </c>
      <c r="O209" s="324">
        <f>'d3'!O209-d3П!O209</f>
        <v>0</v>
      </c>
      <c r="P209" s="324">
        <f>'d3'!P209-d3П!P209</f>
        <v>0</v>
      </c>
      <c r="Q209" s="20"/>
      <c r="R209" s="50"/>
    </row>
    <row r="210" spans="1:18" ht="47.25" thickTop="1" thickBot="1" x14ac:dyDescent="0.25">
      <c r="A210" s="308" t="s">
        <v>910</v>
      </c>
      <c r="B210" s="308" t="s">
        <v>744</v>
      </c>
      <c r="C210" s="308"/>
      <c r="D210" s="308" t="s">
        <v>745</v>
      </c>
      <c r="E210" s="324">
        <f>'d3'!E210-d3П!E210</f>
        <v>0</v>
      </c>
      <c r="F210" s="324">
        <f>'d3'!F210-d3П!F210</f>
        <v>0</v>
      </c>
      <c r="G210" s="324">
        <f>'d3'!G210-d3П!G210</f>
        <v>0</v>
      </c>
      <c r="H210" s="324">
        <f>'d3'!H210-d3П!H210</f>
        <v>0</v>
      </c>
      <c r="I210" s="324">
        <f>'d3'!I210-d3П!I210</f>
        <v>0</v>
      </c>
      <c r="J210" s="324">
        <f>'d3'!J210-d3П!J210</f>
        <v>0</v>
      </c>
      <c r="K210" s="324">
        <f>'d3'!K210-d3П!K210</f>
        <v>0</v>
      </c>
      <c r="L210" s="324">
        <f>'d3'!L210-d3П!L210</f>
        <v>0</v>
      </c>
      <c r="M210" s="324">
        <f>'d3'!M210-d3П!M210</f>
        <v>0</v>
      </c>
      <c r="N210" s="324">
        <f>'d3'!N210-d3П!N210</f>
        <v>0</v>
      </c>
      <c r="O210" s="324">
        <f>'d3'!O210-d3П!O210</f>
        <v>0</v>
      </c>
      <c r="P210" s="324">
        <f>'d3'!P210-d3П!P210</f>
        <v>0</v>
      </c>
      <c r="Q210" s="20"/>
      <c r="R210" s="50"/>
    </row>
    <row r="211" spans="1:18" ht="47.25" thickTop="1" thickBot="1" x14ac:dyDescent="0.25">
      <c r="A211" s="310" t="s">
        <v>911</v>
      </c>
      <c r="B211" s="310" t="s">
        <v>687</v>
      </c>
      <c r="C211" s="310"/>
      <c r="D211" s="310" t="s">
        <v>685</v>
      </c>
      <c r="E211" s="324">
        <f>'d3'!E211-d3П!E211</f>
        <v>0</v>
      </c>
      <c r="F211" s="324">
        <f>'d3'!F211-d3П!F211</f>
        <v>0</v>
      </c>
      <c r="G211" s="324">
        <f>'d3'!G211-d3П!G211</f>
        <v>0</v>
      </c>
      <c r="H211" s="324">
        <f>'d3'!H211-d3П!H211</f>
        <v>0</v>
      </c>
      <c r="I211" s="324">
        <f>'d3'!I211-d3П!I211</f>
        <v>0</v>
      </c>
      <c r="J211" s="324">
        <f>'d3'!J211-d3П!J211</f>
        <v>0</v>
      </c>
      <c r="K211" s="324">
        <f>'d3'!K211-d3П!K211</f>
        <v>0</v>
      </c>
      <c r="L211" s="324">
        <f>'d3'!L211-d3П!L211</f>
        <v>0</v>
      </c>
      <c r="M211" s="324">
        <f>'d3'!M211-d3П!M211</f>
        <v>0</v>
      </c>
      <c r="N211" s="324">
        <f>'d3'!N211-d3П!N211</f>
        <v>0</v>
      </c>
      <c r="O211" s="324">
        <f>'d3'!O211-d3П!O211</f>
        <v>0</v>
      </c>
      <c r="P211" s="324">
        <f>'d3'!P211-d3П!P211</f>
        <v>0</v>
      </c>
      <c r="Q211" s="20"/>
      <c r="R211" s="50"/>
    </row>
    <row r="212" spans="1:18" ht="47.25" thickTop="1" thickBot="1" x14ac:dyDescent="0.25">
      <c r="A212" s="325" t="s">
        <v>1016</v>
      </c>
      <c r="B212" s="325" t="s">
        <v>1017</v>
      </c>
      <c r="C212" s="325"/>
      <c r="D212" s="325" t="s">
        <v>1015</v>
      </c>
      <c r="E212" s="324">
        <f>'d3'!E212-d3П!E212</f>
        <v>0</v>
      </c>
      <c r="F212" s="324">
        <f>'d3'!F212-d3П!F212</f>
        <v>0</v>
      </c>
      <c r="G212" s="324">
        <f>'d3'!G212-d3П!G212</f>
        <v>0</v>
      </c>
      <c r="H212" s="324">
        <f>'d3'!H212-d3П!H212</f>
        <v>0</v>
      </c>
      <c r="I212" s="324">
        <f>'d3'!I212-d3П!I212</f>
        <v>0</v>
      </c>
      <c r="J212" s="324">
        <f>'d3'!J212-d3П!J212</f>
        <v>0</v>
      </c>
      <c r="K212" s="324">
        <f>'d3'!K212-d3П!K212</f>
        <v>0</v>
      </c>
      <c r="L212" s="324">
        <f>'d3'!L212-d3П!L212</f>
        <v>0</v>
      </c>
      <c r="M212" s="324">
        <f>'d3'!M212-d3П!M212</f>
        <v>0</v>
      </c>
      <c r="N212" s="324">
        <f>'d3'!N212-d3П!N212</f>
        <v>0</v>
      </c>
      <c r="O212" s="324">
        <f>'d3'!O212-d3П!O212</f>
        <v>0</v>
      </c>
      <c r="P212" s="324">
        <f>'d3'!P212-d3П!P212</f>
        <v>0</v>
      </c>
      <c r="Q212" s="20"/>
      <c r="R212" s="50"/>
    </row>
    <row r="213" spans="1:18" ht="47.25" thickTop="1" thickBot="1" x14ac:dyDescent="0.25">
      <c r="A213" s="101" t="s">
        <v>1019</v>
      </c>
      <c r="B213" s="101" t="s">
        <v>1020</v>
      </c>
      <c r="C213" s="101" t="s">
        <v>213</v>
      </c>
      <c r="D213" s="101" t="s">
        <v>1018</v>
      </c>
      <c r="E213" s="324">
        <f>'d3'!E213-d3П!E213</f>
        <v>0</v>
      </c>
      <c r="F213" s="324">
        <f>'d3'!F213-d3П!F213</f>
        <v>0</v>
      </c>
      <c r="G213" s="324">
        <f>'d3'!G213-d3П!G213</f>
        <v>0</v>
      </c>
      <c r="H213" s="324">
        <f>'d3'!H213-d3П!H213</f>
        <v>0</v>
      </c>
      <c r="I213" s="324">
        <f>'d3'!I213-d3П!I213</f>
        <v>0</v>
      </c>
      <c r="J213" s="324">
        <f>'d3'!J213-d3П!J213</f>
        <v>0</v>
      </c>
      <c r="K213" s="324">
        <f>'d3'!K213-d3П!K213</f>
        <v>0</v>
      </c>
      <c r="L213" s="324">
        <f>'d3'!L213-d3П!L213</f>
        <v>0</v>
      </c>
      <c r="M213" s="324">
        <f>'d3'!M213-d3П!M213</f>
        <v>0</v>
      </c>
      <c r="N213" s="324">
        <f>'d3'!N213-d3П!N213</f>
        <v>0</v>
      </c>
      <c r="O213" s="324">
        <f>'d3'!O213-d3П!O213</f>
        <v>0</v>
      </c>
      <c r="P213" s="324">
        <f>'d3'!P213-d3П!P213</f>
        <v>0</v>
      </c>
      <c r="Q213" s="20"/>
      <c r="R213" s="50"/>
    </row>
    <row r="214" spans="1:18" ht="47.25" hidden="1" thickTop="1" thickBot="1" x14ac:dyDescent="0.25">
      <c r="A214" s="126" t="s">
        <v>1247</v>
      </c>
      <c r="B214" s="126" t="s">
        <v>212</v>
      </c>
      <c r="C214" s="126" t="s">
        <v>213</v>
      </c>
      <c r="D214" s="126" t="s">
        <v>41</v>
      </c>
      <c r="E214" s="324">
        <f>'d3'!E214-d3П!E214</f>
        <v>0</v>
      </c>
      <c r="F214" s="324">
        <f>'d3'!F214-d3П!F214</f>
        <v>0</v>
      </c>
      <c r="G214" s="324">
        <f>'d3'!G214-d3П!G214</f>
        <v>0</v>
      </c>
      <c r="H214" s="324">
        <f>'d3'!H214-d3П!H214</f>
        <v>0</v>
      </c>
      <c r="I214" s="324">
        <f>'d3'!I214-d3П!I214</f>
        <v>0</v>
      </c>
      <c r="J214" s="324">
        <f>'d3'!J214-d3П!J214</f>
        <v>0</v>
      </c>
      <c r="K214" s="324">
        <f>'d3'!K214-d3П!K214</f>
        <v>0</v>
      </c>
      <c r="L214" s="324">
        <f>'d3'!L214-d3П!L214</f>
        <v>0</v>
      </c>
      <c r="M214" s="324">
        <f>'d3'!M214-d3П!M214</f>
        <v>0</v>
      </c>
      <c r="N214" s="324">
        <f>'d3'!N214-d3П!N214</f>
        <v>0</v>
      </c>
      <c r="O214" s="324">
        <f>'d3'!O214-d3П!O214</f>
        <v>0</v>
      </c>
      <c r="P214" s="324">
        <f>'d3'!P214-d3П!P214</f>
        <v>0</v>
      </c>
      <c r="Q214" s="20"/>
      <c r="R214" s="50"/>
    </row>
    <row r="215" spans="1:18" ht="47.25" thickTop="1" thickBot="1" x14ac:dyDescent="0.25">
      <c r="A215" s="101" t="s">
        <v>912</v>
      </c>
      <c r="B215" s="101" t="s">
        <v>197</v>
      </c>
      <c r="C215" s="101" t="s">
        <v>170</v>
      </c>
      <c r="D215" s="101" t="s">
        <v>34</v>
      </c>
      <c r="E215" s="324">
        <f>'d3'!E215-d3П!E215</f>
        <v>0</v>
      </c>
      <c r="F215" s="324">
        <f>'d3'!F215-d3П!F215</f>
        <v>0</v>
      </c>
      <c r="G215" s="324">
        <f>'d3'!G215-d3П!G215</f>
        <v>0</v>
      </c>
      <c r="H215" s="324">
        <f>'d3'!H215-d3П!H215</f>
        <v>0</v>
      </c>
      <c r="I215" s="324">
        <f>'d3'!I215-d3П!I215</f>
        <v>0</v>
      </c>
      <c r="J215" s="324">
        <f>'d3'!J215-d3П!J215</f>
        <v>0</v>
      </c>
      <c r="K215" s="324">
        <f>'d3'!K215-d3П!K215</f>
        <v>0</v>
      </c>
      <c r="L215" s="324">
        <f>'d3'!L215-d3П!L215</f>
        <v>0</v>
      </c>
      <c r="M215" s="324">
        <f>'d3'!M215-d3П!M215</f>
        <v>0</v>
      </c>
      <c r="N215" s="324">
        <f>'d3'!N215-d3П!N215</f>
        <v>0</v>
      </c>
      <c r="O215" s="324">
        <f>'d3'!O215-d3П!O215</f>
        <v>0</v>
      </c>
      <c r="P215" s="324">
        <f>'d3'!P215-d3П!P215</f>
        <v>0</v>
      </c>
      <c r="Q215" s="20"/>
      <c r="R215" s="46"/>
    </row>
    <row r="216" spans="1:18" ht="47.25" hidden="1" thickTop="1" thickBot="1" x14ac:dyDescent="0.25">
      <c r="A216" s="144" t="s">
        <v>757</v>
      </c>
      <c r="B216" s="144" t="s">
        <v>698</v>
      </c>
      <c r="C216" s="144"/>
      <c r="D216" s="144" t="s">
        <v>699</v>
      </c>
      <c r="E216" s="42">
        <f>E217</f>
        <v>0</v>
      </c>
      <c r="F216" s="42">
        <f t="shared" ref="F216:P217" si="35">F217</f>
        <v>0</v>
      </c>
      <c r="G216" s="42">
        <f t="shared" si="35"/>
        <v>0</v>
      </c>
      <c r="H216" s="42">
        <f t="shared" si="35"/>
        <v>0</v>
      </c>
      <c r="I216" s="42">
        <f t="shared" si="35"/>
        <v>0</v>
      </c>
      <c r="J216" s="42">
        <f t="shared" si="35"/>
        <v>0</v>
      </c>
      <c r="K216" s="42">
        <f t="shared" si="35"/>
        <v>0</v>
      </c>
      <c r="L216" s="42">
        <f t="shared" si="35"/>
        <v>0</v>
      </c>
      <c r="M216" s="42">
        <f t="shared" si="35"/>
        <v>0</v>
      </c>
      <c r="N216" s="42">
        <f t="shared" si="35"/>
        <v>0</v>
      </c>
      <c r="O216" s="42">
        <f t="shared" si="35"/>
        <v>0</v>
      </c>
      <c r="P216" s="42">
        <f t="shared" si="35"/>
        <v>0</v>
      </c>
      <c r="Q216" s="20"/>
      <c r="R216" s="50"/>
    </row>
    <row r="217" spans="1:18" ht="91.5" hidden="1" thickTop="1" thickBot="1" x14ac:dyDescent="0.25">
      <c r="A217" s="145" t="s">
        <v>758</v>
      </c>
      <c r="B217" s="145" t="s">
        <v>701</v>
      </c>
      <c r="C217" s="145"/>
      <c r="D217" s="145" t="s">
        <v>702</v>
      </c>
      <c r="E217" s="146">
        <f>E218</f>
        <v>0</v>
      </c>
      <c r="F217" s="146">
        <f t="shared" si="35"/>
        <v>0</v>
      </c>
      <c r="G217" s="146">
        <f t="shared" si="35"/>
        <v>0</v>
      </c>
      <c r="H217" s="146">
        <f t="shared" si="35"/>
        <v>0</v>
      </c>
      <c r="I217" s="146">
        <f t="shared" si="35"/>
        <v>0</v>
      </c>
      <c r="J217" s="146">
        <f t="shared" si="35"/>
        <v>0</v>
      </c>
      <c r="K217" s="146">
        <f t="shared" si="35"/>
        <v>0</v>
      </c>
      <c r="L217" s="146">
        <f t="shared" si="35"/>
        <v>0</v>
      </c>
      <c r="M217" s="146">
        <f t="shared" si="35"/>
        <v>0</v>
      </c>
      <c r="N217" s="146">
        <f t="shared" si="35"/>
        <v>0</v>
      </c>
      <c r="O217" s="146">
        <f t="shared" si="35"/>
        <v>0</v>
      </c>
      <c r="P217" s="146">
        <f t="shared" si="35"/>
        <v>0</v>
      </c>
      <c r="Q217" s="20"/>
      <c r="R217" s="50"/>
    </row>
    <row r="218" spans="1:18" ht="48" hidden="1" thickTop="1" thickBot="1" x14ac:dyDescent="0.25">
      <c r="A218" s="41" t="s">
        <v>585</v>
      </c>
      <c r="B218" s="41" t="s">
        <v>363</v>
      </c>
      <c r="C218" s="41" t="s">
        <v>43</v>
      </c>
      <c r="D218" s="41" t="s">
        <v>364</v>
      </c>
      <c r="E218" s="42">
        <f t="shared" ref="E218" si="36">F218</f>
        <v>0</v>
      </c>
      <c r="F218" s="43">
        <v>0</v>
      </c>
      <c r="G218" s="43"/>
      <c r="H218" s="43"/>
      <c r="I218" s="43"/>
      <c r="J218" s="42">
        <f>L218+O218</f>
        <v>0</v>
      </c>
      <c r="K218" s="43"/>
      <c r="L218" s="43"/>
      <c r="M218" s="43"/>
      <c r="N218" s="43"/>
      <c r="O218" s="44">
        <f>K218</f>
        <v>0</v>
      </c>
      <c r="P218" s="42">
        <f>E218+J218</f>
        <v>0</v>
      </c>
      <c r="Q218" s="20"/>
      <c r="R218" s="50"/>
    </row>
    <row r="219" spans="1:18" ht="120" customHeight="1" thickTop="1" thickBot="1" x14ac:dyDescent="0.25">
      <c r="A219" s="689" t="s">
        <v>22</v>
      </c>
      <c r="B219" s="689"/>
      <c r="C219" s="689"/>
      <c r="D219" s="690" t="s">
        <v>23</v>
      </c>
      <c r="E219" s="691">
        <f>E220</f>
        <v>-82270</v>
      </c>
      <c r="F219" s="692">
        <f t="shared" ref="F219:G219" si="37">F220</f>
        <v>-82270</v>
      </c>
      <c r="G219" s="692">
        <f t="shared" si="37"/>
        <v>0</v>
      </c>
      <c r="H219" s="692">
        <f>H220</f>
        <v>76953</v>
      </c>
      <c r="I219" s="692">
        <f t="shared" ref="I219" si="38">I220</f>
        <v>0</v>
      </c>
      <c r="J219" s="691">
        <f>J220</f>
        <v>82270</v>
      </c>
      <c r="K219" s="692">
        <f>K220</f>
        <v>82270</v>
      </c>
      <c r="L219" s="692">
        <f>L220</f>
        <v>0</v>
      </c>
      <c r="M219" s="692">
        <f t="shared" ref="M219" si="39">M220</f>
        <v>0</v>
      </c>
      <c r="N219" s="692">
        <f>N220</f>
        <v>0</v>
      </c>
      <c r="O219" s="691">
        <f>O220</f>
        <v>82270</v>
      </c>
      <c r="P219" s="692">
        <f t="shared" ref="P219" si="40">P220</f>
        <v>0</v>
      </c>
      <c r="Q219" s="20"/>
    </row>
    <row r="220" spans="1:18" ht="120" customHeight="1" thickTop="1" thickBot="1" x14ac:dyDescent="0.25">
      <c r="A220" s="693" t="s">
        <v>21</v>
      </c>
      <c r="B220" s="693"/>
      <c r="C220" s="693"/>
      <c r="D220" s="694" t="s">
        <v>35</v>
      </c>
      <c r="E220" s="695">
        <f>E221+E227+E242+E245+E252</f>
        <v>-82270</v>
      </c>
      <c r="F220" s="695">
        <f t="shared" ref="F220:I220" si="41">F221+F227+F242+F245+F252</f>
        <v>-82270</v>
      </c>
      <c r="G220" s="695">
        <f t="shared" si="41"/>
        <v>0</v>
      </c>
      <c r="H220" s="695">
        <f t="shared" si="41"/>
        <v>76953</v>
      </c>
      <c r="I220" s="695">
        <f t="shared" si="41"/>
        <v>0</v>
      </c>
      <c r="J220" s="695">
        <f>L220+O220</f>
        <v>82270</v>
      </c>
      <c r="K220" s="695">
        <f t="shared" ref="K220:O220" si="42">K221+K227+K242+K245+K252</f>
        <v>82270</v>
      </c>
      <c r="L220" s="695">
        <f t="shared" si="42"/>
        <v>0</v>
      </c>
      <c r="M220" s="695">
        <f t="shared" si="42"/>
        <v>0</v>
      </c>
      <c r="N220" s="695">
        <f t="shared" si="42"/>
        <v>0</v>
      </c>
      <c r="O220" s="695">
        <f t="shared" si="42"/>
        <v>82270</v>
      </c>
      <c r="P220" s="695">
        <f>E220+J220</f>
        <v>0</v>
      </c>
      <c r="Q220" s="487" t="b">
        <f>P220=P225+P226+P229+P230+P232+P234+P235+P239+P240+P241+P237+P254</f>
        <v>1</v>
      </c>
      <c r="R220" s="46"/>
    </row>
    <row r="221" spans="1:18" ht="47.25" thickTop="1" thickBot="1" x14ac:dyDescent="0.25">
      <c r="A221" s="308" t="s">
        <v>759</v>
      </c>
      <c r="B221" s="308" t="s">
        <v>707</v>
      </c>
      <c r="C221" s="308"/>
      <c r="D221" s="308" t="s">
        <v>708</v>
      </c>
      <c r="E221" s="324">
        <f>'d3'!E221-d3П!E221</f>
        <v>120000</v>
      </c>
      <c r="F221" s="324">
        <f>'d3'!F221-d3П!F221</f>
        <v>120000</v>
      </c>
      <c r="G221" s="324">
        <f>'d3'!G221-d3П!G221</f>
        <v>0</v>
      </c>
      <c r="H221" s="324">
        <f>'d3'!H221-d3П!H221</f>
        <v>-10970</v>
      </c>
      <c r="I221" s="324">
        <f>'d3'!I221-d3П!I221</f>
        <v>0</v>
      </c>
      <c r="J221" s="324">
        <f>'d3'!J221-d3П!J221</f>
        <v>54500</v>
      </c>
      <c r="K221" s="324">
        <f>'d3'!K221-d3П!K221</f>
        <v>54500</v>
      </c>
      <c r="L221" s="324">
        <f>'d3'!L221-d3П!L221</f>
        <v>0</v>
      </c>
      <c r="M221" s="324">
        <f>'d3'!M221-d3П!M221</f>
        <v>0</v>
      </c>
      <c r="N221" s="324">
        <f>'d3'!N221-d3П!N221</f>
        <v>0</v>
      </c>
      <c r="O221" s="324">
        <f>'d3'!O221-d3П!O221</f>
        <v>54500</v>
      </c>
      <c r="P221" s="324">
        <f>'d3'!P221-d3П!P221</f>
        <v>174500</v>
      </c>
      <c r="Q221" s="47"/>
      <c r="R221" s="46"/>
    </row>
    <row r="222" spans="1:18" s="33" customFormat="1" ht="48" hidden="1" thickTop="1" thickBot="1" x14ac:dyDescent="0.25">
      <c r="A222" s="325" t="s">
        <v>760</v>
      </c>
      <c r="B222" s="325" t="s">
        <v>761</v>
      </c>
      <c r="C222" s="325"/>
      <c r="D222" s="325" t="s">
        <v>762</v>
      </c>
      <c r="E222" s="324">
        <f>'d3'!E222-d3П!E222</f>
        <v>0</v>
      </c>
      <c r="F222" s="324">
        <f>'d3'!F222-d3П!F222</f>
        <v>0</v>
      </c>
      <c r="G222" s="324">
        <f>'d3'!G222-d3П!G222</f>
        <v>0</v>
      </c>
      <c r="H222" s="324">
        <f>'d3'!H222-d3П!H222</f>
        <v>0</v>
      </c>
      <c r="I222" s="324">
        <f>'d3'!I222-d3П!I222</f>
        <v>0</v>
      </c>
      <c r="J222" s="324">
        <f>'d3'!J222-d3П!J222</f>
        <v>0</v>
      </c>
      <c r="K222" s="324">
        <f>'d3'!K222-d3П!K222</f>
        <v>0</v>
      </c>
      <c r="L222" s="324">
        <f>'d3'!L222-d3П!L222</f>
        <v>0</v>
      </c>
      <c r="M222" s="324">
        <f>'d3'!M222-d3П!M222</f>
        <v>0</v>
      </c>
      <c r="N222" s="324">
        <f>'d3'!N222-d3П!N222</f>
        <v>0</v>
      </c>
      <c r="O222" s="324">
        <f>'d3'!O222-d3П!O222</f>
        <v>0</v>
      </c>
      <c r="P222" s="324">
        <f>'d3'!P222-d3П!P222</f>
        <v>0</v>
      </c>
      <c r="Q222" s="155"/>
      <c r="R222" s="52"/>
    </row>
    <row r="223" spans="1:18" ht="47.25" hidden="1" thickTop="1" thickBot="1" x14ac:dyDescent="0.25">
      <c r="A223" s="101" t="s">
        <v>183</v>
      </c>
      <c r="B223" s="101" t="s">
        <v>184</v>
      </c>
      <c r="C223" s="101" t="s">
        <v>185</v>
      </c>
      <c r="D223" s="101" t="s">
        <v>636</v>
      </c>
      <c r="E223" s="324">
        <f>'d3'!E223-d3П!E223</f>
        <v>0</v>
      </c>
      <c r="F223" s="324">
        <f>'d3'!F223-d3П!F223</f>
        <v>0</v>
      </c>
      <c r="G223" s="324">
        <f>'d3'!G223-d3П!G223</f>
        <v>0</v>
      </c>
      <c r="H223" s="324">
        <f>'d3'!H223-d3П!H223</f>
        <v>0</v>
      </c>
      <c r="I223" s="324">
        <f>'d3'!I223-d3П!I223</f>
        <v>0</v>
      </c>
      <c r="J223" s="324">
        <f>'d3'!J223-d3П!J223</f>
        <v>0</v>
      </c>
      <c r="K223" s="324">
        <f>'d3'!K223-d3П!K223</f>
        <v>0</v>
      </c>
      <c r="L223" s="324">
        <f>'d3'!L223-d3П!L223</f>
        <v>0</v>
      </c>
      <c r="M223" s="324">
        <f>'d3'!M223-d3П!M223</f>
        <v>0</v>
      </c>
      <c r="N223" s="324">
        <f>'d3'!N223-d3П!N223</f>
        <v>0</v>
      </c>
      <c r="O223" s="324">
        <f>'d3'!O223-d3П!O223</f>
        <v>0</v>
      </c>
      <c r="P223" s="324">
        <f>'d3'!P223-d3П!P223</f>
        <v>0</v>
      </c>
      <c r="Q223" s="50"/>
      <c r="R223" s="50"/>
    </row>
    <row r="224" spans="1:18" s="33" customFormat="1" ht="93" thickTop="1" thickBot="1" x14ac:dyDescent="0.25">
      <c r="A224" s="325" t="s">
        <v>763</v>
      </c>
      <c r="B224" s="325" t="s">
        <v>764</v>
      </c>
      <c r="C224" s="325"/>
      <c r="D224" s="325" t="s">
        <v>1529</v>
      </c>
      <c r="E224" s="324">
        <f>'d3'!E224-d3П!E224</f>
        <v>120000</v>
      </c>
      <c r="F224" s="324">
        <f>'d3'!F224-d3П!F224</f>
        <v>120000</v>
      </c>
      <c r="G224" s="324">
        <f>'d3'!G224-d3П!G224</f>
        <v>0</v>
      </c>
      <c r="H224" s="324">
        <f>'d3'!H224-d3П!H224</f>
        <v>-10970</v>
      </c>
      <c r="I224" s="324">
        <f>'d3'!I224-d3П!I224</f>
        <v>0</v>
      </c>
      <c r="J224" s="324">
        <f>'d3'!J224-d3П!J224</f>
        <v>54500</v>
      </c>
      <c r="K224" s="324">
        <f>'d3'!K224-d3П!K224</f>
        <v>54500</v>
      </c>
      <c r="L224" s="324">
        <f>'d3'!L224-d3П!L224</f>
        <v>0</v>
      </c>
      <c r="M224" s="324">
        <f>'d3'!M224-d3П!M224</f>
        <v>0</v>
      </c>
      <c r="N224" s="324">
        <f>'d3'!N224-d3П!N224</f>
        <v>0</v>
      </c>
      <c r="O224" s="324">
        <f>'d3'!O224-d3П!O224</f>
        <v>54500</v>
      </c>
      <c r="P224" s="324">
        <f>'d3'!P224-d3П!P224</f>
        <v>174500</v>
      </c>
      <c r="Q224" s="51"/>
      <c r="R224" s="51"/>
    </row>
    <row r="225" spans="1:18" ht="47.25" thickTop="1" thickBot="1" x14ac:dyDescent="0.25">
      <c r="A225" s="101" t="s">
        <v>189</v>
      </c>
      <c r="B225" s="101" t="s">
        <v>190</v>
      </c>
      <c r="C225" s="101" t="s">
        <v>185</v>
      </c>
      <c r="D225" s="101" t="s">
        <v>10</v>
      </c>
      <c r="E225" s="324">
        <f>'d3'!E225-d3П!E225</f>
        <v>0</v>
      </c>
      <c r="F225" s="324">
        <f>'d3'!F225-d3П!F225</f>
        <v>0</v>
      </c>
      <c r="G225" s="324">
        <f>'d3'!G225-d3П!G225</f>
        <v>0</v>
      </c>
      <c r="H225" s="324">
        <f>'d3'!H225-d3П!H225</f>
        <v>0</v>
      </c>
      <c r="I225" s="324">
        <f>'d3'!I225-d3П!I225</f>
        <v>0</v>
      </c>
      <c r="J225" s="324">
        <f>'d3'!J225-d3П!J225</f>
        <v>0</v>
      </c>
      <c r="K225" s="324">
        <f>'d3'!K225-d3П!K225</f>
        <v>0</v>
      </c>
      <c r="L225" s="324">
        <f>'d3'!L225-d3П!L225</f>
        <v>0</v>
      </c>
      <c r="M225" s="324">
        <f>'d3'!M225-d3П!M225</f>
        <v>0</v>
      </c>
      <c r="N225" s="324">
        <f>'d3'!N225-d3П!N225</f>
        <v>0</v>
      </c>
      <c r="O225" s="324">
        <f>'d3'!O225-d3П!O225</f>
        <v>0</v>
      </c>
      <c r="P225" s="324">
        <f>'d3'!P225-d3П!P225</f>
        <v>0</v>
      </c>
      <c r="Q225" s="20"/>
      <c r="R225" s="46"/>
    </row>
    <row r="226" spans="1:18" ht="47.25" thickTop="1" thickBot="1" x14ac:dyDescent="0.25">
      <c r="A226" s="101" t="s">
        <v>351</v>
      </c>
      <c r="B226" s="101" t="s">
        <v>352</v>
      </c>
      <c r="C226" s="101" t="s">
        <v>185</v>
      </c>
      <c r="D226" s="101" t="s">
        <v>353</v>
      </c>
      <c r="E226" s="324">
        <f>'d3'!E226-d3П!E226</f>
        <v>120000</v>
      </c>
      <c r="F226" s="324">
        <f>'d3'!F226-d3П!F226</f>
        <v>120000</v>
      </c>
      <c r="G226" s="324">
        <f>'d3'!G226-d3П!G226</f>
        <v>0</v>
      </c>
      <c r="H226" s="324">
        <f>'d3'!H226-d3П!H226</f>
        <v>-10970</v>
      </c>
      <c r="I226" s="324">
        <f>'d3'!I226-d3П!I226</f>
        <v>0</v>
      </c>
      <c r="J226" s="324">
        <f>'d3'!J226-d3П!J226</f>
        <v>54500</v>
      </c>
      <c r="K226" s="324">
        <f>'d3'!K226-d3П!K226</f>
        <v>54500</v>
      </c>
      <c r="L226" s="324">
        <f>'d3'!L226-d3П!L226</f>
        <v>0</v>
      </c>
      <c r="M226" s="324">
        <f>'d3'!M226-d3П!M226</f>
        <v>0</v>
      </c>
      <c r="N226" s="324">
        <f>'d3'!N226-d3П!N226</f>
        <v>0</v>
      </c>
      <c r="O226" s="324">
        <f>'d3'!O226-d3П!O226</f>
        <v>54500</v>
      </c>
      <c r="P226" s="324">
        <f>'d3'!P226-d3П!P226</f>
        <v>174500</v>
      </c>
      <c r="Q226" s="20"/>
      <c r="R226" s="46"/>
    </row>
    <row r="227" spans="1:18" ht="47.25" thickTop="1" thickBot="1" x14ac:dyDescent="0.25">
      <c r="A227" s="308" t="s">
        <v>765</v>
      </c>
      <c r="B227" s="308" t="s">
        <v>766</v>
      </c>
      <c r="C227" s="101"/>
      <c r="D227" s="308" t="s">
        <v>767</v>
      </c>
      <c r="E227" s="324">
        <f>'d3'!E227-d3П!E227</f>
        <v>-202270</v>
      </c>
      <c r="F227" s="324">
        <f>'d3'!F227-d3П!F227</f>
        <v>-202270</v>
      </c>
      <c r="G227" s="324">
        <f>'d3'!G227-d3П!G227</f>
        <v>0</v>
      </c>
      <c r="H227" s="324">
        <f>'d3'!H227-d3П!H227</f>
        <v>87923</v>
      </c>
      <c r="I227" s="324">
        <f>'d3'!I227-d3П!I227</f>
        <v>0</v>
      </c>
      <c r="J227" s="324">
        <f>'d3'!J227-d3П!J227</f>
        <v>27770</v>
      </c>
      <c r="K227" s="324">
        <f>'d3'!K227-d3П!K227</f>
        <v>27770</v>
      </c>
      <c r="L227" s="324">
        <f>'d3'!L227-d3П!L227</f>
        <v>0</v>
      </c>
      <c r="M227" s="324">
        <f>'d3'!M227-d3П!M227</f>
        <v>0</v>
      </c>
      <c r="N227" s="324">
        <f>'d3'!N227-d3П!N227</f>
        <v>0</v>
      </c>
      <c r="O227" s="324">
        <f>'d3'!O227-d3П!O227</f>
        <v>27770</v>
      </c>
      <c r="P227" s="324">
        <f>'d3'!P227-d3П!P227</f>
        <v>-174500</v>
      </c>
      <c r="Q227" s="20"/>
      <c r="R227" s="46"/>
    </row>
    <row r="228" spans="1:18" s="33" customFormat="1" ht="48" thickTop="1" thickBot="1" x14ac:dyDescent="0.25">
      <c r="A228" s="325" t="s">
        <v>768</v>
      </c>
      <c r="B228" s="325" t="s">
        <v>769</v>
      </c>
      <c r="C228" s="325"/>
      <c r="D228" s="325" t="s">
        <v>770</v>
      </c>
      <c r="E228" s="324">
        <f>'d3'!E228-d3П!E228</f>
        <v>-187223</v>
      </c>
      <c r="F228" s="324">
        <f>'d3'!F228-d3П!F228</f>
        <v>-187223</v>
      </c>
      <c r="G228" s="324">
        <f>'d3'!G228-d3П!G228</f>
        <v>0</v>
      </c>
      <c r="H228" s="324">
        <f>'d3'!H228-d3П!H228</f>
        <v>0</v>
      </c>
      <c r="I228" s="324">
        <f>'d3'!I228-d3П!I228</f>
        <v>0</v>
      </c>
      <c r="J228" s="324">
        <f>'d3'!J228-d3П!J228</f>
        <v>0</v>
      </c>
      <c r="K228" s="324">
        <f>'d3'!K228-d3П!K228</f>
        <v>0</v>
      </c>
      <c r="L228" s="324">
        <f>'d3'!L228-d3П!L228</f>
        <v>0</v>
      </c>
      <c r="M228" s="324">
        <f>'d3'!M228-d3П!M228</f>
        <v>0</v>
      </c>
      <c r="N228" s="324">
        <f>'d3'!N228-d3П!N228</f>
        <v>0</v>
      </c>
      <c r="O228" s="324">
        <f>'d3'!O228-d3П!O228</f>
        <v>0</v>
      </c>
      <c r="P228" s="324">
        <f>'d3'!P228-d3П!P228</f>
        <v>-187223</v>
      </c>
      <c r="Q228" s="36"/>
      <c r="R228" s="52"/>
    </row>
    <row r="229" spans="1:18" ht="93" thickTop="1" thickBot="1" x14ac:dyDescent="0.25">
      <c r="A229" s="101" t="s">
        <v>44</v>
      </c>
      <c r="B229" s="101" t="s">
        <v>186</v>
      </c>
      <c r="C229" s="101" t="s">
        <v>195</v>
      </c>
      <c r="D229" s="101" t="s">
        <v>45</v>
      </c>
      <c r="E229" s="324">
        <f>'d3'!E229-d3П!E229</f>
        <v>-987223</v>
      </c>
      <c r="F229" s="324">
        <f>'d3'!F229-d3П!F229</f>
        <v>-987223</v>
      </c>
      <c r="G229" s="324">
        <f>'d3'!G229-d3П!G229</f>
        <v>0</v>
      </c>
      <c r="H229" s="324">
        <f>'d3'!H229-d3П!H229</f>
        <v>0</v>
      </c>
      <c r="I229" s="324">
        <f>'d3'!I229-d3П!I229</f>
        <v>0</v>
      </c>
      <c r="J229" s="324">
        <f>'d3'!J229-d3П!J229</f>
        <v>0</v>
      </c>
      <c r="K229" s="324">
        <f>'d3'!K229-d3П!K229</f>
        <v>0</v>
      </c>
      <c r="L229" s="324">
        <f>'d3'!L229-d3П!L229</f>
        <v>0</v>
      </c>
      <c r="M229" s="324">
        <f>'d3'!M229-d3П!M229</f>
        <v>0</v>
      </c>
      <c r="N229" s="324">
        <f>'d3'!N229-d3П!N229</f>
        <v>0</v>
      </c>
      <c r="O229" s="324">
        <f>'d3'!O229-d3П!O229</f>
        <v>0</v>
      </c>
      <c r="P229" s="324">
        <f>'d3'!P229-d3П!P229</f>
        <v>-987223</v>
      </c>
      <c r="Q229" s="20"/>
      <c r="R229" s="46"/>
    </row>
    <row r="230" spans="1:18" ht="93" thickTop="1" thickBot="1" x14ac:dyDescent="0.25">
      <c r="A230" s="101" t="s">
        <v>46</v>
      </c>
      <c r="B230" s="101" t="s">
        <v>187</v>
      </c>
      <c r="C230" s="101" t="s">
        <v>195</v>
      </c>
      <c r="D230" s="101" t="s">
        <v>4</v>
      </c>
      <c r="E230" s="324">
        <f>'d3'!E230-d3П!E230</f>
        <v>800000</v>
      </c>
      <c r="F230" s="324">
        <f>'d3'!F230-d3П!F230</f>
        <v>800000</v>
      </c>
      <c r="G230" s="324">
        <f>'d3'!G230-d3П!G230</f>
        <v>0</v>
      </c>
      <c r="H230" s="324">
        <f>'d3'!H230-d3П!H230</f>
        <v>0</v>
      </c>
      <c r="I230" s="324">
        <f>'d3'!I230-d3П!I230</f>
        <v>0</v>
      </c>
      <c r="J230" s="324">
        <f>'d3'!J230-d3П!J230</f>
        <v>0</v>
      </c>
      <c r="K230" s="324">
        <f>'d3'!K230-d3П!K230</f>
        <v>0</v>
      </c>
      <c r="L230" s="324">
        <f>'d3'!L230-d3П!L230</f>
        <v>0</v>
      </c>
      <c r="M230" s="324">
        <f>'d3'!M230-d3П!M230</f>
        <v>0</v>
      </c>
      <c r="N230" s="324">
        <f>'d3'!N230-d3П!N230</f>
        <v>0</v>
      </c>
      <c r="O230" s="324">
        <f>'d3'!O230-d3П!O230</f>
        <v>0</v>
      </c>
      <c r="P230" s="324">
        <f>'d3'!P230-d3П!P230</f>
        <v>800000</v>
      </c>
      <c r="Q230" s="20"/>
      <c r="R230" s="46"/>
    </row>
    <row r="231" spans="1:18" s="33" customFormat="1" ht="93" thickTop="1" thickBot="1" x14ac:dyDescent="0.25">
      <c r="A231" s="325" t="s">
        <v>771</v>
      </c>
      <c r="B231" s="325" t="s">
        <v>772</v>
      </c>
      <c r="C231" s="325"/>
      <c r="D231" s="325" t="s">
        <v>773</v>
      </c>
      <c r="E231" s="324">
        <f>'d3'!E231-d3П!E231</f>
        <v>0</v>
      </c>
      <c r="F231" s="324">
        <f>'d3'!F231-d3П!F231</f>
        <v>0</v>
      </c>
      <c r="G231" s="324">
        <f>'d3'!G231-d3П!G231</f>
        <v>0</v>
      </c>
      <c r="H231" s="324">
        <f>'d3'!H231-d3П!H231</f>
        <v>0</v>
      </c>
      <c r="I231" s="324">
        <f>'d3'!I231-d3П!I231</f>
        <v>0</v>
      </c>
      <c r="J231" s="324">
        <f>'d3'!J231-d3П!J231</f>
        <v>0</v>
      </c>
      <c r="K231" s="324">
        <f>'d3'!K231-d3П!K231</f>
        <v>0</v>
      </c>
      <c r="L231" s="324">
        <f>'d3'!L231-d3П!L231</f>
        <v>0</v>
      </c>
      <c r="M231" s="324">
        <f>'d3'!M231-d3П!M231</f>
        <v>0</v>
      </c>
      <c r="N231" s="324">
        <f>'d3'!N231-d3П!N231</f>
        <v>0</v>
      </c>
      <c r="O231" s="324">
        <f>'d3'!O231-d3П!O231</f>
        <v>0</v>
      </c>
      <c r="P231" s="324">
        <f>'d3'!P231-d3П!P231</f>
        <v>0</v>
      </c>
      <c r="Q231" s="36"/>
      <c r="R231" s="53"/>
    </row>
    <row r="232" spans="1:18" ht="93" thickTop="1" thickBot="1" x14ac:dyDescent="0.25">
      <c r="A232" s="101" t="s">
        <v>47</v>
      </c>
      <c r="B232" s="101" t="s">
        <v>188</v>
      </c>
      <c r="C232" s="101" t="s">
        <v>195</v>
      </c>
      <c r="D232" s="101" t="s">
        <v>349</v>
      </c>
      <c r="E232" s="324">
        <f>'d3'!E232-d3П!E232</f>
        <v>0</v>
      </c>
      <c r="F232" s="324">
        <f>'d3'!F232-d3П!F232</f>
        <v>0</v>
      </c>
      <c r="G232" s="324">
        <f>'d3'!G232-d3П!G232</f>
        <v>0</v>
      </c>
      <c r="H232" s="324">
        <f>'d3'!H232-d3П!H232</f>
        <v>0</v>
      </c>
      <c r="I232" s="324">
        <f>'d3'!I232-d3П!I232</f>
        <v>0</v>
      </c>
      <c r="J232" s="324">
        <f>'d3'!J232-d3П!J232</f>
        <v>0</v>
      </c>
      <c r="K232" s="324">
        <f>'d3'!K232-d3П!K232</f>
        <v>0</v>
      </c>
      <c r="L232" s="324">
        <f>'d3'!L232-d3П!L232</f>
        <v>0</v>
      </c>
      <c r="M232" s="324">
        <f>'d3'!M232-d3П!M232</f>
        <v>0</v>
      </c>
      <c r="N232" s="324">
        <f>'d3'!N232-d3П!N232</f>
        <v>0</v>
      </c>
      <c r="O232" s="324">
        <f>'d3'!O232-d3П!O232</f>
        <v>0</v>
      </c>
      <c r="P232" s="324">
        <f>'d3'!P232-d3П!P232</f>
        <v>0</v>
      </c>
      <c r="Q232" s="20"/>
      <c r="R232" s="46"/>
    </row>
    <row r="233" spans="1:18" ht="47.25" thickTop="1" thickBot="1" x14ac:dyDescent="0.25">
      <c r="A233" s="325" t="s">
        <v>774</v>
      </c>
      <c r="B233" s="325" t="s">
        <v>775</v>
      </c>
      <c r="C233" s="325"/>
      <c r="D233" s="325" t="s">
        <v>776</v>
      </c>
      <c r="E233" s="324">
        <f>'d3'!E233-d3П!E233</f>
        <v>54953</v>
      </c>
      <c r="F233" s="324">
        <f>'d3'!F233-d3П!F233</f>
        <v>54953</v>
      </c>
      <c r="G233" s="324">
        <f>'d3'!G233-d3П!G233</f>
        <v>0</v>
      </c>
      <c r="H233" s="324">
        <f>'d3'!H233-d3П!H233</f>
        <v>87923</v>
      </c>
      <c r="I233" s="324">
        <f>'d3'!I233-d3П!I233</f>
        <v>0</v>
      </c>
      <c r="J233" s="324">
        <f>'d3'!J233-d3П!J233</f>
        <v>27770</v>
      </c>
      <c r="K233" s="324">
        <f>'d3'!K233-d3П!K233</f>
        <v>27770</v>
      </c>
      <c r="L233" s="324">
        <f>'d3'!L233-d3П!L233</f>
        <v>0</v>
      </c>
      <c r="M233" s="324">
        <f>'d3'!M233-d3П!M233</f>
        <v>0</v>
      </c>
      <c r="N233" s="324">
        <f>'d3'!N233-d3П!N233</f>
        <v>0</v>
      </c>
      <c r="O233" s="324">
        <f>'d3'!O233-d3П!O233</f>
        <v>27770</v>
      </c>
      <c r="P233" s="324">
        <f>'d3'!P233-d3П!P233</f>
        <v>82723</v>
      </c>
      <c r="Q233" s="20"/>
      <c r="R233" s="46"/>
    </row>
    <row r="234" spans="1:18" ht="93" thickTop="1" thickBot="1" x14ac:dyDescent="0.25">
      <c r="A234" s="101" t="s">
        <v>28</v>
      </c>
      <c r="B234" s="101" t="s">
        <v>192</v>
      </c>
      <c r="C234" s="101" t="s">
        <v>195</v>
      </c>
      <c r="D234" s="101" t="s">
        <v>48</v>
      </c>
      <c r="E234" s="324">
        <f>'d3'!E234-d3П!E234</f>
        <v>54953</v>
      </c>
      <c r="F234" s="324">
        <f>'d3'!F234-d3П!F234</f>
        <v>54953</v>
      </c>
      <c r="G234" s="324">
        <f>'d3'!G234-d3П!G234</f>
        <v>0</v>
      </c>
      <c r="H234" s="324">
        <f>'d3'!H234-d3П!H234</f>
        <v>87923</v>
      </c>
      <c r="I234" s="324">
        <f>'d3'!I234-d3П!I234</f>
        <v>0</v>
      </c>
      <c r="J234" s="324">
        <f>'d3'!J234-d3П!J234</f>
        <v>27770</v>
      </c>
      <c r="K234" s="324">
        <f>'d3'!K234-d3П!K234</f>
        <v>27770</v>
      </c>
      <c r="L234" s="324">
        <f>'d3'!L234-d3П!L234</f>
        <v>0</v>
      </c>
      <c r="M234" s="324">
        <f>'d3'!M234-d3П!M234</f>
        <v>0</v>
      </c>
      <c r="N234" s="324">
        <f>'d3'!N234-d3П!N234</f>
        <v>0</v>
      </c>
      <c r="O234" s="324">
        <f>'d3'!O234-d3П!O234</f>
        <v>27770</v>
      </c>
      <c r="P234" s="324">
        <f>'d3'!P234-d3П!P234</f>
        <v>82723</v>
      </c>
      <c r="Q234" s="20"/>
      <c r="R234" s="46"/>
    </row>
    <row r="235" spans="1:18" ht="93" thickTop="1" thickBot="1" x14ac:dyDescent="0.25">
      <c r="A235" s="101" t="s">
        <v>29</v>
      </c>
      <c r="B235" s="101" t="s">
        <v>193</v>
      </c>
      <c r="C235" s="101" t="s">
        <v>195</v>
      </c>
      <c r="D235" s="101" t="s">
        <v>49</v>
      </c>
      <c r="E235" s="324">
        <f>'d3'!E235-d3П!E235</f>
        <v>0</v>
      </c>
      <c r="F235" s="324">
        <f>'d3'!F235-d3П!F235</f>
        <v>0</v>
      </c>
      <c r="G235" s="324">
        <f>'d3'!G235-d3П!G235</f>
        <v>0</v>
      </c>
      <c r="H235" s="324">
        <f>'d3'!H235-d3П!H235</f>
        <v>0</v>
      </c>
      <c r="I235" s="324">
        <f>'d3'!I235-d3П!I235</f>
        <v>0</v>
      </c>
      <c r="J235" s="324">
        <f>'d3'!J235-d3П!J235</f>
        <v>0</v>
      </c>
      <c r="K235" s="324">
        <f>'d3'!K235-d3П!K235</f>
        <v>0</v>
      </c>
      <c r="L235" s="324">
        <f>'d3'!L235-d3П!L235</f>
        <v>0</v>
      </c>
      <c r="M235" s="324">
        <f>'d3'!M235-d3П!M235</f>
        <v>0</v>
      </c>
      <c r="N235" s="324">
        <f>'d3'!N235-d3П!N235</f>
        <v>0</v>
      </c>
      <c r="O235" s="324">
        <f>'d3'!O235-d3П!O235</f>
        <v>0</v>
      </c>
      <c r="P235" s="324">
        <f>'d3'!P235-d3П!P235</f>
        <v>0</v>
      </c>
      <c r="Q235" s="20"/>
      <c r="R235" s="46"/>
    </row>
    <row r="236" spans="1:18" ht="69.75" customHeight="1" thickTop="1" thickBot="1" x14ac:dyDescent="0.25">
      <c r="A236" s="573" t="s">
        <v>1358</v>
      </c>
      <c r="B236" s="325" t="s">
        <v>812</v>
      </c>
      <c r="C236" s="325"/>
      <c r="D236" s="325" t="s">
        <v>813</v>
      </c>
      <c r="E236" s="324">
        <f>'d3'!E236-d3П!E236</f>
        <v>0</v>
      </c>
      <c r="F236" s="324">
        <f>'d3'!F236-d3П!F236</f>
        <v>0</v>
      </c>
      <c r="G236" s="324">
        <f>'d3'!G236-d3П!G236</f>
        <v>0</v>
      </c>
      <c r="H236" s="324">
        <f>'d3'!H236-d3П!H236</f>
        <v>0</v>
      </c>
      <c r="I236" s="324">
        <f>'d3'!I236-d3П!I236</f>
        <v>0</v>
      </c>
      <c r="J236" s="324">
        <f>'d3'!J236-d3П!J236</f>
        <v>0</v>
      </c>
      <c r="K236" s="324">
        <f>'d3'!K236-d3П!K236</f>
        <v>0</v>
      </c>
      <c r="L236" s="324">
        <f>'d3'!L236-d3П!L236</f>
        <v>0</v>
      </c>
      <c r="M236" s="324">
        <f>'d3'!M236-d3П!M236</f>
        <v>0</v>
      </c>
      <c r="N236" s="324">
        <f>'d3'!N236-d3П!N236</f>
        <v>0</v>
      </c>
      <c r="O236" s="324">
        <f>'d3'!O236-d3П!O236</f>
        <v>0</v>
      </c>
      <c r="P236" s="324">
        <f>'d3'!P236-d3П!P236</f>
        <v>0</v>
      </c>
      <c r="Q236" s="20"/>
      <c r="R236" s="46"/>
    </row>
    <row r="237" spans="1:18" ht="93" thickTop="1" thickBot="1" x14ac:dyDescent="0.25">
      <c r="A237" s="101" t="s">
        <v>1359</v>
      </c>
      <c r="B237" s="101" t="s">
        <v>1360</v>
      </c>
      <c r="C237" s="101" t="s">
        <v>195</v>
      </c>
      <c r="D237" s="101" t="s">
        <v>1361</v>
      </c>
      <c r="E237" s="324">
        <f>'d3'!E237-d3П!E237</f>
        <v>0</v>
      </c>
      <c r="F237" s="324">
        <f>'d3'!F237-d3П!F237</f>
        <v>0</v>
      </c>
      <c r="G237" s="324">
        <f>'d3'!G237-d3П!G237</f>
        <v>0</v>
      </c>
      <c r="H237" s="324">
        <f>'d3'!H237-d3П!H237</f>
        <v>0</v>
      </c>
      <c r="I237" s="324">
        <f>'d3'!I237-d3П!I237</f>
        <v>0</v>
      </c>
      <c r="J237" s="324">
        <f>'d3'!J237-d3П!J237</f>
        <v>0</v>
      </c>
      <c r="K237" s="324">
        <f>'d3'!K237-d3П!K237</f>
        <v>0</v>
      </c>
      <c r="L237" s="324">
        <f>'d3'!L237-d3П!L237</f>
        <v>0</v>
      </c>
      <c r="M237" s="324">
        <f>'d3'!M237-d3П!M237</f>
        <v>0</v>
      </c>
      <c r="N237" s="324">
        <f>'d3'!N237-d3П!N237</f>
        <v>0</v>
      </c>
      <c r="O237" s="324">
        <f>'d3'!O237-d3П!O237</f>
        <v>0</v>
      </c>
      <c r="P237" s="324">
        <f>'d3'!P237-d3П!P237</f>
        <v>0</v>
      </c>
      <c r="Q237" s="20"/>
      <c r="R237" s="46"/>
    </row>
    <row r="238" spans="1:18" ht="47.25" thickTop="1" thickBot="1" x14ac:dyDescent="0.25">
      <c r="A238" s="573" t="s">
        <v>777</v>
      </c>
      <c r="B238" s="325" t="s">
        <v>778</v>
      </c>
      <c r="C238" s="325"/>
      <c r="D238" s="325" t="s">
        <v>779</v>
      </c>
      <c r="E238" s="324">
        <f>'d3'!E238-d3П!E238</f>
        <v>-70000</v>
      </c>
      <c r="F238" s="324">
        <f>'d3'!F238-d3П!F238</f>
        <v>-70000</v>
      </c>
      <c r="G238" s="324">
        <f>'d3'!G238-d3П!G238</f>
        <v>0</v>
      </c>
      <c r="H238" s="324">
        <f>'d3'!H238-d3П!H238</f>
        <v>0</v>
      </c>
      <c r="I238" s="324">
        <f>'d3'!I238-d3П!I238</f>
        <v>0</v>
      </c>
      <c r="J238" s="324">
        <f>'d3'!J238-d3П!J238</f>
        <v>0</v>
      </c>
      <c r="K238" s="324">
        <f>'d3'!K238-d3П!K238</f>
        <v>0</v>
      </c>
      <c r="L238" s="324">
        <f>'d3'!L238-d3П!L238</f>
        <v>0</v>
      </c>
      <c r="M238" s="324">
        <f>'d3'!M238-d3П!M238</f>
        <v>0</v>
      </c>
      <c r="N238" s="324">
        <f>'d3'!N238-d3П!N238</f>
        <v>0</v>
      </c>
      <c r="O238" s="324">
        <f>'d3'!O238-d3П!O238</f>
        <v>0</v>
      </c>
      <c r="P238" s="324">
        <f>'d3'!P238-d3П!P238</f>
        <v>-70000</v>
      </c>
      <c r="Q238" s="20"/>
      <c r="R238" s="46"/>
    </row>
    <row r="239" spans="1:18" ht="93" thickTop="1" thickBot="1" x14ac:dyDescent="0.25">
      <c r="A239" s="574" t="s">
        <v>30</v>
      </c>
      <c r="B239" s="574" t="s">
        <v>194</v>
      </c>
      <c r="C239" s="574" t="s">
        <v>195</v>
      </c>
      <c r="D239" s="101" t="s">
        <v>31</v>
      </c>
      <c r="E239" s="324">
        <f>'d3'!E239-d3П!E239</f>
        <v>0</v>
      </c>
      <c r="F239" s="324">
        <f>'d3'!F239-d3П!F239</f>
        <v>0</v>
      </c>
      <c r="G239" s="324">
        <f>'d3'!G239-d3П!G239</f>
        <v>0</v>
      </c>
      <c r="H239" s="324">
        <f>'d3'!H239-d3П!H239</f>
        <v>0</v>
      </c>
      <c r="I239" s="324">
        <f>'d3'!I239-d3П!I239</f>
        <v>0</v>
      </c>
      <c r="J239" s="324">
        <f>'d3'!J239-d3П!J239</f>
        <v>0</v>
      </c>
      <c r="K239" s="324">
        <f>'d3'!K239-d3П!K239</f>
        <v>0</v>
      </c>
      <c r="L239" s="324">
        <f>'d3'!L239-d3П!L239</f>
        <v>0</v>
      </c>
      <c r="M239" s="324">
        <f>'d3'!M239-d3П!M239</f>
        <v>0</v>
      </c>
      <c r="N239" s="324">
        <f>'d3'!N239-d3П!N239</f>
        <v>0</v>
      </c>
      <c r="O239" s="324">
        <f>'d3'!O239-d3П!O239</f>
        <v>0</v>
      </c>
      <c r="P239" s="324">
        <f>'d3'!P239-d3П!P239</f>
        <v>0</v>
      </c>
      <c r="Q239" s="20"/>
      <c r="R239" s="46"/>
    </row>
    <row r="240" spans="1:18" ht="93" thickTop="1" thickBot="1" x14ac:dyDescent="0.25">
      <c r="A240" s="574" t="s">
        <v>511</v>
      </c>
      <c r="B240" s="574" t="s">
        <v>509</v>
      </c>
      <c r="C240" s="574" t="s">
        <v>195</v>
      </c>
      <c r="D240" s="101" t="s">
        <v>510</v>
      </c>
      <c r="E240" s="324">
        <f>'d3'!E240-d3П!E240</f>
        <v>-74500</v>
      </c>
      <c r="F240" s="324">
        <f>'d3'!F240-d3П!F240</f>
        <v>-74500</v>
      </c>
      <c r="G240" s="324">
        <f>'d3'!G240-d3П!G240</f>
        <v>0</v>
      </c>
      <c r="H240" s="324">
        <f>'d3'!H240-d3П!H240</f>
        <v>0</v>
      </c>
      <c r="I240" s="324">
        <f>'d3'!I240-d3П!I240</f>
        <v>0</v>
      </c>
      <c r="J240" s="324">
        <f>'d3'!J240-d3П!J240</f>
        <v>0</v>
      </c>
      <c r="K240" s="324">
        <f>'d3'!K240-d3П!K240</f>
        <v>0</v>
      </c>
      <c r="L240" s="324">
        <f>'d3'!L240-d3П!L240</f>
        <v>0</v>
      </c>
      <c r="M240" s="324">
        <f>'d3'!M240-d3П!M240</f>
        <v>0</v>
      </c>
      <c r="N240" s="324">
        <f>'d3'!N240-d3П!N240</f>
        <v>0</v>
      </c>
      <c r="O240" s="324">
        <f>'d3'!O240-d3П!O240</f>
        <v>0</v>
      </c>
      <c r="P240" s="324">
        <f>'d3'!P240-d3П!P240</f>
        <v>-74500</v>
      </c>
      <c r="Q240" s="20"/>
      <c r="R240" s="46"/>
    </row>
    <row r="241" spans="1:18" ht="73.5" customHeight="1" thickTop="1" thickBot="1" x14ac:dyDescent="0.25">
      <c r="A241" s="574" t="s">
        <v>32</v>
      </c>
      <c r="B241" s="574" t="s">
        <v>196</v>
      </c>
      <c r="C241" s="574" t="s">
        <v>195</v>
      </c>
      <c r="D241" s="101" t="s">
        <v>33</v>
      </c>
      <c r="E241" s="324">
        <f>'d3'!E241-d3П!E241</f>
        <v>4500</v>
      </c>
      <c r="F241" s="324">
        <f>'d3'!F241-d3П!F241</f>
        <v>4500</v>
      </c>
      <c r="G241" s="324">
        <f>'d3'!G241-d3П!G241</f>
        <v>0</v>
      </c>
      <c r="H241" s="324">
        <f>'d3'!H241-d3П!H241</f>
        <v>0</v>
      </c>
      <c r="I241" s="324">
        <f>'d3'!I241-d3П!I241</f>
        <v>0</v>
      </c>
      <c r="J241" s="324">
        <f>'d3'!J241-d3П!J241</f>
        <v>0</v>
      </c>
      <c r="K241" s="324">
        <f>'d3'!K241-d3П!K241</f>
        <v>0</v>
      </c>
      <c r="L241" s="324">
        <f>'d3'!L241-d3П!L241</f>
        <v>0</v>
      </c>
      <c r="M241" s="324">
        <f>'d3'!M241-d3П!M241</f>
        <v>0</v>
      </c>
      <c r="N241" s="324">
        <f>'d3'!N241-d3П!N241</f>
        <v>0</v>
      </c>
      <c r="O241" s="324">
        <f>'d3'!O241-d3П!O241</f>
        <v>0</v>
      </c>
      <c r="P241" s="324">
        <f>'d3'!P241-d3П!P241</f>
        <v>4500</v>
      </c>
      <c r="Q241" s="20"/>
      <c r="R241" s="46"/>
    </row>
    <row r="242" spans="1:18" ht="47.25" hidden="1" thickTop="1" thickBot="1" x14ac:dyDescent="0.25">
      <c r="A242" s="123" t="s">
        <v>780</v>
      </c>
      <c r="B242" s="123" t="s">
        <v>738</v>
      </c>
      <c r="C242" s="123"/>
      <c r="D242" s="400" t="s">
        <v>739</v>
      </c>
      <c r="E242" s="324">
        <f>'d3'!E242-d3П!E242</f>
        <v>0</v>
      </c>
      <c r="F242" s="324">
        <f>'d3'!F242-d3П!F242</f>
        <v>0</v>
      </c>
      <c r="G242" s="324">
        <f>'d3'!G242-d3П!G242</f>
        <v>0</v>
      </c>
      <c r="H242" s="324">
        <f>'d3'!H242-d3П!H242</f>
        <v>0</v>
      </c>
      <c r="I242" s="324">
        <f>'d3'!I242-d3П!I242</f>
        <v>0</v>
      </c>
      <c r="J242" s="324">
        <f>'d3'!J242-d3П!J242</f>
        <v>0</v>
      </c>
      <c r="K242" s="324">
        <f>'d3'!K242-d3П!K242</f>
        <v>0</v>
      </c>
      <c r="L242" s="324">
        <f>'d3'!L242-d3П!L242</f>
        <v>0</v>
      </c>
      <c r="M242" s="324">
        <f>'d3'!M242-d3П!M242</f>
        <v>0</v>
      </c>
      <c r="N242" s="324">
        <f>'d3'!N242-d3П!N242</f>
        <v>0</v>
      </c>
      <c r="O242" s="324">
        <f>'d3'!O242-d3П!O242</f>
        <v>0</v>
      </c>
      <c r="P242" s="324">
        <f>'d3'!P242-d3П!P242</f>
        <v>0</v>
      </c>
      <c r="Q242" s="20"/>
      <c r="R242" s="46"/>
    </row>
    <row r="243" spans="1:18" ht="47.25" hidden="1" thickTop="1" thickBot="1" x14ac:dyDescent="0.25">
      <c r="A243" s="401" t="s">
        <v>781</v>
      </c>
      <c r="B243" s="401" t="s">
        <v>741</v>
      </c>
      <c r="C243" s="401"/>
      <c r="D243" s="138" t="s">
        <v>742</v>
      </c>
      <c r="E243" s="324">
        <f>'d3'!E243-d3П!E243</f>
        <v>0</v>
      </c>
      <c r="F243" s="324">
        <f>'d3'!F243-d3П!F243</f>
        <v>0</v>
      </c>
      <c r="G243" s="324">
        <f>'d3'!G243-d3П!G243</f>
        <v>0</v>
      </c>
      <c r="H243" s="324">
        <f>'d3'!H243-d3П!H243</f>
        <v>0</v>
      </c>
      <c r="I243" s="324">
        <f>'d3'!I243-d3П!I243</f>
        <v>0</v>
      </c>
      <c r="J243" s="324">
        <f>'d3'!J243-d3П!J243</f>
        <v>0</v>
      </c>
      <c r="K243" s="324">
        <f>'d3'!K243-d3П!K243</f>
        <v>0</v>
      </c>
      <c r="L243" s="324">
        <f>'d3'!L243-d3П!L243</f>
        <v>0</v>
      </c>
      <c r="M243" s="324">
        <f>'d3'!M243-d3П!M243</f>
        <v>0</v>
      </c>
      <c r="N243" s="324">
        <f>'d3'!N243-d3П!N243</f>
        <v>0</v>
      </c>
      <c r="O243" s="324">
        <f>'d3'!O243-d3П!O243</f>
        <v>0</v>
      </c>
      <c r="P243" s="324">
        <f>'d3'!P243-d3П!P243</f>
        <v>0</v>
      </c>
      <c r="Q243" s="20"/>
      <c r="R243" s="46"/>
    </row>
    <row r="244" spans="1:18" ht="93" hidden="1" thickTop="1" thickBot="1" x14ac:dyDescent="0.25">
      <c r="A244" s="402" t="s">
        <v>342</v>
      </c>
      <c r="B244" s="402" t="s">
        <v>341</v>
      </c>
      <c r="C244" s="402" t="s">
        <v>340</v>
      </c>
      <c r="D244" s="126" t="s">
        <v>637</v>
      </c>
      <c r="E244" s="324">
        <f>'d3'!E244-d3П!E244</f>
        <v>0</v>
      </c>
      <c r="F244" s="324">
        <f>'d3'!F244-d3П!F244</f>
        <v>0</v>
      </c>
      <c r="G244" s="324">
        <f>'d3'!G244-d3П!G244</f>
        <v>0</v>
      </c>
      <c r="H244" s="324">
        <f>'d3'!H244-d3П!H244</f>
        <v>0</v>
      </c>
      <c r="I244" s="324">
        <f>'d3'!I244-d3П!I244</f>
        <v>0</v>
      </c>
      <c r="J244" s="324">
        <f>'d3'!J244-d3П!J244</f>
        <v>0</v>
      </c>
      <c r="K244" s="324">
        <f>'d3'!K244-d3П!K244</f>
        <v>0</v>
      </c>
      <c r="L244" s="324">
        <f>'d3'!L244-d3П!L244</f>
        <v>0</v>
      </c>
      <c r="M244" s="324">
        <f>'d3'!M244-d3П!M244</f>
        <v>0</v>
      </c>
      <c r="N244" s="324">
        <f>'d3'!N244-d3П!N244</f>
        <v>0</v>
      </c>
      <c r="O244" s="324">
        <f>'d3'!O244-d3П!O244</f>
        <v>0</v>
      </c>
      <c r="P244" s="324">
        <f>'d3'!P244-d3П!P244</f>
        <v>0</v>
      </c>
      <c r="Q244" s="20"/>
      <c r="R244" s="50"/>
    </row>
    <row r="245" spans="1:18" ht="47.25" hidden="1" thickTop="1" thickBot="1" x14ac:dyDescent="0.25">
      <c r="A245" s="123" t="s">
        <v>782</v>
      </c>
      <c r="B245" s="123" t="s">
        <v>744</v>
      </c>
      <c r="C245" s="123"/>
      <c r="D245" s="123" t="s">
        <v>745</v>
      </c>
      <c r="E245" s="324">
        <f>'d3'!E245-d3П!E245</f>
        <v>0</v>
      </c>
      <c r="F245" s="324">
        <f>'d3'!F245-d3П!F245</f>
        <v>0</v>
      </c>
      <c r="G245" s="324">
        <f>'d3'!G245-d3П!G245</f>
        <v>0</v>
      </c>
      <c r="H245" s="324">
        <f>'d3'!H245-d3П!H245</f>
        <v>0</v>
      </c>
      <c r="I245" s="324">
        <f>'d3'!I245-d3П!I245</f>
        <v>0</v>
      </c>
      <c r="J245" s="324">
        <f>'d3'!J245-d3П!J245</f>
        <v>0</v>
      </c>
      <c r="K245" s="324">
        <f>'d3'!K245-d3П!K245</f>
        <v>0</v>
      </c>
      <c r="L245" s="324">
        <f>'d3'!L245-d3П!L245</f>
        <v>0</v>
      </c>
      <c r="M245" s="324">
        <f>'d3'!M245-d3П!M245</f>
        <v>0</v>
      </c>
      <c r="N245" s="324">
        <f>'d3'!N245-d3П!N245</f>
        <v>0</v>
      </c>
      <c r="O245" s="324">
        <f>'d3'!O245-d3П!O245</f>
        <v>0</v>
      </c>
      <c r="P245" s="324">
        <f>'d3'!P245-d3П!P245</f>
        <v>0</v>
      </c>
      <c r="Q245" s="20"/>
      <c r="R245" s="50"/>
    </row>
    <row r="246" spans="1:18" ht="47.25" hidden="1" thickTop="1" thickBot="1" x14ac:dyDescent="0.25">
      <c r="A246" s="134" t="s">
        <v>1082</v>
      </c>
      <c r="B246" s="134" t="s">
        <v>799</v>
      </c>
      <c r="C246" s="134"/>
      <c r="D246" s="134" t="s">
        <v>800</v>
      </c>
      <c r="E246" s="324">
        <f>'d3'!E246-d3П!E246</f>
        <v>0</v>
      </c>
      <c r="F246" s="324">
        <f>'d3'!F246-d3П!F246</f>
        <v>0</v>
      </c>
      <c r="G246" s="324">
        <f>'d3'!G246-d3П!G246</f>
        <v>0</v>
      </c>
      <c r="H246" s="324">
        <f>'d3'!H246-d3П!H246</f>
        <v>0</v>
      </c>
      <c r="I246" s="324">
        <f>'d3'!I246-d3П!I246</f>
        <v>0</v>
      </c>
      <c r="J246" s="324">
        <f>'d3'!J246-d3П!J246</f>
        <v>0</v>
      </c>
      <c r="K246" s="324">
        <f>'d3'!K246-d3П!K246</f>
        <v>0</v>
      </c>
      <c r="L246" s="324">
        <f>'d3'!L246-d3П!L246</f>
        <v>0</v>
      </c>
      <c r="M246" s="324">
        <f>'d3'!M246-d3П!M246</f>
        <v>0</v>
      </c>
      <c r="N246" s="324">
        <f>'d3'!N246-d3П!N246</f>
        <v>0</v>
      </c>
      <c r="O246" s="324">
        <f>'d3'!O246-d3П!O246</f>
        <v>0</v>
      </c>
      <c r="P246" s="324">
        <f>'d3'!P246-d3П!P246</f>
        <v>0</v>
      </c>
      <c r="Q246" s="20"/>
      <c r="R246" s="50"/>
    </row>
    <row r="247" spans="1:18" ht="54" hidden="1" thickTop="1" thickBot="1" x14ac:dyDescent="0.25">
      <c r="A247" s="138" t="s">
        <v>1083</v>
      </c>
      <c r="B247" s="138" t="s">
        <v>817</v>
      </c>
      <c r="C247" s="138"/>
      <c r="D247" s="138" t="s">
        <v>1468</v>
      </c>
      <c r="E247" s="324">
        <f>'d3'!E247-d3П!E247</f>
        <v>0</v>
      </c>
      <c r="F247" s="324">
        <f>'d3'!F247-d3П!F247</f>
        <v>0</v>
      </c>
      <c r="G247" s="324">
        <f>'d3'!G247-d3П!G247</f>
        <v>0</v>
      </c>
      <c r="H247" s="324">
        <f>'d3'!H247-d3П!H247</f>
        <v>0</v>
      </c>
      <c r="I247" s="324">
        <f>'d3'!I247-d3П!I247</f>
        <v>0</v>
      </c>
      <c r="J247" s="324">
        <f>'d3'!J247-d3П!J247</f>
        <v>0</v>
      </c>
      <c r="K247" s="324">
        <f>'d3'!K247-d3П!K247</f>
        <v>0</v>
      </c>
      <c r="L247" s="324">
        <f>'d3'!L247-d3П!L247</f>
        <v>0</v>
      </c>
      <c r="M247" s="324">
        <f>'d3'!M247-d3П!M247</f>
        <v>0</v>
      </c>
      <c r="N247" s="324">
        <f>'d3'!N247-d3П!N247</f>
        <v>0</v>
      </c>
      <c r="O247" s="324">
        <f>'d3'!O247-d3П!O247</f>
        <v>0</v>
      </c>
      <c r="P247" s="324">
        <f>'d3'!P247-d3П!P247</f>
        <v>0</v>
      </c>
      <c r="Q247" s="20"/>
      <c r="R247" s="50"/>
    </row>
    <row r="248" spans="1:18" ht="54" hidden="1" thickTop="1" thickBot="1" x14ac:dyDescent="0.25">
      <c r="A248" s="126" t="s">
        <v>1084</v>
      </c>
      <c r="B248" s="126" t="s">
        <v>313</v>
      </c>
      <c r="C248" s="126" t="s">
        <v>304</v>
      </c>
      <c r="D248" s="126" t="s">
        <v>1219</v>
      </c>
      <c r="E248" s="324">
        <f>'d3'!E248-d3П!E248</f>
        <v>0</v>
      </c>
      <c r="F248" s="324">
        <f>'d3'!F248-d3П!F248</f>
        <v>0</v>
      </c>
      <c r="G248" s="324">
        <f>'d3'!G248-d3П!G248</f>
        <v>0</v>
      </c>
      <c r="H248" s="324">
        <f>'d3'!H248-d3П!H248</f>
        <v>0</v>
      </c>
      <c r="I248" s="324">
        <f>'d3'!I248-d3П!I248</f>
        <v>0</v>
      </c>
      <c r="J248" s="324">
        <f>'d3'!J248-d3П!J248</f>
        <v>0</v>
      </c>
      <c r="K248" s="324">
        <f>'d3'!K248-d3П!K248</f>
        <v>0</v>
      </c>
      <c r="L248" s="324">
        <f>'d3'!L248-d3П!L248</f>
        <v>0</v>
      </c>
      <c r="M248" s="324">
        <f>'d3'!M248-d3П!M248</f>
        <v>0</v>
      </c>
      <c r="N248" s="324">
        <f>'d3'!N248-d3П!N248</f>
        <v>0</v>
      </c>
      <c r="O248" s="324">
        <f>'d3'!O248-d3П!O248</f>
        <v>0</v>
      </c>
      <c r="P248" s="324">
        <f>'d3'!P248-d3П!P248</f>
        <v>0</v>
      </c>
      <c r="Q248" s="20"/>
      <c r="R248" s="50"/>
    </row>
    <row r="249" spans="1:18" ht="47.25" hidden="1" thickTop="1" thickBot="1" x14ac:dyDescent="0.25">
      <c r="A249" s="134" t="s">
        <v>783</v>
      </c>
      <c r="B249" s="134" t="s">
        <v>687</v>
      </c>
      <c r="C249" s="134"/>
      <c r="D249" s="134" t="s">
        <v>685</v>
      </c>
      <c r="E249" s="324">
        <f>'d3'!E249-d3П!E249</f>
        <v>0</v>
      </c>
      <c r="F249" s="324">
        <f>'d3'!F249-d3П!F249</f>
        <v>0</v>
      </c>
      <c r="G249" s="324">
        <f>'d3'!G249-d3П!G249</f>
        <v>0</v>
      </c>
      <c r="H249" s="324">
        <f>'d3'!H249-d3П!H249</f>
        <v>0</v>
      </c>
      <c r="I249" s="324">
        <f>'d3'!I249-d3П!I249</f>
        <v>0</v>
      </c>
      <c r="J249" s="324">
        <f>'d3'!J249-d3П!J249</f>
        <v>0</v>
      </c>
      <c r="K249" s="324">
        <f>'d3'!K249-d3П!K249</f>
        <v>0</v>
      </c>
      <c r="L249" s="324">
        <f>'d3'!L249-d3П!L249</f>
        <v>0</v>
      </c>
      <c r="M249" s="324">
        <f>'d3'!M249-d3П!M249</f>
        <v>0</v>
      </c>
      <c r="N249" s="324">
        <f>'d3'!N249-d3П!N249</f>
        <v>0</v>
      </c>
      <c r="O249" s="324">
        <f>'d3'!O249-d3П!O249</f>
        <v>0</v>
      </c>
      <c r="P249" s="324">
        <f>'d3'!P249-d3П!P249</f>
        <v>0</v>
      </c>
      <c r="Q249" s="20"/>
      <c r="R249" s="50"/>
    </row>
    <row r="250" spans="1:18" ht="47.25" hidden="1" thickTop="1" thickBot="1" x14ac:dyDescent="0.25">
      <c r="A250" s="402" t="s">
        <v>1316</v>
      </c>
      <c r="B250" s="402" t="s">
        <v>212</v>
      </c>
      <c r="C250" s="402"/>
      <c r="D250" s="126" t="s">
        <v>41</v>
      </c>
      <c r="E250" s="324">
        <f>'d3'!E250-d3П!E250</f>
        <v>0</v>
      </c>
      <c r="F250" s="324">
        <f>'d3'!F250-d3П!F250</f>
        <v>0</v>
      </c>
      <c r="G250" s="324">
        <f>'d3'!G250-d3П!G250</f>
        <v>0</v>
      </c>
      <c r="H250" s="324">
        <f>'d3'!H250-d3П!H250</f>
        <v>0</v>
      </c>
      <c r="I250" s="324">
        <f>'d3'!I250-d3П!I250</f>
        <v>0</v>
      </c>
      <c r="J250" s="324">
        <f>'d3'!J250-d3П!J250</f>
        <v>0</v>
      </c>
      <c r="K250" s="324">
        <f>'d3'!K250-d3П!K250</f>
        <v>0</v>
      </c>
      <c r="L250" s="324">
        <f>'d3'!L250-d3П!L250</f>
        <v>0</v>
      </c>
      <c r="M250" s="324">
        <f>'d3'!M250-d3П!M250</f>
        <v>0</v>
      </c>
      <c r="N250" s="324">
        <f>'d3'!N250-d3П!N250</f>
        <v>0</v>
      </c>
      <c r="O250" s="324">
        <f>'d3'!O250-d3П!O250</f>
        <v>0</v>
      </c>
      <c r="P250" s="324">
        <f>'d3'!P250-d3П!P250</f>
        <v>0</v>
      </c>
      <c r="Q250" s="20"/>
      <c r="R250" s="50"/>
    </row>
    <row r="251" spans="1:18" ht="47.25" hidden="1" thickTop="1" thickBot="1" x14ac:dyDescent="0.25">
      <c r="A251" s="126" t="s">
        <v>605</v>
      </c>
      <c r="B251" s="126" t="s">
        <v>197</v>
      </c>
      <c r="C251" s="126" t="s">
        <v>170</v>
      </c>
      <c r="D251" s="126" t="s">
        <v>34</v>
      </c>
      <c r="E251" s="324">
        <f>'d3'!E251-d3П!E251</f>
        <v>0</v>
      </c>
      <c r="F251" s="324">
        <f>'d3'!F251-d3П!F251</f>
        <v>0</v>
      </c>
      <c r="G251" s="324">
        <f>'d3'!G251-d3П!G251</f>
        <v>0</v>
      </c>
      <c r="H251" s="324">
        <f>'d3'!H251-d3П!H251</f>
        <v>0</v>
      </c>
      <c r="I251" s="324">
        <f>'d3'!I251-d3П!I251</f>
        <v>0</v>
      </c>
      <c r="J251" s="324">
        <f>'d3'!J251-d3П!J251</f>
        <v>0</v>
      </c>
      <c r="K251" s="324">
        <f>'d3'!K251-d3П!K251</f>
        <v>0</v>
      </c>
      <c r="L251" s="324">
        <f>'d3'!L251-d3П!L251</f>
        <v>0</v>
      </c>
      <c r="M251" s="324">
        <f>'d3'!M251-d3П!M251</f>
        <v>0</v>
      </c>
      <c r="N251" s="324">
        <f>'d3'!N251-d3П!N251</f>
        <v>0</v>
      </c>
      <c r="O251" s="324">
        <f>'d3'!O251-d3П!O251</f>
        <v>0</v>
      </c>
      <c r="P251" s="324">
        <f>'d3'!P251-d3П!P251</f>
        <v>0</v>
      </c>
      <c r="Q251" s="20"/>
      <c r="R251" s="46"/>
    </row>
    <row r="252" spans="1:18" ht="47.25" thickTop="1" thickBot="1" x14ac:dyDescent="0.25">
      <c r="A252" s="308" t="s">
        <v>1090</v>
      </c>
      <c r="B252" s="308" t="s">
        <v>698</v>
      </c>
      <c r="C252" s="308"/>
      <c r="D252" s="308" t="s">
        <v>699</v>
      </c>
      <c r="E252" s="324">
        <f>'d3'!E252-d3П!E252</f>
        <v>0</v>
      </c>
      <c r="F252" s="324">
        <f>'d3'!F252-d3П!F252</f>
        <v>0</v>
      </c>
      <c r="G252" s="324">
        <f>'d3'!G252-d3П!G252</f>
        <v>0</v>
      </c>
      <c r="H252" s="324">
        <f>'d3'!H252-d3П!H252</f>
        <v>0</v>
      </c>
      <c r="I252" s="324">
        <f>'d3'!I252-d3П!I252</f>
        <v>0</v>
      </c>
      <c r="J252" s="324">
        <f>'d3'!J252-d3П!J252</f>
        <v>0</v>
      </c>
      <c r="K252" s="324">
        <f>'d3'!K252-d3П!K252</f>
        <v>0</v>
      </c>
      <c r="L252" s="324">
        <f>'d3'!L252-d3П!L252</f>
        <v>0</v>
      </c>
      <c r="M252" s="324">
        <f>'d3'!M252-d3П!M252</f>
        <v>0</v>
      </c>
      <c r="N252" s="324">
        <f>'d3'!N252-d3П!N252</f>
        <v>0</v>
      </c>
      <c r="O252" s="324">
        <f>'d3'!O252-d3П!O252</f>
        <v>0</v>
      </c>
      <c r="P252" s="324">
        <f>'d3'!P252-d3П!P252</f>
        <v>0</v>
      </c>
      <c r="Q252" s="20"/>
      <c r="R252" s="46"/>
    </row>
    <row r="253" spans="1:18" ht="91.5" thickTop="1" thickBot="1" x14ac:dyDescent="0.25">
      <c r="A253" s="310" t="s">
        <v>1091</v>
      </c>
      <c r="B253" s="310" t="s">
        <v>701</v>
      </c>
      <c r="C253" s="310"/>
      <c r="D253" s="310" t="s">
        <v>702</v>
      </c>
      <c r="E253" s="324">
        <f>'d3'!E253-d3П!E253</f>
        <v>0</v>
      </c>
      <c r="F253" s="324">
        <f>'d3'!F253-d3П!F253</f>
        <v>0</v>
      </c>
      <c r="G253" s="324">
        <f>'d3'!G253-d3П!G253</f>
        <v>0</v>
      </c>
      <c r="H253" s="324">
        <f>'d3'!H253-d3П!H253</f>
        <v>0</v>
      </c>
      <c r="I253" s="324">
        <f>'d3'!I253-d3П!I253</f>
        <v>0</v>
      </c>
      <c r="J253" s="324">
        <f>'d3'!J253-d3П!J253</f>
        <v>0</v>
      </c>
      <c r="K253" s="324">
        <f>'d3'!K253-d3П!K253</f>
        <v>0</v>
      </c>
      <c r="L253" s="324">
        <f>'d3'!L253-d3П!L253</f>
        <v>0</v>
      </c>
      <c r="M253" s="324">
        <f>'d3'!M253-d3П!M253</f>
        <v>0</v>
      </c>
      <c r="N253" s="324">
        <f>'d3'!N253-d3П!N253</f>
        <v>0</v>
      </c>
      <c r="O253" s="324">
        <f>'d3'!O253-d3П!O253</f>
        <v>0</v>
      </c>
      <c r="P253" s="324">
        <f>'d3'!P253-d3П!P253</f>
        <v>0</v>
      </c>
      <c r="Q253" s="20"/>
      <c r="R253" s="46"/>
    </row>
    <row r="254" spans="1:18" ht="47.25" thickTop="1" thickBot="1" x14ac:dyDescent="0.25">
      <c r="A254" s="101" t="s">
        <v>1092</v>
      </c>
      <c r="B254" s="101" t="s">
        <v>363</v>
      </c>
      <c r="C254" s="101" t="s">
        <v>43</v>
      </c>
      <c r="D254" s="101" t="s">
        <v>364</v>
      </c>
      <c r="E254" s="324">
        <f>'d3'!E254-d3П!E254</f>
        <v>0</v>
      </c>
      <c r="F254" s="324">
        <f>'d3'!F254-d3П!F254</f>
        <v>0</v>
      </c>
      <c r="G254" s="324">
        <f>'d3'!G254-d3П!G254</f>
        <v>0</v>
      </c>
      <c r="H254" s="324">
        <f>'d3'!H254-d3П!H254</f>
        <v>0</v>
      </c>
      <c r="I254" s="324">
        <f>'d3'!I254-d3П!I254</f>
        <v>0</v>
      </c>
      <c r="J254" s="324">
        <f>'d3'!J254-d3П!J254</f>
        <v>0</v>
      </c>
      <c r="K254" s="324">
        <f>'d3'!K254-d3П!K254</f>
        <v>0</v>
      </c>
      <c r="L254" s="324">
        <f>'d3'!L254-d3П!L254</f>
        <v>0</v>
      </c>
      <c r="M254" s="324">
        <f>'d3'!M254-d3П!M254</f>
        <v>0</v>
      </c>
      <c r="N254" s="324">
        <f>'d3'!N254-d3П!N254</f>
        <v>0</v>
      </c>
      <c r="O254" s="324">
        <f>'d3'!O254-d3П!O254</f>
        <v>0</v>
      </c>
      <c r="P254" s="324">
        <f>'d3'!P254-d3П!P254</f>
        <v>0</v>
      </c>
      <c r="Q254" s="20"/>
      <c r="R254" s="46"/>
    </row>
    <row r="255" spans="1:18" ht="120" customHeight="1" thickTop="1" thickBot="1" x14ac:dyDescent="0.25">
      <c r="A255" s="689" t="s">
        <v>158</v>
      </c>
      <c r="B255" s="689"/>
      <c r="C255" s="689"/>
      <c r="D255" s="690" t="s">
        <v>560</v>
      </c>
      <c r="E255" s="691">
        <f>E256</f>
        <v>1146818</v>
      </c>
      <c r="F255" s="692">
        <f t="shared" ref="F255:G255" si="43">F256</f>
        <v>1146818</v>
      </c>
      <c r="G255" s="692">
        <f t="shared" si="43"/>
        <v>0</v>
      </c>
      <c r="H255" s="692">
        <f>H256</f>
        <v>0</v>
      </c>
      <c r="I255" s="692">
        <f t="shared" ref="I255" si="44">I256</f>
        <v>0</v>
      </c>
      <c r="J255" s="691">
        <f>J256</f>
        <v>-200000</v>
      </c>
      <c r="K255" s="692">
        <f>K256</f>
        <v>-200000</v>
      </c>
      <c r="L255" s="692">
        <f>L256</f>
        <v>0</v>
      </c>
      <c r="M255" s="692">
        <f t="shared" ref="M255" si="45">M256</f>
        <v>0</v>
      </c>
      <c r="N255" s="692">
        <f>N256</f>
        <v>0</v>
      </c>
      <c r="O255" s="691">
        <f>O256</f>
        <v>-200000</v>
      </c>
      <c r="P255" s="692">
        <f>P256</f>
        <v>946818</v>
      </c>
      <c r="Q255" s="20"/>
      <c r="R255" s="50"/>
    </row>
    <row r="256" spans="1:18" ht="120" customHeight="1" thickTop="1" thickBot="1" x14ac:dyDescent="0.25">
      <c r="A256" s="693" t="s">
        <v>159</v>
      </c>
      <c r="B256" s="693"/>
      <c r="C256" s="693"/>
      <c r="D256" s="694" t="s">
        <v>561</v>
      </c>
      <c r="E256" s="695">
        <f>E257+E261+E270+E279</f>
        <v>1146818</v>
      </c>
      <c r="F256" s="695">
        <f>F257+F261+F270+F279</f>
        <v>1146818</v>
      </c>
      <c r="G256" s="695">
        <f>G257+G261+G270+G279</f>
        <v>0</v>
      </c>
      <c r="H256" s="695">
        <f>H257+H261+H270+H279</f>
        <v>0</v>
      </c>
      <c r="I256" s="695">
        <f>I257+I261+I270+I279</f>
        <v>0</v>
      </c>
      <c r="J256" s="695">
        <f t="shared" ref="J256" si="46">L256+O256</f>
        <v>-200000</v>
      </c>
      <c r="K256" s="695">
        <f>K257+K261+K270+K279</f>
        <v>-200000</v>
      </c>
      <c r="L256" s="695">
        <f>L257+L261+L270+L279</f>
        <v>0</v>
      </c>
      <c r="M256" s="695">
        <f>M257+M261+M270+M279</f>
        <v>0</v>
      </c>
      <c r="N256" s="695">
        <f>N257+N261+N270+N279</f>
        <v>0</v>
      </c>
      <c r="O256" s="695">
        <f>O257+O261+O270+O279</f>
        <v>-200000</v>
      </c>
      <c r="P256" s="695">
        <f>E256+J256</f>
        <v>946818</v>
      </c>
      <c r="Q256" s="487" t="b">
        <f>P256=P258+P263+P265+P267+P268+P269+P272+P274+P275+P281+P264</f>
        <v>1</v>
      </c>
      <c r="R256" s="54"/>
    </row>
    <row r="257" spans="1:18" ht="47.25" thickTop="1" thickBot="1" x14ac:dyDescent="0.25">
      <c r="A257" s="308" t="s">
        <v>784</v>
      </c>
      <c r="B257" s="308" t="s">
        <v>680</v>
      </c>
      <c r="C257" s="308"/>
      <c r="D257" s="308" t="s">
        <v>681</v>
      </c>
      <c r="E257" s="324">
        <f>'d3'!E257-d3П!E257</f>
        <v>0</v>
      </c>
      <c r="F257" s="324">
        <f>'d3'!F257-d3П!F257</f>
        <v>0</v>
      </c>
      <c r="G257" s="324">
        <f>'d3'!G257-d3П!G257</f>
        <v>0</v>
      </c>
      <c r="H257" s="324">
        <f>'d3'!H257-d3П!H257</f>
        <v>0</v>
      </c>
      <c r="I257" s="324">
        <f>'d3'!I257-d3П!I257</f>
        <v>0</v>
      </c>
      <c r="J257" s="324">
        <f>'d3'!J257-d3П!J257</f>
        <v>0</v>
      </c>
      <c r="K257" s="324">
        <f>'d3'!K257-d3П!K257</f>
        <v>0</v>
      </c>
      <c r="L257" s="324">
        <f>'d3'!L257-d3П!L257</f>
        <v>0</v>
      </c>
      <c r="M257" s="324">
        <f>'d3'!M257-d3П!M257</f>
        <v>0</v>
      </c>
      <c r="N257" s="324">
        <f>'d3'!N257-d3П!N257</f>
        <v>0</v>
      </c>
      <c r="O257" s="324">
        <f>'d3'!O257-d3П!O257</f>
        <v>0</v>
      </c>
      <c r="P257" s="324">
        <f>'d3'!P257-d3П!P257</f>
        <v>0</v>
      </c>
      <c r="Q257" s="47"/>
      <c r="R257" s="54"/>
    </row>
    <row r="258" spans="1:18" ht="93" thickTop="1" thickBot="1" x14ac:dyDescent="0.25">
      <c r="A258" s="101" t="s">
        <v>420</v>
      </c>
      <c r="B258" s="101" t="s">
        <v>236</v>
      </c>
      <c r="C258" s="101" t="s">
        <v>234</v>
      </c>
      <c r="D258" s="101" t="s">
        <v>235</v>
      </c>
      <c r="E258" s="324">
        <f>'d3'!E258-d3П!E258</f>
        <v>0</v>
      </c>
      <c r="F258" s="324">
        <f>'d3'!F258-d3П!F258</f>
        <v>0</v>
      </c>
      <c r="G258" s="324">
        <f>'d3'!G258-d3П!G258</f>
        <v>0</v>
      </c>
      <c r="H258" s="324">
        <f>'d3'!H258-d3П!H258</f>
        <v>0</v>
      </c>
      <c r="I258" s="324">
        <f>'d3'!I258-d3П!I258</f>
        <v>0</v>
      </c>
      <c r="J258" s="324">
        <f>'d3'!J258-d3П!J258</f>
        <v>0</v>
      </c>
      <c r="K258" s="324">
        <f>'d3'!K258-d3П!K258</f>
        <v>0</v>
      </c>
      <c r="L258" s="324">
        <f>'d3'!L258-d3П!L258</f>
        <v>0</v>
      </c>
      <c r="M258" s="324">
        <f>'d3'!M258-d3П!M258</f>
        <v>0</v>
      </c>
      <c r="N258" s="324">
        <f>'d3'!N258-d3П!N258</f>
        <v>0</v>
      </c>
      <c r="O258" s="324">
        <f>'d3'!O258-d3П!O258</f>
        <v>0</v>
      </c>
      <c r="P258" s="324">
        <f>'d3'!P258-d3П!P258</f>
        <v>0</v>
      </c>
      <c r="Q258" s="20"/>
      <c r="R258" s="54"/>
    </row>
    <row r="259" spans="1:18" ht="93" hidden="1" customHeight="1" thickTop="1" thickBot="1" x14ac:dyDescent="0.25">
      <c r="A259" s="126" t="s">
        <v>625</v>
      </c>
      <c r="B259" s="126" t="s">
        <v>362</v>
      </c>
      <c r="C259" s="126" t="s">
        <v>623</v>
      </c>
      <c r="D259" s="126" t="s">
        <v>624</v>
      </c>
      <c r="E259" s="324">
        <f>'d3'!E259-d3П!E259</f>
        <v>0</v>
      </c>
      <c r="F259" s="324">
        <f>'d3'!F259-d3П!F259</f>
        <v>0</v>
      </c>
      <c r="G259" s="324">
        <f>'d3'!G259-d3П!G259</f>
        <v>0</v>
      </c>
      <c r="H259" s="324">
        <f>'d3'!H259-d3П!H259</f>
        <v>0</v>
      </c>
      <c r="I259" s="324">
        <f>'d3'!I259-d3П!I259</f>
        <v>0</v>
      </c>
      <c r="J259" s="324">
        <f>'d3'!J259-d3П!J259</f>
        <v>0</v>
      </c>
      <c r="K259" s="324">
        <f>'d3'!K259-d3П!K259</f>
        <v>0</v>
      </c>
      <c r="L259" s="324">
        <f>'d3'!L259-d3П!L259</f>
        <v>0</v>
      </c>
      <c r="M259" s="324">
        <f>'d3'!M259-d3П!M259</f>
        <v>0</v>
      </c>
      <c r="N259" s="324">
        <f>'d3'!N259-d3П!N259</f>
        <v>0</v>
      </c>
      <c r="O259" s="324">
        <f>'d3'!O259-d3П!O259</f>
        <v>0</v>
      </c>
      <c r="P259" s="324">
        <f>'d3'!P259-d3П!P259</f>
        <v>0</v>
      </c>
      <c r="Q259" s="20"/>
      <c r="R259" s="54"/>
    </row>
    <row r="260" spans="1:18" ht="48" hidden="1" customHeight="1" thickTop="1" thickBot="1" x14ac:dyDescent="0.25">
      <c r="A260" s="126" t="s">
        <v>1125</v>
      </c>
      <c r="B260" s="126" t="s">
        <v>43</v>
      </c>
      <c r="C260" s="126" t="s">
        <v>42</v>
      </c>
      <c r="D260" s="126" t="s">
        <v>248</v>
      </c>
      <c r="E260" s="324">
        <f>'d3'!E260-d3П!E260</f>
        <v>0</v>
      </c>
      <c r="F260" s="324">
        <f>'d3'!F260-d3П!F260</f>
        <v>0</v>
      </c>
      <c r="G260" s="324">
        <f>'d3'!G260-d3П!G260</f>
        <v>0</v>
      </c>
      <c r="H260" s="324">
        <f>'d3'!H260-d3П!H260</f>
        <v>0</v>
      </c>
      <c r="I260" s="324">
        <f>'d3'!I260-d3П!I260</f>
        <v>0</v>
      </c>
      <c r="J260" s="324">
        <f>'d3'!J260-d3П!J260</f>
        <v>0</v>
      </c>
      <c r="K260" s="324">
        <f>'d3'!K260-d3П!K260</f>
        <v>0</v>
      </c>
      <c r="L260" s="324">
        <f>'d3'!L260-d3П!L260</f>
        <v>0</v>
      </c>
      <c r="M260" s="324">
        <f>'d3'!M260-d3П!M260</f>
        <v>0</v>
      </c>
      <c r="N260" s="324">
        <f>'d3'!N260-d3П!N260</f>
        <v>0</v>
      </c>
      <c r="O260" s="324">
        <f>'d3'!O260-d3П!O260</f>
        <v>0</v>
      </c>
      <c r="P260" s="324">
        <f>'d3'!P260-d3П!P260</f>
        <v>0</v>
      </c>
      <c r="Q260" s="20"/>
      <c r="R260" s="54"/>
    </row>
    <row r="261" spans="1:18" ht="47.25" thickTop="1" thickBot="1" x14ac:dyDescent="0.25">
      <c r="A261" s="308" t="s">
        <v>785</v>
      </c>
      <c r="B261" s="308" t="s">
        <v>738</v>
      </c>
      <c r="C261" s="308"/>
      <c r="D261" s="343" t="s">
        <v>739</v>
      </c>
      <c r="E261" s="324">
        <f>'d3'!E261-d3П!E261</f>
        <v>1446818</v>
      </c>
      <c r="F261" s="324">
        <f>'d3'!F261-d3П!F261</f>
        <v>1446818</v>
      </c>
      <c r="G261" s="324">
        <f>'d3'!G261-d3П!G261</f>
        <v>0</v>
      </c>
      <c r="H261" s="324">
        <f>'d3'!H261-d3П!H261</f>
        <v>0</v>
      </c>
      <c r="I261" s="324">
        <f>'d3'!I261-d3П!I261</f>
        <v>0</v>
      </c>
      <c r="J261" s="324">
        <f>'d3'!J261-d3П!J261</f>
        <v>-200000</v>
      </c>
      <c r="K261" s="324">
        <f>'d3'!K261-d3П!K261</f>
        <v>-200000</v>
      </c>
      <c r="L261" s="324">
        <f>'d3'!L261-d3П!L261</f>
        <v>0</v>
      </c>
      <c r="M261" s="324">
        <f>'d3'!M261-d3П!M261</f>
        <v>0</v>
      </c>
      <c r="N261" s="324">
        <f>'d3'!N261-d3П!N261</f>
        <v>0</v>
      </c>
      <c r="O261" s="324">
        <f>'d3'!O261-d3П!O261</f>
        <v>-200000</v>
      </c>
      <c r="P261" s="324">
        <f>'d3'!P261-d3П!P261</f>
        <v>1246818</v>
      </c>
      <c r="Q261" s="20"/>
      <c r="R261" s="54"/>
    </row>
    <row r="262" spans="1:18" s="33" customFormat="1" ht="93" thickTop="1" thickBot="1" x14ac:dyDescent="0.25">
      <c r="A262" s="325" t="s">
        <v>786</v>
      </c>
      <c r="B262" s="325" t="s">
        <v>787</v>
      </c>
      <c r="C262" s="325"/>
      <c r="D262" s="325" t="s">
        <v>788</v>
      </c>
      <c r="E262" s="324">
        <f>'d3'!E262-d3П!E262</f>
        <v>300000</v>
      </c>
      <c r="F262" s="324">
        <f>'d3'!F262-d3П!F262</f>
        <v>300000</v>
      </c>
      <c r="G262" s="324">
        <f>'d3'!G262-d3П!G262</f>
        <v>0</v>
      </c>
      <c r="H262" s="324">
        <f>'d3'!H262-d3П!H262</f>
        <v>0</v>
      </c>
      <c r="I262" s="324">
        <f>'d3'!I262-d3П!I262</f>
        <v>0</v>
      </c>
      <c r="J262" s="324">
        <f>'d3'!J262-d3П!J262</f>
        <v>-200000</v>
      </c>
      <c r="K262" s="324">
        <f>'d3'!K262-d3П!K262</f>
        <v>-200000</v>
      </c>
      <c r="L262" s="324">
        <f>'d3'!L262-d3П!L262</f>
        <v>0</v>
      </c>
      <c r="M262" s="324">
        <f>'d3'!M262-d3П!M262</f>
        <v>0</v>
      </c>
      <c r="N262" s="324">
        <f>'d3'!N262-d3П!N262</f>
        <v>0</v>
      </c>
      <c r="O262" s="324">
        <f>'d3'!O262-d3П!O262</f>
        <v>-200000</v>
      </c>
      <c r="P262" s="324">
        <f>'d3'!P262-d3П!P262</f>
        <v>100000</v>
      </c>
      <c r="Q262" s="36"/>
      <c r="R262" s="54"/>
    </row>
    <row r="263" spans="1:18" ht="47.25" thickTop="1" thickBot="1" x14ac:dyDescent="0.25">
      <c r="A263" s="101" t="s">
        <v>280</v>
      </c>
      <c r="B263" s="101" t="s">
        <v>281</v>
      </c>
      <c r="C263" s="101" t="s">
        <v>340</v>
      </c>
      <c r="D263" s="101" t="s">
        <v>282</v>
      </c>
      <c r="E263" s="324">
        <f>'d3'!E263-d3П!E263</f>
        <v>300000</v>
      </c>
      <c r="F263" s="324">
        <f>'d3'!F263-d3П!F263</f>
        <v>300000</v>
      </c>
      <c r="G263" s="324">
        <f>'d3'!G263-d3П!G263</f>
        <v>0</v>
      </c>
      <c r="H263" s="324">
        <f>'d3'!H263-d3П!H263</f>
        <v>0</v>
      </c>
      <c r="I263" s="324">
        <f>'d3'!I263-d3П!I263</f>
        <v>0</v>
      </c>
      <c r="J263" s="324">
        <f>'d3'!J263-d3П!J263</f>
        <v>-200000</v>
      </c>
      <c r="K263" s="324">
        <f>'d3'!K263-d3П!K263</f>
        <v>-200000</v>
      </c>
      <c r="L263" s="324">
        <f>'d3'!L263-d3П!L263</f>
        <v>0</v>
      </c>
      <c r="M263" s="324">
        <f>'d3'!M263-d3П!M263</f>
        <v>0</v>
      </c>
      <c r="N263" s="324">
        <f>'d3'!N263-d3П!N263</f>
        <v>0</v>
      </c>
      <c r="O263" s="324">
        <f>'d3'!O263-d3П!O263</f>
        <v>-200000</v>
      </c>
      <c r="P263" s="324">
        <f>'d3'!P263-d3П!P263</f>
        <v>100000</v>
      </c>
      <c r="Q263" s="20"/>
      <c r="R263" s="54"/>
    </row>
    <row r="264" spans="1:18" ht="47.25" thickTop="1" thickBot="1" x14ac:dyDescent="0.25">
      <c r="A264" s="101" t="s">
        <v>1614</v>
      </c>
      <c r="B264" s="101" t="s">
        <v>286</v>
      </c>
      <c r="C264" s="101" t="s">
        <v>283</v>
      </c>
      <c r="D264" s="101" t="s">
        <v>287</v>
      </c>
      <c r="E264" s="324">
        <f>'d3'!E264-d3П!E264</f>
        <v>0</v>
      </c>
      <c r="F264" s="324">
        <f>'d3'!F264-d3П!F264</f>
        <v>0</v>
      </c>
      <c r="G264" s="324">
        <f>'d3'!G264-d3П!G264</f>
        <v>0</v>
      </c>
      <c r="H264" s="324">
        <f>'d3'!H264-d3П!H264</f>
        <v>0</v>
      </c>
      <c r="I264" s="324">
        <f>'d3'!I264-d3П!I264</f>
        <v>0</v>
      </c>
      <c r="J264" s="324">
        <f>'d3'!J264-d3П!J264</f>
        <v>0</v>
      </c>
      <c r="K264" s="324">
        <f>'d3'!K264-d3П!K264</f>
        <v>0</v>
      </c>
      <c r="L264" s="324">
        <f>'d3'!L264-d3П!L264</f>
        <v>0</v>
      </c>
      <c r="M264" s="324">
        <f>'d3'!M264-d3П!M264</f>
        <v>0</v>
      </c>
      <c r="N264" s="324">
        <f>'d3'!N264-d3П!N264</f>
        <v>0</v>
      </c>
      <c r="O264" s="324">
        <f>'d3'!O264-d3П!O264</f>
        <v>0</v>
      </c>
      <c r="P264" s="324">
        <f>'d3'!P264-d3П!P264</f>
        <v>0</v>
      </c>
      <c r="Q264" s="20"/>
      <c r="R264" s="54"/>
    </row>
    <row r="265" spans="1:18" ht="47.25" thickTop="1" thickBot="1" x14ac:dyDescent="0.25">
      <c r="A265" s="101" t="s">
        <v>301</v>
      </c>
      <c r="B265" s="101" t="s">
        <v>302</v>
      </c>
      <c r="C265" s="101" t="s">
        <v>283</v>
      </c>
      <c r="D265" s="101" t="s">
        <v>303</v>
      </c>
      <c r="E265" s="324">
        <f>'d3'!E265-d3П!E265</f>
        <v>0</v>
      </c>
      <c r="F265" s="324">
        <f>'d3'!F265-d3П!F265</f>
        <v>0</v>
      </c>
      <c r="G265" s="324">
        <f>'d3'!G265-d3П!G265</f>
        <v>0</v>
      </c>
      <c r="H265" s="324">
        <f>'d3'!H265-d3П!H265</f>
        <v>0</v>
      </c>
      <c r="I265" s="324">
        <f>'d3'!I265-d3П!I265</f>
        <v>0</v>
      </c>
      <c r="J265" s="324">
        <f>'d3'!J265-d3П!J265</f>
        <v>0</v>
      </c>
      <c r="K265" s="324">
        <f>'d3'!K265-d3П!K265</f>
        <v>0</v>
      </c>
      <c r="L265" s="324">
        <f>'d3'!L265-d3П!L265</f>
        <v>0</v>
      </c>
      <c r="M265" s="324">
        <f>'d3'!M265-d3П!M265</f>
        <v>0</v>
      </c>
      <c r="N265" s="324">
        <f>'d3'!N265-d3П!N265</f>
        <v>0</v>
      </c>
      <c r="O265" s="324">
        <f>'d3'!O265-d3П!O265</f>
        <v>0</v>
      </c>
      <c r="P265" s="324">
        <f>'d3'!P265-d3П!P265</f>
        <v>0</v>
      </c>
      <c r="Q265" s="20"/>
      <c r="R265" s="54"/>
    </row>
    <row r="266" spans="1:18" ht="93" hidden="1" customHeight="1" thickTop="1" thickBot="1" x14ac:dyDescent="0.25">
      <c r="A266" s="126" t="s">
        <v>284</v>
      </c>
      <c r="B266" s="126" t="s">
        <v>285</v>
      </c>
      <c r="C266" s="126" t="s">
        <v>283</v>
      </c>
      <c r="D266" s="126" t="s">
        <v>465</v>
      </c>
      <c r="E266" s="324">
        <f>'d3'!E266-d3П!E266</f>
        <v>0</v>
      </c>
      <c r="F266" s="324">
        <f>'d3'!F266-d3П!F266</f>
        <v>0</v>
      </c>
      <c r="G266" s="324">
        <f>'d3'!G266-d3П!G266</f>
        <v>0</v>
      </c>
      <c r="H266" s="324">
        <f>'d3'!H266-d3П!H266</f>
        <v>0</v>
      </c>
      <c r="I266" s="324">
        <f>'d3'!I266-d3П!I266</f>
        <v>0</v>
      </c>
      <c r="J266" s="324">
        <f>'d3'!J266-d3П!J266</f>
        <v>0</v>
      </c>
      <c r="K266" s="324">
        <f>'d3'!K266-d3П!K266</f>
        <v>0</v>
      </c>
      <c r="L266" s="324">
        <f>'d3'!L266-d3П!L266</f>
        <v>0</v>
      </c>
      <c r="M266" s="324">
        <f>'d3'!M266-d3П!M266</f>
        <v>0</v>
      </c>
      <c r="N266" s="324">
        <f>'d3'!N266-d3П!N266</f>
        <v>0</v>
      </c>
      <c r="O266" s="324">
        <f>'d3'!O266-d3П!O266</f>
        <v>0</v>
      </c>
      <c r="P266" s="324">
        <f>'d3'!P266-d3П!P266</f>
        <v>0</v>
      </c>
      <c r="Q266" s="20"/>
      <c r="R266" s="54"/>
    </row>
    <row r="267" spans="1:18" ht="93" thickTop="1" thickBot="1" x14ac:dyDescent="0.25">
      <c r="A267" s="101" t="s">
        <v>924</v>
      </c>
      <c r="B267" s="101" t="s">
        <v>297</v>
      </c>
      <c r="C267" s="101" t="s">
        <v>283</v>
      </c>
      <c r="D267" s="101" t="s">
        <v>298</v>
      </c>
      <c r="E267" s="324">
        <f>'d3'!E267-d3П!E267</f>
        <v>1083513</v>
      </c>
      <c r="F267" s="324">
        <f>'d3'!F267-d3П!F267</f>
        <v>1083513</v>
      </c>
      <c r="G267" s="324">
        <f>'d3'!G267-d3П!G267</f>
        <v>0</v>
      </c>
      <c r="H267" s="324">
        <f>'d3'!H267-d3П!H267</f>
        <v>0</v>
      </c>
      <c r="I267" s="324">
        <f>'d3'!I267-d3П!I267</f>
        <v>0</v>
      </c>
      <c r="J267" s="324">
        <f>'d3'!J267-d3П!J267</f>
        <v>0</v>
      </c>
      <c r="K267" s="324">
        <f>'d3'!K267-d3П!K267</f>
        <v>0</v>
      </c>
      <c r="L267" s="324">
        <f>'d3'!L267-d3П!L267</f>
        <v>0</v>
      </c>
      <c r="M267" s="324">
        <f>'d3'!M267-d3П!M267</f>
        <v>0</v>
      </c>
      <c r="N267" s="324">
        <f>'d3'!N267-d3П!N267</f>
        <v>0</v>
      </c>
      <c r="O267" s="324">
        <f>'d3'!O267-d3П!O267</f>
        <v>0</v>
      </c>
      <c r="P267" s="324">
        <f>'d3'!P267-d3П!P267</f>
        <v>1083513</v>
      </c>
      <c r="Q267" s="20"/>
      <c r="R267" s="54"/>
    </row>
    <row r="268" spans="1:18" ht="47.25" thickTop="1" thickBot="1" x14ac:dyDescent="0.25">
      <c r="A268" s="101" t="s">
        <v>288</v>
      </c>
      <c r="B268" s="101" t="s">
        <v>289</v>
      </c>
      <c r="C268" s="101" t="s">
        <v>283</v>
      </c>
      <c r="D268" s="101" t="s">
        <v>290</v>
      </c>
      <c r="E268" s="324">
        <f>'d3'!E268-d3П!E268</f>
        <v>-523000</v>
      </c>
      <c r="F268" s="324">
        <f>'d3'!F268-d3П!F268</f>
        <v>-523000</v>
      </c>
      <c r="G268" s="324">
        <f>'d3'!G268-d3П!G268</f>
        <v>0</v>
      </c>
      <c r="H268" s="324">
        <f>'d3'!H268-d3П!H268</f>
        <v>0</v>
      </c>
      <c r="I268" s="324">
        <f>'d3'!I268-d3П!I268</f>
        <v>0</v>
      </c>
      <c r="J268" s="324">
        <f>'d3'!J268-d3П!J268</f>
        <v>0</v>
      </c>
      <c r="K268" s="324">
        <f>'d3'!K268-d3П!K268</f>
        <v>0</v>
      </c>
      <c r="L268" s="324">
        <f>'d3'!L268-d3П!L268</f>
        <v>0</v>
      </c>
      <c r="M268" s="324">
        <f>'d3'!M268-d3П!M268</f>
        <v>0</v>
      </c>
      <c r="N268" s="324">
        <f>'d3'!N268-d3П!N268</f>
        <v>0</v>
      </c>
      <c r="O268" s="324">
        <f>'d3'!O268-d3П!O268</f>
        <v>0</v>
      </c>
      <c r="P268" s="324">
        <f>'d3'!P268-d3П!P268</f>
        <v>-523000</v>
      </c>
      <c r="Q268" s="20"/>
      <c r="R268" s="50"/>
    </row>
    <row r="269" spans="1:18" ht="72.75" customHeight="1" thickTop="1" thickBot="1" x14ac:dyDescent="0.25">
      <c r="A269" s="101" t="s">
        <v>1243</v>
      </c>
      <c r="B269" s="101" t="s">
        <v>1131</v>
      </c>
      <c r="C269" s="101" t="s">
        <v>1132</v>
      </c>
      <c r="D269" s="101" t="s">
        <v>1129</v>
      </c>
      <c r="E269" s="324">
        <f>'d3'!E269-d3П!E269</f>
        <v>586305</v>
      </c>
      <c r="F269" s="324">
        <f>'d3'!F269-d3П!F269</f>
        <v>586305</v>
      </c>
      <c r="G269" s="324">
        <f>'d3'!G269-d3П!G269</f>
        <v>0</v>
      </c>
      <c r="H269" s="324">
        <f>'d3'!H269-d3П!H269</f>
        <v>0</v>
      </c>
      <c r="I269" s="324">
        <f>'d3'!I269-d3П!I269</f>
        <v>0</v>
      </c>
      <c r="J269" s="324">
        <f>'d3'!J269-d3П!J269</f>
        <v>0</v>
      </c>
      <c r="K269" s="324">
        <f>'d3'!K269-d3П!K269</f>
        <v>0</v>
      </c>
      <c r="L269" s="324">
        <f>'d3'!L269-d3П!L269</f>
        <v>0</v>
      </c>
      <c r="M269" s="324">
        <f>'d3'!M269-d3П!M269</f>
        <v>0</v>
      </c>
      <c r="N269" s="324">
        <f>'d3'!N269-d3П!N269</f>
        <v>0</v>
      </c>
      <c r="O269" s="324">
        <f>'d3'!O269-d3П!O269</f>
        <v>0</v>
      </c>
      <c r="P269" s="324">
        <f>'d3'!P269-d3П!P269</f>
        <v>586305</v>
      </c>
      <c r="Q269" s="20"/>
      <c r="R269" s="50"/>
    </row>
    <row r="270" spans="1:18" ht="47.25" thickTop="1" thickBot="1" x14ac:dyDescent="0.25">
      <c r="A270" s="308" t="s">
        <v>789</v>
      </c>
      <c r="B270" s="308" t="s">
        <v>744</v>
      </c>
      <c r="C270" s="308"/>
      <c r="D270" s="308" t="s">
        <v>790</v>
      </c>
      <c r="E270" s="324">
        <f>'d3'!E270-d3П!E270</f>
        <v>-300000</v>
      </c>
      <c r="F270" s="324">
        <f>'d3'!F270-d3П!F270</f>
        <v>-300000</v>
      </c>
      <c r="G270" s="324">
        <f>'d3'!G270-d3П!G270</f>
        <v>0</v>
      </c>
      <c r="H270" s="324">
        <f>'d3'!H270-d3П!H270</f>
        <v>0</v>
      </c>
      <c r="I270" s="324">
        <f>'d3'!I270-d3П!I270</f>
        <v>0</v>
      </c>
      <c r="J270" s="324">
        <f>'d3'!J270-d3П!J270</f>
        <v>0</v>
      </c>
      <c r="K270" s="324">
        <f>'d3'!K270-d3П!K270</f>
        <v>0</v>
      </c>
      <c r="L270" s="324">
        <f>'d3'!L270-d3П!L270</f>
        <v>0</v>
      </c>
      <c r="M270" s="324">
        <f>'d3'!M270-d3П!M270</f>
        <v>0</v>
      </c>
      <c r="N270" s="324">
        <f>'d3'!N270-d3П!N270</f>
        <v>0</v>
      </c>
      <c r="O270" s="324">
        <f>'d3'!O270-d3П!O270</f>
        <v>0</v>
      </c>
      <c r="P270" s="324">
        <f>'d3'!P270-d3П!P270</f>
        <v>-300000</v>
      </c>
      <c r="Q270" s="20"/>
      <c r="R270" s="50"/>
    </row>
    <row r="271" spans="1:18" ht="47.25" thickTop="1" thickBot="1" x14ac:dyDescent="0.25">
      <c r="A271" s="310" t="s">
        <v>1127</v>
      </c>
      <c r="B271" s="310" t="s">
        <v>799</v>
      </c>
      <c r="C271" s="310"/>
      <c r="D271" s="310" t="s">
        <v>800</v>
      </c>
      <c r="E271" s="324">
        <f>'d3'!E271-d3П!E271</f>
        <v>0</v>
      </c>
      <c r="F271" s="324">
        <f>'d3'!F271-d3П!F271</f>
        <v>0</v>
      </c>
      <c r="G271" s="324">
        <f>'d3'!G271-d3П!G271</f>
        <v>0</v>
      </c>
      <c r="H271" s="324">
        <f>'d3'!H271-d3П!H271</f>
        <v>0</v>
      </c>
      <c r="I271" s="324">
        <f>'d3'!I271-d3П!I271</f>
        <v>0</v>
      </c>
      <c r="J271" s="324">
        <f>'d3'!J271-d3П!J271</f>
        <v>0</v>
      </c>
      <c r="K271" s="324">
        <f>'d3'!K271-d3П!K271</f>
        <v>0</v>
      </c>
      <c r="L271" s="324">
        <f>'d3'!L271-d3П!L271</f>
        <v>0</v>
      </c>
      <c r="M271" s="324">
        <f>'d3'!M271-d3П!M271</f>
        <v>0</v>
      </c>
      <c r="N271" s="324">
        <f>'d3'!N271-d3П!N271</f>
        <v>0</v>
      </c>
      <c r="O271" s="324">
        <f>'d3'!O271-d3П!O271</f>
        <v>0</v>
      </c>
      <c r="P271" s="324">
        <f>'d3'!P271-d3П!P271</f>
        <v>0</v>
      </c>
      <c r="Q271" s="20"/>
      <c r="R271" s="50"/>
    </row>
    <row r="272" spans="1:18" ht="54" thickTop="1" thickBot="1" x14ac:dyDescent="0.25">
      <c r="A272" s="101" t="s">
        <v>1128</v>
      </c>
      <c r="B272" s="101" t="s">
        <v>305</v>
      </c>
      <c r="C272" s="101" t="s">
        <v>304</v>
      </c>
      <c r="D272" s="101" t="s">
        <v>1477</v>
      </c>
      <c r="E272" s="324">
        <f>'d3'!E272-d3П!E272</f>
        <v>0</v>
      </c>
      <c r="F272" s="324">
        <f>'d3'!F272-d3П!F272</f>
        <v>0</v>
      </c>
      <c r="G272" s="324">
        <f>'d3'!G272-d3П!G272</f>
        <v>0</v>
      </c>
      <c r="H272" s="324">
        <f>'d3'!H272-d3П!H272</f>
        <v>0</v>
      </c>
      <c r="I272" s="324">
        <f>'d3'!I272-d3П!I272</f>
        <v>0</v>
      </c>
      <c r="J272" s="324">
        <f>'d3'!J272-d3П!J272</f>
        <v>0</v>
      </c>
      <c r="K272" s="324">
        <f>'d3'!K272-d3П!K272</f>
        <v>0</v>
      </c>
      <c r="L272" s="324">
        <f>'d3'!L272-d3П!L272</f>
        <v>0</v>
      </c>
      <c r="M272" s="324">
        <f>'d3'!M272-d3П!M272</f>
        <v>0</v>
      </c>
      <c r="N272" s="324">
        <f>'d3'!N272-d3П!N272</f>
        <v>0</v>
      </c>
      <c r="O272" s="324">
        <f>'d3'!O272-d3П!O272</f>
        <v>0</v>
      </c>
      <c r="P272" s="324">
        <f>'d3'!P272-d3П!P272</f>
        <v>0</v>
      </c>
      <c r="Q272" s="20"/>
      <c r="R272" s="50"/>
    </row>
    <row r="273" spans="1:18" ht="47.25" thickTop="1" thickBot="1" x14ac:dyDescent="0.25">
      <c r="A273" s="310" t="s">
        <v>791</v>
      </c>
      <c r="B273" s="310" t="s">
        <v>687</v>
      </c>
      <c r="C273" s="310"/>
      <c r="D273" s="310" t="s">
        <v>685</v>
      </c>
      <c r="E273" s="324">
        <f>'d3'!E273-d3П!E273</f>
        <v>-300000</v>
      </c>
      <c r="F273" s="324">
        <f>'d3'!F273-d3П!F273</f>
        <v>-300000</v>
      </c>
      <c r="G273" s="324">
        <f>'d3'!G273-d3П!G273</f>
        <v>0</v>
      </c>
      <c r="H273" s="324">
        <f>'d3'!H273-d3П!H273</f>
        <v>0</v>
      </c>
      <c r="I273" s="324">
        <f>'d3'!I273-d3П!I273</f>
        <v>0</v>
      </c>
      <c r="J273" s="324">
        <f>'d3'!J273-d3П!J273</f>
        <v>0</v>
      </c>
      <c r="K273" s="324">
        <f>'d3'!K273-d3П!K273</f>
        <v>0</v>
      </c>
      <c r="L273" s="324">
        <f>'d3'!L273-d3П!L273</f>
        <v>0</v>
      </c>
      <c r="M273" s="324">
        <f>'d3'!M273-d3П!M273</f>
        <v>0</v>
      </c>
      <c r="N273" s="324">
        <f>'d3'!N273-d3П!N273</f>
        <v>0</v>
      </c>
      <c r="O273" s="324">
        <f>'d3'!O273-d3П!O273</f>
        <v>0</v>
      </c>
      <c r="P273" s="324">
        <f>'d3'!P273-d3П!P273</f>
        <v>-300000</v>
      </c>
      <c r="Q273" s="20"/>
      <c r="R273" s="50"/>
    </row>
    <row r="274" spans="1:18" ht="47.25" thickTop="1" thickBot="1" x14ac:dyDescent="0.25">
      <c r="A274" s="101" t="s">
        <v>296</v>
      </c>
      <c r="B274" s="101" t="s">
        <v>212</v>
      </c>
      <c r="C274" s="101" t="s">
        <v>213</v>
      </c>
      <c r="D274" s="101" t="s">
        <v>41</v>
      </c>
      <c r="E274" s="324">
        <f>'d3'!E274-d3П!E274</f>
        <v>-300000</v>
      </c>
      <c r="F274" s="324">
        <f>'d3'!F274-d3П!F274</f>
        <v>-300000</v>
      </c>
      <c r="G274" s="324">
        <f>'d3'!G274-d3П!G274</f>
        <v>0</v>
      </c>
      <c r="H274" s="324">
        <f>'d3'!H274-d3П!H274</f>
        <v>0</v>
      </c>
      <c r="I274" s="324">
        <f>'d3'!I274-d3П!I274</f>
        <v>0</v>
      </c>
      <c r="J274" s="324">
        <f>'d3'!J274-d3П!J274</f>
        <v>0</v>
      </c>
      <c r="K274" s="324">
        <f>'d3'!K274-d3П!K274</f>
        <v>0</v>
      </c>
      <c r="L274" s="324">
        <f>'d3'!L274-d3П!L274</f>
        <v>0</v>
      </c>
      <c r="M274" s="324">
        <f>'d3'!M274-d3П!M274</f>
        <v>0</v>
      </c>
      <c r="N274" s="324">
        <f>'d3'!N274-d3П!N274</f>
        <v>0</v>
      </c>
      <c r="O274" s="324">
        <f>'d3'!O274-d3П!O274</f>
        <v>0</v>
      </c>
      <c r="P274" s="324">
        <f>'d3'!P274-d3П!P274</f>
        <v>-300000</v>
      </c>
      <c r="Q274" s="20"/>
      <c r="R274" s="54"/>
    </row>
    <row r="275" spans="1:18" ht="47.25" thickTop="1" thickBot="1" x14ac:dyDescent="0.25">
      <c r="A275" s="101" t="s">
        <v>913</v>
      </c>
      <c r="B275" s="101" t="s">
        <v>197</v>
      </c>
      <c r="C275" s="101" t="s">
        <v>170</v>
      </c>
      <c r="D275" s="101" t="s">
        <v>34</v>
      </c>
      <c r="E275" s="324">
        <f>'d3'!E275-d3П!E275</f>
        <v>0</v>
      </c>
      <c r="F275" s="324">
        <f>'d3'!F275-d3П!F275</f>
        <v>0</v>
      </c>
      <c r="G275" s="324">
        <f>'d3'!G275-d3П!G275</f>
        <v>0</v>
      </c>
      <c r="H275" s="324">
        <f>'d3'!H275-d3П!H275</f>
        <v>0</v>
      </c>
      <c r="I275" s="324">
        <f>'d3'!I275-d3П!I275</f>
        <v>0</v>
      </c>
      <c r="J275" s="324">
        <f>'d3'!J275-d3П!J275</f>
        <v>0</v>
      </c>
      <c r="K275" s="324">
        <f>'d3'!K275-d3П!K275</f>
        <v>0</v>
      </c>
      <c r="L275" s="324">
        <f>'d3'!L275-d3П!L275</f>
        <v>0</v>
      </c>
      <c r="M275" s="324">
        <f>'d3'!M275-d3П!M275</f>
        <v>0</v>
      </c>
      <c r="N275" s="324">
        <f>'d3'!N275-d3П!N275</f>
        <v>0</v>
      </c>
      <c r="O275" s="324">
        <f>'d3'!O275-d3П!O275</f>
        <v>0</v>
      </c>
      <c r="P275" s="324">
        <f>'d3'!P275-d3П!P275</f>
        <v>0</v>
      </c>
      <c r="Q275" s="20"/>
      <c r="R275" s="54"/>
    </row>
    <row r="276" spans="1:18" ht="48" hidden="1" customHeight="1" thickTop="1" thickBot="1" x14ac:dyDescent="0.25">
      <c r="A276" s="138" t="s">
        <v>792</v>
      </c>
      <c r="B276" s="138" t="s">
        <v>690</v>
      </c>
      <c r="C276" s="138"/>
      <c r="D276" s="138" t="s">
        <v>793</v>
      </c>
      <c r="E276" s="324">
        <f>'d3'!E276-d3П!E276</f>
        <v>0</v>
      </c>
      <c r="F276" s="324">
        <f>'d3'!F276-d3П!F276</f>
        <v>0</v>
      </c>
      <c r="G276" s="324">
        <f>'d3'!G276-d3П!G276</f>
        <v>0</v>
      </c>
      <c r="H276" s="324">
        <f>'d3'!H276-d3П!H276</f>
        <v>0</v>
      </c>
      <c r="I276" s="324">
        <f>'d3'!I276-d3П!I276</f>
        <v>0</v>
      </c>
      <c r="J276" s="324">
        <f>'d3'!J276-d3П!J276</f>
        <v>0</v>
      </c>
      <c r="K276" s="324">
        <f>'d3'!K276-d3П!K276</f>
        <v>0</v>
      </c>
      <c r="L276" s="324">
        <f>'d3'!L276-d3П!L276</f>
        <v>0</v>
      </c>
      <c r="M276" s="324">
        <f>'d3'!M276-d3П!M276</f>
        <v>0</v>
      </c>
      <c r="N276" s="324">
        <f>'d3'!N276-d3П!N276</f>
        <v>0</v>
      </c>
      <c r="O276" s="324">
        <f>'d3'!O276-d3П!O276</f>
        <v>0</v>
      </c>
      <c r="P276" s="324">
        <f>'d3'!P276-d3П!P276</f>
        <v>0</v>
      </c>
      <c r="Q276" s="20"/>
      <c r="R276" s="50"/>
    </row>
    <row r="277" spans="1:18" ht="214.5" hidden="1" customHeight="1" thickTop="1" thickBot="1" x14ac:dyDescent="0.7">
      <c r="A277" s="744" t="s">
        <v>423</v>
      </c>
      <c r="B277" s="744" t="s">
        <v>338</v>
      </c>
      <c r="C277" s="744" t="s">
        <v>170</v>
      </c>
      <c r="D277" s="153" t="s">
        <v>439</v>
      </c>
      <c r="E277" s="324">
        <f>'d3'!E277-d3П!E277</f>
        <v>0</v>
      </c>
      <c r="F277" s="324">
        <f>'d3'!F277-d3П!F277</f>
        <v>0</v>
      </c>
      <c r="G277" s="324">
        <f>'d3'!G277-d3П!G277</f>
        <v>0</v>
      </c>
      <c r="H277" s="324">
        <f>'d3'!H277-d3П!H277</f>
        <v>0</v>
      </c>
      <c r="I277" s="324">
        <f>'d3'!I277-d3П!I277</f>
        <v>0</v>
      </c>
      <c r="J277" s="324">
        <f>'d3'!J277-d3П!J277</f>
        <v>0</v>
      </c>
      <c r="K277" s="324">
        <f>'d3'!K277-d3П!K277</f>
        <v>0</v>
      </c>
      <c r="L277" s="324">
        <f>'d3'!L277-d3П!L277</f>
        <v>0</v>
      </c>
      <c r="M277" s="324">
        <f>'d3'!M277-d3П!M277</f>
        <v>0</v>
      </c>
      <c r="N277" s="324">
        <f>'d3'!N277-d3П!N277</f>
        <v>0</v>
      </c>
      <c r="O277" s="324">
        <f>'d3'!O277-d3П!O277</f>
        <v>0</v>
      </c>
      <c r="P277" s="324">
        <f>'d3'!P277-d3П!P277</f>
        <v>0</v>
      </c>
      <c r="Q277" s="20"/>
      <c r="R277" s="50"/>
    </row>
    <row r="278" spans="1:18" ht="93" hidden="1" customHeight="1" thickTop="1" thickBot="1" x14ac:dyDescent="0.25">
      <c r="A278" s="744"/>
      <c r="B278" s="744"/>
      <c r="C278" s="744"/>
      <c r="D278" s="154" t="s">
        <v>440</v>
      </c>
      <c r="E278" s="324">
        <f>'d3'!E278-d3П!E278</f>
        <v>0</v>
      </c>
      <c r="F278" s="324">
        <f>'d3'!F278-d3П!F278</f>
        <v>0</v>
      </c>
      <c r="G278" s="324">
        <f>'d3'!G278-d3П!G278</f>
        <v>0</v>
      </c>
      <c r="H278" s="324">
        <f>'d3'!H278-d3П!H278</f>
        <v>0</v>
      </c>
      <c r="I278" s="324">
        <f>'d3'!I278-d3П!I278</f>
        <v>0</v>
      </c>
      <c r="J278" s="324">
        <f>'d3'!J278-d3П!J278</f>
        <v>0</v>
      </c>
      <c r="K278" s="324">
        <f>'d3'!K278-d3П!K278</f>
        <v>0</v>
      </c>
      <c r="L278" s="324">
        <f>'d3'!L278-d3П!L278</f>
        <v>0</v>
      </c>
      <c r="M278" s="324">
        <f>'d3'!M278-d3П!M278</f>
        <v>0</v>
      </c>
      <c r="N278" s="324">
        <f>'d3'!N278-d3П!N278</f>
        <v>0</v>
      </c>
      <c r="O278" s="324">
        <f>'d3'!O278-d3П!O278</f>
        <v>0</v>
      </c>
      <c r="P278" s="324">
        <f>'d3'!P278-d3П!P278</f>
        <v>0</v>
      </c>
      <c r="Q278" s="20"/>
      <c r="R278" s="50"/>
    </row>
    <row r="279" spans="1:18" ht="47.25" thickTop="1" thickBot="1" x14ac:dyDescent="0.25">
      <c r="A279" s="308" t="s">
        <v>1212</v>
      </c>
      <c r="B279" s="308" t="s">
        <v>692</v>
      </c>
      <c r="C279" s="308"/>
      <c r="D279" s="308" t="s">
        <v>693</v>
      </c>
      <c r="E279" s="324">
        <f>'d3'!E279-d3П!E279</f>
        <v>0</v>
      </c>
      <c r="F279" s="324">
        <f>'d3'!F279-d3П!F279</f>
        <v>0</v>
      </c>
      <c r="G279" s="324">
        <f>'d3'!G279-d3П!G279</f>
        <v>0</v>
      </c>
      <c r="H279" s="324">
        <f>'d3'!H279-d3П!H279</f>
        <v>0</v>
      </c>
      <c r="I279" s="324">
        <f>'d3'!I279-d3П!I279</f>
        <v>0</v>
      </c>
      <c r="J279" s="324">
        <f>'d3'!J279-d3П!J279</f>
        <v>0</v>
      </c>
      <c r="K279" s="324">
        <f>'d3'!K279-d3П!K279</f>
        <v>0</v>
      </c>
      <c r="L279" s="324">
        <f>'d3'!L279-d3П!L279</f>
        <v>0</v>
      </c>
      <c r="M279" s="324">
        <f>'d3'!M279-d3П!M279</f>
        <v>0</v>
      </c>
      <c r="N279" s="324">
        <f>'d3'!N279-d3П!N279</f>
        <v>0</v>
      </c>
      <c r="O279" s="324">
        <f>'d3'!O279-d3П!O279</f>
        <v>0</v>
      </c>
      <c r="P279" s="324">
        <f>'d3'!P279-d3П!P279</f>
        <v>0</v>
      </c>
      <c r="Q279" s="20"/>
      <c r="R279" s="50"/>
    </row>
    <row r="280" spans="1:18" ht="47.25" thickTop="1" thickBot="1" x14ac:dyDescent="0.25">
      <c r="A280" s="310" t="s">
        <v>1475</v>
      </c>
      <c r="B280" s="310" t="s">
        <v>808</v>
      </c>
      <c r="C280" s="310"/>
      <c r="D280" s="352" t="s">
        <v>1262</v>
      </c>
      <c r="E280" s="324">
        <f>'d3'!E280-d3П!E280</f>
        <v>0</v>
      </c>
      <c r="F280" s="324">
        <f>'d3'!F280-d3П!F280</f>
        <v>0</v>
      </c>
      <c r="G280" s="324">
        <f>'d3'!G280-d3П!G280</f>
        <v>0</v>
      </c>
      <c r="H280" s="324">
        <f>'d3'!H280-d3П!H280</f>
        <v>0</v>
      </c>
      <c r="I280" s="324">
        <f>'d3'!I280-d3П!I280</f>
        <v>0</v>
      </c>
      <c r="J280" s="324">
        <f>'d3'!J280-d3П!J280</f>
        <v>0</v>
      </c>
      <c r="K280" s="324">
        <f>'d3'!K280-d3П!K280</f>
        <v>0</v>
      </c>
      <c r="L280" s="324">
        <f>'d3'!L280-d3П!L280</f>
        <v>0</v>
      </c>
      <c r="M280" s="324">
        <f>'d3'!M280-d3П!M280</f>
        <v>0</v>
      </c>
      <c r="N280" s="324">
        <f>'d3'!N280-d3П!N280</f>
        <v>0</v>
      </c>
      <c r="O280" s="324">
        <f>'d3'!O280-d3П!O280</f>
        <v>0</v>
      </c>
      <c r="P280" s="324">
        <f>'d3'!P280-d3П!P280</f>
        <v>0</v>
      </c>
      <c r="Q280" s="20"/>
      <c r="R280" s="50"/>
    </row>
    <row r="281" spans="1:18" ht="93" thickTop="1" thickBot="1" x14ac:dyDescent="0.25">
      <c r="A281" s="101" t="s">
        <v>1476</v>
      </c>
      <c r="B281" s="101" t="s">
        <v>517</v>
      </c>
      <c r="C281" s="101" t="s">
        <v>251</v>
      </c>
      <c r="D281" s="101" t="s">
        <v>518</v>
      </c>
      <c r="E281" s="324">
        <f>'d3'!E281-d3П!E281</f>
        <v>0</v>
      </c>
      <c r="F281" s="324">
        <f>'d3'!F281-d3П!F281</f>
        <v>0</v>
      </c>
      <c r="G281" s="324">
        <f>'d3'!G281-d3П!G281</f>
        <v>0</v>
      </c>
      <c r="H281" s="324">
        <f>'d3'!H281-d3П!H281</f>
        <v>0</v>
      </c>
      <c r="I281" s="324">
        <f>'d3'!I281-d3П!I281</f>
        <v>0</v>
      </c>
      <c r="J281" s="324">
        <f>'d3'!J281-d3П!J281</f>
        <v>0</v>
      </c>
      <c r="K281" s="324">
        <f>'d3'!K281-d3П!K281</f>
        <v>0</v>
      </c>
      <c r="L281" s="324">
        <f>'d3'!L281-d3П!L281</f>
        <v>0</v>
      </c>
      <c r="M281" s="324">
        <f>'d3'!M281-d3П!M281</f>
        <v>0</v>
      </c>
      <c r="N281" s="324">
        <f>'d3'!N281-d3П!N281</f>
        <v>0</v>
      </c>
      <c r="O281" s="324">
        <f>'d3'!O281-d3П!O281</f>
        <v>0</v>
      </c>
      <c r="P281" s="324">
        <f>'d3'!P281-d3П!P281</f>
        <v>0</v>
      </c>
      <c r="Q281" s="20"/>
      <c r="R281" s="50"/>
    </row>
    <row r="282" spans="1:18" ht="47.25" hidden="1" thickTop="1" thickBot="1" x14ac:dyDescent="0.25">
      <c r="A282" s="134" t="s">
        <v>1213</v>
      </c>
      <c r="B282" s="134" t="s">
        <v>1168</v>
      </c>
      <c r="C282" s="134"/>
      <c r="D282" s="134" t="s">
        <v>1166</v>
      </c>
      <c r="E282" s="135">
        <f t="shared" ref="E282:P282" si="47">SUM(E283:E283)</f>
        <v>0</v>
      </c>
      <c r="F282" s="135">
        <f t="shared" si="47"/>
        <v>0</v>
      </c>
      <c r="G282" s="135">
        <f t="shared" si="47"/>
        <v>0</v>
      </c>
      <c r="H282" s="135">
        <f t="shared" si="47"/>
        <v>0</v>
      </c>
      <c r="I282" s="135">
        <f t="shared" si="47"/>
        <v>0</v>
      </c>
      <c r="J282" s="135">
        <f t="shared" si="47"/>
        <v>0</v>
      </c>
      <c r="K282" s="135">
        <f t="shared" si="47"/>
        <v>0</v>
      </c>
      <c r="L282" s="135">
        <f t="shared" si="47"/>
        <v>0</v>
      </c>
      <c r="M282" s="135">
        <f t="shared" si="47"/>
        <v>0</v>
      </c>
      <c r="N282" s="135">
        <f t="shared" si="47"/>
        <v>0</v>
      </c>
      <c r="O282" s="135">
        <f t="shared" si="47"/>
        <v>0</v>
      </c>
      <c r="P282" s="135">
        <f t="shared" si="47"/>
        <v>0</v>
      </c>
      <c r="Q282" s="20"/>
      <c r="R282" s="50"/>
    </row>
    <row r="283" spans="1:18" ht="48" hidden="1" thickTop="1" thickBot="1" x14ac:dyDescent="0.25">
      <c r="A283" s="126" t="s">
        <v>1214</v>
      </c>
      <c r="B283" s="126" t="s">
        <v>1195</v>
      </c>
      <c r="C283" s="126" t="s">
        <v>1170</v>
      </c>
      <c r="D283" s="126" t="s">
        <v>1196</v>
      </c>
      <c r="E283" s="125">
        <f>F283</f>
        <v>0</v>
      </c>
      <c r="F283" s="132"/>
      <c r="G283" s="132"/>
      <c r="H283" s="132"/>
      <c r="I283" s="132"/>
      <c r="J283" s="125">
        <f>L283+O283</f>
        <v>0</v>
      </c>
      <c r="K283" s="132"/>
      <c r="L283" s="132"/>
      <c r="M283" s="132"/>
      <c r="N283" s="132"/>
      <c r="O283" s="130">
        <f>K283</f>
        <v>0</v>
      </c>
      <c r="P283" s="125">
        <f>E283+J283</f>
        <v>0</v>
      </c>
      <c r="Q283" s="20"/>
      <c r="R283" s="50"/>
    </row>
    <row r="284" spans="1:18" ht="120" customHeight="1" thickTop="1" thickBot="1" x14ac:dyDescent="0.25">
      <c r="A284" s="689" t="s">
        <v>539</v>
      </c>
      <c r="B284" s="689"/>
      <c r="C284" s="689"/>
      <c r="D284" s="690" t="s">
        <v>558</v>
      </c>
      <c r="E284" s="691">
        <f>E285</f>
        <v>17153630.850000024</v>
      </c>
      <c r="F284" s="692">
        <f t="shared" ref="F284:G284" si="48">F285</f>
        <v>17153630.850000024</v>
      </c>
      <c r="G284" s="692">
        <f t="shared" si="48"/>
        <v>56771</v>
      </c>
      <c r="H284" s="692">
        <f>H285</f>
        <v>0</v>
      </c>
      <c r="I284" s="692">
        <f t="shared" ref="I284" si="49">I285</f>
        <v>0</v>
      </c>
      <c r="J284" s="691">
        <f>J285</f>
        <v>-8009906</v>
      </c>
      <c r="K284" s="692">
        <f>K285</f>
        <v>-8009906</v>
      </c>
      <c r="L284" s="692">
        <f>L285</f>
        <v>0</v>
      </c>
      <c r="M284" s="692">
        <f t="shared" ref="M284" si="50">M285</f>
        <v>0</v>
      </c>
      <c r="N284" s="692">
        <f>N285</f>
        <v>0</v>
      </c>
      <c r="O284" s="691">
        <f>O285</f>
        <v>-8009906</v>
      </c>
      <c r="P284" s="692">
        <f>P285</f>
        <v>9143724.8500000238</v>
      </c>
      <c r="Q284" s="20"/>
      <c r="R284" s="50"/>
    </row>
    <row r="285" spans="1:18" ht="120" customHeight="1" thickTop="1" thickBot="1" x14ac:dyDescent="0.25">
      <c r="A285" s="693" t="s">
        <v>540</v>
      </c>
      <c r="B285" s="693"/>
      <c r="C285" s="693"/>
      <c r="D285" s="694" t="s">
        <v>559</v>
      </c>
      <c r="E285" s="695">
        <f>E286+E290+E298+E311+E316</f>
        <v>17153630.850000024</v>
      </c>
      <c r="F285" s="695">
        <f>F286+F290+F298+F311+F316</f>
        <v>17153630.850000024</v>
      </c>
      <c r="G285" s="695">
        <f>G286+G290+G298+G311+G316</f>
        <v>56771</v>
      </c>
      <c r="H285" s="695">
        <f>H286+H290+H298+H311+H316</f>
        <v>0</v>
      </c>
      <c r="I285" s="695">
        <f>I286+I290+I298+I311+I316</f>
        <v>0</v>
      </c>
      <c r="J285" s="695">
        <f t="shared" ref="J285" si="51">L285+O285</f>
        <v>-8009906</v>
      </c>
      <c r="K285" s="695">
        <f>K286+K290+K298+K311+K316</f>
        <v>-8009906</v>
      </c>
      <c r="L285" s="695">
        <f>L286+L290+L298+L311+L316</f>
        <v>0</v>
      </c>
      <c r="M285" s="695">
        <f>M286+M290+M298+M311+M316</f>
        <v>0</v>
      </c>
      <c r="N285" s="695">
        <f>N286+N290+N298+N311+N316</f>
        <v>0</v>
      </c>
      <c r="O285" s="695">
        <f>O286+O290+O298+O311+O316</f>
        <v>-8009906</v>
      </c>
      <c r="P285" s="695">
        <f>E285+J285</f>
        <v>9143724.8500000238</v>
      </c>
      <c r="Q285" s="487" t="b">
        <f>P285=P287+P292+P293+P295+P296+P297+P300+P303+P305+P306+P313+P314+P318</f>
        <v>0</v>
      </c>
      <c r="R285" s="45"/>
    </row>
    <row r="286" spans="1:18" ht="47.25" thickTop="1" thickBot="1" x14ac:dyDescent="0.25">
      <c r="A286" s="308" t="s">
        <v>794</v>
      </c>
      <c r="B286" s="308" t="s">
        <v>680</v>
      </c>
      <c r="C286" s="308"/>
      <c r="D286" s="308" t="s">
        <v>681</v>
      </c>
      <c r="E286" s="324">
        <f>'d3'!E286-d3П!E286</f>
        <v>0</v>
      </c>
      <c r="F286" s="324">
        <f>'d3'!F286-d3П!F286</f>
        <v>0</v>
      </c>
      <c r="G286" s="324">
        <f>'d3'!G286-d3П!G286</f>
        <v>0</v>
      </c>
      <c r="H286" s="324">
        <f>'d3'!H286-d3П!H286</f>
        <v>0</v>
      </c>
      <c r="I286" s="324">
        <f>'d3'!I286-d3П!I286</f>
        <v>0</v>
      </c>
      <c r="J286" s="324">
        <f>'d3'!J286-d3П!J286</f>
        <v>0</v>
      </c>
      <c r="K286" s="324">
        <f>'d3'!K286-d3П!K286</f>
        <v>0</v>
      </c>
      <c r="L286" s="324">
        <f>'d3'!L286-d3П!L286</f>
        <v>0</v>
      </c>
      <c r="M286" s="324">
        <f>'d3'!M286-d3П!M286</f>
        <v>0</v>
      </c>
      <c r="N286" s="324">
        <f>'d3'!N286-d3П!N286</f>
        <v>0</v>
      </c>
      <c r="O286" s="324">
        <f>'d3'!O286-d3П!O286</f>
        <v>0</v>
      </c>
      <c r="P286" s="324">
        <f>'d3'!P286-d3П!P286</f>
        <v>0</v>
      </c>
      <c r="Q286" s="47"/>
      <c r="R286" s="45"/>
    </row>
    <row r="287" spans="1:18" ht="93" thickTop="1" thickBot="1" x14ac:dyDescent="0.25">
      <c r="A287" s="101" t="s">
        <v>541</v>
      </c>
      <c r="B287" s="101" t="s">
        <v>236</v>
      </c>
      <c r="C287" s="101" t="s">
        <v>234</v>
      </c>
      <c r="D287" s="101" t="s">
        <v>235</v>
      </c>
      <c r="E287" s="324">
        <f>'d3'!E287-d3П!E287</f>
        <v>0</v>
      </c>
      <c r="F287" s="324">
        <f>'d3'!F287-d3П!F287</f>
        <v>0</v>
      </c>
      <c r="G287" s="324">
        <f>'d3'!G287-d3П!G287</f>
        <v>0</v>
      </c>
      <c r="H287" s="324">
        <f>'d3'!H287-d3П!H287</f>
        <v>0</v>
      </c>
      <c r="I287" s="324">
        <f>'d3'!I287-d3П!I287</f>
        <v>0</v>
      </c>
      <c r="J287" s="324">
        <f>'d3'!J287-d3П!J287</f>
        <v>0</v>
      </c>
      <c r="K287" s="324">
        <f>'d3'!K287-d3П!K287</f>
        <v>0</v>
      </c>
      <c r="L287" s="324">
        <f>'d3'!L287-d3П!L287</f>
        <v>0</v>
      </c>
      <c r="M287" s="324">
        <f>'d3'!M287-d3П!M287</f>
        <v>0</v>
      </c>
      <c r="N287" s="324">
        <f>'d3'!N287-d3П!N287</f>
        <v>0</v>
      </c>
      <c r="O287" s="324">
        <f>'d3'!O287-d3П!O287</f>
        <v>0</v>
      </c>
      <c r="P287" s="324">
        <f>'d3'!P287-d3П!P287</f>
        <v>0</v>
      </c>
      <c r="Q287" s="20"/>
      <c r="R287" s="45"/>
    </row>
    <row r="288" spans="1:18" ht="93" hidden="1" customHeight="1" thickTop="1" thickBot="1" x14ac:dyDescent="0.25">
      <c r="A288" s="126" t="s">
        <v>627</v>
      </c>
      <c r="B288" s="126" t="s">
        <v>362</v>
      </c>
      <c r="C288" s="126" t="s">
        <v>623</v>
      </c>
      <c r="D288" s="126" t="s">
        <v>624</v>
      </c>
      <c r="E288" s="324">
        <f>'d3'!E288-d3П!E288</f>
        <v>0</v>
      </c>
      <c r="F288" s="324">
        <f>'d3'!F288-d3П!F288</f>
        <v>0</v>
      </c>
      <c r="G288" s="324">
        <f>'d3'!G288-d3П!G288</f>
        <v>0</v>
      </c>
      <c r="H288" s="324">
        <f>'d3'!H288-d3П!H288</f>
        <v>0</v>
      </c>
      <c r="I288" s="324">
        <f>'d3'!I288-d3П!I288</f>
        <v>0</v>
      </c>
      <c r="J288" s="324">
        <f>'d3'!J288-d3П!J288</f>
        <v>0</v>
      </c>
      <c r="K288" s="324">
        <f>'d3'!K288-d3П!K288</f>
        <v>0</v>
      </c>
      <c r="L288" s="324">
        <f>'d3'!L288-d3П!L288</f>
        <v>0</v>
      </c>
      <c r="M288" s="324">
        <f>'d3'!M288-d3П!M288</f>
        <v>0</v>
      </c>
      <c r="N288" s="324">
        <f>'d3'!N288-d3П!N288</f>
        <v>0</v>
      </c>
      <c r="O288" s="324">
        <f>'d3'!O288-d3П!O288</f>
        <v>0</v>
      </c>
      <c r="P288" s="324">
        <f>'d3'!P288-d3П!P288</f>
        <v>0</v>
      </c>
      <c r="Q288" s="20"/>
      <c r="R288" s="45"/>
    </row>
    <row r="289" spans="1:18" ht="48" hidden="1" customHeight="1" thickTop="1" thickBot="1" x14ac:dyDescent="0.25">
      <c r="A289" s="126" t="s">
        <v>542</v>
      </c>
      <c r="B289" s="126" t="s">
        <v>43</v>
      </c>
      <c r="C289" s="126" t="s">
        <v>42</v>
      </c>
      <c r="D289" s="126" t="s">
        <v>248</v>
      </c>
      <c r="E289" s="324">
        <f>'d3'!E289-d3П!E289</f>
        <v>0</v>
      </c>
      <c r="F289" s="324">
        <f>'d3'!F289-d3П!F289</f>
        <v>0</v>
      </c>
      <c r="G289" s="324">
        <f>'d3'!G289-d3П!G289</f>
        <v>0</v>
      </c>
      <c r="H289" s="324">
        <f>'d3'!H289-d3П!H289</f>
        <v>0</v>
      </c>
      <c r="I289" s="324">
        <f>'d3'!I289-d3П!I289</f>
        <v>0</v>
      </c>
      <c r="J289" s="324">
        <f>'d3'!J289-d3П!J289</f>
        <v>0</v>
      </c>
      <c r="K289" s="324">
        <f>'d3'!K289-d3П!K289</f>
        <v>0</v>
      </c>
      <c r="L289" s="324">
        <f>'d3'!L289-d3П!L289</f>
        <v>0</v>
      </c>
      <c r="M289" s="324">
        <f>'d3'!M289-d3П!M289</f>
        <v>0</v>
      </c>
      <c r="N289" s="324">
        <f>'d3'!N289-d3П!N289</f>
        <v>0</v>
      </c>
      <c r="O289" s="324">
        <f>'d3'!O289-d3П!O289</f>
        <v>0</v>
      </c>
      <c r="P289" s="324">
        <f>'d3'!P289-d3П!P289</f>
        <v>0</v>
      </c>
      <c r="Q289" s="20"/>
      <c r="R289" s="50"/>
    </row>
    <row r="290" spans="1:18" ht="47.25" thickTop="1" thickBot="1" x14ac:dyDescent="0.25">
      <c r="A290" s="308" t="s">
        <v>795</v>
      </c>
      <c r="B290" s="308" t="s">
        <v>738</v>
      </c>
      <c r="C290" s="308"/>
      <c r="D290" s="343" t="s">
        <v>739</v>
      </c>
      <c r="E290" s="324">
        <f>'d3'!E290-d3П!E290</f>
        <v>17153630.850000024</v>
      </c>
      <c r="F290" s="324">
        <f>'d3'!F290-d3П!F290</f>
        <v>17153630.850000024</v>
      </c>
      <c r="G290" s="324">
        <f>'d3'!G290-d3П!G290</f>
        <v>0</v>
      </c>
      <c r="H290" s="324">
        <f>'d3'!H290-d3П!H290</f>
        <v>0</v>
      </c>
      <c r="I290" s="324">
        <f>'d3'!I290-d3П!I290</f>
        <v>0</v>
      </c>
      <c r="J290" s="324">
        <f>'d3'!J290-d3П!J290</f>
        <v>0</v>
      </c>
      <c r="K290" s="324">
        <f>'d3'!K290-d3П!K290</f>
        <v>0</v>
      </c>
      <c r="L290" s="324">
        <f>'d3'!L290-d3П!L290</f>
        <v>0</v>
      </c>
      <c r="M290" s="324">
        <f>'d3'!M290-d3П!M290</f>
        <v>0</v>
      </c>
      <c r="N290" s="324">
        <f>'d3'!N290-d3П!N290</f>
        <v>0</v>
      </c>
      <c r="O290" s="324">
        <f>'d3'!O290-d3П!O290</f>
        <v>0</v>
      </c>
      <c r="P290" s="324">
        <f>'d3'!P290-d3П!P290</f>
        <v>17153630.850000024</v>
      </c>
      <c r="Q290" s="20"/>
      <c r="R290" s="50"/>
    </row>
    <row r="291" spans="1:18" ht="93" thickTop="1" thickBot="1" x14ac:dyDescent="0.25">
      <c r="A291" s="325" t="s">
        <v>796</v>
      </c>
      <c r="B291" s="325" t="s">
        <v>787</v>
      </c>
      <c r="C291" s="325"/>
      <c r="D291" s="325" t="s">
        <v>788</v>
      </c>
      <c r="E291" s="324">
        <f>'d3'!E291-d3П!E291</f>
        <v>18000000</v>
      </c>
      <c r="F291" s="324">
        <f>'d3'!F291-d3П!F291</f>
        <v>18000000</v>
      </c>
      <c r="G291" s="324">
        <f>'d3'!G291-d3П!G291</f>
        <v>0</v>
      </c>
      <c r="H291" s="324">
        <f>'d3'!H291-d3П!H291</f>
        <v>0</v>
      </c>
      <c r="I291" s="324">
        <f>'d3'!I291-d3П!I291</f>
        <v>0</v>
      </c>
      <c r="J291" s="324">
        <f>'d3'!J291-d3П!J291</f>
        <v>0</v>
      </c>
      <c r="K291" s="324">
        <f>'d3'!K291-d3П!K291</f>
        <v>0</v>
      </c>
      <c r="L291" s="324">
        <f>'d3'!L291-d3П!L291</f>
        <v>0</v>
      </c>
      <c r="M291" s="324">
        <f>'d3'!M291-d3П!M291</f>
        <v>0</v>
      </c>
      <c r="N291" s="324">
        <f>'d3'!N291-d3П!N291</f>
        <v>0</v>
      </c>
      <c r="O291" s="324">
        <f>'d3'!O291-d3П!O291</f>
        <v>0</v>
      </c>
      <c r="P291" s="324">
        <f>'d3'!P291-d3П!P291</f>
        <v>18000000</v>
      </c>
      <c r="Q291" s="20"/>
      <c r="R291" s="50"/>
    </row>
    <row r="292" spans="1:18" ht="93" thickTop="1" thickBot="1" x14ac:dyDescent="0.25">
      <c r="A292" s="101" t="s">
        <v>543</v>
      </c>
      <c r="B292" s="101" t="s">
        <v>376</v>
      </c>
      <c r="C292" s="101" t="s">
        <v>283</v>
      </c>
      <c r="D292" s="101" t="s">
        <v>377</v>
      </c>
      <c r="E292" s="324">
        <f>'d3'!E292-d3П!E292</f>
        <v>15000000</v>
      </c>
      <c r="F292" s="324">
        <f>'d3'!F292-d3П!F292</f>
        <v>15000000</v>
      </c>
      <c r="G292" s="324">
        <f>'d3'!G292-d3П!G292</f>
        <v>0</v>
      </c>
      <c r="H292" s="324">
        <f>'d3'!H292-d3П!H292</f>
        <v>0</v>
      </c>
      <c r="I292" s="324">
        <f>'d3'!I292-d3П!I292</f>
        <v>0</v>
      </c>
      <c r="J292" s="324">
        <f>'d3'!J292-d3П!J292</f>
        <v>0</v>
      </c>
      <c r="K292" s="324">
        <f>'d3'!K292-d3П!K292</f>
        <v>0</v>
      </c>
      <c r="L292" s="324">
        <f>'d3'!L292-d3П!L292</f>
        <v>0</v>
      </c>
      <c r="M292" s="324">
        <f>'d3'!M292-d3П!M292</f>
        <v>0</v>
      </c>
      <c r="N292" s="324">
        <f>'d3'!N292-d3П!N292</f>
        <v>0</v>
      </c>
      <c r="O292" s="324">
        <f>'d3'!O292-d3П!O292</f>
        <v>0</v>
      </c>
      <c r="P292" s="324">
        <f>'d3'!P292-d3П!P292</f>
        <v>15000000</v>
      </c>
      <c r="Q292" s="20"/>
      <c r="R292" s="50"/>
    </row>
    <row r="293" spans="1:18" ht="47.25" thickTop="1" thickBot="1" x14ac:dyDescent="0.25">
      <c r="A293" s="101" t="s">
        <v>544</v>
      </c>
      <c r="B293" s="101" t="s">
        <v>286</v>
      </c>
      <c r="C293" s="101" t="s">
        <v>283</v>
      </c>
      <c r="D293" s="101" t="s">
        <v>287</v>
      </c>
      <c r="E293" s="324">
        <f>'d3'!E293-d3П!E293</f>
        <v>3000000</v>
      </c>
      <c r="F293" s="324">
        <f>'d3'!F293-d3П!F293</f>
        <v>3000000</v>
      </c>
      <c r="G293" s="324">
        <f>'d3'!G293-d3П!G293</f>
        <v>0</v>
      </c>
      <c r="H293" s="324">
        <f>'d3'!H293-d3П!H293</f>
        <v>0</v>
      </c>
      <c r="I293" s="324">
        <f>'d3'!I293-d3П!I293</f>
        <v>0</v>
      </c>
      <c r="J293" s="324">
        <f>'d3'!J293-d3П!J293</f>
        <v>0</v>
      </c>
      <c r="K293" s="324">
        <f>'d3'!K293-d3П!K293</f>
        <v>0</v>
      </c>
      <c r="L293" s="324">
        <f>'d3'!L293-d3П!L293</f>
        <v>0</v>
      </c>
      <c r="M293" s="324">
        <f>'d3'!M293-d3П!M293</f>
        <v>0</v>
      </c>
      <c r="N293" s="324">
        <f>'d3'!N293-d3П!N293</f>
        <v>0</v>
      </c>
      <c r="O293" s="324">
        <f>'d3'!O293-d3П!O293</f>
        <v>0</v>
      </c>
      <c r="P293" s="324">
        <f>'d3'!P293-d3П!P293</f>
        <v>3000000</v>
      </c>
      <c r="Q293" s="20"/>
      <c r="R293" s="50"/>
    </row>
    <row r="294" spans="1:18" ht="93" hidden="1" customHeight="1" thickTop="1" thickBot="1" x14ac:dyDescent="0.25">
      <c r="A294" s="126" t="s">
        <v>1390</v>
      </c>
      <c r="B294" s="126" t="s">
        <v>1391</v>
      </c>
      <c r="C294" s="126" t="s">
        <v>283</v>
      </c>
      <c r="D294" s="126" t="s">
        <v>1392</v>
      </c>
      <c r="E294" s="324">
        <f>'d3'!E294-d3П!E294</f>
        <v>0</v>
      </c>
      <c r="F294" s="324">
        <f>'d3'!F294-d3П!F294</f>
        <v>0</v>
      </c>
      <c r="G294" s="324">
        <f>'d3'!G294-d3П!G294</f>
        <v>0</v>
      </c>
      <c r="H294" s="324">
        <f>'d3'!H294-d3П!H294</f>
        <v>0</v>
      </c>
      <c r="I294" s="324">
        <f>'d3'!I294-d3П!I294</f>
        <v>0</v>
      </c>
      <c r="J294" s="324">
        <f>'d3'!J294-d3П!J294</f>
        <v>0</v>
      </c>
      <c r="K294" s="324">
        <f>'d3'!K294-d3П!K294</f>
        <v>0</v>
      </c>
      <c r="L294" s="324">
        <f>'d3'!L294-d3П!L294</f>
        <v>0</v>
      </c>
      <c r="M294" s="324">
        <f>'d3'!M294-d3П!M294</f>
        <v>0</v>
      </c>
      <c r="N294" s="324">
        <f>'d3'!N294-d3П!N294</f>
        <v>0</v>
      </c>
      <c r="O294" s="324">
        <f>'d3'!O294-d3П!O294</f>
        <v>0</v>
      </c>
      <c r="P294" s="324">
        <f>'d3'!P294-d3П!P294</f>
        <v>0</v>
      </c>
      <c r="Q294" s="20"/>
      <c r="R294" s="50"/>
    </row>
    <row r="295" spans="1:18" ht="93" thickTop="1" thickBot="1" x14ac:dyDescent="0.25">
      <c r="A295" s="101" t="s">
        <v>545</v>
      </c>
      <c r="B295" s="101" t="s">
        <v>297</v>
      </c>
      <c r="C295" s="101" t="s">
        <v>283</v>
      </c>
      <c r="D295" s="101" t="s">
        <v>298</v>
      </c>
      <c r="E295" s="324">
        <f>'d3'!E295-d3П!E295</f>
        <v>-3397881.1500000004</v>
      </c>
      <c r="F295" s="324">
        <f>'d3'!F295-d3П!F295</f>
        <v>-3397881.1500000004</v>
      </c>
      <c r="G295" s="324">
        <f>'d3'!G295-d3П!G295</f>
        <v>0</v>
      </c>
      <c r="H295" s="324">
        <f>'d3'!H295-d3П!H295</f>
        <v>0</v>
      </c>
      <c r="I295" s="324">
        <f>'d3'!I295-d3П!I295</f>
        <v>0</v>
      </c>
      <c r="J295" s="324">
        <f>'d3'!J295-d3П!J295</f>
        <v>0</v>
      </c>
      <c r="K295" s="324">
        <f>'d3'!K295-d3П!K295</f>
        <v>0</v>
      </c>
      <c r="L295" s="324">
        <f>'d3'!L295-d3П!L295</f>
        <v>0</v>
      </c>
      <c r="M295" s="324">
        <f>'d3'!M295-d3П!M295</f>
        <v>0</v>
      </c>
      <c r="N295" s="324">
        <f>'d3'!N295-d3П!N295</f>
        <v>0</v>
      </c>
      <c r="O295" s="324">
        <f>'d3'!O295-d3П!O295</f>
        <v>0</v>
      </c>
      <c r="P295" s="324">
        <f>'d3'!P295-d3П!P295</f>
        <v>-3397881.1500000004</v>
      </c>
      <c r="Q295" s="20"/>
      <c r="R295" s="50"/>
    </row>
    <row r="296" spans="1:18" ht="47.25" thickTop="1" thickBot="1" x14ac:dyDescent="0.25">
      <c r="A296" s="101" t="s">
        <v>546</v>
      </c>
      <c r="B296" s="101" t="s">
        <v>289</v>
      </c>
      <c r="C296" s="101" t="s">
        <v>283</v>
      </c>
      <c r="D296" s="101" t="s">
        <v>290</v>
      </c>
      <c r="E296" s="324">
        <f>'d3'!E296-d3П!E296</f>
        <v>2551512</v>
      </c>
      <c r="F296" s="324">
        <f>'d3'!F296-d3П!F296</f>
        <v>2551512</v>
      </c>
      <c r="G296" s="324">
        <f>'d3'!G296-d3П!G296</f>
        <v>0</v>
      </c>
      <c r="H296" s="324">
        <f>'d3'!H296-d3П!H296</f>
        <v>0</v>
      </c>
      <c r="I296" s="324">
        <f>'d3'!I296-d3П!I296</f>
        <v>0</v>
      </c>
      <c r="J296" s="324">
        <f>'d3'!J296-d3П!J296</f>
        <v>0</v>
      </c>
      <c r="K296" s="324">
        <f>'d3'!K296-d3П!K296</f>
        <v>0</v>
      </c>
      <c r="L296" s="324">
        <f>'d3'!L296-d3П!L296</f>
        <v>0</v>
      </c>
      <c r="M296" s="324">
        <f>'d3'!M296-d3П!M296</f>
        <v>0</v>
      </c>
      <c r="N296" s="324">
        <f>'d3'!N296-d3П!N296</f>
        <v>0</v>
      </c>
      <c r="O296" s="324">
        <f>'d3'!O296-d3П!O296</f>
        <v>0</v>
      </c>
      <c r="P296" s="324">
        <f>'d3'!P296-d3П!P296</f>
        <v>2551512</v>
      </c>
      <c r="Q296" s="20"/>
      <c r="R296" s="45"/>
    </row>
    <row r="297" spans="1:18" ht="47.25" thickTop="1" thickBot="1" x14ac:dyDescent="0.25">
      <c r="A297" s="101" t="s">
        <v>1130</v>
      </c>
      <c r="B297" s="101" t="s">
        <v>1131</v>
      </c>
      <c r="C297" s="101" t="s">
        <v>1132</v>
      </c>
      <c r="D297" s="101" t="s">
        <v>1129</v>
      </c>
      <c r="E297" s="324">
        <f>'d3'!E297-d3П!E297</f>
        <v>0</v>
      </c>
      <c r="F297" s="324">
        <f>'d3'!F297-d3П!F297</f>
        <v>0</v>
      </c>
      <c r="G297" s="324">
        <f>'d3'!G297-d3П!G297</f>
        <v>0</v>
      </c>
      <c r="H297" s="324">
        <f>'d3'!H297-d3П!H297</f>
        <v>0</v>
      </c>
      <c r="I297" s="324">
        <f>'d3'!I297-d3П!I297</f>
        <v>0</v>
      </c>
      <c r="J297" s="324">
        <f>'d3'!J297-d3П!J297</f>
        <v>0</v>
      </c>
      <c r="K297" s="324">
        <f>'d3'!K297-d3П!K297</f>
        <v>0</v>
      </c>
      <c r="L297" s="324">
        <f>'d3'!L297-d3П!L297</f>
        <v>0</v>
      </c>
      <c r="M297" s="324">
        <f>'d3'!M297-d3П!M297</f>
        <v>0</v>
      </c>
      <c r="N297" s="324">
        <f>'d3'!N297-d3П!N297</f>
        <v>0</v>
      </c>
      <c r="O297" s="324">
        <f>'d3'!O297-d3П!O297</f>
        <v>0</v>
      </c>
      <c r="P297" s="324">
        <f>'d3'!P297-d3П!P297</f>
        <v>0</v>
      </c>
      <c r="Q297" s="20"/>
      <c r="R297" s="45"/>
    </row>
    <row r="298" spans="1:18" ht="47.25" thickTop="1" thickBot="1" x14ac:dyDescent="0.25">
      <c r="A298" s="308" t="s">
        <v>797</v>
      </c>
      <c r="B298" s="308" t="s">
        <v>744</v>
      </c>
      <c r="C298" s="308"/>
      <c r="D298" s="308" t="s">
        <v>745</v>
      </c>
      <c r="E298" s="324">
        <f>'d3'!E298-d3П!E298</f>
        <v>0</v>
      </c>
      <c r="F298" s="324">
        <f>'d3'!F298-d3П!F298</f>
        <v>0</v>
      </c>
      <c r="G298" s="324">
        <f>'d3'!G298-d3П!G298</f>
        <v>0</v>
      </c>
      <c r="H298" s="324">
        <f>'d3'!H298-d3П!H298</f>
        <v>0</v>
      </c>
      <c r="I298" s="324">
        <f>'d3'!I298-d3П!I298</f>
        <v>0</v>
      </c>
      <c r="J298" s="324">
        <f>'d3'!J298-d3П!J298</f>
        <v>-8009906</v>
      </c>
      <c r="K298" s="324">
        <f>'d3'!K298-d3П!K298</f>
        <v>-8009906</v>
      </c>
      <c r="L298" s="324">
        <f>'d3'!L298-d3П!L298</f>
        <v>0</v>
      </c>
      <c r="M298" s="324">
        <f>'d3'!M298-d3П!M298</f>
        <v>0</v>
      </c>
      <c r="N298" s="324">
        <f>'d3'!N298-d3П!N298</f>
        <v>0</v>
      </c>
      <c r="O298" s="324">
        <f>'d3'!O298-d3П!O298</f>
        <v>-8009906</v>
      </c>
      <c r="P298" s="324">
        <f>'d3'!P298-d3П!P298</f>
        <v>-8009906</v>
      </c>
      <c r="Q298" s="20"/>
      <c r="R298" s="50"/>
    </row>
    <row r="299" spans="1:18" ht="47.25" thickTop="1" thickBot="1" x14ac:dyDescent="0.25">
      <c r="A299" s="310" t="s">
        <v>798</v>
      </c>
      <c r="B299" s="310" t="s">
        <v>799</v>
      </c>
      <c r="C299" s="310"/>
      <c r="D299" s="310" t="s">
        <v>800</v>
      </c>
      <c r="E299" s="324">
        <f>'d3'!E299-d3П!E299</f>
        <v>0</v>
      </c>
      <c r="F299" s="324">
        <f>'d3'!F299-d3П!F299</f>
        <v>0</v>
      </c>
      <c r="G299" s="324">
        <f>'d3'!G299-d3П!G299</f>
        <v>0</v>
      </c>
      <c r="H299" s="324">
        <f>'d3'!H299-d3П!H299</f>
        <v>0</v>
      </c>
      <c r="I299" s="324">
        <f>'d3'!I299-d3П!I299</f>
        <v>0</v>
      </c>
      <c r="J299" s="324">
        <f>'d3'!J299-d3П!J299</f>
        <v>0</v>
      </c>
      <c r="K299" s="324">
        <f>'d3'!K299-d3П!K299</f>
        <v>0</v>
      </c>
      <c r="L299" s="324">
        <f>'d3'!L299-d3П!L299</f>
        <v>0</v>
      </c>
      <c r="M299" s="324">
        <f>'d3'!M299-d3П!M299</f>
        <v>0</v>
      </c>
      <c r="N299" s="324">
        <f>'d3'!N299-d3П!N299</f>
        <v>0</v>
      </c>
      <c r="O299" s="324">
        <f>'d3'!O299-d3П!O299</f>
        <v>0</v>
      </c>
      <c r="P299" s="324">
        <f>'d3'!P299-d3П!P299</f>
        <v>0</v>
      </c>
      <c r="Q299" s="20"/>
      <c r="R299" s="50"/>
    </row>
    <row r="300" spans="1:18" ht="54" thickTop="1" thickBot="1" x14ac:dyDescent="0.25">
      <c r="A300" s="101" t="s">
        <v>547</v>
      </c>
      <c r="B300" s="101" t="s">
        <v>305</v>
      </c>
      <c r="C300" s="101" t="s">
        <v>304</v>
      </c>
      <c r="D300" s="101" t="s">
        <v>1477</v>
      </c>
      <c r="E300" s="324">
        <f>'d3'!E300-d3П!E300</f>
        <v>0</v>
      </c>
      <c r="F300" s="324">
        <f>'d3'!F300-d3П!F300</f>
        <v>0</v>
      </c>
      <c r="G300" s="324">
        <f>'d3'!G300-d3П!G300</f>
        <v>0</v>
      </c>
      <c r="H300" s="324">
        <f>'d3'!H300-d3П!H300</f>
        <v>0</v>
      </c>
      <c r="I300" s="324">
        <f>'d3'!I300-d3П!I300</f>
        <v>0</v>
      </c>
      <c r="J300" s="324">
        <f>'d3'!J300-d3П!J300</f>
        <v>0</v>
      </c>
      <c r="K300" s="324">
        <f>'d3'!K300-d3П!K300</f>
        <v>0</v>
      </c>
      <c r="L300" s="324">
        <f>'d3'!L300-d3П!L300</f>
        <v>0</v>
      </c>
      <c r="M300" s="324">
        <f>'d3'!M300-d3П!M300</f>
        <v>0</v>
      </c>
      <c r="N300" s="324">
        <f>'d3'!N300-d3П!N300</f>
        <v>0</v>
      </c>
      <c r="O300" s="324">
        <f>'d3'!O300-d3П!O300</f>
        <v>0</v>
      </c>
      <c r="P300" s="324">
        <f>'d3'!P300-d3П!P300</f>
        <v>0</v>
      </c>
      <c r="Q300" s="20"/>
      <c r="R300" s="45"/>
    </row>
    <row r="301" spans="1:18" ht="47.25" thickTop="1" thickBot="1" x14ac:dyDescent="0.25">
      <c r="A301" s="310" t="s">
        <v>801</v>
      </c>
      <c r="B301" s="310" t="s">
        <v>802</v>
      </c>
      <c r="C301" s="310"/>
      <c r="D301" s="310" t="s">
        <v>803</v>
      </c>
      <c r="E301" s="324">
        <f>'d3'!E301-d3П!E301</f>
        <v>0</v>
      </c>
      <c r="F301" s="324">
        <f>'d3'!F301-d3П!F301</f>
        <v>0</v>
      </c>
      <c r="G301" s="324">
        <f>'d3'!G301-d3П!G301</f>
        <v>0</v>
      </c>
      <c r="H301" s="324">
        <f>'d3'!H301-d3П!H301</f>
        <v>0</v>
      </c>
      <c r="I301" s="324">
        <f>'d3'!I301-d3П!I301</f>
        <v>0</v>
      </c>
      <c r="J301" s="324">
        <f>'d3'!J301-d3П!J301</f>
        <v>-10042000</v>
      </c>
      <c r="K301" s="324">
        <f>'d3'!K301-d3П!K301</f>
        <v>-10042000</v>
      </c>
      <c r="L301" s="324">
        <f>'d3'!L301-d3П!L301</f>
        <v>0</v>
      </c>
      <c r="M301" s="324">
        <f>'d3'!M301-d3П!M301</f>
        <v>0</v>
      </c>
      <c r="N301" s="324">
        <f>'d3'!N301-d3П!N301</f>
        <v>0</v>
      </c>
      <c r="O301" s="324">
        <f>'d3'!O301-d3П!O301</f>
        <v>-10042000</v>
      </c>
      <c r="P301" s="324">
        <f>'d3'!P301-d3П!P301</f>
        <v>-10042000</v>
      </c>
      <c r="Q301" s="20"/>
      <c r="R301" s="50"/>
    </row>
    <row r="302" spans="1:18" ht="47.25" thickTop="1" thickBot="1" x14ac:dyDescent="0.25">
      <c r="A302" s="101" t="s">
        <v>952</v>
      </c>
      <c r="B302" s="325" t="s">
        <v>953</v>
      </c>
      <c r="C302" s="310"/>
      <c r="D302" s="325" t="s">
        <v>954</v>
      </c>
      <c r="E302" s="324">
        <f>'d3'!E302-d3П!E302</f>
        <v>0</v>
      </c>
      <c r="F302" s="324">
        <f>'d3'!F302-d3П!F302</f>
        <v>0</v>
      </c>
      <c r="G302" s="324">
        <f>'d3'!G302-d3П!G302</f>
        <v>0</v>
      </c>
      <c r="H302" s="324">
        <f>'d3'!H302-d3П!H302</f>
        <v>0</v>
      </c>
      <c r="I302" s="324">
        <f>'d3'!I302-d3П!I302</f>
        <v>0</v>
      </c>
      <c r="J302" s="324">
        <f>'d3'!J302-d3П!J302</f>
        <v>-10042000</v>
      </c>
      <c r="K302" s="324">
        <f>'d3'!K302-d3П!K302</f>
        <v>-10042000</v>
      </c>
      <c r="L302" s="324">
        <f>'d3'!L302-d3П!L302</f>
        <v>0</v>
      </c>
      <c r="M302" s="324">
        <f>'d3'!M302-d3П!M302</f>
        <v>0</v>
      </c>
      <c r="N302" s="324">
        <f>'d3'!N302-d3П!N302</f>
        <v>0</v>
      </c>
      <c r="O302" s="324">
        <f>'d3'!O302-d3П!O302</f>
        <v>-10042000</v>
      </c>
      <c r="P302" s="324">
        <f>'d3'!P302-d3П!P302</f>
        <v>-10042000</v>
      </c>
      <c r="Q302" s="20"/>
      <c r="R302" s="50"/>
    </row>
    <row r="303" spans="1:18" ht="93" thickTop="1" thickBot="1" x14ac:dyDescent="0.25">
      <c r="A303" s="101" t="s">
        <v>548</v>
      </c>
      <c r="B303" s="101" t="s">
        <v>293</v>
      </c>
      <c r="C303" s="101" t="s">
        <v>295</v>
      </c>
      <c r="D303" s="101" t="s">
        <v>294</v>
      </c>
      <c r="E303" s="324">
        <f>'d3'!E303-d3П!E303</f>
        <v>0</v>
      </c>
      <c r="F303" s="324">
        <f>'d3'!F303-d3П!F303</f>
        <v>0</v>
      </c>
      <c r="G303" s="324">
        <f>'d3'!G303-d3П!G303</f>
        <v>0</v>
      </c>
      <c r="H303" s="324">
        <f>'d3'!H303-d3П!H303</f>
        <v>0</v>
      </c>
      <c r="I303" s="324">
        <f>'d3'!I303-d3П!I303</f>
        <v>0</v>
      </c>
      <c r="J303" s="324">
        <f>'d3'!J303-d3П!J303</f>
        <v>-10042000</v>
      </c>
      <c r="K303" s="324">
        <f>'d3'!K303-d3П!K303</f>
        <v>-10042000</v>
      </c>
      <c r="L303" s="324">
        <f>'d3'!L303-d3П!L303</f>
        <v>0</v>
      </c>
      <c r="M303" s="324">
        <f>'d3'!M303-d3П!M303</f>
        <v>0</v>
      </c>
      <c r="N303" s="324">
        <f>'d3'!N303-d3П!N303</f>
        <v>0</v>
      </c>
      <c r="O303" s="324">
        <f>'d3'!O303-d3П!O303</f>
        <v>-10042000</v>
      </c>
      <c r="P303" s="324">
        <f>'d3'!P303-d3П!P303</f>
        <v>-10042000</v>
      </c>
      <c r="Q303" s="20"/>
      <c r="R303" s="45"/>
    </row>
    <row r="304" spans="1:18" ht="47.25" thickTop="1" thickBot="1" x14ac:dyDescent="0.25">
      <c r="A304" s="310" t="s">
        <v>804</v>
      </c>
      <c r="B304" s="310" t="s">
        <v>687</v>
      </c>
      <c r="C304" s="310"/>
      <c r="D304" s="310" t="s">
        <v>685</v>
      </c>
      <c r="E304" s="324">
        <f>'d3'!E304-d3П!E304</f>
        <v>0</v>
      </c>
      <c r="F304" s="324">
        <f>'d3'!F304-d3П!F304</f>
        <v>0</v>
      </c>
      <c r="G304" s="324">
        <f>'d3'!G304-d3П!G304</f>
        <v>0</v>
      </c>
      <c r="H304" s="324">
        <f>'d3'!H304-d3П!H304</f>
        <v>0</v>
      </c>
      <c r="I304" s="324">
        <f>'d3'!I304-d3П!I304</f>
        <v>0</v>
      </c>
      <c r="J304" s="324">
        <f>'d3'!J304-d3П!J304</f>
        <v>2032094</v>
      </c>
      <c r="K304" s="324">
        <f>'d3'!K304-d3П!K304</f>
        <v>2032094</v>
      </c>
      <c r="L304" s="324">
        <f>'d3'!L304-d3П!L304</f>
        <v>0</v>
      </c>
      <c r="M304" s="324">
        <f>'d3'!M304-d3П!M304</f>
        <v>0</v>
      </c>
      <c r="N304" s="324">
        <f>'d3'!N304-d3П!N304</f>
        <v>0</v>
      </c>
      <c r="O304" s="324">
        <f>'d3'!O304-d3П!O304</f>
        <v>2032094</v>
      </c>
      <c r="P304" s="324">
        <f>'d3'!P304-d3П!P304</f>
        <v>2032094</v>
      </c>
      <c r="Q304" s="20"/>
      <c r="R304" s="45"/>
    </row>
    <row r="305" spans="1:18" ht="47.25" thickTop="1" thickBot="1" x14ac:dyDescent="0.25">
      <c r="A305" s="101" t="s">
        <v>549</v>
      </c>
      <c r="B305" s="101" t="s">
        <v>212</v>
      </c>
      <c r="C305" s="101" t="s">
        <v>213</v>
      </c>
      <c r="D305" s="101" t="s">
        <v>41</v>
      </c>
      <c r="E305" s="324">
        <f>'d3'!E305-d3П!E305</f>
        <v>0</v>
      </c>
      <c r="F305" s="324">
        <f>'d3'!F305-d3П!F305</f>
        <v>0</v>
      </c>
      <c r="G305" s="324">
        <f>'d3'!G305-d3П!G305</f>
        <v>0</v>
      </c>
      <c r="H305" s="324">
        <f>'d3'!H305-d3П!H305</f>
        <v>0</v>
      </c>
      <c r="I305" s="324">
        <f>'d3'!I305-d3П!I305</f>
        <v>0</v>
      </c>
      <c r="J305" s="324">
        <f>'d3'!J305-d3П!J305</f>
        <v>0</v>
      </c>
      <c r="K305" s="324">
        <f>'d3'!K305-d3П!K305</f>
        <v>0</v>
      </c>
      <c r="L305" s="324">
        <f>'d3'!L305-d3П!L305</f>
        <v>0</v>
      </c>
      <c r="M305" s="324">
        <f>'d3'!M305-d3П!M305</f>
        <v>0</v>
      </c>
      <c r="N305" s="324">
        <f>'d3'!N305-d3П!N305</f>
        <v>0</v>
      </c>
      <c r="O305" s="324">
        <f>'d3'!O305-d3П!O305</f>
        <v>0</v>
      </c>
      <c r="P305" s="324">
        <f>'d3'!P305-d3П!P305</f>
        <v>0</v>
      </c>
      <c r="Q305" s="20"/>
      <c r="R305" s="45"/>
    </row>
    <row r="306" spans="1:18" ht="47.25" thickTop="1" thickBot="1" x14ac:dyDescent="0.25">
      <c r="A306" s="101" t="s">
        <v>550</v>
      </c>
      <c r="B306" s="101" t="s">
        <v>197</v>
      </c>
      <c r="C306" s="101" t="s">
        <v>170</v>
      </c>
      <c r="D306" s="101" t="s">
        <v>34</v>
      </c>
      <c r="E306" s="324">
        <f>'d3'!E306-d3П!E306</f>
        <v>0</v>
      </c>
      <c r="F306" s="324">
        <f>'d3'!F306-d3П!F306</f>
        <v>0</v>
      </c>
      <c r="G306" s="324">
        <f>'d3'!G306-d3П!G306</f>
        <v>0</v>
      </c>
      <c r="H306" s="324">
        <f>'d3'!H306-d3П!H306</f>
        <v>0</v>
      </c>
      <c r="I306" s="324">
        <f>'d3'!I306-d3П!I306</f>
        <v>0</v>
      </c>
      <c r="J306" s="324">
        <f>'d3'!J306-d3П!J306</f>
        <v>2032094</v>
      </c>
      <c r="K306" s="324">
        <f>'d3'!K306-d3П!K306</f>
        <v>2032094</v>
      </c>
      <c r="L306" s="324">
        <f>'d3'!L306-d3П!L306</f>
        <v>0</v>
      </c>
      <c r="M306" s="324">
        <f>'d3'!M306-d3П!M306</f>
        <v>0</v>
      </c>
      <c r="N306" s="324">
        <f>'d3'!N306-d3П!N306</f>
        <v>0</v>
      </c>
      <c r="O306" s="324">
        <f>'d3'!O306-d3П!O306</f>
        <v>2032094</v>
      </c>
      <c r="P306" s="324">
        <f>'d3'!P306-d3П!P306</f>
        <v>2032094</v>
      </c>
      <c r="Q306" s="20"/>
      <c r="R306" s="45"/>
    </row>
    <row r="307" spans="1:18" ht="48" hidden="1" customHeight="1" thickTop="1" thickBot="1" x14ac:dyDescent="0.25">
      <c r="A307" s="325" t="s">
        <v>805</v>
      </c>
      <c r="B307" s="325" t="s">
        <v>690</v>
      </c>
      <c r="C307" s="138"/>
      <c r="D307" s="138" t="s">
        <v>793</v>
      </c>
      <c r="E307" s="324">
        <f>'d3'!E307-d3П!E307</f>
        <v>0</v>
      </c>
      <c r="F307" s="324">
        <f>'d3'!F307-d3П!F307</f>
        <v>0</v>
      </c>
      <c r="G307" s="324">
        <f>'d3'!G307-d3П!G307</f>
        <v>0</v>
      </c>
      <c r="H307" s="324">
        <f>'d3'!H307-d3П!H307</f>
        <v>0</v>
      </c>
      <c r="I307" s="324">
        <f>'d3'!I307-d3П!I307</f>
        <v>0</v>
      </c>
      <c r="J307" s="324">
        <f>'d3'!J307-d3П!J307</f>
        <v>0</v>
      </c>
      <c r="K307" s="324">
        <f>'d3'!K307-d3П!K307</f>
        <v>0</v>
      </c>
      <c r="L307" s="324">
        <f>'d3'!L307-d3П!L307</f>
        <v>0</v>
      </c>
      <c r="M307" s="324">
        <f>'d3'!M307-d3П!M307</f>
        <v>0</v>
      </c>
      <c r="N307" s="324">
        <f>'d3'!N307-d3П!N307</f>
        <v>0</v>
      </c>
      <c r="O307" s="324">
        <f>'d3'!O307-d3П!O307</f>
        <v>0</v>
      </c>
      <c r="P307" s="324">
        <f>'d3'!P307-d3П!P307</f>
        <v>0</v>
      </c>
      <c r="Q307" s="20"/>
      <c r="R307" s="50"/>
    </row>
    <row r="308" spans="1:18" ht="211.7" hidden="1" customHeight="1" thickTop="1" thickBot="1" x14ac:dyDescent="0.7">
      <c r="A308" s="732" t="s">
        <v>551</v>
      </c>
      <c r="B308" s="732" t="s">
        <v>338</v>
      </c>
      <c r="C308" s="744" t="s">
        <v>170</v>
      </c>
      <c r="D308" s="153" t="s">
        <v>439</v>
      </c>
      <c r="E308" s="324">
        <f>'d3'!E308-d3П!E308</f>
        <v>0</v>
      </c>
      <c r="F308" s="324">
        <f>'d3'!F308-d3П!F308</f>
        <v>0</v>
      </c>
      <c r="G308" s="324">
        <f>'d3'!G308-d3П!G308</f>
        <v>0</v>
      </c>
      <c r="H308" s="324">
        <f>'d3'!H308-d3П!H308</f>
        <v>0</v>
      </c>
      <c r="I308" s="324">
        <f>'d3'!I308-d3П!I308</f>
        <v>0</v>
      </c>
      <c r="J308" s="324">
        <f>'d3'!J308-d3П!J308</f>
        <v>0</v>
      </c>
      <c r="K308" s="324">
        <f>'d3'!K308-d3П!K308</f>
        <v>0</v>
      </c>
      <c r="L308" s="324">
        <f>'d3'!L308-d3П!L308</f>
        <v>0</v>
      </c>
      <c r="M308" s="324">
        <f>'d3'!M308-d3П!M308</f>
        <v>0</v>
      </c>
      <c r="N308" s="324">
        <f>'d3'!N308-d3П!N308</f>
        <v>0</v>
      </c>
      <c r="O308" s="324">
        <f>'d3'!O308-d3П!O308</f>
        <v>0</v>
      </c>
      <c r="P308" s="324">
        <f>'d3'!P308-d3П!P308</f>
        <v>0</v>
      </c>
      <c r="Q308" s="20"/>
      <c r="R308" s="50"/>
    </row>
    <row r="309" spans="1:18" ht="130.69999999999999" hidden="1" customHeight="1" thickTop="1" thickBot="1" x14ac:dyDescent="0.25">
      <c r="A309" s="732"/>
      <c r="B309" s="732"/>
      <c r="C309" s="744"/>
      <c r="D309" s="154" t="s">
        <v>440</v>
      </c>
      <c r="E309" s="324">
        <f>'d3'!E309-d3П!E309</f>
        <v>0</v>
      </c>
      <c r="F309" s="324">
        <f>'d3'!F309-d3П!F309</f>
        <v>0</v>
      </c>
      <c r="G309" s="324">
        <f>'d3'!G309-d3П!G309</f>
        <v>0</v>
      </c>
      <c r="H309" s="324">
        <f>'d3'!H309-d3П!H309</f>
        <v>0</v>
      </c>
      <c r="I309" s="324">
        <f>'d3'!I309-d3П!I309</f>
        <v>0</v>
      </c>
      <c r="J309" s="324">
        <f>'d3'!J309-d3П!J309</f>
        <v>0</v>
      </c>
      <c r="K309" s="324">
        <f>'d3'!K309-d3П!K309</f>
        <v>0</v>
      </c>
      <c r="L309" s="324">
        <f>'d3'!L309-d3П!L309</f>
        <v>0</v>
      </c>
      <c r="M309" s="324">
        <f>'d3'!M309-d3П!M309</f>
        <v>0</v>
      </c>
      <c r="N309" s="324">
        <f>'d3'!N309-d3П!N309</f>
        <v>0</v>
      </c>
      <c r="O309" s="324">
        <f>'d3'!O309-d3П!O309</f>
        <v>0</v>
      </c>
      <c r="P309" s="324">
        <f>'d3'!P309-d3П!P309</f>
        <v>0</v>
      </c>
      <c r="Q309" s="20"/>
      <c r="R309" s="50"/>
    </row>
    <row r="310" spans="1:18" ht="39" hidden="1" customHeight="1" thickTop="1" thickBot="1" x14ac:dyDescent="0.25">
      <c r="A310" s="101" t="s">
        <v>1165</v>
      </c>
      <c r="B310" s="101" t="s">
        <v>257</v>
      </c>
      <c r="C310" s="126" t="s">
        <v>170</v>
      </c>
      <c r="D310" s="154" t="s">
        <v>255</v>
      </c>
      <c r="E310" s="324">
        <f>'d3'!E310-d3П!E310</f>
        <v>0</v>
      </c>
      <c r="F310" s="324">
        <f>'d3'!F310-d3П!F310</f>
        <v>0</v>
      </c>
      <c r="G310" s="324">
        <f>'d3'!G310-d3П!G310</f>
        <v>0</v>
      </c>
      <c r="H310" s="324">
        <f>'d3'!H310-d3П!H310</f>
        <v>0</v>
      </c>
      <c r="I310" s="324">
        <f>'d3'!I310-d3П!I310</f>
        <v>0</v>
      </c>
      <c r="J310" s="324">
        <f>'d3'!J310-d3П!J310</f>
        <v>0</v>
      </c>
      <c r="K310" s="324">
        <f>'d3'!K310-d3П!K310</f>
        <v>0</v>
      </c>
      <c r="L310" s="324">
        <f>'d3'!L310-d3П!L310</f>
        <v>0</v>
      </c>
      <c r="M310" s="324">
        <f>'d3'!M310-d3П!M310</f>
        <v>0</v>
      </c>
      <c r="N310" s="324">
        <f>'d3'!N310-d3П!N310</f>
        <v>0</v>
      </c>
      <c r="O310" s="324">
        <f>'d3'!O310-d3П!O310</f>
        <v>0</v>
      </c>
      <c r="P310" s="324">
        <f>'d3'!P310-d3П!P310</f>
        <v>0</v>
      </c>
      <c r="Q310" s="20"/>
      <c r="R310" s="50"/>
    </row>
    <row r="311" spans="1:18" ht="47.25" thickTop="1" thickBot="1" x14ac:dyDescent="0.25">
      <c r="A311" s="308" t="s">
        <v>806</v>
      </c>
      <c r="B311" s="308" t="s">
        <v>692</v>
      </c>
      <c r="C311" s="308"/>
      <c r="D311" s="462" t="s">
        <v>693</v>
      </c>
      <c r="E311" s="324">
        <f>'d3'!E311-d3П!E311</f>
        <v>0</v>
      </c>
      <c r="F311" s="324">
        <f>'d3'!F311-d3П!F311</f>
        <v>0</v>
      </c>
      <c r="G311" s="324">
        <f>'d3'!G311-d3П!G311</f>
        <v>56771</v>
      </c>
      <c r="H311" s="324">
        <f>'d3'!H311-d3П!H311</f>
        <v>0</v>
      </c>
      <c r="I311" s="324">
        <f>'d3'!I311-d3П!I311</f>
        <v>0</v>
      </c>
      <c r="J311" s="324">
        <f>'d3'!J311-d3П!J311</f>
        <v>0</v>
      </c>
      <c r="K311" s="324">
        <f>'d3'!K311-d3П!K311</f>
        <v>0</v>
      </c>
      <c r="L311" s="324">
        <f>'d3'!L311-d3П!L311</f>
        <v>0</v>
      </c>
      <c r="M311" s="324">
        <f>'d3'!M311-d3П!M311</f>
        <v>0</v>
      </c>
      <c r="N311" s="324">
        <f>'d3'!N311-d3П!N311</f>
        <v>0</v>
      </c>
      <c r="O311" s="324">
        <f>'d3'!O311-d3П!O311</f>
        <v>0</v>
      </c>
      <c r="P311" s="324">
        <f>'d3'!P311-d3П!P311</f>
        <v>0</v>
      </c>
      <c r="Q311" s="20"/>
      <c r="R311" s="50"/>
    </row>
    <row r="312" spans="1:18" ht="47.25" thickTop="1" thickBot="1" x14ac:dyDescent="0.25">
      <c r="A312" s="310" t="s">
        <v>807</v>
      </c>
      <c r="B312" s="310" t="s">
        <v>808</v>
      </c>
      <c r="C312" s="310"/>
      <c r="D312" s="352" t="s">
        <v>1262</v>
      </c>
      <c r="E312" s="324">
        <f>'d3'!E312-d3П!E312</f>
        <v>0</v>
      </c>
      <c r="F312" s="324">
        <f>'d3'!F312-d3П!F312</f>
        <v>0</v>
      </c>
      <c r="G312" s="324">
        <f>'d3'!G312-d3П!G312</f>
        <v>56771</v>
      </c>
      <c r="H312" s="324">
        <f>'d3'!H312-d3П!H312</f>
        <v>0</v>
      </c>
      <c r="I312" s="324">
        <f>'d3'!I312-d3П!I312</f>
        <v>0</v>
      </c>
      <c r="J312" s="324">
        <f>'d3'!J312-d3П!J312</f>
        <v>0</v>
      </c>
      <c r="K312" s="324">
        <f>'d3'!K312-d3П!K312</f>
        <v>0</v>
      </c>
      <c r="L312" s="324">
        <f>'d3'!L312-d3П!L312</f>
        <v>0</v>
      </c>
      <c r="M312" s="324">
        <f>'d3'!M312-d3П!M312</f>
        <v>0</v>
      </c>
      <c r="N312" s="324">
        <f>'d3'!N312-d3П!N312</f>
        <v>0</v>
      </c>
      <c r="O312" s="324">
        <f>'d3'!O312-d3П!O312</f>
        <v>0</v>
      </c>
      <c r="P312" s="324">
        <f>'d3'!P312-d3П!P312</f>
        <v>0</v>
      </c>
      <c r="Q312" s="20"/>
      <c r="R312" s="50"/>
    </row>
    <row r="313" spans="1:18" ht="93" thickTop="1" thickBot="1" x14ac:dyDescent="0.25">
      <c r="A313" s="101" t="s">
        <v>552</v>
      </c>
      <c r="B313" s="101" t="s">
        <v>517</v>
      </c>
      <c r="C313" s="101" t="s">
        <v>251</v>
      </c>
      <c r="D313" s="101" t="s">
        <v>518</v>
      </c>
      <c r="E313" s="324">
        <f>'d3'!E313-d3П!E313</f>
        <v>0</v>
      </c>
      <c r="F313" s="324">
        <f>'d3'!F313-d3П!F313</f>
        <v>0</v>
      </c>
      <c r="G313" s="324">
        <f>'d3'!G313-d3П!G313</f>
        <v>0</v>
      </c>
      <c r="H313" s="324">
        <f>'d3'!H313-d3П!H313</f>
        <v>0</v>
      </c>
      <c r="I313" s="324">
        <f>'d3'!I313-d3П!I313</f>
        <v>0</v>
      </c>
      <c r="J313" s="324">
        <f>'d3'!J313-d3П!J313</f>
        <v>0</v>
      </c>
      <c r="K313" s="324">
        <f>'d3'!K313-d3П!K313</f>
        <v>0</v>
      </c>
      <c r="L313" s="324">
        <f>'d3'!L313-d3П!L313</f>
        <v>0</v>
      </c>
      <c r="M313" s="324">
        <f>'d3'!M313-d3П!M313</f>
        <v>0</v>
      </c>
      <c r="N313" s="324">
        <f>'d3'!N313-d3П!N313</f>
        <v>0</v>
      </c>
      <c r="O313" s="324">
        <f>'d3'!O313-d3П!O313</f>
        <v>0</v>
      </c>
      <c r="P313" s="324">
        <f>'d3'!P313-d3П!P313</f>
        <v>0</v>
      </c>
      <c r="Q313" s="20"/>
      <c r="R313" s="50"/>
    </row>
    <row r="314" spans="1:18" ht="47.25" thickTop="1" thickBot="1" x14ac:dyDescent="0.25">
      <c r="A314" s="101" t="s">
        <v>553</v>
      </c>
      <c r="B314" s="101" t="s">
        <v>250</v>
      </c>
      <c r="C314" s="101" t="s">
        <v>251</v>
      </c>
      <c r="D314" s="101" t="s">
        <v>249</v>
      </c>
      <c r="E314" s="324">
        <f>'d3'!E314-d3П!E314</f>
        <v>0</v>
      </c>
      <c r="F314" s="324">
        <f>'d3'!F314-d3П!F314</f>
        <v>0</v>
      </c>
      <c r="G314" s="324">
        <f>'d3'!G314-d3П!G314</f>
        <v>56771</v>
      </c>
      <c r="H314" s="324">
        <f>'d3'!H314-d3П!H314</f>
        <v>0</v>
      </c>
      <c r="I314" s="324">
        <f>'d3'!I314-d3П!I314</f>
        <v>0</v>
      </c>
      <c r="J314" s="324">
        <f>'d3'!J314-d3П!J314</f>
        <v>0</v>
      </c>
      <c r="K314" s="324">
        <f>'d3'!K314-d3П!K314</f>
        <v>0</v>
      </c>
      <c r="L314" s="324">
        <f>'d3'!L314-d3П!L314</f>
        <v>0</v>
      </c>
      <c r="M314" s="324">
        <f>'d3'!M314-d3П!M314</f>
        <v>0</v>
      </c>
      <c r="N314" s="324">
        <f>'d3'!N314-d3П!N314</f>
        <v>0</v>
      </c>
      <c r="O314" s="324">
        <f>'d3'!O314-d3П!O314</f>
        <v>0</v>
      </c>
      <c r="P314" s="324">
        <f>'d3'!P314-d3П!P314</f>
        <v>0</v>
      </c>
      <c r="Q314" s="20"/>
      <c r="R314" s="46"/>
    </row>
    <row r="315" spans="1:18" ht="48" hidden="1" customHeight="1" thickTop="1" thickBot="1" x14ac:dyDescent="0.25">
      <c r="A315" s="41" t="s">
        <v>554</v>
      </c>
      <c r="B315" s="41" t="s">
        <v>555</v>
      </c>
      <c r="C315" s="41" t="s">
        <v>251</v>
      </c>
      <c r="D315" s="41" t="s">
        <v>556</v>
      </c>
      <c r="E315" s="324">
        <f>'d3'!E315-d3П!E315</f>
        <v>0</v>
      </c>
      <c r="F315" s="324">
        <f>'d3'!F315-d3П!F315</f>
        <v>0</v>
      </c>
      <c r="G315" s="324">
        <f>'d3'!G315-d3П!G315</f>
        <v>0</v>
      </c>
      <c r="H315" s="324">
        <f>'d3'!H315-d3П!H315</f>
        <v>0</v>
      </c>
      <c r="I315" s="324">
        <f>'d3'!I315-d3П!I315</f>
        <v>0</v>
      </c>
      <c r="J315" s="324">
        <f>'d3'!J315-d3П!J315</f>
        <v>0</v>
      </c>
      <c r="K315" s="324">
        <f>'d3'!K315-d3П!K315</f>
        <v>0</v>
      </c>
      <c r="L315" s="324">
        <f>'d3'!L315-d3П!L315</f>
        <v>0</v>
      </c>
      <c r="M315" s="324">
        <f>'d3'!M315-d3П!M315</f>
        <v>0</v>
      </c>
      <c r="N315" s="324">
        <f>'d3'!N315-d3П!N315</f>
        <v>0</v>
      </c>
      <c r="O315" s="324">
        <f>'d3'!O315-d3П!O315</f>
        <v>0</v>
      </c>
      <c r="P315" s="324">
        <f>'d3'!P315-d3П!P315</f>
        <v>0</v>
      </c>
      <c r="Q315" s="20"/>
      <c r="R315" s="50"/>
    </row>
    <row r="316" spans="1:18" ht="47.25" thickTop="1" thickBot="1" x14ac:dyDescent="0.25">
      <c r="A316" s="308" t="s">
        <v>1461</v>
      </c>
      <c r="B316" s="308" t="s">
        <v>698</v>
      </c>
      <c r="C316" s="308"/>
      <c r="D316" s="308" t="s">
        <v>699</v>
      </c>
      <c r="E316" s="324">
        <f>'d3'!E316-d3П!E316</f>
        <v>0</v>
      </c>
      <c r="F316" s="324">
        <f>'d3'!F316-d3П!F316</f>
        <v>0</v>
      </c>
      <c r="G316" s="324">
        <f>'d3'!G316-d3П!G316</f>
        <v>0</v>
      </c>
      <c r="H316" s="324">
        <f>'d3'!H316-d3П!H316</f>
        <v>0</v>
      </c>
      <c r="I316" s="324">
        <f>'d3'!I316-d3П!I316</f>
        <v>0</v>
      </c>
      <c r="J316" s="324">
        <f>'d3'!J316-d3П!J316</f>
        <v>0</v>
      </c>
      <c r="K316" s="324">
        <f>'d3'!K316-d3П!K316</f>
        <v>0</v>
      </c>
      <c r="L316" s="324">
        <f>'d3'!L316-d3П!L316</f>
        <v>0</v>
      </c>
      <c r="M316" s="324">
        <f>'d3'!M316-d3П!M316</f>
        <v>0</v>
      </c>
      <c r="N316" s="324">
        <f>'d3'!N316-d3П!N316</f>
        <v>0</v>
      </c>
      <c r="O316" s="324">
        <f>'d3'!O316-d3П!O316</f>
        <v>0</v>
      </c>
      <c r="P316" s="324">
        <f>'d3'!P316-d3П!P316</f>
        <v>0</v>
      </c>
      <c r="Q316" s="20"/>
      <c r="R316" s="50"/>
    </row>
    <row r="317" spans="1:18" ht="91.5" thickTop="1" thickBot="1" x14ac:dyDescent="0.25">
      <c r="A317" s="310" t="s">
        <v>1462</v>
      </c>
      <c r="B317" s="310" t="s">
        <v>701</v>
      </c>
      <c r="C317" s="310"/>
      <c r="D317" s="310" t="s">
        <v>702</v>
      </c>
      <c r="E317" s="324">
        <f>'d3'!E317-d3П!E317</f>
        <v>0</v>
      </c>
      <c r="F317" s="324">
        <f>'d3'!F317-d3П!F317</f>
        <v>0</v>
      </c>
      <c r="G317" s="324">
        <f>'d3'!G317-d3П!G317</f>
        <v>0</v>
      </c>
      <c r="H317" s="324">
        <f>'d3'!H317-d3П!H317</f>
        <v>0</v>
      </c>
      <c r="I317" s="324">
        <f>'d3'!I317-d3П!I317</f>
        <v>0</v>
      </c>
      <c r="J317" s="324">
        <f>'d3'!J317-d3П!J317</f>
        <v>0</v>
      </c>
      <c r="K317" s="324">
        <f>'d3'!K317-d3П!K317</f>
        <v>0</v>
      </c>
      <c r="L317" s="324">
        <f>'d3'!L317-d3П!L317</f>
        <v>0</v>
      </c>
      <c r="M317" s="324">
        <f>'d3'!M317-d3П!M317</f>
        <v>0</v>
      </c>
      <c r="N317" s="324">
        <f>'d3'!N317-d3П!N317</f>
        <v>0</v>
      </c>
      <c r="O317" s="324">
        <f>'d3'!O317-d3П!O317</f>
        <v>0</v>
      </c>
      <c r="P317" s="324">
        <f>'d3'!P317-d3П!P317</f>
        <v>0</v>
      </c>
      <c r="Q317" s="20"/>
      <c r="R317" s="50"/>
    </row>
    <row r="318" spans="1:18" ht="47.25" thickTop="1" thickBot="1" x14ac:dyDescent="0.25">
      <c r="A318" s="101" t="s">
        <v>1463</v>
      </c>
      <c r="B318" s="101" t="s">
        <v>363</v>
      </c>
      <c r="C318" s="101" t="s">
        <v>43</v>
      </c>
      <c r="D318" s="101" t="s">
        <v>364</v>
      </c>
      <c r="E318" s="324">
        <f>'d3'!E318-d3П!E318</f>
        <v>0</v>
      </c>
      <c r="F318" s="324">
        <f>'d3'!F318-d3П!F318</f>
        <v>0</v>
      </c>
      <c r="G318" s="324">
        <f>'d3'!G318-d3П!G318</f>
        <v>0</v>
      </c>
      <c r="H318" s="324">
        <f>'d3'!H318-d3П!H318</f>
        <v>0</v>
      </c>
      <c r="I318" s="324">
        <f>'d3'!I318-d3П!I318</f>
        <v>0</v>
      </c>
      <c r="J318" s="324">
        <f>'d3'!J318-d3П!J318</f>
        <v>0</v>
      </c>
      <c r="K318" s="324">
        <f>'d3'!K318-d3П!K318</f>
        <v>0</v>
      </c>
      <c r="L318" s="324">
        <f>'d3'!L318-d3П!L318</f>
        <v>0</v>
      </c>
      <c r="M318" s="324">
        <f>'d3'!M318-d3П!M318</f>
        <v>0</v>
      </c>
      <c r="N318" s="324">
        <f>'d3'!N318-d3П!N318</f>
        <v>0</v>
      </c>
      <c r="O318" s="324">
        <f>'d3'!O318-d3П!O318</f>
        <v>0</v>
      </c>
      <c r="P318" s="324">
        <f>'d3'!P318-d3П!P318</f>
        <v>0</v>
      </c>
      <c r="Q318" s="20"/>
      <c r="R318" s="50"/>
    </row>
    <row r="319" spans="1:18" ht="120" customHeight="1" thickTop="1" thickBot="1" x14ac:dyDescent="0.25">
      <c r="A319" s="689" t="s">
        <v>25</v>
      </c>
      <c r="B319" s="689"/>
      <c r="C319" s="689"/>
      <c r="D319" s="690" t="s">
        <v>1327</v>
      </c>
      <c r="E319" s="691">
        <f>E320</f>
        <v>0</v>
      </c>
      <c r="F319" s="692">
        <f t="shared" ref="F319:G319" si="52">F320</f>
        <v>0</v>
      </c>
      <c r="G319" s="692">
        <f t="shared" si="52"/>
        <v>0</v>
      </c>
      <c r="H319" s="692">
        <f>H320</f>
        <v>0</v>
      </c>
      <c r="I319" s="692">
        <f t="shared" ref="I319" si="53">I320</f>
        <v>0</v>
      </c>
      <c r="J319" s="691">
        <f>J320</f>
        <v>-1144459.5399999842</v>
      </c>
      <c r="K319" s="692">
        <f>K320</f>
        <v>-1144459.5399999842</v>
      </c>
      <c r="L319" s="692">
        <f>L320</f>
        <v>0</v>
      </c>
      <c r="M319" s="692">
        <f t="shared" ref="M319" si="54">M320</f>
        <v>0</v>
      </c>
      <c r="N319" s="692">
        <f>N320</f>
        <v>0</v>
      </c>
      <c r="O319" s="691">
        <f>O320</f>
        <v>-1144459.5399999842</v>
      </c>
      <c r="P319" s="692">
        <f t="shared" ref="P319" si="55">P320</f>
        <v>-1144459.5399999842</v>
      </c>
      <c r="Q319" s="20"/>
    </row>
    <row r="320" spans="1:18" ht="120" customHeight="1" thickTop="1" thickBot="1" x14ac:dyDescent="0.25">
      <c r="A320" s="693" t="s">
        <v>26</v>
      </c>
      <c r="B320" s="693"/>
      <c r="C320" s="693"/>
      <c r="D320" s="694" t="s">
        <v>887</v>
      </c>
      <c r="E320" s="695">
        <f>E321+E327+E330+E325</f>
        <v>0</v>
      </c>
      <c r="F320" s="695">
        <f>F321+F327+F330+F325</f>
        <v>0</v>
      </c>
      <c r="G320" s="695">
        <f>G321+G327+G330+G325</f>
        <v>0</v>
      </c>
      <c r="H320" s="695">
        <f>H321+H327+H330+H325</f>
        <v>0</v>
      </c>
      <c r="I320" s="695">
        <f>I321+I327+I330+I325</f>
        <v>0</v>
      </c>
      <c r="J320" s="695">
        <f>L320+O320</f>
        <v>-1144459.5399999842</v>
      </c>
      <c r="K320" s="695">
        <f>K321+K327+K330+K325</f>
        <v>-1144459.5399999842</v>
      </c>
      <c r="L320" s="695">
        <f>L321+L327+L330+L325</f>
        <v>0</v>
      </c>
      <c r="M320" s="695">
        <f>M321+M327+M330+M325</f>
        <v>0</v>
      </c>
      <c r="N320" s="695">
        <f>N321+N327+N330+N325</f>
        <v>0</v>
      </c>
      <c r="O320" s="695">
        <f>O321+O327+O330+O325</f>
        <v>-1144459.5399999842</v>
      </c>
      <c r="P320" s="695">
        <f>E320+J320</f>
        <v>-1144459.5399999842</v>
      </c>
      <c r="Q320" s="487" t="b">
        <f>P320=P322+P334+P337+P326</f>
        <v>0</v>
      </c>
      <c r="R320" s="46"/>
    </row>
    <row r="321" spans="1:18" ht="47.25" thickTop="1" thickBot="1" x14ac:dyDescent="0.25">
      <c r="A321" s="308" t="s">
        <v>809</v>
      </c>
      <c r="B321" s="308" t="s">
        <v>680</v>
      </c>
      <c r="C321" s="308"/>
      <c r="D321" s="308" t="s">
        <v>681</v>
      </c>
      <c r="E321" s="324">
        <f>'d3'!E321-d3П!E321</f>
        <v>0</v>
      </c>
      <c r="F321" s="324">
        <f>'d3'!F321-d3П!F321</f>
        <v>0</v>
      </c>
      <c r="G321" s="324">
        <f>'d3'!G321-d3П!G321</f>
        <v>0</v>
      </c>
      <c r="H321" s="324">
        <f>'d3'!H321-d3П!H321</f>
        <v>0</v>
      </c>
      <c r="I321" s="324">
        <f>'d3'!I321-d3П!I321</f>
        <v>0</v>
      </c>
      <c r="J321" s="324">
        <f>'d3'!J321-d3П!J321</f>
        <v>0</v>
      </c>
      <c r="K321" s="324">
        <f>'d3'!K321-d3П!K321</f>
        <v>0</v>
      </c>
      <c r="L321" s="324">
        <f>'d3'!L321-d3П!L321</f>
        <v>0</v>
      </c>
      <c r="M321" s="324">
        <f>'d3'!M321-d3П!M321</f>
        <v>0</v>
      </c>
      <c r="N321" s="324">
        <f>'d3'!N321-d3П!N321</f>
        <v>0</v>
      </c>
      <c r="O321" s="324">
        <f>'d3'!O321-d3П!O321</f>
        <v>0</v>
      </c>
      <c r="P321" s="324">
        <f>'d3'!P321-d3П!P321</f>
        <v>0</v>
      </c>
      <c r="Q321" s="47"/>
      <c r="R321" s="46"/>
    </row>
    <row r="322" spans="1:18" ht="93" thickTop="1" thickBot="1" x14ac:dyDescent="0.25">
      <c r="A322" s="101" t="s">
        <v>416</v>
      </c>
      <c r="B322" s="101" t="s">
        <v>236</v>
      </c>
      <c r="C322" s="101" t="s">
        <v>234</v>
      </c>
      <c r="D322" s="101" t="s">
        <v>235</v>
      </c>
      <c r="E322" s="324">
        <f>'d3'!E322-d3П!E322</f>
        <v>0</v>
      </c>
      <c r="F322" s="324">
        <f>'d3'!F322-d3П!F322</f>
        <v>0</v>
      </c>
      <c r="G322" s="324">
        <f>'d3'!G322-d3П!G322</f>
        <v>0</v>
      </c>
      <c r="H322" s="324">
        <f>'d3'!H322-d3П!H322</f>
        <v>0</v>
      </c>
      <c r="I322" s="324">
        <f>'d3'!I322-d3П!I322</f>
        <v>0</v>
      </c>
      <c r="J322" s="324">
        <f>'d3'!J322-d3П!J322</f>
        <v>0</v>
      </c>
      <c r="K322" s="324">
        <f>'d3'!K322-d3П!K322</f>
        <v>0</v>
      </c>
      <c r="L322" s="324">
        <f>'d3'!L322-d3П!L322</f>
        <v>0</v>
      </c>
      <c r="M322" s="324">
        <f>'d3'!M322-d3П!M322</f>
        <v>0</v>
      </c>
      <c r="N322" s="324">
        <f>'d3'!N322-d3П!N322</f>
        <v>0</v>
      </c>
      <c r="O322" s="324">
        <f>'d3'!O322-d3П!O322</f>
        <v>0</v>
      </c>
      <c r="P322" s="324">
        <f>'d3'!P322-d3П!P322</f>
        <v>0</v>
      </c>
      <c r="Q322" s="47"/>
      <c r="R322" s="50"/>
    </row>
    <row r="323" spans="1:18" ht="93" hidden="1" thickTop="1" thickBot="1" x14ac:dyDescent="0.25">
      <c r="A323" s="126" t="s">
        <v>628</v>
      </c>
      <c r="B323" s="126" t="s">
        <v>362</v>
      </c>
      <c r="C323" s="126" t="s">
        <v>623</v>
      </c>
      <c r="D323" s="126" t="s">
        <v>624</v>
      </c>
      <c r="E323" s="324">
        <f>'d3'!E323-d3П!E323</f>
        <v>0</v>
      </c>
      <c r="F323" s="324">
        <f>'d3'!F323-d3П!F323</f>
        <v>0</v>
      </c>
      <c r="G323" s="324">
        <f>'d3'!G323-d3П!G323</f>
        <v>0</v>
      </c>
      <c r="H323" s="324">
        <f>'d3'!H323-d3П!H323</f>
        <v>0</v>
      </c>
      <c r="I323" s="324">
        <f>'d3'!I323-d3П!I323</f>
        <v>0</v>
      </c>
      <c r="J323" s="324">
        <f>'d3'!J323-d3П!J323</f>
        <v>0</v>
      </c>
      <c r="K323" s="324">
        <f>'d3'!K323-d3П!K323</f>
        <v>0</v>
      </c>
      <c r="L323" s="324">
        <f>'d3'!L323-d3П!L323</f>
        <v>0</v>
      </c>
      <c r="M323" s="324">
        <f>'d3'!M323-d3П!M323</f>
        <v>0</v>
      </c>
      <c r="N323" s="324">
        <f>'d3'!N323-d3П!N323</f>
        <v>0</v>
      </c>
      <c r="O323" s="324">
        <f>'d3'!O323-d3П!O323</f>
        <v>0</v>
      </c>
      <c r="P323" s="324">
        <f>'d3'!P323-d3П!P323</f>
        <v>0</v>
      </c>
      <c r="Q323" s="47"/>
      <c r="R323" s="50"/>
    </row>
    <row r="324" spans="1:18" ht="47.25" hidden="1" thickTop="1" thickBot="1" x14ac:dyDescent="0.25">
      <c r="A324" s="126" t="s">
        <v>923</v>
      </c>
      <c r="B324" s="126" t="s">
        <v>43</v>
      </c>
      <c r="C324" s="126" t="s">
        <v>42</v>
      </c>
      <c r="D324" s="126" t="s">
        <v>248</v>
      </c>
      <c r="E324" s="324">
        <f>'d3'!E324-d3П!E324</f>
        <v>0</v>
      </c>
      <c r="F324" s="324">
        <f>'d3'!F324-d3П!F324</f>
        <v>0</v>
      </c>
      <c r="G324" s="324">
        <f>'d3'!G324-d3П!G324</f>
        <v>0</v>
      </c>
      <c r="H324" s="324">
        <f>'d3'!H324-d3П!H324</f>
        <v>0</v>
      </c>
      <c r="I324" s="324">
        <f>'d3'!I324-d3П!I324</f>
        <v>0</v>
      </c>
      <c r="J324" s="324">
        <f>'d3'!J324-d3П!J324</f>
        <v>0</v>
      </c>
      <c r="K324" s="324">
        <f>'d3'!K324-d3П!K324</f>
        <v>0</v>
      </c>
      <c r="L324" s="324">
        <f>'d3'!L324-d3П!L324</f>
        <v>0</v>
      </c>
      <c r="M324" s="324">
        <f>'d3'!M324-d3П!M324</f>
        <v>0</v>
      </c>
      <c r="N324" s="324">
        <f>'d3'!N324-d3П!N324</f>
        <v>0</v>
      </c>
      <c r="O324" s="324">
        <f>'d3'!O324-d3П!O324</f>
        <v>0</v>
      </c>
      <c r="P324" s="324">
        <f>'d3'!P324-d3П!P324</f>
        <v>0</v>
      </c>
      <c r="Q324" s="47"/>
      <c r="R324" s="50"/>
    </row>
    <row r="325" spans="1:18" ht="47.25" thickTop="1" thickBot="1" x14ac:dyDescent="0.25">
      <c r="A325" s="308" t="s">
        <v>1217</v>
      </c>
      <c r="B325" s="308" t="s">
        <v>707</v>
      </c>
      <c r="C325" s="308"/>
      <c r="D325" s="308" t="s">
        <v>708</v>
      </c>
      <c r="E325" s="324">
        <f>'d3'!E325-d3П!E325</f>
        <v>0</v>
      </c>
      <c r="F325" s="324">
        <f>'d3'!F325-d3П!F325</f>
        <v>0</v>
      </c>
      <c r="G325" s="324">
        <f>'d3'!G325-d3П!G325</f>
        <v>0</v>
      </c>
      <c r="H325" s="324">
        <f>'d3'!H325-d3П!H325</f>
        <v>0</v>
      </c>
      <c r="I325" s="324">
        <f>'d3'!I325-d3П!I325</f>
        <v>0</v>
      </c>
      <c r="J325" s="324">
        <f>'d3'!J325-d3П!J325</f>
        <v>-516571.9299999997</v>
      </c>
      <c r="K325" s="324">
        <f>'d3'!K325-d3П!K325</f>
        <v>-516571.9299999997</v>
      </c>
      <c r="L325" s="324">
        <f>'d3'!L325-d3П!L325</f>
        <v>0</v>
      </c>
      <c r="M325" s="324">
        <f>'d3'!M325-d3П!M325</f>
        <v>0</v>
      </c>
      <c r="N325" s="324">
        <f>'d3'!N325-d3П!N325</f>
        <v>0</v>
      </c>
      <c r="O325" s="324">
        <f>'d3'!O325-d3П!O325</f>
        <v>-516571.9299999997</v>
      </c>
      <c r="P325" s="324">
        <f>'d3'!P325-d3П!P325</f>
        <v>-516571.9299999997</v>
      </c>
      <c r="Q325" s="47"/>
      <c r="R325" s="50"/>
    </row>
    <row r="326" spans="1:18" ht="93" thickTop="1" thickBot="1" x14ac:dyDescent="0.25">
      <c r="A326" s="101" t="s">
        <v>1218</v>
      </c>
      <c r="B326" s="101" t="s">
        <v>1182</v>
      </c>
      <c r="C326" s="101" t="s">
        <v>206</v>
      </c>
      <c r="D326" s="461" t="s">
        <v>1183</v>
      </c>
      <c r="E326" s="324">
        <f>'d3'!E326-d3П!E326</f>
        <v>0</v>
      </c>
      <c r="F326" s="324">
        <f>'d3'!F326-d3П!F326</f>
        <v>0</v>
      </c>
      <c r="G326" s="324">
        <f>'d3'!G326-d3П!G326</f>
        <v>0</v>
      </c>
      <c r="H326" s="324">
        <f>'d3'!H326-d3П!H326</f>
        <v>0</v>
      </c>
      <c r="I326" s="324">
        <f>'d3'!I326-d3П!I326</f>
        <v>0</v>
      </c>
      <c r="J326" s="324">
        <f>'d3'!J326-d3П!J326</f>
        <v>-516571.9299999997</v>
      </c>
      <c r="K326" s="324">
        <f>'d3'!K326-d3П!K326</f>
        <v>-516571.9299999997</v>
      </c>
      <c r="L326" s="324">
        <f>'d3'!L326-d3П!L326</f>
        <v>0</v>
      </c>
      <c r="M326" s="324">
        <f>'d3'!M326-d3П!M326</f>
        <v>0</v>
      </c>
      <c r="N326" s="324">
        <f>'d3'!N326-d3П!N326</f>
        <v>0</v>
      </c>
      <c r="O326" s="324">
        <f>'d3'!O326-d3П!O326</f>
        <v>-516571.9299999997</v>
      </c>
      <c r="P326" s="324">
        <f>'d3'!P326-d3П!P326</f>
        <v>-516571.9299999997</v>
      </c>
      <c r="Q326" s="47"/>
      <c r="R326" s="50"/>
    </row>
    <row r="327" spans="1:18" ht="47.25" hidden="1" thickTop="1" thickBot="1" x14ac:dyDescent="0.25">
      <c r="A327" s="123" t="s">
        <v>810</v>
      </c>
      <c r="B327" s="123" t="s">
        <v>766</v>
      </c>
      <c r="C327" s="126"/>
      <c r="D327" s="123" t="s">
        <v>767</v>
      </c>
      <c r="E327" s="324">
        <f>'d3'!E327-d3П!E327</f>
        <v>0</v>
      </c>
      <c r="F327" s="324">
        <f>'d3'!F327-d3П!F327</f>
        <v>0</v>
      </c>
      <c r="G327" s="324">
        <f>'d3'!G327-d3П!G327</f>
        <v>0</v>
      </c>
      <c r="H327" s="324">
        <f>'d3'!H327-d3П!H327</f>
        <v>0</v>
      </c>
      <c r="I327" s="324">
        <f>'d3'!I327-d3П!I327</f>
        <v>0</v>
      </c>
      <c r="J327" s="324">
        <f>'d3'!J327-d3П!J327</f>
        <v>0</v>
      </c>
      <c r="K327" s="324">
        <f>'d3'!K327-d3П!K327</f>
        <v>0</v>
      </c>
      <c r="L327" s="324">
        <f>'d3'!L327-d3П!L327</f>
        <v>0</v>
      </c>
      <c r="M327" s="324">
        <f>'d3'!M327-d3П!M327</f>
        <v>0</v>
      </c>
      <c r="N327" s="324">
        <f>'d3'!N327-d3П!N327</f>
        <v>0</v>
      </c>
      <c r="O327" s="324">
        <f>'d3'!O327-d3П!O327</f>
        <v>0</v>
      </c>
      <c r="P327" s="324">
        <f>'d3'!P327-d3П!P327</f>
        <v>0</v>
      </c>
      <c r="Q327" s="47"/>
      <c r="R327" s="50"/>
    </row>
    <row r="328" spans="1:18" ht="47.25" hidden="1" thickTop="1" thickBot="1" x14ac:dyDescent="0.25">
      <c r="A328" s="138" t="s">
        <v>811</v>
      </c>
      <c r="B328" s="138" t="s">
        <v>812</v>
      </c>
      <c r="C328" s="138"/>
      <c r="D328" s="138" t="s">
        <v>813</v>
      </c>
      <c r="E328" s="324">
        <f>'d3'!E328-d3П!E328</f>
        <v>0</v>
      </c>
      <c r="F328" s="324">
        <f>'d3'!F328-d3П!F328</f>
        <v>0</v>
      </c>
      <c r="G328" s="324">
        <f>'d3'!G328-d3П!G328</f>
        <v>0</v>
      </c>
      <c r="H328" s="324">
        <f>'d3'!H328-d3П!H328</f>
        <v>0</v>
      </c>
      <c r="I328" s="324">
        <f>'d3'!I328-d3П!I328</f>
        <v>0</v>
      </c>
      <c r="J328" s="324">
        <f>'d3'!J328-d3П!J328</f>
        <v>0</v>
      </c>
      <c r="K328" s="324">
        <f>'d3'!K328-d3П!K328</f>
        <v>0</v>
      </c>
      <c r="L328" s="324">
        <f>'d3'!L328-d3П!L328</f>
        <v>0</v>
      </c>
      <c r="M328" s="324">
        <f>'d3'!M328-d3П!M328</f>
        <v>0</v>
      </c>
      <c r="N328" s="324">
        <f>'d3'!N328-d3П!N328</f>
        <v>0</v>
      </c>
      <c r="O328" s="324">
        <f>'d3'!O328-d3П!O328</f>
        <v>0</v>
      </c>
      <c r="P328" s="324">
        <f>'d3'!P328-d3П!P328</f>
        <v>0</v>
      </c>
      <c r="Q328" s="47"/>
      <c r="R328" s="50"/>
    </row>
    <row r="329" spans="1:18" ht="138.75" hidden="1" thickTop="1" thickBot="1" x14ac:dyDescent="0.25">
      <c r="A329" s="126" t="s">
        <v>432</v>
      </c>
      <c r="B329" s="126" t="s">
        <v>433</v>
      </c>
      <c r="C329" s="126" t="s">
        <v>195</v>
      </c>
      <c r="D329" s="126" t="s">
        <v>1160</v>
      </c>
      <c r="E329" s="324">
        <f>'d3'!E329-d3П!E329</f>
        <v>0</v>
      </c>
      <c r="F329" s="324">
        <f>'d3'!F329-d3П!F329</f>
        <v>0</v>
      </c>
      <c r="G329" s="324">
        <f>'d3'!G329-d3П!G329</f>
        <v>0</v>
      </c>
      <c r="H329" s="324">
        <f>'d3'!H329-d3П!H329</f>
        <v>0</v>
      </c>
      <c r="I329" s="324">
        <f>'d3'!I329-d3П!I329</f>
        <v>0</v>
      </c>
      <c r="J329" s="324">
        <f>'d3'!J329-d3П!J329</f>
        <v>0</v>
      </c>
      <c r="K329" s="324">
        <f>'d3'!K329-d3П!K329</f>
        <v>0</v>
      </c>
      <c r="L329" s="324">
        <f>'d3'!L329-d3П!L329</f>
        <v>0</v>
      </c>
      <c r="M329" s="324">
        <f>'d3'!M329-d3П!M329</f>
        <v>0</v>
      </c>
      <c r="N329" s="324">
        <f>'d3'!N329-d3П!N329</f>
        <v>0</v>
      </c>
      <c r="O329" s="324">
        <f>'d3'!O329-d3П!O329</f>
        <v>0</v>
      </c>
      <c r="P329" s="324">
        <f>'d3'!P329-d3П!P329</f>
        <v>0</v>
      </c>
      <c r="Q329" s="47"/>
      <c r="R329" s="46"/>
    </row>
    <row r="330" spans="1:18" ht="47.25" thickTop="1" thickBot="1" x14ac:dyDescent="0.25">
      <c r="A330" s="308" t="s">
        <v>814</v>
      </c>
      <c r="B330" s="308" t="s">
        <v>744</v>
      </c>
      <c r="C330" s="101"/>
      <c r="D330" s="308" t="s">
        <v>790</v>
      </c>
      <c r="E330" s="324">
        <f>'d3'!E330-d3П!E330</f>
        <v>0</v>
      </c>
      <c r="F330" s="324">
        <f>'d3'!F330-d3П!F330</f>
        <v>0</v>
      </c>
      <c r="G330" s="324">
        <f>'d3'!G330-d3П!G330</f>
        <v>0</v>
      </c>
      <c r="H330" s="324">
        <f>'d3'!H330-d3П!H330</f>
        <v>0</v>
      </c>
      <c r="I330" s="324">
        <f>'d3'!I330-d3П!I330</f>
        <v>0</v>
      </c>
      <c r="J330" s="324">
        <f>'d3'!J330-d3П!J330</f>
        <v>-627887.6099999845</v>
      </c>
      <c r="K330" s="324">
        <f>'d3'!K330-d3П!K330</f>
        <v>-627887.6099999845</v>
      </c>
      <c r="L330" s="324">
        <f>'d3'!L330-d3П!L330</f>
        <v>0</v>
      </c>
      <c r="M330" s="324">
        <f>'d3'!M330-d3П!M330</f>
        <v>0</v>
      </c>
      <c r="N330" s="324">
        <f>'d3'!N330-d3П!N330</f>
        <v>0</v>
      </c>
      <c r="O330" s="324">
        <f>'d3'!O330-d3П!O330</f>
        <v>-627887.6099999845</v>
      </c>
      <c r="P330" s="324">
        <f>'d3'!P330-d3П!P330</f>
        <v>-627887.6099999845</v>
      </c>
      <c r="Q330" s="45"/>
      <c r="R330" s="46"/>
    </row>
    <row r="331" spans="1:18" ht="47.25" thickTop="1" thickBot="1" x14ac:dyDescent="0.25">
      <c r="A331" s="310" t="s">
        <v>815</v>
      </c>
      <c r="B331" s="310" t="s">
        <v>799</v>
      </c>
      <c r="C331" s="310"/>
      <c r="D331" s="310" t="s">
        <v>800</v>
      </c>
      <c r="E331" s="324">
        <f>'d3'!E331-d3П!E331</f>
        <v>0</v>
      </c>
      <c r="F331" s="324">
        <f>'d3'!F331-d3П!F331</f>
        <v>0</v>
      </c>
      <c r="G331" s="324">
        <f>'d3'!G331-d3П!G331</f>
        <v>0</v>
      </c>
      <c r="H331" s="324">
        <f>'d3'!H331-d3П!H331</f>
        <v>0</v>
      </c>
      <c r="I331" s="324">
        <f>'d3'!I331-d3П!I331</f>
        <v>0</v>
      </c>
      <c r="J331" s="324">
        <f>'d3'!J331-d3П!J331</f>
        <v>-627887.6099999845</v>
      </c>
      <c r="K331" s="324">
        <f>'d3'!K331-d3П!K331</f>
        <v>-627887.6099999845</v>
      </c>
      <c r="L331" s="324">
        <f>'d3'!L331-d3П!L331</f>
        <v>0</v>
      </c>
      <c r="M331" s="324">
        <f>'d3'!M331-d3П!M331</f>
        <v>0</v>
      </c>
      <c r="N331" s="324">
        <f>'d3'!N331-d3П!N331</f>
        <v>0</v>
      </c>
      <c r="O331" s="324">
        <f>'d3'!O331-d3П!O331</f>
        <v>-627887.6099999845</v>
      </c>
      <c r="P331" s="324">
        <f>'d3'!P331-d3П!P331</f>
        <v>-627887.6099999845</v>
      </c>
      <c r="Q331" s="45"/>
      <c r="R331" s="46"/>
    </row>
    <row r="332" spans="1:18" ht="54" hidden="1" thickTop="1" thickBot="1" x14ac:dyDescent="0.25">
      <c r="A332" s="101" t="s">
        <v>922</v>
      </c>
      <c r="B332" s="101" t="s">
        <v>305</v>
      </c>
      <c r="C332" s="101" t="s">
        <v>304</v>
      </c>
      <c r="D332" s="101" t="s">
        <v>1477</v>
      </c>
      <c r="E332" s="324">
        <f>'d3'!E332-d3П!E332</f>
        <v>0</v>
      </c>
      <c r="F332" s="324">
        <f>'d3'!F332-d3П!F332</f>
        <v>0</v>
      </c>
      <c r="G332" s="324">
        <f>'d3'!G332-d3П!G332</f>
        <v>0</v>
      </c>
      <c r="H332" s="324">
        <f>'d3'!H332-d3П!H332</f>
        <v>0</v>
      </c>
      <c r="I332" s="324">
        <f>'d3'!I332-d3П!I332</f>
        <v>0</v>
      </c>
      <c r="J332" s="324">
        <f>'d3'!J332-d3П!J332</f>
        <v>0</v>
      </c>
      <c r="K332" s="324">
        <f>'d3'!K332-d3П!K332</f>
        <v>0</v>
      </c>
      <c r="L332" s="324">
        <f>'d3'!L332-d3П!L332</f>
        <v>0</v>
      </c>
      <c r="M332" s="324">
        <f>'d3'!M332-d3П!M332</f>
        <v>0</v>
      </c>
      <c r="N332" s="324">
        <f>'d3'!N332-d3П!N332</f>
        <v>0</v>
      </c>
      <c r="O332" s="324">
        <f>'d3'!O332-d3П!O332</f>
        <v>0</v>
      </c>
      <c r="P332" s="324">
        <f>'d3'!P332-d3П!P332</f>
        <v>0</v>
      </c>
      <c r="Q332" s="45"/>
      <c r="R332" s="46"/>
    </row>
    <row r="333" spans="1:18" ht="54.75" thickTop="1" thickBot="1" x14ac:dyDescent="0.25">
      <c r="A333" s="325" t="s">
        <v>816</v>
      </c>
      <c r="B333" s="325" t="s">
        <v>817</v>
      </c>
      <c r="C333" s="325"/>
      <c r="D333" s="325" t="s">
        <v>1483</v>
      </c>
      <c r="E333" s="324">
        <f>'d3'!E333-d3П!E333</f>
        <v>0</v>
      </c>
      <c r="F333" s="324">
        <f>'d3'!F333-d3П!F333</f>
        <v>0</v>
      </c>
      <c r="G333" s="324">
        <f>'d3'!G333-d3П!G333</f>
        <v>0</v>
      </c>
      <c r="H333" s="324">
        <f>'d3'!H333-d3П!H333</f>
        <v>0</v>
      </c>
      <c r="I333" s="324">
        <f>'d3'!I333-d3П!I333</f>
        <v>0</v>
      </c>
      <c r="J333" s="324">
        <f>'d3'!J333-d3П!J333</f>
        <v>3949608.8500000015</v>
      </c>
      <c r="K333" s="324">
        <f>'d3'!K333-d3П!K333</f>
        <v>3949608.8500000015</v>
      </c>
      <c r="L333" s="324">
        <f>'d3'!L333-d3П!L333</f>
        <v>0</v>
      </c>
      <c r="M333" s="324">
        <f>'d3'!M333-d3П!M333</f>
        <v>0</v>
      </c>
      <c r="N333" s="324">
        <f>'d3'!N333-d3П!N333</f>
        <v>0</v>
      </c>
      <c r="O333" s="324">
        <f>'d3'!O333-d3П!O333</f>
        <v>3949608.8500000015</v>
      </c>
      <c r="P333" s="324">
        <f>'d3'!P333-d3П!P333</f>
        <v>3949608.8500000015</v>
      </c>
      <c r="Q333" s="45"/>
      <c r="R333" s="46"/>
    </row>
    <row r="334" spans="1:18" ht="54" thickTop="1" thickBot="1" x14ac:dyDescent="0.25">
      <c r="A334" s="101" t="s">
        <v>310</v>
      </c>
      <c r="B334" s="101" t="s">
        <v>311</v>
      </c>
      <c r="C334" s="101" t="s">
        <v>304</v>
      </c>
      <c r="D334" s="101" t="s">
        <v>1479</v>
      </c>
      <c r="E334" s="324">
        <f>'d3'!E334-d3П!E334</f>
        <v>0</v>
      </c>
      <c r="F334" s="324">
        <f>'d3'!F334-d3П!F334</f>
        <v>0</v>
      </c>
      <c r="G334" s="324">
        <f>'d3'!G334-d3П!G334</f>
        <v>0</v>
      </c>
      <c r="H334" s="324">
        <f>'d3'!H334-d3П!H334</f>
        <v>0</v>
      </c>
      <c r="I334" s="324">
        <f>'d3'!I334-d3П!I334</f>
        <v>0</v>
      </c>
      <c r="J334" s="324">
        <f>'d3'!J334-d3П!J334</f>
        <v>3999608.8500000015</v>
      </c>
      <c r="K334" s="324">
        <f>'d3'!K334-d3П!K334</f>
        <v>3999608.8500000015</v>
      </c>
      <c r="L334" s="324">
        <f>'d3'!L334-d3П!L334</f>
        <v>0</v>
      </c>
      <c r="M334" s="324">
        <f>'d3'!M334-d3П!M334</f>
        <v>0</v>
      </c>
      <c r="N334" s="324">
        <f>'d3'!N334-d3П!N334</f>
        <v>0</v>
      </c>
      <c r="O334" s="324">
        <f>'d3'!O334-d3П!O334</f>
        <v>3999608.8500000015</v>
      </c>
      <c r="P334" s="324">
        <f>'d3'!P334-d3П!P334</f>
        <v>3999608.8500000015</v>
      </c>
      <c r="Q334" s="468"/>
      <c r="R334" s="46"/>
    </row>
    <row r="335" spans="1:18" ht="54" thickTop="1" thickBot="1" x14ac:dyDescent="0.25">
      <c r="A335" s="101" t="s">
        <v>515</v>
      </c>
      <c r="B335" s="101" t="s">
        <v>516</v>
      </c>
      <c r="C335" s="101" t="s">
        <v>304</v>
      </c>
      <c r="D335" s="101" t="s">
        <v>1484</v>
      </c>
      <c r="E335" s="324">
        <f>'d3'!E335-d3П!E335</f>
        <v>0</v>
      </c>
      <c r="F335" s="324">
        <f>'d3'!F335-d3П!F335</f>
        <v>0</v>
      </c>
      <c r="G335" s="324">
        <f>'d3'!G335-d3П!G335</f>
        <v>0</v>
      </c>
      <c r="H335" s="324">
        <f>'d3'!H335-d3П!H335</f>
        <v>0</v>
      </c>
      <c r="I335" s="324">
        <f>'d3'!I335-d3П!I335</f>
        <v>0</v>
      </c>
      <c r="J335" s="324">
        <f>'d3'!J335-d3П!J335</f>
        <v>-50000</v>
      </c>
      <c r="K335" s="324">
        <f>'d3'!K335-d3П!K335</f>
        <v>-50000</v>
      </c>
      <c r="L335" s="324">
        <f>'d3'!L335-d3П!L335</f>
        <v>0</v>
      </c>
      <c r="M335" s="324">
        <f>'d3'!M335-d3П!M335</f>
        <v>0</v>
      </c>
      <c r="N335" s="324">
        <f>'d3'!N335-d3П!N335</f>
        <v>0</v>
      </c>
      <c r="O335" s="324">
        <f>'d3'!O335-d3П!O335</f>
        <v>-50000</v>
      </c>
      <c r="P335" s="324">
        <f>'d3'!P335-d3П!P335</f>
        <v>-50000</v>
      </c>
      <c r="Q335" s="124"/>
      <c r="R335" s="46"/>
    </row>
    <row r="336" spans="1:18" ht="54" hidden="1" thickTop="1" thickBot="1" x14ac:dyDescent="0.25">
      <c r="A336" s="101" t="s">
        <v>312</v>
      </c>
      <c r="B336" s="101" t="s">
        <v>313</v>
      </c>
      <c r="C336" s="101" t="s">
        <v>304</v>
      </c>
      <c r="D336" s="101" t="s">
        <v>1485</v>
      </c>
      <c r="E336" s="324">
        <f>'d3'!E336-d3П!E336</f>
        <v>0</v>
      </c>
      <c r="F336" s="324">
        <f>'d3'!F336-d3П!F336</f>
        <v>0</v>
      </c>
      <c r="G336" s="324">
        <f>'d3'!G336-d3П!G336</f>
        <v>0</v>
      </c>
      <c r="H336" s="324">
        <f>'d3'!H336-d3П!H336</f>
        <v>0</v>
      </c>
      <c r="I336" s="324">
        <f>'d3'!I336-d3П!I336</f>
        <v>0</v>
      </c>
      <c r="J336" s="324">
        <f>'d3'!J336-d3П!J336</f>
        <v>0</v>
      </c>
      <c r="K336" s="324">
        <f>'d3'!K336-d3П!K336</f>
        <v>0</v>
      </c>
      <c r="L336" s="324">
        <f>'d3'!L336-d3П!L336</f>
        <v>0</v>
      </c>
      <c r="M336" s="324">
        <f>'d3'!M336-d3П!M336</f>
        <v>0</v>
      </c>
      <c r="N336" s="324">
        <f>'d3'!N336-d3П!N336</f>
        <v>0</v>
      </c>
      <c r="O336" s="324">
        <f>'d3'!O336-d3П!O336</f>
        <v>0</v>
      </c>
      <c r="P336" s="324">
        <f>'d3'!P336-d3П!P336</f>
        <v>0</v>
      </c>
      <c r="Q336" s="124"/>
    </row>
    <row r="337" spans="1:18" ht="54" thickTop="1" thickBot="1" x14ac:dyDescent="0.3">
      <c r="A337" s="101" t="s">
        <v>314</v>
      </c>
      <c r="B337" s="101" t="s">
        <v>315</v>
      </c>
      <c r="C337" s="101" t="s">
        <v>304</v>
      </c>
      <c r="D337" s="101" t="s">
        <v>1480</v>
      </c>
      <c r="E337" s="324">
        <f>'d3'!E337-d3П!E337</f>
        <v>0</v>
      </c>
      <c r="F337" s="324">
        <f>'d3'!F337-d3П!F337</f>
        <v>0</v>
      </c>
      <c r="G337" s="324">
        <f>'d3'!G337-d3П!G337</f>
        <v>0</v>
      </c>
      <c r="H337" s="324">
        <f>'d3'!H337-d3П!H337</f>
        <v>0</v>
      </c>
      <c r="I337" s="324">
        <f>'d3'!I337-d3П!I337</f>
        <v>0</v>
      </c>
      <c r="J337" s="324">
        <f>'d3'!J337-d3П!J337</f>
        <v>-4577496.4600000009</v>
      </c>
      <c r="K337" s="324">
        <f>'d3'!K337-d3П!K337</f>
        <v>-4577496.4600000009</v>
      </c>
      <c r="L337" s="324">
        <f>'d3'!L337-d3П!L337</f>
        <v>0</v>
      </c>
      <c r="M337" s="324">
        <f>'d3'!M337-d3П!M337</f>
        <v>0</v>
      </c>
      <c r="N337" s="324">
        <f>'d3'!N337-d3П!N337</f>
        <v>0</v>
      </c>
      <c r="O337" s="324">
        <f>'d3'!O337-d3П!O337</f>
        <v>-4577496.4600000009</v>
      </c>
      <c r="P337" s="324">
        <f>'d3'!P337-d3П!P337</f>
        <v>-4577496.4600000009</v>
      </c>
      <c r="Q337" s="160"/>
      <c r="R337" s="46"/>
    </row>
    <row r="338" spans="1:18" ht="48" hidden="1" thickTop="1" thickBot="1" x14ac:dyDescent="0.25">
      <c r="A338" s="41" t="s">
        <v>436</v>
      </c>
      <c r="B338" s="41" t="s">
        <v>350</v>
      </c>
      <c r="C338" s="41" t="s">
        <v>170</v>
      </c>
      <c r="D338" s="41" t="s">
        <v>262</v>
      </c>
      <c r="E338" s="42">
        <f>F338</f>
        <v>0</v>
      </c>
      <c r="F338" s="43"/>
      <c r="G338" s="43"/>
      <c r="H338" s="43"/>
      <c r="I338" s="43"/>
      <c r="J338" s="42">
        <f t="shared" ref="J338" si="56">L338+O338</f>
        <v>0</v>
      </c>
      <c r="K338" s="43">
        <v>0</v>
      </c>
      <c r="L338" s="43"/>
      <c r="M338" s="43"/>
      <c r="N338" s="43"/>
      <c r="O338" s="44">
        <f>K338</f>
        <v>0</v>
      </c>
      <c r="P338" s="42">
        <f t="shared" ref="P338" si="57">E338+J338</f>
        <v>0</v>
      </c>
      <c r="Q338" s="20"/>
      <c r="R338" s="46"/>
    </row>
    <row r="339" spans="1:18" ht="47.25" hidden="1" thickTop="1" thickBot="1" x14ac:dyDescent="0.25">
      <c r="A339" s="134" t="s">
        <v>981</v>
      </c>
      <c r="B339" s="134" t="s">
        <v>687</v>
      </c>
      <c r="C339" s="134"/>
      <c r="D339" s="134" t="s">
        <v>685</v>
      </c>
      <c r="E339" s="157">
        <f>E340</f>
        <v>0</v>
      </c>
      <c r="F339" s="157">
        <f>F340</f>
        <v>0</v>
      </c>
      <c r="G339" s="157">
        <f>G340</f>
        <v>0</v>
      </c>
      <c r="H339" s="157">
        <f>H340</f>
        <v>0</v>
      </c>
      <c r="I339" s="157">
        <f>I340</f>
        <v>0</v>
      </c>
      <c r="J339" s="157">
        <f t="shared" ref="J339:O339" si="58">J340</f>
        <v>0</v>
      </c>
      <c r="K339" s="157">
        <f t="shared" si="58"/>
        <v>0</v>
      </c>
      <c r="L339" s="157">
        <f t="shared" si="58"/>
        <v>0</v>
      </c>
      <c r="M339" s="157">
        <f t="shared" si="58"/>
        <v>0</v>
      </c>
      <c r="N339" s="157">
        <f t="shared" si="58"/>
        <v>0</v>
      </c>
      <c r="O339" s="157">
        <f t="shared" si="58"/>
        <v>0</v>
      </c>
      <c r="P339" s="157">
        <f>P340</f>
        <v>0</v>
      </c>
      <c r="Q339" s="20"/>
      <c r="R339" s="46"/>
    </row>
    <row r="340" spans="1:18" ht="48" hidden="1" thickTop="1" thickBot="1" x14ac:dyDescent="0.25">
      <c r="A340" s="138" t="s">
        <v>982</v>
      </c>
      <c r="B340" s="138" t="s">
        <v>690</v>
      </c>
      <c r="C340" s="138"/>
      <c r="D340" s="138" t="s">
        <v>793</v>
      </c>
      <c r="E340" s="156">
        <f>E341+E343</f>
        <v>0</v>
      </c>
      <c r="F340" s="156">
        <f t="shared" ref="F340:P340" si="59">F341+F343</f>
        <v>0</v>
      </c>
      <c r="G340" s="156">
        <f t="shared" si="59"/>
        <v>0</v>
      </c>
      <c r="H340" s="156">
        <f t="shared" si="59"/>
        <v>0</v>
      </c>
      <c r="I340" s="156">
        <f t="shared" si="59"/>
        <v>0</v>
      </c>
      <c r="J340" s="156">
        <f t="shared" si="59"/>
        <v>0</v>
      </c>
      <c r="K340" s="156">
        <f t="shared" si="59"/>
        <v>0</v>
      </c>
      <c r="L340" s="156">
        <f t="shared" si="59"/>
        <v>0</v>
      </c>
      <c r="M340" s="156">
        <f t="shared" si="59"/>
        <v>0</v>
      </c>
      <c r="N340" s="156">
        <f t="shared" si="59"/>
        <v>0</v>
      </c>
      <c r="O340" s="156">
        <f t="shared" si="59"/>
        <v>0</v>
      </c>
      <c r="P340" s="156">
        <f t="shared" si="59"/>
        <v>0</v>
      </c>
      <c r="Q340" s="20"/>
      <c r="R340" s="46"/>
    </row>
    <row r="341" spans="1:18" ht="138.75" hidden="1" thickTop="1" thickBot="1" x14ac:dyDescent="0.7">
      <c r="A341" s="780" t="s">
        <v>983</v>
      </c>
      <c r="B341" s="780" t="s">
        <v>338</v>
      </c>
      <c r="C341" s="780" t="s">
        <v>170</v>
      </c>
      <c r="D341" s="161" t="s">
        <v>439</v>
      </c>
      <c r="E341" s="781">
        <f t="shared" ref="E341" si="60">F341</f>
        <v>0</v>
      </c>
      <c r="F341" s="774"/>
      <c r="G341" s="774"/>
      <c r="H341" s="774"/>
      <c r="I341" s="774"/>
      <c r="J341" s="781">
        <f t="shared" ref="J341" si="61">L341+O341</f>
        <v>0</v>
      </c>
      <c r="K341" s="774"/>
      <c r="L341" s="774"/>
      <c r="M341" s="774"/>
      <c r="N341" s="774"/>
      <c r="O341" s="775">
        <f>K341</f>
        <v>0</v>
      </c>
      <c r="P341" s="779">
        <f>E341+J341</f>
        <v>0</v>
      </c>
      <c r="Q341" s="20"/>
      <c r="R341" s="46"/>
    </row>
    <row r="342" spans="1:18" ht="93" hidden="1" thickTop="1" thickBot="1" x14ac:dyDescent="0.25">
      <c r="A342" s="780"/>
      <c r="B342" s="780"/>
      <c r="C342" s="780"/>
      <c r="D342" s="162" t="s">
        <v>440</v>
      </c>
      <c r="E342" s="781"/>
      <c r="F342" s="774"/>
      <c r="G342" s="774"/>
      <c r="H342" s="774"/>
      <c r="I342" s="774"/>
      <c r="J342" s="781"/>
      <c r="K342" s="774"/>
      <c r="L342" s="774"/>
      <c r="M342" s="774"/>
      <c r="N342" s="774"/>
      <c r="O342" s="775"/>
      <c r="P342" s="779"/>
      <c r="Q342" s="20"/>
      <c r="R342" s="46"/>
    </row>
    <row r="343" spans="1:18" ht="48" hidden="1" thickTop="1" thickBot="1" x14ac:dyDescent="0.25">
      <c r="A343" s="126" t="s">
        <v>1175</v>
      </c>
      <c r="B343" s="126" t="s">
        <v>257</v>
      </c>
      <c r="C343" s="126" t="s">
        <v>170</v>
      </c>
      <c r="D343" s="154" t="s">
        <v>255</v>
      </c>
      <c r="E343" s="125">
        <f>F343</f>
        <v>0</v>
      </c>
      <c r="F343" s="132"/>
      <c r="G343" s="132"/>
      <c r="H343" s="132"/>
      <c r="I343" s="132"/>
      <c r="J343" s="125">
        <f t="shared" ref="J343" si="62">L343+O343</f>
        <v>0</v>
      </c>
      <c r="K343" s="132"/>
      <c r="L343" s="132"/>
      <c r="M343" s="132"/>
      <c r="N343" s="132"/>
      <c r="O343" s="130">
        <f>K343</f>
        <v>0</v>
      </c>
      <c r="P343" s="125">
        <f t="shared" ref="P343" si="63">E343+J343</f>
        <v>0</v>
      </c>
      <c r="Q343" s="20"/>
      <c r="R343" s="46"/>
    </row>
    <row r="344" spans="1:18" ht="120" customHeight="1" thickTop="1" thickBot="1" x14ac:dyDescent="0.25">
      <c r="A344" s="689" t="s">
        <v>160</v>
      </c>
      <c r="B344" s="689"/>
      <c r="C344" s="689"/>
      <c r="D344" s="690" t="s">
        <v>888</v>
      </c>
      <c r="E344" s="691">
        <f>E345</f>
        <v>0</v>
      </c>
      <c r="F344" s="692">
        <f t="shared" ref="F344:G344" si="64">F345</f>
        <v>0</v>
      </c>
      <c r="G344" s="692">
        <f t="shared" si="64"/>
        <v>0</v>
      </c>
      <c r="H344" s="692">
        <f>H345</f>
        <v>0</v>
      </c>
      <c r="I344" s="692">
        <f t="shared" ref="I344" si="65">I345</f>
        <v>0</v>
      </c>
      <c r="J344" s="691">
        <f>J345</f>
        <v>0</v>
      </c>
      <c r="K344" s="692">
        <f>K345</f>
        <v>0</v>
      </c>
      <c r="L344" s="692">
        <f>L345</f>
        <v>0</v>
      </c>
      <c r="M344" s="692">
        <f t="shared" ref="M344" si="66">M345</f>
        <v>0</v>
      </c>
      <c r="N344" s="692">
        <f>N345</f>
        <v>0</v>
      </c>
      <c r="O344" s="691">
        <f>O345</f>
        <v>0</v>
      </c>
      <c r="P344" s="692">
        <f t="shared" ref="P344" si="67">P345</f>
        <v>0</v>
      </c>
      <c r="Q344" s="20"/>
    </row>
    <row r="345" spans="1:18" ht="120" customHeight="1" thickTop="1" thickBot="1" x14ac:dyDescent="0.25">
      <c r="A345" s="693" t="s">
        <v>161</v>
      </c>
      <c r="B345" s="693"/>
      <c r="C345" s="693"/>
      <c r="D345" s="694" t="s">
        <v>889</v>
      </c>
      <c r="E345" s="695">
        <f>E346+E350</f>
        <v>0</v>
      </c>
      <c r="F345" s="695">
        <f>F346+F350</f>
        <v>0</v>
      </c>
      <c r="G345" s="695">
        <f>G346+G350</f>
        <v>0</v>
      </c>
      <c r="H345" s="695">
        <f>H346+H350</f>
        <v>0</v>
      </c>
      <c r="I345" s="695">
        <f>I346+I350</f>
        <v>0</v>
      </c>
      <c r="J345" s="695">
        <f>L345+O345</f>
        <v>0</v>
      </c>
      <c r="K345" s="695">
        <f>K346+K350</f>
        <v>0</v>
      </c>
      <c r="L345" s="695">
        <f>L346+L350</f>
        <v>0</v>
      </c>
      <c r="M345" s="695">
        <f>M346+M350</f>
        <v>0</v>
      </c>
      <c r="N345" s="695">
        <f>N346+N350</f>
        <v>0</v>
      </c>
      <c r="O345" s="695">
        <f>O346+O350</f>
        <v>0</v>
      </c>
      <c r="P345" s="695">
        <f>E345+J345</f>
        <v>0</v>
      </c>
      <c r="Q345" s="487" t="b">
        <f>P345=P347+P349</f>
        <v>1</v>
      </c>
      <c r="R345" s="46"/>
    </row>
    <row r="346" spans="1:18" ht="47.25" thickTop="1" thickBot="1" x14ac:dyDescent="0.25">
      <c r="A346" s="308" t="s">
        <v>818</v>
      </c>
      <c r="B346" s="308" t="s">
        <v>680</v>
      </c>
      <c r="C346" s="308"/>
      <c r="D346" s="308" t="s">
        <v>681</v>
      </c>
      <c r="E346" s="324">
        <f>'d3'!E346-d3П!E346</f>
        <v>0</v>
      </c>
      <c r="F346" s="324">
        <f>'d3'!F346-d3П!F346</f>
        <v>0</v>
      </c>
      <c r="G346" s="324">
        <f>'d3'!G346-d3П!G346</f>
        <v>0</v>
      </c>
      <c r="H346" s="324">
        <f>'d3'!H346-d3П!H346</f>
        <v>0</v>
      </c>
      <c r="I346" s="324">
        <f>'d3'!I346-d3П!I346</f>
        <v>0</v>
      </c>
      <c r="J346" s="324">
        <f>'d3'!J346-d3П!J346</f>
        <v>0</v>
      </c>
      <c r="K346" s="324">
        <f>'d3'!K346-d3П!K346</f>
        <v>0</v>
      </c>
      <c r="L346" s="324">
        <f>'d3'!L346-d3П!L346</f>
        <v>0</v>
      </c>
      <c r="M346" s="324">
        <f>'d3'!M346-d3П!M346</f>
        <v>0</v>
      </c>
      <c r="N346" s="324">
        <f>'d3'!N346-d3П!N346</f>
        <v>0</v>
      </c>
      <c r="O346" s="324">
        <f>'d3'!O346-d3П!O346</f>
        <v>0</v>
      </c>
      <c r="P346" s="324">
        <f>'d3'!P346-d3П!P346</f>
        <v>0</v>
      </c>
      <c r="Q346" s="47"/>
      <c r="R346" s="46"/>
    </row>
    <row r="347" spans="1:18" ht="93" thickTop="1" thickBot="1" x14ac:dyDescent="0.25">
      <c r="A347" s="101" t="s">
        <v>418</v>
      </c>
      <c r="B347" s="101" t="s">
        <v>236</v>
      </c>
      <c r="C347" s="101" t="s">
        <v>234</v>
      </c>
      <c r="D347" s="101" t="s">
        <v>235</v>
      </c>
      <c r="E347" s="324">
        <f>'d3'!E347-d3П!E347</f>
        <v>0</v>
      </c>
      <c r="F347" s="324">
        <f>'d3'!F347-d3П!F347</f>
        <v>0</v>
      </c>
      <c r="G347" s="324">
        <f>'d3'!G347-d3П!G347</f>
        <v>0</v>
      </c>
      <c r="H347" s="324">
        <f>'d3'!H347-d3П!H347</f>
        <v>0</v>
      </c>
      <c r="I347" s="324">
        <f>'d3'!I347-d3П!I347</f>
        <v>0</v>
      </c>
      <c r="J347" s="324">
        <f>'d3'!J347-d3П!J347</f>
        <v>0</v>
      </c>
      <c r="K347" s="324">
        <f>'d3'!K347-d3П!K347</f>
        <v>0</v>
      </c>
      <c r="L347" s="324">
        <f>'d3'!L347-d3П!L347</f>
        <v>0</v>
      </c>
      <c r="M347" s="324">
        <f>'d3'!M347-d3П!M347</f>
        <v>0</v>
      </c>
      <c r="N347" s="324">
        <f>'d3'!N347-d3П!N347</f>
        <v>0</v>
      </c>
      <c r="O347" s="324">
        <f>'d3'!O347-d3П!O347</f>
        <v>0</v>
      </c>
      <c r="P347" s="324">
        <f>'d3'!P347-d3П!P347</f>
        <v>0</v>
      </c>
      <c r="Q347" s="47"/>
      <c r="R347" s="46"/>
    </row>
    <row r="348" spans="1:18" ht="93" hidden="1" thickTop="1" thickBot="1" x14ac:dyDescent="0.25">
      <c r="A348" s="126" t="s">
        <v>629</v>
      </c>
      <c r="B348" s="126" t="s">
        <v>362</v>
      </c>
      <c r="C348" s="126" t="s">
        <v>623</v>
      </c>
      <c r="D348" s="126" t="s">
        <v>624</v>
      </c>
      <c r="E348" s="324">
        <f>'d3'!E348-d3П!E348</f>
        <v>0</v>
      </c>
      <c r="F348" s="324">
        <f>'d3'!F348-d3П!F348</f>
        <v>0</v>
      </c>
      <c r="G348" s="324">
        <f>'d3'!G348-d3П!G348</f>
        <v>0</v>
      </c>
      <c r="H348" s="324">
        <f>'d3'!H348-d3П!H348</f>
        <v>0</v>
      </c>
      <c r="I348" s="324">
        <f>'d3'!I348-d3П!I348</f>
        <v>0</v>
      </c>
      <c r="J348" s="324">
        <f>'d3'!J348-d3П!J348</f>
        <v>0</v>
      </c>
      <c r="K348" s="324">
        <f>'d3'!K348-d3П!K348</f>
        <v>0</v>
      </c>
      <c r="L348" s="324">
        <f>'d3'!L348-d3П!L348</f>
        <v>0</v>
      </c>
      <c r="M348" s="324">
        <f>'d3'!M348-d3П!M348</f>
        <v>0</v>
      </c>
      <c r="N348" s="324">
        <f>'d3'!N348-d3П!N348</f>
        <v>0</v>
      </c>
      <c r="O348" s="324">
        <f>'d3'!O348-d3П!O348</f>
        <v>0</v>
      </c>
      <c r="P348" s="324">
        <f>'d3'!P348-d3П!P348</f>
        <v>0</v>
      </c>
      <c r="Q348" s="47"/>
      <c r="R348" s="46"/>
    </row>
    <row r="349" spans="1:18" ht="69.75" customHeight="1" thickTop="1" thickBot="1" x14ac:dyDescent="0.25">
      <c r="A349" s="101" t="s">
        <v>1242</v>
      </c>
      <c r="B349" s="101" t="s">
        <v>43</v>
      </c>
      <c r="C349" s="101" t="s">
        <v>42</v>
      </c>
      <c r="D349" s="101" t="s">
        <v>248</v>
      </c>
      <c r="E349" s="324">
        <f>'d3'!E349-d3П!E349</f>
        <v>0</v>
      </c>
      <c r="F349" s="324">
        <f>'d3'!F349-d3П!F349</f>
        <v>0</v>
      </c>
      <c r="G349" s="324">
        <f>'d3'!G349-d3П!G349</f>
        <v>0</v>
      </c>
      <c r="H349" s="324">
        <f>'d3'!H349-d3П!H349</f>
        <v>0</v>
      </c>
      <c r="I349" s="324">
        <f>'d3'!I349-d3П!I349</f>
        <v>0</v>
      </c>
      <c r="J349" s="324">
        <f>'d3'!J349-d3П!J349</f>
        <v>0</v>
      </c>
      <c r="K349" s="324">
        <f>'d3'!K349-d3П!K349</f>
        <v>0</v>
      </c>
      <c r="L349" s="324">
        <f>'d3'!L349-d3П!L349</f>
        <v>0</v>
      </c>
      <c r="M349" s="324">
        <f>'d3'!M349-d3П!M349</f>
        <v>0</v>
      </c>
      <c r="N349" s="324">
        <f>'d3'!N349-d3П!N349</f>
        <v>0</v>
      </c>
      <c r="O349" s="324">
        <f>'d3'!O349-d3П!O349</f>
        <v>0</v>
      </c>
      <c r="P349" s="324">
        <f>'d3'!P349-d3П!P349</f>
        <v>0</v>
      </c>
      <c r="Q349" s="47"/>
      <c r="R349" s="46"/>
    </row>
    <row r="350" spans="1:18" ht="47.25" hidden="1" thickTop="1" thickBot="1" x14ac:dyDescent="0.25">
      <c r="A350" s="123" t="s">
        <v>904</v>
      </c>
      <c r="B350" s="123" t="s">
        <v>744</v>
      </c>
      <c r="C350" s="126"/>
      <c r="D350" s="123" t="s">
        <v>790</v>
      </c>
      <c r="E350" s="125">
        <f>E351</f>
        <v>0</v>
      </c>
      <c r="F350" s="125">
        <f t="shared" ref="F350:P351" si="68">F351</f>
        <v>0</v>
      </c>
      <c r="G350" s="125">
        <f t="shared" si="68"/>
        <v>0</v>
      </c>
      <c r="H350" s="125">
        <f t="shared" si="68"/>
        <v>0</v>
      </c>
      <c r="I350" s="125">
        <f t="shared" si="68"/>
        <v>0</v>
      </c>
      <c r="J350" s="125">
        <f t="shared" si="68"/>
        <v>0</v>
      </c>
      <c r="K350" s="125">
        <f t="shared" si="68"/>
        <v>0</v>
      </c>
      <c r="L350" s="125">
        <f t="shared" si="68"/>
        <v>0</v>
      </c>
      <c r="M350" s="125">
        <f t="shared" si="68"/>
        <v>0</v>
      </c>
      <c r="N350" s="125">
        <f t="shared" si="68"/>
        <v>0</v>
      </c>
      <c r="O350" s="125">
        <f t="shared" si="68"/>
        <v>0</v>
      </c>
      <c r="P350" s="125">
        <f t="shared" si="68"/>
        <v>0</v>
      </c>
      <c r="Q350" s="47"/>
      <c r="R350" s="46"/>
    </row>
    <row r="351" spans="1:18" ht="47.25" hidden="1" thickTop="1" thickBot="1" x14ac:dyDescent="0.25">
      <c r="A351" s="134" t="s">
        <v>905</v>
      </c>
      <c r="B351" s="134" t="s">
        <v>799</v>
      </c>
      <c r="C351" s="134"/>
      <c r="D351" s="134" t="s">
        <v>800</v>
      </c>
      <c r="E351" s="135">
        <f>E352</f>
        <v>0</v>
      </c>
      <c r="F351" s="135">
        <f t="shared" si="68"/>
        <v>0</v>
      </c>
      <c r="G351" s="135">
        <f t="shared" si="68"/>
        <v>0</v>
      </c>
      <c r="H351" s="135">
        <f t="shared" si="68"/>
        <v>0</v>
      </c>
      <c r="I351" s="135">
        <f t="shared" si="68"/>
        <v>0</v>
      </c>
      <c r="J351" s="135">
        <f t="shared" si="68"/>
        <v>0</v>
      </c>
      <c r="K351" s="135">
        <f t="shared" si="68"/>
        <v>0</v>
      </c>
      <c r="L351" s="135">
        <f t="shared" si="68"/>
        <v>0</v>
      </c>
      <c r="M351" s="135">
        <f t="shared" si="68"/>
        <v>0</v>
      </c>
      <c r="N351" s="135">
        <f t="shared" si="68"/>
        <v>0</v>
      </c>
      <c r="O351" s="135">
        <f t="shared" si="68"/>
        <v>0</v>
      </c>
      <c r="P351" s="135">
        <f t="shared" si="68"/>
        <v>0</v>
      </c>
      <c r="Q351" s="47"/>
      <c r="R351" s="46"/>
    </row>
    <row r="352" spans="1:18" ht="93" hidden="1" thickTop="1" thickBot="1" x14ac:dyDescent="0.25">
      <c r="A352" s="126" t="s">
        <v>906</v>
      </c>
      <c r="B352" s="126" t="s">
        <v>907</v>
      </c>
      <c r="C352" s="126" t="s">
        <v>304</v>
      </c>
      <c r="D352" s="126" t="s">
        <v>908</v>
      </c>
      <c r="E352" s="150">
        <f>F352</f>
        <v>0</v>
      </c>
      <c r="F352" s="127"/>
      <c r="G352" s="127"/>
      <c r="H352" s="127"/>
      <c r="I352" s="127"/>
      <c r="J352" s="125">
        <f t="shared" ref="J352" si="69">L352+O352</f>
        <v>0</v>
      </c>
      <c r="K352" s="127">
        <v>0</v>
      </c>
      <c r="L352" s="128"/>
      <c r="M352" s="128"/>
      <c r="N352" s="128"/>
      <c r="O352" s="130">
        <f t="shared" ref="O352" si="70">K352</f>
        <v>0</v>
      </c>
      <c r="P352" s="125">
        <f t="shared" ref="P352" si="71">+J352+E352</f>
        <v>0</v>
      </c>
      <c r="Q352" s="47"/>
      <c r="R352" s="46"/>
    </row>
    <row r="353" spans="1:18" ht="120" customHeight="1" thickTop="1" thickBot="1" x14ac:dyDescent="0.25">
      <c r="A353" s="689" t="s">
        <v>443</v>
      </c>
      <c r="B353" s="689"/>
      <c r="C353" s="689"/>
      <c r="D353" s="690" t="s">
        <v>445</v>
      </c>
      <c r="E353" s="691">
        <f>E354</f>
        <v>-1435107</v>
      </c>
      <c r="F353" s="692">
        <f t="shared" ref="F353:G353" si="72">F354</f>
        <v>-1435107</v>
      </c>
      <c r="G353" s="692">
        <f t="shared" si="72"/>
        <v>0</v>
      </c>
      <c r="H353" s="692">
        <f>H354</f>
        <v>0</v>
      </c>
      <c r="I353" s="692">
        <f t="shared" ref="I353" si="73">I354</f>
        <v>0</v>
      </c>
      <c r="J353" s="691">
        <f>J354</f>
        <v>-40500</v>
      </c>
      <c r="K353" s="692">
        <f>K354</f>
        <v>-40500</v>
      </c>
      <c r="L353" s="692">
        <f>L354</f>
        <v>0</v>
      </c>
      <c r="M353" s="692">
        <f t="shared" ref="M353" si="74">M354</f>
        <v>0</v>
      </c>
      <c r="N353" s="692">
        <f>N354</f>
        <v>0</v>
      </c>
      <c r="O353" s="691">
        <f>O354</f>
        <v>-40500</v>
      </c>
      <c r="P353" s="692">
        <f t="shared" ref="P353" si="75">P354</f>
        <v>-1475607</v>
      </c>
      <c r="Q353" s="20"/>
    </row>
    <row r="354" spans="1:18" ht="120" customHeight="1" thickTop="1" thickBot="1" x14ac:dyDescent="0.25">
      <c r="A354" s="693" t="s">
        <v>444</v>
      </c>
      <c r="B354" s="693"/>
      <c r="C354" s="693"/>
      <c r="D354" s="694" t="s">
        <v>446</v>
      </c>
      <c r="E354" s="695">
        <f t="shared" ref="E354:O354" si="76">E355+E358+E367+E370</f>
        <v>-1435107</v>
      </c>
      <c r="F354" s="695">
        <f t="shared" si="76"/>
        <v>-1435107</v>
      </c>
      <c r="G354" s="695">
        <f t="shared" si="76"/>
        <v>0</v>
      </c>
      <c r="H354" s="695">
        <f t="shared" si="76"/>
        <v>0</v>
      </c>
      <c r="I354" s="695">
        <f t="shared" si="76"/>
        <v>0</v>
      </c>
      <c r="J354" s="695">
        <f t="shared" si="76"/>
        <v>-40500</v>
      </c>
      <c r="K354" s="695">
        <f t="shared" si="76"/>
        <v>-40500</v>
      </c>
      <c r="L354" s="695">
        <f t="shared" si="76"/>
        <v>0</v>
      </c>
      <c r="M354" s="695">
        <f t="shared" si="76"/>
        <v>0</v>
      </c>
      <c r="N354" s="695">
        <f t="shared" si="76"/>
        <v>0</v>
      </c>
      <c r="O354" s="695">
        <f t="shared" si="76"/>
        <v>-40500</v>
      </c>
      <c r="P354" s="695">
        <f>E354+J354</f>
        <v>-1475607</v>
      </c>
      <c r="Q354" s="487" t="b">
        <f>P354=P356+P361+P363+P369+P366</f>
        <v>1</v>
      </c>
      <c r="R354" s="46"/>
    </row>
    <row r="355" spans="1:18" ht="47.25" thickTop="1" thickBot="1" x14ac:dyDescent="0.25">
      <c r="A355" s="308" t="s">
        <v>819</v>
      </c>
      <c r="B355" s="308" t="s">
        <v>680</v>
      </c>
      <c r="C355" s="308"/>
      <c r="D355" s="308" t="s">
        <v>681</v>
      </c>
      <c r="E355" s="324">
        <f>'d3'!E355-d3П!E355</f>
        <v>0</v>
      </c>
      <c r="F355" s="324">
        <f>'d3'!F355-d3П!F355</f>
        <v>0</v>
      </c>
      <c r="G355" s="324">
        <f>'d3'!G355-d3П!G355</f>
        <v>0</v>
      </c>
      <c r="H355" s="324">
        <f>'d3'!H355-d3П!H355</f>
        <v>0</v>
      </c>
      <c r="I355" s="324">
        <f>'d3'!I355-d3П!I355</f>
        <v>0</v>
      </c>
      <c r="J355" s="324">
        <f>'d3'!J355-d3П!J355</f>
        <v>0</v>
      </c>
      <c r="K355" s="324">
        <f>'d3'!K355-d3П!K355</f>
        <v>0</v>
      </c>
      <c r="L355" s="324">
        <f>'d3'!L355-d3П!L355</f>
        <v>0</v>
      </c>
      <c r="M355" s="324">
        <f>'d3'!M355-d3П!M355</f>
        <v>0</v>
      </c>
      <c r="N355" s="324">
        <f>'d3'!N355-d3П!N355</f>
        <v>0</v>
      </c>
      <c r="O355" s="324">
        <f>'d3'!O355-d3П!O355</f>
        <v>0</v>
      </c>
      <c r="P355" s="324">
        <f>'d3'!P355-d3П!P355</f>
        <v>0</v>
      </c>
      <c r="Q355" s="47"/>
      <c r="R355" s="46"/>
    </row>
    <row r="356" spans="1:18" ht="93" thickTop="1" thickBot="1" x14ac:dyDescent="0.25">
      <c r="A356" s="101" t="s">
        <v>447</v>
      </c>
      <c r="B356" s="101" t="s">
        <v>236</v>
      </c>
      <c r="C356" s="101" t="s">
        <v>234</v>
      </c>
      <c r="D356" s="101" t="s">
        <v>235</v>
      </c>
      <c r="E356" s="324">
        <f>'d3'!E356-d3П!E356</f>
        <v>0</v>
      </c>
      <c r="F356" s="324">
        <f>'d3'!F356-d3П!F356</f>
        <v>0</v>
      </c>
      <c r="G356" s="324">
        <f>'d3'!G356-d3П!G356</f>
        <v>0</v>
      </c>
      <c r="H356" s="324">
        <f>'d3'!H356-d3П!H356</f>
        <v>0</v>
      </c>
      <c r="I356" s="324">
        <f>'d3'!I356-d3П!I356</f>
        <v>0</v>
      </c>
      <c r="J356" s="324">
        <f>'d3'!J356-d3П!J356</f>
        <v>0</v>
      </c>
      <c r="K356" s="324">
        <f>'d3'!K356-d3П!K356</f>
        <v>0</v>
      </c>
      <c r="L356" s="324">
        <f>'d3'!L356-d3П!L356</f>
        <v>0</v>
      </c>
      <c r="M356" s="324">
        <f>'d3'!M356-d3П!M356</f>
        <v>0</v>
      </c>
      <c r="N356" s="324">
        <f>'d3'!N356-d3П!N356</f>
        <v>0</v>
      </c>
      <c r="O356" s="324">
        <f>'d3'!O356-d3П!O356</f>
        <v>0</v>
      </c>
      <c r="P356" s="324">
        <f>'d3'!P356-d3П!P356</f>
        <v>0</v>
      </c>
      <c r="Q356" s="47"/>
      <c r="R356" s="46"/>
    </row>
    <row r="357" spans="1:18" ht="93" hidden="1" thickTop="1" thickBot="1" x14ac:dyDescent="0.25">
      <c r="A357" s="126" t="s">
        <v>630</v>
      </c>
      <c r="B357" s="126" t="s">
        <v>362</v>
      </c>
      <c r="C357" s="126" t="s">
        <v>623</v>
      </c>
      <c r="D357" s="126" t="s">
        <v>624</v>
      </c>
      <c r="E357" s="324">
        <f>'d3'!E357-d3П!E357</f>
        <v>0</v>
      </c>
      <c r="F357" s="324">
        <f>'d3'!F357-d3П!F357</f>
        <v>0</v>
      </c>
      <c r="G357" s="324">
        <f>'d3'!G357-d3П!G357</f>
        <v>0</v>
      </c>
      <c r="H357" s="324">
        <f>'d3'!H357-d3П!H357</f>
        <v>0</v>
      </c>
      <c r="I357" s="324">
        <f>'d3'!I357-d3П!I357</f>
        <v>0</v>
      </c>
      <c r="J357" s="324">
        <f>'d3'!J357-d3П!J357</f>
        <v>0</v>
      </c>
      <c r="K357" s="324">
        <f>'d3'!K357-d3П!K357</f>
        <v>0</v>
      </c>
      <c r="L357" s="324">
        <f>'d3'!L357-d3П!L357</f>
        <v>0</v>
      </c>
      <c r="M357" s="324">
        <f>'d3'!M357-d3П!M357</f>
        <v>0</v>
      </c>
      <c r="N357" s="324">
        <f>'d3'!N357-d3П!N357</f>
        <v>0</v>
      </c>
      <c r="O357" s="324">
        <f>'d3'!O357-d3П!O357</f>
        <v>0</v>
      </c>
      <c r="P357" s="324">
        <f>'d3'!P357-d3П!P357</f>
        <v>0</v>
      </c>
      <c r="Q357" s="47"/>
      <c r="R357" s="46"/>
    </row>
    <row r="358" spans="1:18" ht="47.25" thickTop="1" thickBot="1" x14ac:dyDescent="0.25">
      <c r="A358" s="308" t="s">
        <v>820</v>
      </c>
      <c r="B358" s="308" t="s">
        <v>744</v>
      </c>
      <c r="C358" s="101"/>
      <c r="D358" s="308" t="s">
        <v>790</v>
      </c>
      <c r="E358" s="324">
        <f>'d3'!E358-d3П!E358</f>
        <v>-785107</v>
      </c>
      <c r="F358" s="324">
        <f>'d3'!F358-d3П!F358</f>
        <v>-785107</v>
      </c>
      <c r="G358" s="324">
        <f>'d3'!G358-d3П!G358</f>
        <v>0</v>
      </c>
      <c r="H358" s="324">
        <f>'d3'!H358-d3П!H358</f>
        <v>0</v>
      </c>
      <c r="I358" s="324">
        <f>'d3'!I358-d3П!I358</f>
        <v>0</v>
      </c>
      <c r="J358" s="324">
        <f>'d3'!J358-d3П!J358</f>
        <v>-40500</v>
      </c>
      <c r="K358" s="324">
        <f>'d3'!K358-d3П!K358</f>
        <v>-40500</v>
      </c>
      <c r="L358" s="324">
        <f>'d3'!L358-d3П!L358</f>
        <v>0</v>
      </c>
      <c r="M358" s="324">
        <f>'d3'!M358-d3П!M358</f>
        <v>0</v>
      </c>
      <c r="N358" s="324">
        <f>'d3'!N358-d3П!N358</f>
        <v>0</v>
      </c>
      <c r="O358" s="324">
        <f>'d3'!O358-d3П!O358</f>
        <v>-40500</v>
      </c>
      <c r="P358" s="324">
        <f>'d3'!P358-d3П!P358</f>
        <v>-825607</v>
      </c>
      <c r="Q358" s="47"/>
      <c r="R358" s="50"/>
    </row>
    <row r="359" spans="1:18" ht="47.25" thickTop="1" thickBot="1" x14ac:dyDescent="0.25">
      <c r="A359" s="310" t="s">
        <v>821</v>
      </c>
      <c r="B359" s="310" t="s">
        <v>802</v>
      </c>
      <c r="C359" s="310"/>
      <c r="D359" s="310" t="s">
        <v>803</v>
      </c>
      <c r="E359" s="324">
        <f>'d3'!E359-d3П!E359</f>
        <v>-785107</v>
      </c>
      <c r="F359" s="324">
        <f>'d3'!F359-d3П!F359</f>
        <v>-785107</v>
      </c>
      <c r="G359" s="324">
        <f>'d3'!G359-d3П!G359</f>
        <v>0</v>
      </c>
      <c r="H359" s="324">
        <f>'d3'!H359-d3П!H359</f>
        <v>0</v>
      </c>
      <c r="I359" s="324">
        <f>'d3'!I359-d3П!I359</f>
        <v>0</v>
      </c>
      <c r="J359" s="324">
        <f>'d3'!J359-d3П!J359</f>
        <v>0</v>
      </c>
      <c r="K359" s="324">
        <f>'d3'!K359-d3П!K359</f>
        <v>0</v>
      </c>
      <c r="L359" s="324">
        <f>'d3'!L359-d3П!L359</f>
        <v>0</v>
      </c>
      <c r="M359" s="324">
        <f>'d3'!M359-d3П!M359</f>
        <v>0</v>
      </c>
      <c r="N359" s="324">
        <f>'d3'!N359-d3П!N359</f>
        <v>0</v>
      </c>
      <c r="O359" s="324">
        <f>'d3'!O359-d3П!O359</f>
        <v>0</v>
      </c>
      <c r="P359" s="324">
        <f>'d3'!P359-d3П!P359</f>
        <v>-785107</v>
      </c>
      <c r="Q359" s="47"/>
      <c r="R359" s="50"/>
    </row>
    <row r="360" spans="1:18" ht="93" thickTop="1" thickBot="1" x14ac:dyDescent="0.25">
      <c r="A360" s="325" t="s">
        <v>1001</v>
      </c>
      <c r="B360" s="325" t="s">
        <v>1002</v>
      </c>
      <c r="C360" s="325"/>
      <c r="D360" s="325" t="s">
        <v>1000</v>
      </c>
      <c r="E360" s="324">
        <f>'d3'!E360-d3П!E360</f>
        <v>0</v>
      </c>
      <c r="F360" s="324">
        <f>'d3'!F360-d3П!F360</f>
        <v>0</v>
      </c>
      <c r="G360" s="324">
        <f>'d3'!G360-d3П!G360</f>
        <v>0</v>
      </c>
      <c r="H360" s="324">
        <f>'d3'!H360-d3П!H360</f>
        <v>0</v>
      </c>
      <c r="I360" s="324">
        <f>'d3'!I360-d3П!I360</f>
        <v>0</v>
      </c>
      <c r="J360" s="324">
        <f>'d3'!J360-d3П!J360</f>
        <v>0</v>
      </c>
      <c r="K360" s="324">
        <f>'d3'!K360-d3П!K360</f>
        <v>0</v>
      </c>
      <c r="L360" s="324">
        <f>'d3'!L360-d3П!L360</f>
        <v>0</v>
      </c>
      <c r="M360" s="324">
        <f>'d3'!M360-d3П!M360</f>
        <v>0</v>
      </c>
      <c r="N360" s="324">
        <f>'d3'!N360-d3П!N360</f>
        <v>0</v>
      </c>
      <c r="O360" s="324">
        <f>'d3'!O360-d3П!O360</f>
        <v>0</v>
      </c>
      <c r="P360" s="324">
        <f>'d3'!P360-d3П!P360</f>
        <v>0</v>
      </c>
      <c r="Q360" s="47"/>
      <c r="R360" s="50"/>
    </row>
    <row r="361" spans="1:18" ht="47.25" thickTop="1" thickBot="1" x14ac:dyDescent="0.25">
      <c r="A361" s="101" t="s">
        <v>466</v>
      </c>
      <c r="B361" s="101" t="s">
        <v>411</v>
      </c>
      <c r="C361" s="101" t="s">
        <v>412</v>
      </c>
      <c r="D361" s="101" t="s">
        <v>413</v>
      </c>
      <c r="E361" s="324">
        <f>'d3'!E361-d3П!E361</f>
        <v>0</v>
      </c>
      <c r="F361" s="324">
        <f>'d3'!F361-d3П!F361</f>
        <v>0</v>
      </c>
      <c r="G361" s="324">
        <f>'d3'!G361-d3П!G361</f>
        <v>0</v>
      </c>
      <c r="H361" s="324">
        <f>'d3'!H361-d3П!H361</f>
        <v>0</v>
      </c>
      <c r="I361" s="324">
        <f>'d3'!I361-d3П!I361</f>
        <v>0</v>
      </c>
      <c r="J361" s="324">
        <f>'d3'!J361-d3П!J361</f>
        <v>0</v>
      </c>
      <c r="K361" s="324">
        <f>'d3'!K361-d3П!K361</f>
        <v>0</v>
      </c>
      <c r="L361" s="324">
        <f>'d3'!L361-d3П!L361</f>
        <v>0</v>
      </c>
      <c r="M361" s="324">
        <f>'d3'!M361-d3П!M361</f>
        <v>0</v>
      </c>
      <c r="N361" s="324">
        <f>'d3'!N361-d3П!N361</f>
        <v>0</v>
      </c>
      <c r="O361" s="324">
        <f>'d3'!O361-d3П!O361</f>
        <v>0</v>
      </c>
      <c r="P361" s="324">
        <f>'d3'!P361-d3П!P361</f>
        <v>0</v>
      </c>
      <c r="Q361" s="47"/>
      <c r="R361" s="50"/>
    </row>
    <row r="362" spans="1:18" ht="47.25" thickTop="1" thickBot="1" x14ac:dyDescent="0.25">
      <c r="A362" s="325" t="s">
        <v>822</v>
      </c>
      <c r="B362" s="325" t="s">
        <v>823</v>
      </c>
      <c r="C362" s="325"/>
      <c r="D362" s="325" t="s">
        <v>824</v>
      </c>
      <c r="E362" s="324">
        <f>'d3'!E362-d3П!E362</f>
        <v>-785107</v>
      </c>
      <c r="F362" s="324">
        <f>'d3'!F362-d3П!F362</f>
        <v>-785107</v>
      </c>
      <c r="G362" s="324">
        <f>'d3'!G362-d3П!G362</f>
        <v>0</v>
      </c>
      <c r="H362" s="324">
        <f>'d3'!H362-d3П!H362</f>
        <v>0</v>
      </c>
      <c r="I362" s="324">
        <f>'d3'!I362-d3П!I362</f>
        <v>0</v>
      </c>
      <c r="J362" s="324">
        <f>'d3'!J362-d3П!J362</f>
        <v>0</v>
      </c>
      <c r="K362" s="324">
        <f>'d3'!K362-d3П!K362</f>
        <v>0</v>
      </c>
      <c r="L362" s="324">
        <f>'d3'!L362-d3П!L362</f>
        <v>0</v>
      </c>
      <c r="M362" s="324">
        <f>'d3'!M362-d3П!M362</f>
        <v>0</v>
      </c>
      <c r="N362" s="324">
        <f>'d3'!N362-d3П!N362</f>
        <v>0</v>
      </c>
      <c r="O362" s="324">
        <f>'d3'!O362-d3П!O362</f>
        <v>0</v>
      </c>
      <c r="P362" s="324">
        <f>'d3'!P362-d3П!P362</f>
        <v>-785107</v>
      </c>
      <c r="Q362" s="47"/>
      <c r="R362" s="50"/>
    </row>
    <row r="363" spans="1:18" ht="47.25" thickTop="1" thickBot="1" x14ac:dyDescent="0.25">
      <c r="A363" s="101" t="s">
        <v>467</v>
      </c>
      <c r="B363" s="101" t="s">
        <v>291</v>
      </c>
      <c r="C363" s="101" t="s">
        <v>1347</v>
      </c>
      <c r="D363" s="101" t="s">
        <v>292</v>
      </c>
      <c r="E363" s="324">
        <f>'d3'!E363-d3П!E363</f>
        <v>-785107</v>
      </c>
      <c r="F363" s="324">
        <f>'d3'!F363-d3П!F363</f>
        <v>-785107</v>
      </c>
      <c r="G363" s="324">
        <f>'d3'!G363-d3П!G363</f>
        <v>0</v>
      </c>
      <c r="H363" s="324">
        <f>'d3'!H363-d3П!H363</f>
        <v>0</v>
      </c>
      <c r="I363" s="324">
        <f>'d3'!I363-d3П!I363</f>
        <v>0</v>
      </c>
      <c r="J363" s="324">
        <f>'d3'!J363-d3П!J363</f>
        <v>0</v>
      </c>
      <c r="K363" s="324">
        <f>'d3'!K363-d3П!K363</f>
        <v>0</v>
      </c>
      <c r="L363" s="324">
        <f>'d3'!L363-d3П!L363</f>
        <v>0</v>
      </c>
      <c r="M363" s="324">
        <f>'d3'!M363-d3П!M363</f>
        <v>0</v>
      </c>
      <c r="N363" s="324">
        <f>'d3'!N363-d3П!N363</f>
        <v>0</v>
      </c>
      <c r="O363" s="324">
        <f>'d3'!O363-d3П!O363</f>
        <v>0</v>
      </c>
      <c r="P363" s="324">
        <f>'d3'!P363-d3П!P363</f>
        <v>-785107</v>
      </c>
      <c r="Q363" s="47"/>
      <c r="R363" s="50"/>
    </row>
    <row r="364" spans="1:18" ht="47.25" hidden="1" thickTop="1" thickBot="1" x14ac:dyDescent="0.25">
      <c r="A364" s="126" t="s">
        <v>1080</v>
      </c>
      <c r="B364" s="126" t="s">
        <v>1081</v>
      </c>
      <c r="C364" s="126" t="s">
        <v>295</v>
      </c>
      <c r="D364" s="126" t="s">
        <v>1079</v>
      </c>
      <c r="E364" s="324">
        <f>'d3'!E364-d3П!E364</f>
        <v>0</v>
      </c>
      <c r="F364" s="324">
        <f>'d3'!F364-d3П!F364</f>
        <v>0</v>
      </c>
      <c r="G364" s="324">
        <f>'d3'!G364-d3П!G364</f>
        <v>0</v>
      </c>
      <c r="H364" s="324">
        <f>'d3'!H364-d3П!H364</f>
        <v>0</v>
      </c>
      <c r="I364" s="324">
        <f>'d3'!I364-d3П!I364</f>
        <v>0</v>
      </c>
      <c r="J364" s="324">
        <f>'d3'!J364-d3П!J364</f>
        <v>0</v>
      </c>
      <c r="K364" s="324">
        <f>'d3'!K364-d3П!K364</f>
        <v>0</v>
      </c>
      <c r="L364" s="324">
        <f>'d3'!L364-d3П!L364</f>
        <v>0</v>
      </c>
      <c r="M364" s="324">
        <f>'d3'!M364-d3П!M364</f>
        <v>0</v>
      </c>
      <c r="N364" s="324">
        <f>'d3'!N364-d3П!N364</f>
        <v>0</v>
      </c>
      <c r="O364" s="324">
        <f>'d3'!O364-d3П!O364</f>
        <v>0</v>
      </c>
      <c r="P364" s="324">
        <f>'d3'!P364-d3П!P364</f>
        <v>0</v>
      </c>
      <c r="Q364" s="47"/>
      <c r="R364" s="50"/>
    </row>
    <row r="365" spans="1:18" ht="47.25" thickTop="1" thickBot="1" x14ac:dyDescent="0.25">
      <c r="A365" s="310" t="s">
        <v>1155</v>
      </c>
      <c r="B365" s="310" t="s">
        <v>687</v>
      </c>
      <c r="C365" s="310"/>
      <c r="D365" s="310" t="s">
        <v>685</v>
      </c>
      <c r="E365" s="324">
        <f>'d3'!E365-d3П!E365</f>
        <v>0</v>
      </c>
      <c r="F365" s="324">
        <f>'d3'!F365-d3П!F365</f>
        <v>0</v>
      </c>
      <c r="G365" s="324">
        <f>'d3'!G365-d3П!G365</f>
        <v>0</v>
      </c>
      <c r="H365" s="324">
        <f>'d3'!H365-d3П!H365</f>
        <v>0</v>
      </c>
      <c r="I365" s="324">
        <f>'d3'!I365-d3П!I365</f>
        <v>0</v>
      </c>
      <c r="J365" s="324">
        <f>'d3'!J365-d3П!J365</f>
        <v>-40500</v>
      </c>
      <c r="K365" s="324">
        <f>'d3'!K365-d3П!K365</f>
        <v>-40500</v>
      </c>
      <c r="L365" s="324">
        <f>'d3'!L365-d3П!L365</f>
        <v>0</v>
      </c>
      <c r="M365" s="324">
        <f>'d3'!M365-d3П!M365</f>
        <v>0</v>
      </c>
      <c r="N365" s="324">
        <f>'d3'!N365-d3П!N365</f>
        <v>0</v>
      </c>
      <c r="O365" s="324">
        <f>'d3'!O365-d3П!O365</f>
        <v>-40500</v>
      </c>
      <c r="P365" s="324">
        <f>'d3'!P365-d3П!P365</f>
        <v>-40500</v>
      </c>
      <c r="Q365" s="47"/>
      <c r="R365" s="50"/>
    </row>
    <row r="366" spans="1:18" ht="47.25" thickTop="1" thickBot="1" x14ac:dyDescent="0.25">
      <c r="A366" s="101" t="s">
        <v>1156</v>
      </c>
      <c r="B366" s="101" t="s">
        <v>197</v>
      </c>
      <c r="C366" s="101" t="s">
        <v>170</v>
      </c>
      <c r="D366" s="101" t="s">
        <v>1157</v>
      </c>
      <c r="E366" s="324">
        <f>'d3'!E366-d3П!E366</f>
        <v>0</v>
      </c>
      <c r="F366" s="324">
        <f>'d3'!F366-d3П!F366</f>
        <v>0</v>
      </c>
      <c r="G366" s="324">
        <f>'d3'!G366-d3П!G366</f>
        <v>0</v>
      </c>
      <c r="H366" s="324">
        <f>'d3'!H366-d3П!H366</f>
        <v>0</v>
      </c>
      <c r="I366" s="324">
        <f>'d3'!I366-d3П!I366</f>
        <v>0</v>
      </c>
      <c r="J366" s="324">
        <f>'d3'!J366-d3П!J366</f>
        <v>-40500</v>
      </c>
      <c r="K366" s="324">
        <f>'d3'!K366-d3П!K366</f>
        <v>-40500</v>
      </c>
      <c r="L366" s="324">
        <f>'d3'!L366-d3П!L366</f>
        <v>0</v>
      </c>
      <c r="M366" s="324">
        <f>'d3'!M366-d3П!M366</f>
        <v>0</v>
      </c>
      <c r="N366" s="324">
        <f>'d3'!N366-d3П!N366</f>
        <v>0</v>
      </c>
      <c r="O366" s="324">
        <f>'d3'!O366-d3П!O366</f>
        <v>-40500</v>
      </c>
      <c r="P366" s="324">
        <f>'d3'!P366-d3П!P366</f>
        <v>-40500</v>
      </c>
      <c r="Q366" s="47"/>
      <c r="R366" s="50"/>
    </row>
    <row r="367" spans="1:18" ht="47.25" thickTop="1" thickBot="1" x14ac:dyDescent="0.25">
      <c r="A367" s="308" t="s">
        <v>1201</v>
      </c>
      <c r="B367" s="308" t="s">
        <v>692</v>
      </c>
      <c r="C367" s="308"/>
      <c r="D367" s="308" t="s">
        <v>693</v>
      </c>
      <c r="E367" s="324">
        <f>'d3'!E367-d3П!E367</f>
        <v>-650000</v>
      </c>
      <c r="F367" s="324">
        <f>'d3'!F367-d3П!F367</f>
        <v>-650000</v>
      </c>
      <c r="G367" s="324">
        <f>'d3'!G367-d3П!G367</f>
        <v>0</v>
      </c>
      <c r="H367" s="324">
        <f>'d3'!H367-d3П!H367</f>
        <v>0</v>
      </c>
      <c r="I367" s="324">
        <f>'d3'!I367-d3П!I367</f>
        <v>0</v>
      </c>
      <c r="J367" s="324">
        <f>'d3'!J367-d3П!J367</f>
        <v>0</v>
      </c>
      <c r="K367" s="324">
        <f>'d3'!K367-d3П!K367</f>
        <v>0</v>
      </c>
      <c r="L367" s="324">
        <f>'d3'!L367-d3П!L367</f>
        <v>0</v>
      </c>
      <c r="M367" s="324">
        <f>'d3'!M367-d3П!M367</f>
        <v>0</v>
      </c>
      <c r="N367" s="324">
        <f>'d3'!N367-d3П!N367</f>
        <v>0</v>
      </c>
      <c r="O367" s="324">
        <f>'d3'!O367-d3П!O367</f>
        <v>0</v>
      </c>
      <c r="P367" s="324">
        <f>'d3'!P367-d3П!P367</f>
        <v>-650000</v>
      </c>
      <c r="Q367" s="47"/>
      <c r="R367" s="50"/>
    </row>
    <row r="368" spans="1:18" ht="47.25" thickTop="1" thickBot="1" x14ac:dyDescent="0.25">
      <c r="A368" s="310" t="s">
        <v>1202</v>
      </c>
      <c r="B368" s="310" t="s">
        <v>1168</v>
      </c>
      <c r="C368" s="310"/>
      <c r="D368" s="310" t="s">
        <v>1166</v>
      </c>
      <c r="E368" s="324">
        <f>'d3'!E368-d3П!E368</f>
        <v>-650000</v>
      </c>
      <c r="F368" s="324">
        <f>'d3'!F368-d3П!F368</f>
        <v>-650000</v>
      </c>
      <c r="G368" s="324">
        <f>'d3'!G368-d3П!G368</f>
        <v>0</v>
      </c>
      <c r="H368" s="324">
        <f>'d3'!H368-d3П!H368</f>
        <v>0</v>
      </c>
      <c r="I368" s="324">
        <f>'d3'!I368-d3П!I368</f>
        <v>0</v>
      </c>
      <c r="J368" s="324">
        <f>'d3'!J368-d3П!J368</f>
        <v>0</v>
      </c>
      <c r="K368" s="324">
        <f>'d3'!K368-d3П!K368</f>
        <v>0</v>
      </c>
      <c r="L368" s="324">
        <f>'d3'!L368-d3П!L368</f>
        <v>0</v>
      </c>
      <c r="M368" s="324">
        <f>'d3'!M368-d3П!M368</f>
        <v>0</v>
      </c>
      <c r="N368" s="324">
        <f>'d3'!N368-d3П!N368</f>
        <v>0</v>
      </c>
      <c r="O368" s="324">
        <f>'d3'!O368-d3П!O368</f>
        <v>0</v>
      </c>
      <c r="P368" s="324">
        <f>'d3'!P368-d3П!P368</f>
        <v>-650000</v>
      </c>
      <c r="Q368" s="47"/>
      <c r="R368" s="50"/>
    </row>
    <row r="369" spans="1:18" ht="47.25" thickTop="1" thickBot="1" x14ac:dyDescent="0.25">
      <c r="A369" s="101" t="s">
        <v>1203</v>
      </c>
      <c r="B369" s="101" t="s">
        <v>1204</v>
      </c>
      <c r="C369" s="101" t="s">
        <v>1170</v>
      </c>
      <c r="D369" s="101" t="s">
        <v>1205</v>
      </c>
      <c r="E369" s="324">
        <f>'d3'!E369-d3П!E369</f>
        <v>-650000</v>
      </c>
      <c r="F369" s="324">
        <f>'d3'!F369-d3П!F369</f>
        <v>-650000</v>
      </c>
      <c r="G369" s="324">
        <f>'d3'!G369-d3П!G369</f>
        <v>0</v>
      </c>
      <c r="H369" s="324">
        <f>'d3'!H369-d3П!H369</f>
        <v>0</v>
      </c>
      <c r="I369" s="324">
        <f>'d3'!I369-d3П!I369</f>
        <v>0</v>
      </c>
      <c r="J369" s="324">
        <f>'d3'!J369-d3П!J369</f>
        <v>0</v>
      </c>
      <c r="K369" s="324">
        <f>'d3'!K369-d3П!K369</f>
        <v>0</v>
      </c>
      <c r="L369" s="324">
        <f>'d3'!L369-d3П!L369</f>
        <v>0</v>
      </c>
      <c r="M369" s="324">
        <f>'d3'!M369-d3П!M369</f>
        <v>0</v>
      </c>
      <c r="N369" s="324">
        <f>'d3'!N369-d3П!N369</f>
        <v>0</v>
      </c>
      <c r="O369" s="324">
        <f>'d3'!O369-d3П!O369</f>
        <v>0</v>
      </c>
      <c r="P369" s="324">
        <f>'d3'!P369-d3П!P369</f>
        <v>-650000</v>
      </c>
      <c r="Q369" s="47"/>
      <c r="R369" s="50"/>
    </row>
    <row r="370" spans="1:18" ht="47.25" hidden="1" thickTop="1" thickBot="1" x14ac:dyDescent="0.25">
      <c r="A370" s="123" t="s">
        <v>1314</v>
      </c>
      <c r="B370" s="123" t="s">
        <v>698</v>
      </c>
      <c r="C370" s="123"/>
      <c r="D370" s="123" t="s">
        <v>699</v>
      </c>
      <c r="E370" s="125">
        <f t="shared" ref="E370:P370" si="77">E371</f>
        <v>0</v>
      </c>
      <c r="F370" s="125">
        <f t="shared" si="77"/>
        <v>0</v>
      </c>
      <c r="G370" s="125">
        <f t="shared" si="77"/>
        <v>0</v>
      </c>
      <c r="H370" s="125">
        <f t="shared" si="77"/>
        <v>0</v>
      </c>
      <c r="I370" s="125">
        <f t="shared" si="77"/>
        <v>0</v>
      </c>
      <c r="J370" s="125">
        <f t="shared" si="77"/>
        <v>0</v>
      </c>
      <c r="K370" s="125">
        <f t="shared" si="77"/>
        <v>0</v>
      </c>
      <c r="L370" s="125">
        <f t="shared" si="77"/>
        <v>0</v>
      </c>
      <c r="M370" s="125">
        <f t="shared" si="77"/>
        <v>0</v>
      </c>
      <c r="N370" s="125">
        <f t="shared" si="77"/>
        <v>0</v>
      </c>
      <c r="O370" s="125">
        <f t="shared" si="77"/>
        <v>0</v>
      </c>
      <c r="P370" s="125">
        <f t="shared" si="77"/>
        <v>0</v>
      </c>
      <c r="Q370" s="47"/>
      <c r="R370" s="50"/>
    </row>
    <row r="371" spans="1:18" ht="91.5" hidden="1" thickTop="1" thickBot="1" x14ac:dyDescent="0.25">
      <c r="A371" s="134" t="s">
        <v>1315</v>
      </c>
      <c r="B371" s="134" t="s">
        <v>513</v>
      </c>
      <c r="C371" s="134" t="s">
        <v>43</v>
      </c>
      <c r="D371" s="134" t="s">
        <v>514</v>
      </c>
      <c r="E371" s="135">
        <f t="shared" ref="E371" si="78">F371</f>
        <v>0</v>
      </c>
      <c r="F371" s="135">
        <v>0</v>
      </c>
      <c r="G371" s="135"/>
      <c r="H371" s="135"/>
      <c r="I371" s="135"/>
      <c r="J371" s="135">
        <f>L371+O371</f>
        <v>0</v>
      </c>
      <c r="K371" s="132"/>
      <c r="L371" s="135"/>
      <c r="M371" s="135"/>
      <c r="N371" s="135"/>
      <c r="O371" s="135">
        <f>(K371+0)</f>
        <v>0</v>
      </c>
      <c r="P371" s="135">
        <f>E371+J371</f>
        <v>0</v>
      </c>
      <c r="Q371" s="47"/>
      <c r="R371" s="50"/>
    </row>
    <row r="372" spans="1:18" ht="120" customHeight="1" thickTop="1" thickBot="1" x14ac:dyDescent="0.25">
      <c r="A372" s="689" t="s">
        <v>166</v>
      </c>
      <c r="B372" s="689"/>
      <c r="C372" s="689"/>
      <c r="D372" s="690" t="s">
        <v>354</v>
      </c>
      <c r="E372" s="691">
        <f>E373</f>
        <v>0</v>
      </c>
      <c r="F372" s="692">
        <f t="shared" ref="F372:G372" si="79">F373</f>
        <v>0</v>
      </c>
      <c r="G372" s="692">
        <f t="shared" si="79"/>
        <v>0</v>
      </c>
      <c r="H372" s="692">
        <f>H373</f>
        <v>0</v>
      </c>
      <c r="I372" s="692">
        <f t="shared" ref="I372" si="80">I373</f>
        <v>0</v>
      </c>
      <c r="J372" s="691">
        <f>J373</f>
        <v>0</v>
      </c>
      <c r="K372" s="692">
        <f>K373</f>
        <v>0</v>
      </c>
      <c r="L372" s="692">
        <f>L373</f>
        <v>0</v>
      </c>
      <c r="M372" s="692">
        <f t="shared" ref="M372" si="81">M373</f>
        <v>0</v>
      </c>
      <c r="N372" s="692">
        <f>N373</f>
        <v>0</v>
      </c>
      <c r="O372" s="691">
        <f>O373</f>
        <v>0</v>
      </c>
      <c r="P372" s="692">
        <f t="shared" ref="P372" si="82">P373</f>
        <v>0</v>
      </c>
      <c r="Q372" s="20"/>
    </row>
    <row r="373" spans="1:18" ht="120" customHeight="1" thickTop="1" thickBot="1" x14ac:dyDescent="0.25">
      <c r="A373" s="693" t="s">
        <v>167</v>
      </c>
      <c r="B373" s="693"/>
      <c r="C373" s="693"/>
      <c r="D373" s="694" t="s">
        <v>355</v>
      </c>
      <c r="E373" s="695">
        <f>E377+E389+E386+E374</f>
        <v>0</v>
      </c>
      <c r="F373" s="695">
        <f>F377+F389+F386+F374</f>
        <v>0</v>
      </c>
      <c r="G373" s="695">
        <f>G377+G389+G386+G374</f>
        <v>0</v>
      </c>
      <c r="H373" s="695">
        <f>H377+H389+H386+H374</f>
        <v>0</v>
      </c>
      <c r="I373" s="695">
        <f>I377+I389+I386+I374</f>
        <v>0</v>
      </c>
      <c r="J373" s="695">
        <f>L373+O373</f>
        <v>0</v>
      </c>
      <c r="K373" s="695">
        <f>K377+K389+K386+K374</f>
        <v>0</v>
      </c>
      <c r="L373" s="695">
        <f>L377+L389+L386+L374</f>
        <v>0</v>
      </c>
      <c r="M373" s="695">
        <f>M377+M389+M386+M374</f>
        <v>0</v>
      </c>
      <c r="N373" s="695">
        <f>N377+N389+N386+N374</f>
        <v>0</v>
      </c>
      <c r="O373" s="695">
        <f>O377+O389+O386+O374</f>
        <v>0</v>
      </c>
      <c r="P373" s="695">
        <f>E373+J373</f>
        <v>0</v>
      </c>
      <c r="Q373" s="487" t="b">
        <f>P373=P379+P381+P382+P383+P375+P388+P376</f>
        <v>1</v>
      </c>
      <c r="R373" s="46"/>
    </row>
    <row r="374" spans="1:18" ht="47.25" thickTop="1" thickBot="1" x14ac:dyDescent="0.25">
      <c r="A374" s="308" t="s">
        <v>1288</v>
      </c>
      <c r="B374" s="308" t="s">
        <v>707</v>
      </c>
      <c r="C374" s="308"/>
      <c r="D374" s="308" t="s">
        <v>708</v>
      </c>
      <c r="E374" s="324">
        <f>'d3'!E374-d3П!E374</f>
        <v>0</v>
      </c>
      <c r="F374" s="324">
        <f>'d3'!F374-d3П!F374</f>
        <v>0</v>
      </c>
      <c r="G374" s="324">
        <f>'d3'!G374-d3П!G374</f>
        <v>0</v>
      </c>
      <c r="H374" s="324">
        <f>'d3'!H374-d3П!H374</f>
        <v>0</v>
      </c>
      <c r="I374" s="324">
        <f>'d3'!I374-d3П!I374</f>
        <v>0</v>
      </c>
      <c r="J374" s="324">
        <f>'d3'!J374-d3П!J374</f>
        <v>0</v>
      </c>
      <c r="K374" s="324">
        <f>'d3'!K374-d3П!K374</f>
        <v>0</v>
      </c>
      <c r="L374" s="324">
        <f>'d3'!L374-d3П!L374</f>
        <v>0</v>
      </c>
      <c r="M374" s="324">
        <f>'d3'!M374-d3П!M374</f>
        <v>0</v>
      </c>
      <c r="N374" s="324">
        <f>'d3'!N374-d3П!N374</f>
        <v>0</v>
      </c>
      <c r="O374" s="324">
        <f>'d3'!O374-d3П!O374</f>
        <v>0</v>
      </c>
      <c r="P374" s="324">
        <f>'d3'!P374-d3П!P374</f>
        <v>0</v>
      </c>
      <c r="Q374" s="47"/>
      <c r="R374" s="46"/>
    </row>
    <row r="375" spans="1:18" ht="93" thickTop="1" thickBot="1" x14ac:dyDescent="0.25">
      <c r="A375" s="101" t="s">
        <v>1289</v>
      </c>
      <c r="B375" s="101" t="s">
        <v>1182</v>
      </c>
      <c r="C375" s="101" t="s">
        <v>206</v>
      </c>
      <c r="D375" s="461" t="s">
        <v>1183</v>
      </c>
      <c r="E375" s="324">
        <f>'d3'!E375-d3П!E375</f>
        <v>0</v>
      </c>
      <c r="F375" s="324">
        <f>'d3'!F375-d3П!F375</f>
        <v>0</v>
      </c>
      <c r="G375" s="324">
        <f>'d3'!G375-d3П!G375</f>
        <v>0</v>
      </c>
      <c r="H375" s="324">
        <f>'d3'!H375-d3П!H375</f>
        <v>0</v>
      </c>
      <c r="I375" s="324">
        <f>'d3'!I375-d3П!I375</f>
        <v>0</v>
      </c>
      <c r="J375" s="324">
        <f>'d3'!J375-d3П!J375</f>
        <v>0</v>
      </c>
      <c r="K375" s="324">
        <f>'d3'!K375-d3П!K375</f>
        <v>0</v>
      </c>
      <c r="L375" s="324">
        <f>'d3'!L375-d3П!L375</f>
        <v>0</v>
      </c>
      <c r="M375" s="324">
        <f>'d3'!M375-d3П!M375</f>
        <v>0</v>
      </c>
      <c r="N375" s="324">
        <f>'d3'!N375-d3П!N375</f>
        <v>0</v>
      </c>
      <c r="O375" s="324">
        <f>'d3'!O375-d3П!O375</f>
        <v>0</v>
      </c>
      <c r="P375" s="324">
        <f>'d3'!P375-d3П!P375</f>
        <v>0</v>
      </c>
      <c r="Q375" s="47"/>
      <c r="R375" s="46"/>
    </row>
    <row r="376" spans="1:18" ht="54" customHeight="1" thickTop="1" thickBot="1" x14ac:dyDescent="0.25">
      <c r="A376" s="101" t="s">
        <v>1589</v>
      </c>
      <c r="B376" s="101" t="s">
        <v>330</v>
      </c>
      <c r="C376" s="101" t="s">
        <v>191</v>
      </c>
      <c r="D376" s="461" t="s">
        <v>332</v>
      </c>
      <c r="E376" s="324">
        <f>'d3'!E376-d3П!E376</f>
        <v>0</v>
      </c>
      <c r="F376" s="324">
        <f>'d3'!F376-d3П!F376</f>
        <v>0</v>
      </c>
      <c r="G376" s="324">
        <f>'d3'!G376-d3П!G376</f>
        <v>0</v>
      </c>
      <c r="H376" s="324">
        <f>'d3'!H376-d3П!H376</f>
        <v>0</v>
      </c>
      <c r="I376" s="324">
        <f>'d3'!I376-d3П!I376</f>
        <v>0</v>
      </c>
      <c r="J376" s="324">
        <f>'d3'!J376-d3П!J376</f>
        <v>0</v>
      </c>
      <c r="K376" s="324">
        <f>'d3'!K376-d3П!K376</f>
        <v>0</v>
      </c>
      <c r="L376" s="324">
        <f>'d3'!L376-d3П!L376</f>
        <v>0</v>
      </c>
      <c r="M376" s="324">
        <f>'d3'!M376-d3П!M376</f>
        <v>0</v>
      </c>
      <c r="N376" s="324">
        <f>'d3'!N376-d3П!N376</f>
        <v>0</v>
      </c>
      <c r="O376" s="324">
        <f>'d3'!O376-d3П!O376</f>
        <v>0</v>
      </c>
      <c r="P376" s="324">
        <f>'d3'!P376-d3П!P376</f>
        <v>0</v>
      </c>
      <c r="Q376" s="47"/>
      <c r="R376" s="46"/>
    </row>
    <row r="377" spans="1:18" ht="44.45" customHeight="1" thickTop="1" thickBot="1" x14ac:dyDescent="0.25">
      <c r="A377" s="308" t="s">
        <v>825</v>
      </c>
      <c r="B377" s="308" t="s">
        <v>744</v>
      </c>
      <c r="C377" s="101"/>
      <c r="D377" s="308" t="s">
        <v>790</v>
      </c>
      <c r="E377" s="324">
        <f>'d3'!E377-d3П!E377</f>
        <v>0</v>
      </c>
      <c r="F377" s="324">
        <f>'d3'!F377-d3П!F377</f>
        <v>0</v>
      </c>
      <c r="G377" s="324">
        <f>'d3'!G377-d3П!G377</f>
        <v>0</v>
      </c>
      <c r="H377" s="324">
        <f>'d3'!H377-d3П!H377</f>
        <v>0</v>
      </c>
      <c r="I377" s="324">
        <f>'d3'!I377-d3П!I377</f>
        <v>0</v>
      </c>
      <c r="J377" s="324">
        <f>'d3'!J377-d3П!J377</f>
        <v>0</v>
      </c>
      <c r="K377" s="324">
        <f>'d3'!K377-d3П!K377</f>
        <v>0</v>
      </c>
      <c r="L377" s="324">
        <f>'d3'!L377-d3П!L377</f>
        <v>0</v>
      </c>
      <c r="M377" s="324">
        <f>'d3'!M377-d3П!M377</f>
        <v>0</v>
      </c>
      <c r="N377" s="324">
        <f>'d3'!N377-d3П!N377</f>
        <v>0</v>
      </c>
      <c r="O377" s="324">
        <f>'d3'!O377-d3П!O377</f>
        <v>0</v>
      </c>
      <c r="P377" s="324">
        <f>'d3'!P377-d3П!P377</f>
        <v>0</v>
      </c>
      <c r="Q377" s="47"/>
      <c r="R377" s="46"/>
    </row>
    <row r="378" spans="1:18" ht="47.25" thickTop="1" thickBot="1" x14ac:dyDescent="0.25">
      <c r="A378" s="310" t="s">
        <v>998</v>
      </c>
      <c r="B378" s="310" t="s">
        <v>799</v>
      </c>
      <c r="C378" s="310"/>
      <c r="D378" s="310" t="s">
        <v>800</v>
      </c>
      <c r="E378" s="324">
        <f>'d3'!E378-d3П!E378</f>
        <v>0</v>
      </c>
      <c r="F378" s="324">
        <f>'d3'!F378-d3П!F378</f>
        <v>0</v>
      </c>
      <c r="G378" s="324">
        <f>'d3'!G378-d3П!G378</f>
        <v>0</v>
      </c>
      <c r="H378" s="324">
        <f>'d3'!H378-d3П!H378</f>
        <v>0</v>
      </c>
      <c r="I378" s="324">
        <f>'d3'!I378-d3П!I378</f>
        <v>0</v>
      </c>
      <c r="J378" s="324">
        <f>'d3'!J378-d3П!J378</f>
        <v>0</v>
      </c>
      <c r="K378" s="324">
        <f>'d3'!K378-d3П!K378</f>
        <v>0</v>
      </c>
      <c r="L378" s="324">
        <f>'d3'!L378-d3П!L378</f>
        <v>0</v>
      </c>
      <c r="M378" s="324">
        <f>'d3'!M378-d3П!M378</f>
        <v>0</v>
      </c>
      <c r="N378" s="324">
        <f>'d3'!N378-d3П!N378</f>
        <v>0</v>
      </c>
      <c r="O378" s="324">
        <f>'d3'!O378-d3П!O378</f>
        <v>0</v>
      </c>
      <c r="P378" s="324">
        <f>'d3'!P378-d3П!P378</f>
        <v>0</v>
      </c>
      <c r="Q378" s="47"/>
      <c r="R378" s="46"/>
    </row>
    <row r="379" spans="1:18" ht="47.25" thickTop="1" thickBot="1" x14ac:dyDescent="0.25">
      <c r="A379" s="101" t="s">
        <v>999</v>
      </c>
      <c r="B379" s="101" t="s">
        <v>350</v>
      </c>
      <c r="C379" s="101" t="s">
        <v>170</v>
      </c>
      <c r="D379" s="101" t="s">
        <v>262</v>
      </c>
      <c r="E379" s="324">
        <f>'d3'!E379-d3П!E379</f>
        <v>0</v>
      </c>
      <c r="F379" s="324">
        <f>'d3'!F379-d3П!F379</f>
        <v>0</v>
      </c>
      <c r="G379" s="324">
        <f>'d3'!G379-d3П!G379</f>
        <v>0</v>
      </c>
      <c r="H379" s="324">
        <f>'d3'!H379-d3П!H379</f>
        <v>0</v>
      </c>
      <c r="I379" s="324">
        <f>'d3'!I379-d3П!I379</f>
        <v>0</v>
      </c>
      <c r="J379" s="324">
        <f>'d3'!J379-d3П!J379</f>
        <v>0</v>
      </c>
      <c r="K379" s="324">
        <f>'d3'!K379-d3П!K379</f>
        <v>0</v>
      </c>
      <c r="L379" s="324">
        <f>'d3'!L379-d3П!L379</f>
        <v>0</v>
      </c>
      <c r="M379" s="324">
        <f>'d3'!M379-d3П!M379</f>
        <v>0</v>
      </c>
      <c r="N379" s="324">
        <f>'d3'!N379-d3П!N379</f>
        <v>0</v>
      </c>
      <c r="O379" s="324">
        <f>'d3'!O379-d3П!O379</f>
        <v>0</v>
      </c>
      <c r="P379" s="324">
        <f>'d3'!P379-d3П!P379</f>
        <v>0</v>
      </c>
      <c r="Q379" s="47"/>
      <c r="R379" s="46"/>
    </row>
    <row r="380" spans="1:18" ht="47.25" thickTop="1" thickBot="1" x14ac:dyDescent="0.25">
      <c r="A380" s="310" t="s">
        <v>826</v>
      </c>
      <c r="B380" s="310" t="s">
        <v>687</v>
      </c>
      <c r="C380" s="310"/>
      <c r="D380" s="310" t="s">
        <v>685</v>
      </c>
      <c r="E380" s="324">
        <f>'d3'!E380-d3П!E380</f>
        <v>0</v>
      </c>
      <c r="F380" s="324">
        <f>'d3'!F380-d3П!F380</f>
        <v>0</v>
      </c>
      <c r="G380" s="324">
        <f>'d3'!G380-d3П!G380</f>
        <v>0</v>
      </c>
      <c r="H380" s="324">
        <f>'d3'!H380-d3П!H380</f>
        <v>0</v>
      </c>
      <c r="I380" s="324">
        <f>'d3'!I380-d3П!I380</f>
        <v>0</v>
      </c>
      <c r="J380" s="324">
        <f>'d3'!J380-d3П!J380</f>
        <v>0</v>
      </c>
      <c r="K380" s="324">
        <f>'d3'!K380-d3П!K380</f>
        <v>0</v>
      </c>
      <c r="L380" s="324">
        <f>'d3'!L380-d3П!L380</f>
        <v>0</v>
      </c>
      <c r="M380" s="324">
        <f>'d3'!M380-d3П!M380</f>
        <v>0</v>
      </c>
      <c r="N380" s="324">
        <f>'d3'!N380-d3П!N380</f>
        <v>0</v>
      </c>
      <c r="O380" s="324">
        <f>'d3'!O380-d3П!O380</f>
        <v>0</v>
      </c>
      <c r="P380" s="324">
        <f>'d3'!P380-d3П!P380</f>
        <v>0</v>
      </c>
      <c r="Q380" s="47"/>
      <c r="R380" s="46"/>
    </row>
    <row r="381" spans="1:18" ht="47.25" thickTop="1" thickBot="1" x14ac:dyDescent="0.25">
      <c r="A381" s="101" t="s">
        <v>260</v>
      </c>
      <c r="B381" s="101" t="s">
        <v>261</v>
      </c>
      <c r="C381" s="101" t="s">
        <v>259</v>
      </c>
      <c r="D381" s="101" t="s">
        <v>258</v>
      </c>
      <c r="E381" s="324">
        <f>'d3'!E381-d3П!E381</f>
        <v>0</v>
      </c>
      <c r="F381" s="324">
        <f>'d3'!F381-d3П!F381</f>
        <v>0</v>
      </c>
      <c r="G381" s="324">
        <f>'d3'!G381-d3П!G381</f>
        <v>0</v>
      </c>
      <c r="H381" s="324">
        <f>'d3'!H381-d3П!H381</f>
        <v>0</v>
      </c>
      <c r="I381" s="324">
        <f>'d3'!I381-d3П!I381</f>
        <v>0</v>
      </c>
      <c r="J381" s="324">
        <f>'d3'!J381-d3П!J381</f>
        <v>0</v>
      </c>
      <c r="K381" s="324">
        <f>'d3'!K381-d3П!K381</f>
        <v>0</v>
      </c>
      <c r="L381" s="324">
        <f>'d3'!L381-d3П!L381</f>
        <v>0</v>
      </c>
      <c r="M381" s="324">
        <f>'d3'!M381-d3П!M381</f>
        <v>0</v>
      </c>
      <c r="N381" s="324">
        <f>'d3'!N381-d3П!N381</f>
        <v>0</v>
      </c>
      <c r="O381" s="324">
        <f>'d3'!O381-d3П!O381</f>
        <v>0</v>
      </c>
      <c r="P381" s="324">
        <f>'d3'!P381-d3П!P381</f>
        <v>0</v>
      </c>
      <c r="Q381" s="20"/>
      <c r="R381" s="46"/>
    </row>
    <row r="382" spans="1:18" ht="47.25" thickTop="1" thickBot="1" x14ac:dyDescent="0.25">
      <c r="A382" s="101" t="s">
        <v>252</v>
      </c>
      <c r="B382" s="101" t="s">
        <v>254</v>
      </c>
      <c r="C382" s="101" t="s">
        <v>213</v>
      </c>
      <c r="D382" s="101" t="s">
        <v>253</v>
      </c>
      <c r="E382" s="324">
        <f>'d3'!E382-d3П!E382</f>
        <v>0</v>
      </c>
      <c r="F382" s="324">
        <f>'d3'!F382-d3П!F382</f>
        <v>0</v>
      </c>
      <c r="G382" s="324">
        <f>'d3'!G382-d3П!G382</f>
        <v>0</v>
      </c>
      <c r="H382" s="324">
        <f>'d3'!H382-d3П!H382</f>
        <v>0</v>
      </c>
      <c r="I382" s="324">
        <f>'d3'!I382-d3П!I382</f>
        <v>0</v>
      </c>
      <c r="J382" s="324">
        <f>'d3'!J382-d3П!J382</f>
        <v>0</v>
      </c>
      <c r="K382" s="324">
        <f>'d3'!K382-d3П!K382</f>
        <v>0</v>
      </c>
      <c r="L382" s="324">
        <f>'d3'!L382-d3П!L382</f>
        <v>0</v>
      </c>
      <c r="M382" s="324">
        <f>'d3'!M382-d3П!M382</f>
        <v>0</v>
      </c>
      <c r="N382" s="324">
        <f>'d3'!N382-d3П!N382</f>
        <v>0</v>
      </c>
      <c r="O382" s="324">
        <f>'d3'!O382-d3П!O382</f>
        <v>0</v>
      </c>
      <c r="P382" s="324">
        <f>'d3'!P382-d3П!P382</f>
        <v>0</v>
      </c>
      <c r="Q382" s="20"/>
      <c r="R382" s="46"/>
    </row>
    <row r="383" spans="1:18" ht="47.25" hidden="1" thickTop="1" thickBot="1" x14ac:dyDescent="0.25">
      <c r="A383" s="101" t="s">
        <v>1283</v>
      </c>
      <c r="B383" s="101" t="s">
        <v>212</v>
      </c>
      <c r="C383" s="101" t="s">
        <v>213</v>
      </c>
      <c r="D383" s="101" t="s">
        <v>41</v>
      </c>
      <c r="E383" s="324">
        <f>'d3'!E383-d3П!E383</f>
        <v>0</v>
      </c>
      <c r="F383" s="324">
        <f>'d3'!F383-d3П!F383</f>
        <v>0</v>
      </c>
      <c r="G383" s="324">
        <f>'d3'!G383-d3П!G383</f>
        <v>0</v>
      </c>
      <c r="H383" s="324">
        <f>'d3'!H383-d3П!H383</f>
        <v>0</v>
      </c>
      <c r="I383" s="324">
        <f>'d3'!I383-d3П!I383</f>
        <v>0</v>
      </c>
      <c r="J383" s="324">
        <f>'d3'!J383-d3П!J383</f>
        <v>0</v>
      </c>
      <c r="K383" s="324">
        <f>'d3'!K383-d3П!K383</f>
        <v>0</v>
      </c>
      <c r="L383" s="324">
        <f>'d3'!L383-d3П!L383</f>
        <v>0</v>
      </c>
      <c r="M383" s="324">
        <f>'d3'!M383-d3П!M383</f>
        <v>0</v>
      </c>
      <c r="N383" s="324">
        <f>'d3'!N383-d3П!N383</f>
        <v>0</v>
      </c>
      <c r="O383" s="324">
        <f>'d3'!O383-d3П!O383</f>
        <v>0</v>
      </c>
      <c r="P383" s="324">
        <f>'d3'!P383-d3П!P383</f>
        <v>0</v>
      </c>
      <c r="Q383" s="20"/>
      <c r="R383" s="46"/>
    </row>
    <row r="384" spans="1:18" ht="47.25" hidden="1" thickTop="1" thickBot="1" x14ac:dyDescent="0.25">
      <c r="A384" s="138" t="s">
        <v>827</v>
      </c>
      <c r="B384" s="138" t="s">
        <v>690</v>
      </c>
      <c r="C384" s="138"/>
      <c r="D384" s="138" t="s">
        <v>688</v>
      </c>
      <c r="E384" s="324">
        <f>'d3'!E384-d3П!E384</f>
        <v>0</v>
      </c>
      <c r="F384" s="324">
        <f>'d3'!F384-d3П!F384</f>
        <v>0</v>
      </c>
      <c r="G384" s="324">
        <f>'d3'!G384-d3П!G384</f>
        <v>0</v>
      </c>
      <c r="H384" s="324">
        <f>'d3'!H384-d3П!H384</f>
        <v>0</v>
      </c>
      <c r="I384" s="324">
        <f>'d3'!I384-d3П!I384</f>
        <v>0</v>
      </c>
      <c r="J384" s="324">
        <f>'d3'!J384-d3П!J384</f>
        <v>0</v>
      </c>
      <c r="K384" s="324">
        <f>'d3'!K384-d3П!K384</f>
        <v>0</v>
      </c>
      <c r="L384" s="324">
        <f>'d3'!L384-d3П!L384</f>
        <v>0</v>
      </c>
      <c r="M384" s="324">
        <f>'d3'!M384-d3П!M384</f>
        <v>0</v>
      </c>
      <c r="N384" s="324">
        <f>'d3'!N384-d3П!N384</f>
        <v>0</v>
      </c>
      <c r="O384" s="324">
        <f>'d3'!O384-d3П!O384</f>
        <v>0</v>
      </c>
      <c r="P384" s="324">
        <f>'d3'!P384-d3П!P384</f>
        <v>0</v>
      </c>
      <c r="Q384" s="20"/>
      <c r="R384" s="46"/>
    </row>
    <row r="385" spans="1:18" ht="47.25" hidden="1" thickTop="1" thickBot="1" x14ac:dyDescent="0.25">
      <c r="A385" s="126" t="s">
        <v>256</v>
      </c>
      <c r="B385" s="126" t="s">
        <v>257</v>
      </c>
      <c r="C385" s="126" t="s">
        <v>170</v>
      </c>
      <c r="D385" s="126" t="s">
        <v>255</v>
      </c>
      <c r="E385" s="324">
        <f>'d3'!E385-d3П!E385</f>
        <v>0</v>
      </c>
      <c r="F385" s="324">
        <f>'d3'!F385-d3П!F385</f>
        <v>0</v>
      </c>
      <c r="G385" s="324">
        <f>'d3'!G385-d3П!G385</f>
        <v>0</v>
      </c>
      <c r="H385" s="324">
        <f>'d3'!H385-d3П!H385</f>
        <v>0</v>
      </c>
      <c r="I385" s="324">
        <f>'d3'!I385-d3П!I385</f>
        <v>0</v>
      </c>
      <c r="J385" s="324">
        <f>'d3'!J385-d3П!J385</f>
        <v>0</v>
      </c>
      <c r="K385" s="324">
        <f>'d3'!K385-d3П!K385</f>
        <v>0</v>
      </c>
      <c r="L385" s="324">
        <f>'d3'!L385-d3П!L385</f>
        <v>0</v>
      </c>
      <c r="M385" s="324">
        <f>'d3'!M385-d3П!M385</f>
        <v>0</v>
      </c>
      <c r="N385" s="324">
        <f>'d3'!N385-d3П!N385</f>
        <v>0</v>
      </c>
      <c r="O385" s="324">
        <f>'d3'!O385-d3П!O385</f>
        <v>0</v>
      </c>
      <c r="P385" s="324">
        <f>'d3'!P385-d3П!P385</f>
        <v>0</v>
      </c>
      <c r="Q385" s="20"/>
      <c r="R385" s="46"/>
    </row>
    <row r="386" spans="1:18" ht="47.25" thickTop="1" thickBot="1" x14ac:dyDescent="0.25">
      <c r="A386" s="308" t="s">
        <v>1285</v>
      </c>
      <c r="B386" s="308" t="s">
        <v>692</v>
      </c>
      <c r="C386" s="308"/>
      <c r="D386" s="308" t="s">
        <v>693</v>
      </c>
      <c r="E386" s="324">
        <f>'d3'!E386-d3П!E386</f>
        <v>0</v>
      </c>
      <c r="F386" s="324">
        <f>'d3'!F386-d3П!F386</f>
        <v>0</v>
      </c>
      <c r="G386" s="324">
        <f>'d3'!G386-d3П!G386</f>
        <v>0</v>
      </c>
      <c r="H386" s="324">
        <f>'d3'!H386-d3П!H386</f>
        <v>0</v>
      </c>
      <c r="I386" s="324">
        <f>'d3'!I386-d3П!I386</f>
        <v>0</v>
      </c>
      <c r="J386" s="324">
        <f>'d3'!J386-d3П!J386</f>
        <v>0</v>
      </c>
      <c r="K386" s="324">
        <f>'d3'!K386-d3П!K386</f>
        <v>0</v>
      </c>
      <c r="L386" s="324">
        <f>'d3'!L386-d3П!L386</f>
        <v>0</v>
      </c>
      <c r="M386" s="324">
        <f>'d3'!M386-d3П!M386</f>
        <v>0</v>
      </c>
      <c r="N386" s="324">
        <f>'d3'!N386-d3П!N386</f>
        <v>0</v>
      </c>
      <c r="O386" s="324">
        <f>'d3'!O386-d3П!O386</f>
        <v>0</v>
      </c>
      <c r="P386" s="324">
        <f>'d3'!P386-d3П!P386</f>
        <v>0</v>
      </c>
      <c r="Q386" s="20"/>
      <c r="R386" s="46"/>
    </row>
    <row r="387" spans="1:18" ht="47.25" thickTop="1" thickBot="1" x14ac:dyDescent="0.25">
      <c r="A387" s="310" t="s">
        <v>1286</v>
      </c>
      <c r="B387" s="310" t="s">
        <v>1168</v>
      </c>
      <c r="C387" s="310"/>
      <c r="D387" s="310" t="s">
        <v>1166</v>
      </c>
      <c r="E387" s="324">
        <f>'d3'!E387-d3П!E387</f>
        <v>0</v>
      </c>
      <c r="F387" s="324">
        <f>'d3'!F387-d3П!F387</f>
        <v>0</v>
      </c>
      <c r="G387" s="324">
        <f>'d3'!G387-d3П!G387</f>
        <v>0</v>
      </c>
      <c r="H387" s="324">
        <f>'d3'!H387-d3П!H387</f>
        <v>0</v>
      </c>
      <c r="I387" s="324">
        <f>'d3'!I387-d3П!I387</f>
        <v>0</v>
      </c>
      <c r="J387" s="324">
        <f>'d3'!J387-d3П!J387</f>
        <v>0</v>
      </c>
      <c r="K387" s="324">
        <f>'d3'!K387-d3П!K387</f>
        <v>0</v>
      </c>
      <c r="L387" s="324">
        <f>'d3'!L387-d3П!L387</f>
        <v>0</v>
      </c>
      <c r="M387" s="324">
        <f>'d3'!M387-d3П!M387</f>
        <v>0</v>
      </c>
      <c r="N387" s="324">
        <f>'d3'!N387-d3П!N387</f>
        <v>0</v>
      </c>
      <c r="O387" s="324">
        <f>'d3'!O387-d3П!O387</f>
        <v>0</v>
      </c>
      <c r="P387" s="324">
        <f>'d3'!P387-d3П!P387</f>
        <v>0</v>
      </c>
      <c r="Q387" s="20"/>
      <c r="R387" s="46"/>
    </row>
    <row r="388" spans="1:18" ht="47.25" thickTop="1" thickBot="1" x14ac:dyDescent="0.25">
      <c r="A388" s="101" t="s">
        <v>1287</v>
      </c>
      <c r="B388" s="101" t="s">
        <v>1172</v>
      </c>
      <c r="C388" s="101" t="s">
        <v>1170</v>
      </c>
      <c r="D388" s="101" t="s">
        <v>1169</v>
      </c>
      <c r="E388" s="324">
        <f>'d3'!E388-d3П!E388</f>
        <v>0</v>
      </c>
      <c r="F388" s="324">
        <f>'d3'!F388-d3П!F388</f>
        <v>0</v>
      </c>
      <c r="G388" s="324">
        <f>'d3'!G388-d3П!G388</f>
        <v>0</v>
      </c>
      <c r="H388" s="324">
        <f>'d3'!H388-d3П!H388</f>
        <v>0</v>
      </c>
      <c r="I388" s="324">
        <f>'d3'!I388-d3П!I388</f>
        <v>0</v>
      </c>
      <c r="J388" s="324">
        <f>'d3'!J388-d3П!J388</f>
        <v>0</v>
      </c>
      <c r="K388" s="324">
        <f>'d3'!K388-d3П!K388</f>
        <v>0</v>
      </c>
      <c r="L388" s="324">
        <f>'d3'!L388-d3П!L388</f>
        <v>0</v>
      </c>
      <c r="M388" s="324">
        <f>'d3'!M388-d3П!M388</f>
        <v>0</v>
      </c>
      <c r="N388" s="324">
        <f>'d3'!N388-d3П!N388</f>
        <v>0</v>
      </c>
      <c r="O388" s="324">
        <f>'d3'!O388-d3П!O388</f>
        <v>0</v>
      </c>
      <c r="P388" s="324">
        <f>'d3'!P388-d3П!P388</f>
        <v>0</v>
      </c>
      <c r="Q388" s="20"/>
      <c r="R388" s="46"/>
    </row>
    <row r="389" spans="1:18" ht="47.25" hidden="1" thickTop="1" thickBot="1" x14ac:dyDescent="0.25">
      <c r="A389" s="123" t="s">
        <v>901</v>
      </c>
      <c r="B389" s="123" t="s">
        <v>698</v>
      </c>
      <c r="C389" s="123"/>
      <c r="D389" s="123" t="s">
        <v>699</v>
      </c>
      <c r="E389" s="125">
        <f>E390</f>
        <v>0</v>
      </c>
      <c r="F389" s="125">
        <f t="shared" ref="F389:P390" si="83">F390</f>
        <v>0</v>
      </c>
      <c r="G389" s="125">
        <f t="shared" si="83"/>
        <v>0</v>
      </c>
      <c r="H389" s="125">
        <f t="shared" si="83"/>
        <v>0</v>
      </c>
      <c r="I389" s="125">
        <f t="shared" si="83"/>
        <v>0</v>
      </c>
      <c r="J389" s="125">
        <f t="shared" si="83"/>
        <v>0</v>
      </c>
      <c r="K389" s="125">
        <f t="shared" si="83"/>
        <v>0</v>
      </c>
      <c r="L389" s="125">
        <f t="shared" si="83"/>
        <v>0</v>
      </c>
      <c r="M389" s="125">
        <f t="shared" si="83"/>
        <v>0</v>
      </c>
      <c r="N389" s="125">
        <f t="shared" si="83"/>
        <v>0</v>
      </c>
      <c r="O389" s="125">
        <f t="shared" si="83"/>
        <v>0</v>
      </c>
      <c r="P389" s="125">
        <f t="shared" si="83"/>
        <v>0</v>
      </c>
      <c r="Q389" s="20"/>
      <c r="R389" s="46"/>
    </row>
    <row r="390" spans="1:18" ht="91.5" hidden="1" thickTop="1" thickBot="1" x14ac:dyDescent="0.25">
      <c r="A390" s="134" t="s">
        <v>902</v>
      </c>
      <c r="B390" s="134" t="s">
        <v>701</v>
      </c>
      <c r="C390" s="134"/>
      <c r="D390" s="134" t="s">
        <v>702</v>
      </c>
      <c r="E390" s="135">
        <f>E391</f>
        <v>0</v>
      </c>
      <c r="F390" s="135">
        <f t="shared" si="83"/>
        <v>0</v>
      </c>
      <c r="G390" s="135">
        <f t="shared" si="83"/>
        <v>0</v>
      </c>
      <c r="H390" s="135">
        <f t="shared" si="83"/>
        <v>0</v>
      </c>
      <c r="I390" s="135">
        <f t="shared" si="83"/>
        <v>0</v>
      </c>
      <c r="J390" s="135">
        <f t="shared" si="83"/>
        <v>0</v>
      </c>
      <c r="K390" s="135">
        <f t="shared" si="83"/>
        <v>0</v>
      </c>
      <c r="L390" s="135">
        <f t="shared" si="83"/>
        <v>0</v>
      </c>
      <c r="M390" s="135">
        <f t="shared" si="83"/>
        <v>0</v>
      </c>
      <c r="N390" s="135">
        <f t="shared" si="83"/>
        <v>0</v>
      </c>
      <c r="O390" s="135">
        <f t="shared" si="83"/>
        <v>0</v>
      </c>
      <c r="P390" s="135">
        <f t="shared" si="83"/>
        <v>0</v>
      </c>
      <c r="Q390" s="20"/>
      <c r="R390" s="46"/>
    </row>
    <row r="391" spans="1:18" ht="48" hidden="1" thickTop="1" thickBot="1" x14ac:dyDescent="0.25">
      <c r="A391" s="126" t="s">
        <v>903</v>
      </c>
      <c r="B391" s="126" t="s">
        <v>363</v>
      </c>
      <c r="C391" s="126" t="s">
        <v>43</v>
      </c>
      <c r="D391" s="126" t="s">
        <v>364</v>
      </c>
      <c r="E391" s="125">
        <f t="shared" ref="E391" si="84">F391</f>
        <v>0</v>
      </c>
      <c r="F391" s="132"/>
      <c r="G391" s="132"/>
      <c r="H391" s="132"/>
      <c r="I391" s="132"/>
      <c r="J391" s="125">
        <f>L391+O391</f>
        <v>0</v>
      </c>
      <c r="K391" s="132"/>
      <c r="L391" s="132"/>
      <c r="M391" s="132"/>
      <c r="N391" s="132"/>
      <c r="O391" s="130">
        <f>K391</f>
        <v>0</v>
      </c>
      <c r="P391" s="125">
        <f>E391+J391</f>
        <v>0</v>
      </c>
      <c r="Q391" s="20"/>
      <c r="R391" s="46"/>
    </row>
    <row r="392" spans="1:18" ht="120" customHeight="1" thickTop="1" thickBot="1" x14ac:dyDescent="0.25">
      <c r="A392" s="689" t="s">
        <v>164</v>
      </c>
      <c r="B392" s="689"/>
      <c r="C392" s="689"/>
      <c r="D392" s="690" t="s">
        <v>882</v>
      </c>
      <c r="E392" s="691">
        <f>E393</f>
        <v>0</v>
      </c>
      <c r="F392" s="692">
        <f t="shared" ref="F392:G392" si="85">F393</f>
        <v>0</v>
      </c>
      <c r="G392" s="692">
        <f t="shared" si="85"/>
        <v>0</v>
      </c>
      <c r="H392" s="692">
        <f>H393</f>
        <v>0</v>
      </c>
      <c r="I392" s="692">
        <f t="shared" ref="I392" si="86">I393</f>
        <v>0</v>
      </c>
      <c r="J392" s="691">
        <f>J393</f>
        <v>0</v>
      </c>
      <c r="K392" s="692">
        <f>K393</f>
        <v>0</v>
      </c>
      <c r="L392" s="692">
        <f>L393</f>
        <v>0</v>
      </c>
      <c r="M392" s="692">
        <f t="shared" ref="M392" si="87">M393</f>
        <v>0</v>
      </c>
      <c r="N392" s="692">
        <f>N393</f>
        <v>0</v>
      </c>
      <c r="O392" s="691">
        <f>O393</f>
        <v>0</v>
      </c>
      <c r="P392" s="692">
        <f t="shared" ref="P392" si="88">P393</f>
        <v>0</v>
      </c>
      <c r="Q392" s="20"/>
    </row>
    <row r="393" spans="1:18" ht="120" customHeight="1" thickTop="1" thickBot="1" x14ac:dyDescent="0.25">
      <c r="A393" s="693" t="s">
        <v>165</v>
      </c>
      <c r="B393" s="693"/>
      <c r="C393" s="693"/>
      <c r="D393" s="694" t="s">
        <v>881</v>
      </c>
      <c r="E393" s="695">
        <f>E394+E397+E400</f>
        <v>0</v>
      </c>
      <c r="F393" s="695">
        <f t="shared" ref="F393:P393" si="89">F394+F397+F400</f>
        <v>0</v>
      </c>
      <c r="G393" s="695">
        <f>G394+G397+G400</f>
        <v>0</v>
      </c>
      <c r="H393" s="695">
        <f t="shared" si="89"/>
        <v>0</v>
      </c>
      <c r="I393" s="695">
        <f t="shared" si="89"/>
        <v>0</v>
      </c>
      <c r="J393" s="695">
        <f>J394+J397+J400</f>
        <v>0</v>
      </c>
      <c r="K393" s="695">
        <f t="shared" si="89"/>
        <v>0</v>
      </c>
      <c r="L393" s="695">
        <f>L394+L397+L400</f>
        <v>0</v>
      </c>
      <c r="M393" s="695">
        <f t="shared" si="89"/>
        <v>0</v>
      </c>
      <c r="N393" s="695">
        <f t="shared" si="89"/>
        <v>0</v>
      </c>
      <c r="O393" s="695">
        <f t="shared" si="89"/>
        <v>0</v>
      </c>
      <c r="P393" s="695">
        <f t="shared" si="89"/>
        <v>0</v>
      </c>
      <c r="Q393" s="487" t="b">
        <f>P393=P395+P399</f>
        <v>1</v>
      </c>
      <c r="R393" s="46"/>
    </row>
    <row r="394" spans="1:18" ht="47.25" thickTop="1" thickBot="1" x14ac:dyDescent="0.25">
      <c r="A394" s="308" t="s">
        <v>828</v>
      </c>
      <c r="B394" s="308" t="s">
        <v>680</v>
      </c>
      <c r="C394" s="308"/>
      <c r="D394" s="308" t="s">
        <v>681</v>
      </c>
      <c r="E394" s="324">
        <f>'d3'!E394-d3П!E394</f>
        <v>0</v>
      </c>
      <c r="F394" s="324">
        <f>'d3'!F394-d3П!F394</f>
        <v>0</v>
      </c>
      <c r="G394" s="324">
        <f>'d3'!G394-d3П!G394</f>
        <v>0</v>
      </c>
      <c r="H394" s="324">
        <f>'d3'!H394-d3П!H394</f>
        <v>0</v>
      </c>
      <c r="I394" s="324">
        <f>'d3'!I394-d3П!I394</f>
        <v>0</v>
      </c>
      <c r="J394" s="324">
        <f>'d3'!J394-d3П!J394</f>
        <v>0</v>
      </c>
      <c r="K394" s="324">
        <f>'d3'!K394-d3П!K394</f>
        <v>0</v>
      </c>
      <c r="L394" s="324">
        <f>'d3'!L394-d3П!L394</f>
        <v>0</v>
      </c>
      <c r="M394" s="324">
        <f>'d3'!M394-d3П!M394</f>
        <v>0</v>
      </c>
      <c r="N394" s="324">
        <f>'d3'!N394-d3П!N394</f>
        <v>0</v>
      </c>
      <c r="O394" s="324">
        <f>'d3'!O394-d3П!O394</f>
        <v>0</v>
      </c>
      <c r="P394" s="324">
        <f>'d3'!P394-d3П!P394</f>
        <v>0</v>
      </c>
      <c r="Q394" s="47"/>
      <c r="R394" s="46"/>
    </row>
    <row r="395" spans="1:18" ht="93" thickTop="1" thickBot="1" x14ac:dyDescent="0.25">
      <c r="A395" s="101" t="s">
        <v>421</v>
      </c>
      <c r="B395" s="101" t="s">
        <v>236</v>
      </c>
      <c r="C395" s="101" t="s">
        <v>234</v>
      </c>
      <c r="D395" s="101" t="s">
        <v>235</v>
      </c>
      <c r="E395" s="324">
        <f>'d3'!E395-d3П!E395</f>
        <v>0</v>
      </c>
      <c r="F395" s="324">
        <f>'d3'!F395-d3П!F395</f>
        <v>0</v>
      </c>
      <c r="G395" s="324">
        <f>'d3'!G395-d3П!G395</f>
        <v>0</v>
      </c>
      <c r="H395" s="324">
        <f>'d3'!H395-d3П!H395</f>
        <v>0</v>
      </c>
      <c r="I395" s="324">
        <f>'d3'!I395-d3П!I395</f>
        <v>0</v>
      </c>
      <c r="J395" s="324">
        <f>'d3'!J395-d3П!J395</f>
        <v>0</v>
      </c>
      <c r="K395" s="324">
        <f>'d3'!K395-d3П!K395</f>
        <v>0</v>
      </c>
      <c r="L395" s="324">
        <f>'d3'!L395-d3П!L395</f>
        <v>0</v>
      </c>
      <c r="M395" s="324">
        <f>'d3'!M395-d3П!M395</f>
        <v>0</v>
      </c>
      <c r="N395" s="324">
        <f>'d3'!N395-d3П!N395</f>
        <v>0</v>
      </c>
      <c r="O395" s="324">
        <f>'d3'!O395-d3П!O395</f>
        <v>0</v>
      </c>
      <c r="P395" s="324">
        <f>'d3'!P395-d3П!P395</f>
        <v>0</v>
      </c>
      <c r="Q395" s="47"/>
      <c r="R395" s="46"/>
    </row>
    <row r="396" spans="1:18" ht="93" hidden="1" thickTop="1" thickBot="1" x14ac:dyDescent="0.25">
      <c r="A396" s="41" t="s">
        <v>631</v>
      </c>
      <c r="B396" s="41" t="s">
        <v>362</v>
      </c>
      <c r="C396" s="41" t="s">
        <v>623</v>
      </c>
      <c r="D396" s="41" t="s">
        <v>624</v>
      </c>
      <c r="E396" s="324">
        <f>'d3'!E396-d3П!E396</f>
        <v>0</v>
      </c>
      <c r="F396" s="324">
        <f>'d3'!F396-d3П!F396</f>
        <v>0</v>
      </c>
      <c r="G396" s="324">
        <f>'d3'!G396-d3П!G396</f>
        <v>0</v>
      </c>
      <c r="H396" s="324">
        <f>'d3'!H396-d3П!H396</f>
        <v>0</v>
      </c>
      <c r="I396" s="324">
        <f>'d3'!I396-d3П!I396</f>
        <v>0</v>
      </c>
      <c r="J396" s="324">
        <f>'d3'!J396-d3П!J396</f>
        <v>0</v>
      </c>
      <c r="K396" s="324">
        <f>'d3'!K396-d3П!K396</f>
        <v>0</v>
      </c>
      <c r="L396" s="324">
        <f>'d3'!L396-d3П!L396</f>
        <v>0</v>
      </c>
      <c r="M396" s="324">
        <f>'d3'!M396-d3П!M396</f>
        <v>0</v>
      </c>
      <c r="N396" s="324">
        <f>'d3'!N396-d3П!N396</f>
        <v>0</v>
      </c>
      <c r="O396" s="324">
        <f>'d3'!O396-d3П!O396</f>
        <v>0</v>
      </c>
      <c r="P396" s="324">
        <f>'d3'!P396-d3П!P396</f>
        <v>0</v>
      </c>
      <c r="Q396" s="47"/>
      <c r="R396" s="46"/>
    </row>
    <row r="397" spans="1:18" ht="47.25" thickTop="1" thickBot="1" x14ac:dyDescent="0.25">
      <c r="A397" s="308" t="s">
        <v>829</v>
      </c>
      <c r="B397" s="308" t="s">
        <v>692</v>
      </c>
      <c r="C397" s="308"/>
      <c r="D397" s="308" t="s">
        <v>693</v>
      </c>
      <c r="E397" s="324">
        <f>'d3'!E397-d3П!E397</f>
        <v>0</v>
      </c>
      <c r="F397" s="324">
        <f>'d3'!F397-d3П!F397</f>
        <v>0</v>
      </c>
      <c r="G397" s="324">
        <f>'d3'!G397-d3П!G397</f>
        <v>0</v>
      </c>
      <c r="H397" s="324">
        <f>'d3'!H397-d3П!H397</f>
        <v>0</v>
      </c>
      <c r="I397" s="324">
        <f>'d3'!I397-d3П!I397</f>
        <v>0</v>
      </c>
      <c r="J397" s="324">
        <f>'d3'!J397-d3П!J397</f>
        <v>0</v>
      </c>
      <c r="K397" s="324">
        <f>'d3'!K397-d3П!K397</f>
        <v>0</v>
      </c>
      <c r="L397" s="324">
        <f>'d3'!L397-d3П!L397</f>
        <v>0</v>
      </c>
      <c r="M397" s="324">
        <f>'d3'!M397-d3П!M397</f>
        <v>0</v>
      </c>
      <c r="N397" s="324">
        <f>'d3'!N397-d3П!N397</f>
        <v>0</v>
      </c>
      <c r="O397" s="324">
        <f>'d3'!O397-d3П!O397</f>
        <v>0</v>
      </c>
      <c r="P397" s="324">
        <f>'d3'!P397-d3П!P397</f>
        <v>0</v>
      </c>
      <c r="Q397" s="47"/>
      <c r="R397" s="46"/>
    </row>
    <row r="398" spans="1:18" ht="47.25" thickTop="1" thickBot="1" x14ac:dyDescent="0.25">
      <c r="A398" s="310" t="s">
        <v>830</v>
      </c>
      <c r="B398" s="310" t="s">
        <v>831</v>
      </c>
      <c r="C398" s="310"/>
      <c r="D398" s="310" t="s">
        <v>832</v>
      </c>
      <c r="E398" s="324">
        <f>'d3'!E398-d3П!E398</f>
        <v>0</v>
      </c>
      <c r="F398" s="324">
        <f>'d3'!F398-d3П!F398</f>
        <v>0</v>
      </c>
      <c r="G398" s="324">
        <f>'d3'!G398-d3П!G398</f>
        <v>0</v>
      </c>
      <c r="H398" s="324">
        <f>'d3'!H398-d3П!H398</f>
        <v>0</v>
      </c>
      <c r="I398" s="324">
        <f>'d3'!I398-d3П!I398</f>
        <v>0</v>
      </c>
      <c r="J398" s="324">
        <f>'d3'!J398-d3П!J398</f>
        <v>0</v>
      </c>
      <c r="K398" s="324">
        <f>'d3'!K398-d3П!K398</f>
        <v>0</v>
      </c>
      <c r="L398" s="324">
        <f>'d3'!L398-d3П!L398</f>
        <v>0</v>
      </c>
      <c r="M398" s="324">
        <f>'d3'!M398-d3П!M398</f>
        <v>0</v>
      </c>
      <c r="N398" s="324">
        <f>'d3'!N398-d3П!N398</f>
        <v>0</v>
      </c>
      <c r="O398" s="324">
        <f>'d3'!O398-d3П!O398</f>
        <v>0</v>
      </c>
      <c r="P398" s="324">
        <f>'d3'!P398-d3П!P398</f>
        <v>0</v>
      </c>
      <c r="Q398" s="47"/>
      <c r="R398" s="46"/>
    </row>
    <row r="399" spans="1:18" ht="47.25" thickTop="1" thickBot="1" x14ac:dyDescent="0.25">
      <c r="A399" s="101" t="s">
        <v>1109</v>
      </c>
      <c r="B399" s="101" t="s">
        <v>1110</v>
      </c>
      <c r="C399" s="101" t="s">
        <v>51</v>
      </c>
      <c r="D399" s="101" t="s">
        <v>1111</v>
      </c>
      <c r="E399" s="324">
        <f>'d3'!E399-d3П!E399</f>
        <v>0</v>
      </c>
      <c r="F399" s="324">
        <f>'d3'!F399-d3П!F399</f>
        <v>0</v>
      </c>
      <c r="G399" s="324">
        <f>'d3'!G399-d3П!G399</f>
        <v>0</v>
      </c>
      <c r="H399" s="324">
        <f>'d3'!H399-d3П!H399</f>
        <v>0</v>
      </c>
      <c r="I399" s="324">
        <f>'d3'!I399-d3П!I399</f>
        <v>0</v>
      </c>
      <c r="J399" s="324">
        <f>'d3'!J399-d3П!J399</f>
        <v>0</v>
      </c>
      <c r="K399" s="324">
        <f>'d3'!K399-d3П!K399</f>
        <v>0</v>
      </c>
      <c r="L399" s="324">
        <f>'d3'!L399-d3П!L399</f>
        <v>0</v>
      </c>
      <c r="M399" s="324">
        <f>'d3'!M399-d3П!M399</f>
        <v>0</v>
      </c>
      <c r="N399" s="324">
        <f>'d3'!N399-d3П!N399</f>
        <v>0</v>
      </c>
      <c r="O399" s="324">
        <f>'d3'!O399-d3П!O399</f>
        <v>0</v>
      </c>
      <c r="P399" s="324">
        <f>'d3'!P399-d3П!P399</f>
        <v>0</v>
      </c>
      <c r="Q399" s="487" t="b">
        <f>J399='d9'!F20</f>
        <v>0</v>
      </c>
    </row>
    <row r="400" spans="1:18" ht="47.25" hidden="1" thickTop="1" thickBot="1" x14ac:dyDescent="0.25">
      <c r="A400" s="123" t="s">
        <v>1231</v>
      </c>
      <c r="B400" s="123" t="s">
        <v>698</v>
      </c>
      <c r="C400" s="123"/>
      <c r="D400" s="123" t="s">
        <v>699</v>
      </c>
      <c r="E400" s="125">
        <f t="shared" ref="E400:P400" si="90">E401</f>
        <v>0</v>
      </c>
      <c r="F400" s="125">
        <f t="shared" si="90"/>
        <v>0</v>
      </c>
      <c r="G400" s="125">
        <f t="shared" si="90"/>
        <v>0</v>
      </c>
      <c r="H400" s="125">
        <f t="shared" si="90"/>
        <v>0</v>
      </c>
      <c r="I400" s="125">
        <f t="shared" si="90"/>
        <v>0</v>
      </c>
      <c r="J400" s="125">
        <f t="shared" si="90"/>
        <v>0</v>
      </c>
      <c r="K400" s="125">
        <f t="shared" si="90"/>
        <v>0</v>
      </c>
      <c r="L400" s="125">
        <f t="shared" si="90"/>
        <v>0</v>
      </c>
      <c r="M400" s="125">
        <f t="shared" si="90"/>
        <v>0</v>
      </c>
      <c r="N400" s="125">
        <f t="shared" si="90"/>
        <v>0</v>
      </c>
      <c r="O400" s="125">
        <f t="shared" si="90"/>
        <v>0</v>
      </c>
      <c r="P400" s="125">
        <f t="shared" si="90"/>
        <v>0</v>
      </c>
      <c r="Q400" s="47"/>
    </row>
    <row r="401" spans="1:19" ht="91.5" hidden="1" thickTop="1" thickBot="1" x14ac:dyDescent="0.25">
      <c r="A401" s="134" t="s">
        <v>1230</v>
      </c>
      <c r="B401" s="134" t="s">
        <v>513</v>
      </c>
      <c r="C401" s="134" t="s">
        <v>43</v>
      </c>
      <c r="D401" s="134" t="s">
        <v>514</v>
      </c>
      <c r="E401" s="135">
        <f t="shared" ref="E401" si="91">F401</f>
        <v>0</v>
      </c>
      <c r="F401" s="135">
        <v>0</v>
      </c>
      <c r="G401" s="135"/>
      <c r="H401" s="135"/>
      <c r="I401" s="135"/>
      <c r="J401" s="135">
        <f>L401+O401</f>
        <v>0</v>
      </c>
      <c r="K401" s="132">
        <v>0</v>
      </c>
      <c r="L401" s="135"/>
      <c r="M401" s="135"/>
      <c r="N401" s="135"/>
      <c r="O401" s="135">
        <f>(K401+0)</f>
        <v>0</v>
      </c>
      <c r="P401" s="135">
        <f>E401+J401</f>
        <v>0</v>
      </c>
      <c r="Q401" s="47"/>
    </row>
    <row r="402" spans="1:19" ht="120" customHeight="1" thickTop="1" thickBot="1" x14ac:dyDescent="0.25">
      <c r="A402" s="689" t="s">
        <v>162</v>
      </c>
      <c r="B402" s="689"/>
      <c r="C402" s="689"/>
      <c r="D402" s="690" t="s">
        <v>891</v>
      </c>
      <c r="E402" s="691">
        <f>E403</f>
        <v>87000</v>
      </c>
      <c r="F402" s="692">
        <f t="shared" ref="F402:G402" si="92">F403</f>
        <v>87000</v>
      </c>
      <c r="G402" s="692">
        <f t="shared" si="92"/>
        <v>-30000</v>
      </c>
      <c r="H402" s="692">
        <f>H403</f>
        <v>9000</v>
      </c>
      <c r="I402" s="692">
        <f t="shared" ref="I402" si="93">I403</f>
        <v>0</v>
      </c>
      <c r="J402" s="691">
        <f>J403</f>
        <v>29000</v>
      </c>
      <c r="K402" s="692">
        <f>K403</f>
        <v>29000</v>
      </c>
      <c r="L402" s="692">
        <f>L403</f>
        <v>0</v>
      </c>
      <c r="M402" s="692">
        <f t="shared" ref="M402" si="94">M403</f>
        <v>0</v>
      </c>
      <c r="N402" s="692">
        <f>N403</f>
        <v>0</v>
      </c>
      <c r="O402" s="691">
        <f>O403</f>
        <v>29000</v>
      </c>
      <c r="P402" s="692">
        <f t="shared" ref="P402" si="95">P403</f>
        <v>116000</v>
      </c>
      <c r="Q402" s="20"/>
    </row>
    <row r="403" spans="1:19" ht="120" customHeight="1" thickTop="1" thickBot="1" x14ac:dyDescent="0.25">
      <c r="A403" s="693" t="s">
        <v>163</v>
      </c>
      <c r="B403" s="693"/>
      <c r="C403" s="693"/>
      <c r="D403" s="694" t="s">
        <v>890</v>
      </c>
      <c r="E403" s="695">
        <f>E404+E406</f>
        <v>87000</v>
      </c>
      <c r="F403" s="695">
        <f t="shared" ref="F403:I403" si="96">F404+F406</f>
        <v>87000</v>
      </c>
      <c r="G403" s="695">
        <f t="shared" si="96"/>
        <v>-30000</v>
      </c>
      <c r="H403" s="695">
        <f t="shared" si="96"/>
        <v>9000</v>
      </c>
      <c r="I403" s="695">
        <f t="shared" si="96"/>
        <v>0</v>
      </c>
      <c r="J403" s="695">
        <f>L403+O403</f>
        <v>29000</v>
      </c>
      <c r="K403" s="695">
        <f t="shared" ref="K403:O403" si="97">K404+K406</f>
        <v>29000</v>
      </c>
      <c r="L403" s="695">
        <f t="shared" si="97"/>
        <v>0</v>
      </c>
      <c r="M403" s="695">
        <f t="shared" si="97"/>
        <v>0</v>
      </c>
      <c r="N403" s="695">
        <f t="shared" si="97"/>
        <v>0</v>
      </c>
      <c r="O403" s="695">
        <f t="shared" si="97"/>
        <v>29000</v>
      </c>
      <c r="P403" s="695">
        <f>E403+J403</f>
        <v>116000</v>
      </c>
      <c r="Q403" s="487" t="b">
        <f>P403=P405+P408+P410</f>
        <v>1</v>
      </c>
      <c r="R403" s="45"/>
    </row>
    <row r="404" spans="1:19" ht="47.25" thickTop="1" thickBot="1" x14ac:dyDescent="0.25">
      <c r="A404" s="308" t="s">
        <v>833</v>
      </c>
      <c r="B404" s="308" t="s">
        <v>680</v>
      </c>
      <c r="C404" s="308"/>
      <c r="D404" s="308" t="s">
        <v>681</v>
      </c>
      <c r="E404" s="324">
        <f>'d3'!E404-d3П!E404</f>
        <v>24000</v>
      </c>
      <c r="F404" s="324">
        <f>'d3'!F404-d3П!F404</f>
        <v>24000</v>
      </c>
      <c r="G404" s="324">
        <f>'d3'!G404-d3П!G404</f>
        <v>-30000</v>
      </c>
      <c r="H404" s="324">
        <f>'d3'!H404-d3П!H404</f>
        <v>9000</v>
      </c>
      <c r="I404" s="324">
        <f>'d3'!I404-d3П!I404</f>
        <v>0</v>
      </c>
      <c r="J404" s="324">
        <f>'d3'!J404-d3П!J404</f>
        <v>0</v>
      </c>
      <c r="K404" s="324">
        <f>'d3'!K404-d3П!K404</f>
        <v>0</v>
      </c>
      <c r="L404" s="324">
        <f>'d3'!L404-d3П!L404</f>
        <v>0</v>
      </c>
      <c r="M404" s="324">
        <f>'d3'!M404-d3П!M404</f>
        <v>0</v>
      </c>
      <c r="N404" s="324">
        <f>'d3'!N404-d3П!N404</f>
        <v>0</v>
      </c>
      <c r="O404" s="324">
        <f>'d3'!O404-d3П!O404</f>
        <v>0</v>
      </c>
      <c r="P404" s="324">
        <f>'d3'!P404-d3П!P404</f>
        <v>24000</v>
      </c>
      <c r="Q404" s="47"/>
      <c r="R404" s="45"/>
    </row>
    <row r="405" spans="1:19" ht="93" thickTop="1" thickBot="1" x14ac:dyDescent="0.25">
      <c r="A405" s="101" t="s">
        <v>417</v>
      </c>
      <c r="B405" s="101" t="s">
        <v>236</v>
      </c>
      <c r="C405" s="101" t="s">
        <v>234</v>
      </c>
      <c r="D405" s="101" t="s">
        <v>235</v>
      </c>
      <c r="E405" s="324">
        <f>'d3'!E405-d3П!E405</f>
        <v>24000</v>
      </c>
      <c r="F405" s="324">
        <f>'d3'!F405-d3П!F405</f>
        <v>24000</v>
      </c>
      <c r="G405" s="324">
        <f>'d3'!G405-d3П!G405</f>
        <v>-30000</v>
      </c>
      <c r="H405" s="324">
        <f>'d3'!H405-d3П!H405</f>
        <v>9000</v>
      </c>
      <c r="I405" s="324">
        <f>'d3'!I405-d3П!I405</f>
        <v>0</v>
      </c>
      <c r="J405" s="324">
        <f>'d3'!J405-d3П!J405</f>
        <v>0</v>
      </c>
      <c r="K405" s="324">
        <f>'d3'!K405-d3П!K405</f>
        <v>0</v>
      </c>
      <c r="L405" s="324">
        <f>'d3'!L405-d3П!L405</f>
        <v>0</v>
      </c>
      <c r="M405" s="324">
        <f>'d3'!M405-d3П!M405</f>
        <v>0</v>
      </c>
      <c r="N405" s="324">
        <f>'d3'!N405-d3П!N405</f>
        <v>0</v>
      </c>
      <c r="O405" s="324">
        <f>'d3'!O405-d3П!O405</f>
        <v>0</v>
      </c>
      <c r="P405" s="324">
        <f>'d3'!P405-d3П!P405</f>
        <v>24000</v>
      </c>
      <c r="Q405" s="20"/>
      <c r="R405" s="45"/>
    </row>
    <row r="406" spans="1:19" ht="47.25" thickTop="1" thickBot="1" x14ac:dyDescent="0.25">
      <c r="A406" s="308" t="s">
        <v>834</v>
      </c>
      <c r="B406" s="308" t="s">
        <v>744</v>
      </c>
      <c r="C406" s="101"/>
      <c r="D406" s="308" t="s">
        <v>790</v>
      </c>
      <c r="E406" s="324">
        <f>'d3'!E406-d3П!E406</f>
        <v>63000</v>
      </c>
      <c r="F406" s="324">
        <f>'d3'!F406-d3П!F406</f>
        <v>63000</v>
      </c>
      <c r="G406" s="324">
        <f>'d3'!G406-d3П!G406</f>
        <v>0</v>
      </c>
      <c r="H406" s="324">
        <f>'d3'!H406-d3П!H406</f>
        <v>0</v>
      </c>
      <c r="I406" s="324">
        <f>'d3'!I406-d3П!I406</f>
        <v>0</v>
      </c>
      <c r="J406" s="324">
        <f>'d3'!J406-d3П!J406</f>
        <v>29000</v>
      </c>
      <c r="K406" s="324">
        <f>'d3'!K406-d3П!K406</f>
        <v>29000</v>
      </c>
      <c r="L406" s="324">
        <f>'d3'!L406-d3П!L406</f>
        <v>0</v>
      </c>
      <c r="M406" s="324">
        <f>'d3'!M406-d3П!M406</f>
        <v>0</v>
      </c>
      <c r="N406" s="324">
        <f>'d3'!N406-d3П!N406</f>
        <v>0</v>
      </c>
      <c r="O406" s="324">
        <f>'d3'!O406-d3П!O406</f>
        <v>29000</v>
      </c>
      <c r="P406" s="324">
        <f>'d3'!P406-d3П!P406</f>
        <v>92000</v>
      </c>
      <c r="Q406" s="20"/>
      <c r="R406" s="47"/>
    </row>
    <row r="407" spans="1:19" ht="47.25" thickTop="1" thickBot="1" x14ac:dyDescent="0.25">
      <c r="A407" s="310" t="s">
        <v>835</v>
      </c>
      <c r="B407" s="310" t="s">
        <v>836</v>
      </c>
      <c r="C407" s="310"/>
      <c r="D407" s="310" t="s">
        <v>837</v>
      </c>
      <c r="E407" s="324">
        <f>'d3'!E407-d3П!E407</f>
        <v>63000</v>
      </c>
      <c r="F407" s="324">
        <f>'d3'!F407-d3П!F407</f>
        <v>63000</v>
      </c>
      <c r="G407" s="324">
        <f>'d3'!G407-d3П!G407</f>
        <v>0</v>
      </c>
      <c r="H407" s="324">
        <f>'d3'!H407-d3П!H407</f>
        <v>0</v>
      </c>
      <c r="I407" s="324">
        <f>'d3'!I407-d3П!I407</f>
        <v>0</v>
      </c>
      <c r="J407" s="324">
        <f>'d3'!J407-d3П!J407</f>
        <v>0</v>
      </c>
      <c r="K407" s="324">
        <f>'d3'!K407-d3П!K407</f>
        <v>0</v>
      </c>
      <c r="L407" s="324">
        <f>'d3'!L407-d3П!L407</f>
        <v>0</v>
      </c>
      <c r="M407" s="324">
        <f>'d3'!M407-d3П!M407</f>
        <v>0</v>
      </c>
      <c r="N407" s="324">
        <f>'d3'!N407-d3П!N407</f>
        <v>0</v>
      </c>
      <c r="O407" s="324">
        <f>'d3'!O407-d3П!O407</f>
        <v>0</v>
      </c>
      <c r="P407" s="324">
        <f>'d3'!P407-d3П!P407</f>
        <v>63000</v>
      </c>
      <c r="Q407" s="20"/>
      <c r="R407" s="47"/>
    </row>
    <row r="408" spans="1:19" ht="47.25" thickTop="1" thickBot="1" x14ac:dyDescent="0.25">
      <c r="A408" s="101" t="s">
        <v>306</v>
      </c>
      <c r="B408" s="101" t="s">
        <v>307</v>
      </c>
      <c r="C408" s="101" t="s">
        <v>308</v>
      </c>
      <c r="D408" s="101" t="s">
        <v>460</v>
      </c>
      <c r="E408" s="324">
        <f>'d3'!E408-d3П!E408</f>
        <v>63000</v>
      </c>
      <c r="F408" s="324">
        <f>'d3'!F408-d3П!F408</f>
        <v>63000</v>
      </c>
      <c r="G408" s="324">
        <f>'d3'!G408-d3П!G408</f>
        <v>0</v>
      </c>
      <c r="H408" s="324">
        <f>'d3'!H408-d3П!H408</f>
        <v>0</v>
      </c>
      <c r="I408" s="324">
        <f>'d3'!I408-d3П!I408</f>
        <v>0</v>
      </c>
      <c r="J408" s="324">
        <f>'d3'!J408-d3П!J408</f>
        <v>0</v>
      </c>
      <c r="K408" s="324">
        <f>'d3'!K408-d3П!K408</f>
        <v>0</v>
      </c>
      <c r="L408" s="324">
        <f>'d3'!L408-d3П!L408</f>
        <v>0</v>
      </c>
      <c r="M408" s="324">
        <f>'d3'!M408-d3П!M408</f>
        <v>0</v>
      </c>
      <c r="N408" s="324">
        <f>'d3'!N408-d3П!N408</f>
        <v>0</v>
      </c>
      <c r="O408" s="324">
        <f>'d3'!O408-d3П!O408</f>
        <v>0</v>
      </c>
      <c r="P408" s="324">
        <f>'d3'!P408-d3П!P408</f>
        <v>63000</v>
      </c>
      <c r="Q408" s="20"/>
      <c r="R408" s="45"/>
    </row>
    <row r="409" spans="1:19" ht="47.25" thickTop="1" thickBot="1" x14ac:dyDescent="0.25">
      <c r="A409" s="310" t="s">
        <v>838</v>
      </c>
      <c r="B409" s="310" t="s">
        <v>687</v>
      </c>
      <c r="C409" s="101"/>
      <c r="D409" s="310" t="s">
        <v>839</v>
      </c>
      <c r="E409" s="324">
        <f>'d3'!E409-d3П!E409</f>
        <v>0</v>
      </c>
      <c r="F409" s="324">
        <f>'d3'!F409-d3П!F409</f>
        <v>0</v>
      </c>
      <c r="G409" s="324">
        <f>'d3'!G409-d3П!G409</f>
        <v>0</v>
      </c>
      <c r="H409" s="324">
        <f>'d3'!H409-d3П!H409</f>
        <v>0</v>
      </c>
      <c r="I409" s="324">
        <f>'d3'!I409-d3П!I409</f>
        <v>0</v>
      </c>
      <c r="J409" s="324">
        <f>'d3'!J409-d3П!J409</f>
        <v>29000</v>
      </c>
      <c r="K409" s="324">
        <f>'d3'!K409-d3П!K409</f>
        <v>29000</v>
      </c>
      <c r="L409" s="324">
        <f>'d3'!L409-d3П!L409</f>
        <v>0</v>
      </c>
      <c r="M409" s="324">
        <f>'d3'!M409-d3П!M409</f>
        <v>0</v>
      </c>
      <c r="N409" s="324">
        <f>'d3'!N409-d3П!N409</f>
        <v>0</v>
      </c>
      <c r="O409" s="324">
        <f>'d3'!O409-d3П!O409</f>
        <v>29000</v>
      </c>
      <c r="P409" s="324">
        <f>'d3'!P409-d3П!P409</f>
        <v>29000</v>
      </c>
      <c r="Q409" s="20"/>
    </row>
    <row r="410" spans="1:19" ht="47.25" thickTop="1" thickBot="1" x14ac:dyDescent="0.25">
      <c r="A410" s="101" t="s">
        <v>368</v>
      </c>
      <c r="B410" s="101" t="s">
        <v>369</v>
      </c>
      <c r="C410" s="101" t="s">
        <v>170</v>
      </c>
      <c r="D410" s="101" t="s">
        <v>370</v>
      </c>
      <c r="E410" s="324">
        <f>'d3'!E410-d3П!E410</f>
        <v>0</v>
      </c>
      <c r="F410" s="324">
        <f>'d3'!F410-d3П!F410</f>
        <v>0</v>
      </c>
      <c r="G410" s="324">
        <f>'d3'!G410-d3П!G410</f>
        <v>0</v>
      </c>
      <c r="H410" s="324">
        <f>'d3'!H410-d3П!H410</f>
        <v>0</v>
      </c>
      <c r="I410" s="324">
        <f>'d3'!I410-d3П!I410</f>
        <v>0</v>
      </c>
      <c r="J410" s="324">
        <f>'d3'!J410-d3П!J410</f>
        <v>29000</v>
      </c>
      <c r="K410" s="324">
        <f>'d3'!K410-d3П!K410</f>
        <v>29000</v>
      </c>
      <c r="L410" s="324">
        <f>'d3'!L410-d3П!L410</f>
        <v>0</v>
      </c>
      <c r="M410" s="324">
        <f>'d3'!M410-d3П!M410</f>
        <v>0</v>
      </c>
      <c r="N410" s="324">
        <f>'d3'!N410-d3П!N410</f>
        <v>0</v>
      </c>
      <c r="O410" s="324">
        <f>'d3'!O410-d3П!O410</f>
        <v>29000</v>
      </c>
      <c r="P410" s="324">
        <f>'d3'!P410-d3П!P410</f>
        <v>29000</v>
      </c>
      <c r="Q410" s="20"/>
      <c r="R410" s="45"/>
    </row>
    <row r="411" spans="1:19" ht="120" customHeight="1" thickTop="1" thickBot="1" x14ac:dyDescent="0.25">
      <c r="A411" s="689" t="s">
        <v>168</v>
      </c>
      <c r="B411" s="689"/>
      <c r="C411" s="689"/>
      <c r="D411" s="690" t="s">
        <v>27</v>
      </c>
      <c r="E411" s="691">
        <f>E412</f>
        <v>0.28999999910593033</v>
      </c>
      <c r="F411" s="692">
        <f t="shared" ref="F411:G411" si="98">F412</f>
        <v>0.28999999910593033</v>
      </c>
      <c r="G411" s="692">
        <f t="shared" si="98"/>
        <v>0</v>
      </c>
      <c r="H411" s="692">
        <f>H412</f>
        <v>-45000</v>
      </c>
      <c r="I411" s="692">
        <f t="shared" ref="I411" si="99">I412</f>
        <v>0</v>
      </c>
      <c r="J411" s="691">
        <f>J412</f>
        <v>60000</v>
      </c>
      <c r="K411" s="692">
        <f>K412</f>
        <v>60000</v>
      </c>
      <c r="L411" s="692">
        <f>L412</f>
        <v>0</v>
      </c>
      <c r="M411" s="692">
        <f t="shared" ref="M411" si="100">M412</f>
        <v>0</v>
      </c>
      <c r="N411" s="692">
        <f>N412</f>
        <v>0</v>
      </c>
      <c r="O411" s="691">
        <f>O412</f>
        <v>60000</v>
      </c>
      <c r="P411" s="692">
        <f t="shared" ref="P411" si="101">P412</f>
        <v>60000.289999999106</v>
      </c>
      <c r="Q411" s="20"/>
    </row>
    <row r="412" spans="1:19" ht="120" customHeight="1" thickTop="1" thickBot="1" x14ac:dyDescent="0.25">
      <c r="A412" s="693" t="s">
        <v>169</v>
      </c>
      <c r="B412" s="693"/>
      <c r="C412" s="693"/>
      <c r="D412" s="694" t="s">
        <v>40</v>
      </c>
      <c r="E412" s="695">
        <f>E413+E419+E426+E416</f>
        <v>0.28999999910593033</v>
      </c>
      <c r="F412" s="695">
        <f t="shared" ref="F412:P412" si="102">F413+F419+F426+F416</f>
        <v>0.28999999910593033</v>
      </c>
      <c r="G412" s="695">
        <f t="shared" si="102"/>
        <v>0</v>
      </c>
      <c r="H412" s="695">
        <f t="shared" si="102"/>
        <v>-45000</v>
      </c>
      <c r="I412" s="695">
        <f t="shared" si="102"/>
        <v>0</v>
      </c>
      <c r="J412" s="695">
        <f t="shared" si="102"/>
        <v>60000</v>
      </c>
      <c r="K412" s="695">
        <f t="shared" si="102"/>
        <v>60000</v>
      </c>
      <c r="L412" s="695">
        <f t="shared" si="102"/>
        <v>0</v>
      </c>
      <c r="M412" s="695">
        <f t="shared" si="102"/>
        <v>0</v>
      </c>
      <c r="N412" s="695">
        <f t="shared" si="102"/>
        <v>0</v>
      </c>
      <c r="O412" s="695">
        <f t="shared" si="102"/>
        <v>60000</v>
      </c>
      <c r="P412" s="695">
        <f t="shared" si="102"/>
        <v>60000.289999999106</v>
      </c>
      <c r="Q412" s="487" t="b">
        <f>P412=P414+P420+P422</f>
        <v>1</v>
      </c>
      <c r="R412" s="45"/>
    </row>
    <row r="413" spans="1:19" ht="47.25" thickTop="1" thickBot="1" x14ac:dyDescent="0.25">
      <c r="A413" s="308" t="s">
        <v>840</v>
      </c>
      <c r="B413" s="308" t="s">
        <v>680</v>
      </c>
      <c r="C413" s="308"/>
      <c r="D413" s="308" t="s">
        <v>681</v>
      </c>
      <c r="E413" s="324">
        <f>'d3'!E413-d3П!E413</f>
        <v>0.28999999910593033</v>
      </c>
      <c r="F413" s="324">
        <f>'d3'!F413-d3П!F413</f>
        <v>0.28999999910593033</v>
      </c>
      <c r="G413" s="324">
        <f>'d3'!G413-d3П!G413</f>
        <v>0</v>
      </c>
      <c r="H413" s="324">
        <f>'d3'!H413-d3П!H413</f>
        <v>-45000</v>
      </c>
      <c r="I413" s="324">
        <f>'d3'!I413-d3П!I413</f>
        <v>0</v>
      </c>
      <c r="J413" s="324">
        <f>'d3'!J413-d3П!J413</f>
        <v>60000</v>
      </c>
      <c r="K413" s="324">
        <f>'d3'!K413-d3П!K413</f>
        <v>60000</v>
      </c>
      <c r="L413" s="324">
        <f>'d3'!L413-d3П!L413</f>
        <v>0</v>
      </c>
      <c r="M413" s="324">
        <f>'d3'!M413-d3П!M413</f>
        <v>0</v>
      </c>
      <c r="N413" s="324">
        <f>'d3'!N413-d3П!N413</f>
        <v>0</v>
      </c>
      <c r="O413" s="324">
        <f>'d3'!O413-d3П!O413</f>
        <v>60000</v>
      </c>
      <c r="P413" s="324">
        <f>'d3'!P413-d3П!P413</f>
        <v>60000.289999999106</v>
      </c>
      <c r="Q413" s="47"/>
      <c r="R413" s="50"/>
    </row>
    <row r="414" spans="1:19" ht="93" thickTop="1" thickBot="1" x14ac:dyDescent="0.25">
      <c r="A414" s="101" t="s">
        <v>419</v>
      </c>
      <c r="B414" s="101" t="s">
        <v>236</v>
      </c>
      <c r="C414" s="101" t="s">
        <v>234</v>
      </c>
      <c r="D414" s="101" t="s">
        <v>235</v>
      </c>
      <c r="E414" s="324">
        <f>'d3'!E414-d3П!E414</f>
        <v>0.28999999910593033</v>
      </c>
      <c r="F414" s="324">
        <f>'d3'!F414-d3П!F414</f>
        <v>0.28999999910593033</v>
      </c>
      <c r="G414" s="324">
        <f>'d3'!G414-d3П!G414</f>
        <v>0</v>
      </c>
      <c r="H414" s="324">
        <f>'d3'!H414-d3П!H414</f>
        <v>-45000</v>
      </c>
      <c r="I414" s="324">
        <f>'d3'!I414-d3П!I414</f>
        <v>0</v>
      </c>
      <c r="J414" s="324">
        <f>'d3'!J414-d3П!J414</f>
        <v>60000</v>
      </c>
      <c r="K414" s="324">
        <f>'d3'!K414-d3П!K414</f>
        <v>60000</v>
      </c>
      <c r="L414" s="324">
        <f>'d3'!L414-d3П!L414</f>
        <v>0</v>
      </c>
      <c r="M414" s="324">
        <f>'d3'!M414-d3П!M414</f>
        <v>0</v>
      </c>
      <c r="N414" s="324">
        <f>'d3'!N414-d3П!N414</f>
        <v>0</v>
      </c>
      <c r="O414" s="324">
        <f>'d3'!O414-d3П!O414</f>
        <v>60000</v>
      </c>
      <c r="P414" s="324">
        <f>'d3'!P414-d3П!P414</f>
        <v>60000.289999999106</v>
      </c>
      <c r="Q414" s="47"/>
      <c r="R414" s="50"/>
      <c r="S414" s="47"/>
    </row>
    <row r="415" spans="1:19" ht="93" hidden="1" thickTop="1" thickBot="1" x14ac:dyDescent="0.25">
      <c r="A415" s="126" t="s">
        <v>632</v>
      </c>
      <c r="B415" s="126" t="s">
        <v>362</v>
      </c>
      <c r="C415" s="126" t="s">
        <v>623</v>
      </c>
      <c r="D415" s="126" t="s">
        <v>624</v>
      </c>
      <c r="E415" s="324">
        <f>'d3'!E415-d3П!E415</f>
        <v>0</v>
      </c>
      <c r="F415" s="324">
        <f>'d3'!F415-d3П!F415</f>
        <v>0</v>
      </c>
      <c r="G415" s="324">
        <f>'d3'!G415-d3П!G415</f>
        <v>0</v>
      </c>
      <c r="H415" s="324">
        <f>'d3'!H415-d3П!H415</f>
        <v>0</v>
      </c>
      <c r="I415" s="324">
        <f>'d3'!I415-d3П!I415</f>
        <v>0</v>
      </c>
      <c r="J415" s="324">
        <f>'d3'!J415-d3П!J415</f>
        <v>0</v>
      </c>
      <c r="K415" s="324">
        <f>'d3'!K415-d3П!K415</f>
        <v>0</v>
      </c>
      <c r="L415" s="324">
        <f>'d3'!L415-d3П!L415</f>
        <v>0</v>
      </c>
      <c r="M415" s="324">
        <f>'d3'!M415-d3П!M415</f>
        <v>0</v>
      </c>
      <c r="N415" s="324">
        <f>'d3'!N415-d3П!N415</f>
        <v>0</v>
      </c>
      <c r="O415" s="324">
        <f>'d3'!O415-d3П!O415</f>
        <v>0</v>
      </c>
      <c r="P415" s="324">
        <f>'d3'!P415-d3П!P415</f>
        <v>0</v>
      </c>
      <c r="Q415" s="47"/>
      <c r="R415" s="50"/>
    </row>
    <row r="416" spans="1:19" ht="47.25" hidden="1" thickTop="1" thickBot="1" x14ac:dyDescent="0.25">
      <c r="A416" s="134" t="s">
        <v>1186</v>
      </c>
      <c r="B416" s="134" t="s">
        <v>687</v>
      </c>
      <c r="C416" s="134"/>
      <c r="D416" s="134" t="s">
        <v>685</v>
      </c>
      <c r="E416" s="324">
        <f>'d3'!E416-d3П!E416</f>
        <v>0</v>
      </c>
      <c r="F416" s="324">
        <f>'d3'!F416-d3П!F416</f>
        <v>0</v>
      </c>
      <c r="G416" s="324">
        <f>'d3'!G416-d3П!G416</f>
        <v>0</v>
      </c>
      <c r="H416" s="324">
        <f>'d3'!H416-d3П!H416</f>
        <v>0</v>
      </c>
      <c r="I416" s="324">
        <f>'d3'!I416-d3П!I416</f>
        <v>0</v>
      </c>
      <c r="J416" s="324">
        <f>'d3'!J416-d3П!J416</f>
        <v>0</v>
      </c>
      <c r="K416" s="324">
        <f>'d3'!K416-d3П!K416</f>
        <v>0</v>
      </c>
      <c r="L416" s="324">
        <f>'d3'!L416-d3П!L416</f>
        <v>0</v>
      </c>
      <c r="M416" s="324">
        <f>'d3'!M416-d3П!M416</f>
        <v>0</v>
      </c>
      <c r="N416" s="324">
        <f>'d3'!N416-d3П!N416</f>
        <v>0</v>
      </c>
      <c r="O416" s="324">
        <f>'d3'!O416-d3П!O416</f>
        <v>0</v>
      </c>
      <c r="P416" s="324">
        <f>'d3'!P416-d3П!P416</f>
        <v>0</v>
      </c>
      <c r="Q416" s="47"/>
      <c r="R416" s="50"/>
    </row>
    <row r="417" spans="1:18" ht="47.25" hidden="1" thickTop="1" thickBot="1" x14ac:dyDescent="0.25">
      <c r="A417" s="138" t="s">
        <v>1187</v>
      </c>
      <c r="B417" s="138" t="s">
        <v>690</v>
      </c>
      <c r="C417" s="138"/>
      <c r="D417" s="138" t="s">
        <v>688</v>
      </c>
      <c r="E417" s="324">
        <f>'d3'!E417-d3П!E417</f>
        <v>0</v>
      </c>
      <c r="F417" s="324">
        <f>'d3'!F417-d3П!F417</f>
        <v>0</v>
      </c>
      <c r="G417" s="324">
        <f>'d3'!G417-d3П!G417</f>
        <v>0</v>
      </c>
      <c r="H417" s="324">
        <f>'d3'!H417-d3П!H417</f>
        <v>0</v>
      </c>
      <c r="I417" s="324">
        <f>'d3'!I417-d3П!I417</f>
        <v>0</v>
      </c>
      <c r="J417" s="324">
        <f>'d3'!J417-d3П!J417</f>
        <v>0</v>
      </c>
      <c r="K417" s="324">
        <f>'d3'!K417-d3П!K417</f>
        <v>0</v>
      </c>
      <c r="L417" s="324">
        <f>'d3'!L417-d3П!L417</f>
        <v>0</v>
      </c>
      <c r="M417" s="324">
        <f>'d3'!M417-d3П!M417</f>
        <v>0</v>
      </c>
      <c r="N417" s="324">
        <f>'d3'!N417-d3П!N417</f>
        <v>0</v>
      </c>
      <c r="O417" s="324">
        <f>'d3'!O417-d3П!O417</f>
        <v>0</v>
      </c>
      <c r="P417" s="324">
        <f>'d3'!P417-d3П!P417</f>
        <v>0</v>
      </c>
      <c r="Q417" s="47"/>
      <c r="R417" s="50"/>
    </row>
    <row r="418" spans="1:18" ht="47.25" hidden="1" thickTop="1" thickBot="1" x14ac:dyDescent="0.25">
      <c r="A418" s="126" t="s">
        <v>1188</v>
      </c>
      <c r="B418" s="126" t="s">
        <v>257</v>
      </c>
      <c r="C418" s="126" t="s">
        <v>170</v>
      </c>
      <c r="D418" s="126" t="s">
        <v>255</v>
      </c>
      <c r="E418" s="324">
        <f>'d3'!E418-d3П!E418</f>
        <v>0</v>
      </c>
      <c r="F418" s="324">
        <f>'d3'!F418-d3П!F418</f>
        <v>0</v>
      </c>
      <c r="G418" s="324">
        <f>'d3'!G418-d3П!G418</f>
        <v>0</v>
      </c>
      <c r="H418" s="324">
        <f>'d3'!H418-d3П!H418</f>
        <v>0</v>
      </c>
      <c r="I418" s="324">
        <f>'d3'!I418-d3П!I418</f>
        <v>0</v>
      </c>
      <c r="J418" s="324">
        <f>'d3'!J418-d3П!J418</f>
        <v>0</v>
      </c>
      <c r="K418" s="324">
        <f>'d3'!K418-d3П!K418</f>
        <v>0</v>
      </c>
      <c r="L418" s="324">
        <f>'d3'!L418-d3П!L418</f>
        <v>0</v>
      </c>
      <c r="M418" s="324">
        <f>'d3'!M418-d3П!M418</f>
        <v>0</v>
      </c>
      <c r="N418" s="324">
        <f>'d3'!N418-d3П!N418</f>
        <v>0</v>
      </c>
      <c r="O418" s="324">
        <f>'d3'!O418-d3П!O418</f>
        <v>0</v>
      </c>
      <c r="P418" s="324">
        <f>'d3'!P418-d3П!P418</f>
        <v>0</v>
      </c>
      <c r="Q418" s="47"/>
      <c r="R418" s="50"/>
    </row>
    <row r="419" spans="1:18" ht="47.25" thickTop="1" thickBot="1" x14ac:dyDescent="0.25">
      <c r="A419" s="308" t="s">
        <v>841</v>
      </c>
      <c r="B419" s="308" t="s">
        <v>692</v>
      </c>
      <c r="C419" s="308"/>
      <c r="D419" s="308" t="s">
        <v>693</v>
      </c>
      <c r="E419" s="324">
        <f>'d3'!E419-d3П!E419</f>
        <v>0</v>
      </c>
      <c r="F419" s="324">
        <f>'d3'!F419-d3П!F419</f>
        <v>0</v>
      </c>
      <c r="G419" s="324">
        <f>'d3'!G419-d3П!G419</f>
        <v>0</v>
      </c>
      <c r="H419" s="324">
        <f>'d3'!H419-d3П!H419</f>
        <v>0</v>
      </c>
      <c r="I419" s="324">
        <f>'d3'!I419-d3П!I419</f>
        <v>0</v>
      </c>
      <c r="J419" s="324">
        <f>'d3'!J419-d3П!J419</f>
        <v>0</v>
      </c>
      <c r="K419" s="324">
        <f>'d3'!K419-d3П!K419</f>
        <v>0</v>
      </c>
      <c r="L419" s="324">
        <f>'d3'!L419-d3П!L419</f>
        <v>0</v>
      </c>
      <c r="M419" s="324">
        <f>'d3'!M419-d3П!M419</f>
        <v>0</v>
      </c>
      <c r="N419" s="324">
        <f>'d3'!N419-d3П!N419</f>
        <v>0</v>
      </c>
      <c r="O419" s="324">
        <f>'d3'!O419-d3П!O419</f>
        <v>0</v>
      </c>
      <c r="P419" s="324">
        <f>'d3'!P419-d3П!P419</f>
        <v>0</v>
      </c>
      <c r="Q419" s="47"/>
      <c r="R419" s="50"/>
    </row>
    <row r="420" spans="1:18" ht="47.25" thickTop="1" thickBot="1" x14ac:dyDescent="0.25">
      <c r="A420" s="510">
        <v>3718600</v>
      </c>
      <c r="B420" s="510">
        <v>8600</v>
      </c>
      <c r="C420" s="310" t="s">
        <v>362</v>
      </c>
      <c r="D420" s="510" t="s">
        <v>451</v>
      </c>
      <c r="E420" s="324">
        <f>'d3'!E420-d3П!E420</f>
        <v>0</v>
      </c>
      <c r="F420" s="324">
        <f>'d3'!F420-d3П!F420</f>
        <v>0</v>
      </c>
      <c r="G420" s="324">
        <f>'d3'!G420-d3П!G420</f>
        <v>0</v>
      </c>
      <c r="H420" s="324">
        <f>'d3'!H420-d3П!H420</f>
        <v>0</v>
      </c>
      <c r="I420" s="324">
        <f>'d3'!I420-d3П!I420</f>
        <v>0</v>
      </c>
      <c r="J420" s="324">
        <f>'d3'!J420-d3П!J420</f>
        <v>0</v>
      </c>
      <c r="K420" s="324">
        <f>'d3'!K420-d3П!K420</f>
        <v>0</v>
      </c>
      <c r="L420" s="324">
        <f>'d3'!L420-d3П!L420</f>
        <v>0</v>
      </c>
      <c r="M420" s="324">
        <f>'d3'!M420-d3П!M420</f>
        <v>0</v>
      </c>
      <c r="N420" s="324">
        <f>'d3'!N420-d3П!N420</f>
        <v>0</v>
      </c>
      <c r="O420" s="324">
        <f>'d3'!O420-d3П!O420</f>
        <v>0</v>
      </c>
      <c r="P420" s="324">
        <f>'d3'!P420-d3П!P420</f>
        <v>0</v>
      </c>
      <c r="Q420" s="20"/>
    </row>
    <row r="421" spans="1:18" ht="47.25" thickTop="1" thickBot="1" x14ac:dyDescent="0.25">
      <c r="A421" s="510">
        <v>3718700</v>
      </c>
      <c r="B421" s="510">
        <v>8700</v>
      </c>
      <c r="C421" s="310"/>
      <c r="D421" s="510" t="s">
        <v>842</v>
      </c>
      <c r="E421" s="324">
        <f>'d3'!E421-d3П!E421</f>
        <v>0</v>
      </c>
      <c r="F421" s="324">
        <f>'d3'!F421-d3П!F421</f>
        <v>0</v>
      </c>
      <c r="G421" s="324">
        <f>'d3'!G421-d3П!G421</f>
        <v>0</v>
      </c>
      <c r="H421" s="324">
        <f>'d3'!H421-d3П!H421</f>
        <v>0</v>
      </c>
      <c r="I421" s="324">
        <f>'d3'!I421-d3П!I421</f>
        <v>0</v>
      </c>
      <c r="J421" s="324">
        <f>'d3'!J421-d3П!J421</f>
        <v>0</v>
      </c>
      <c r="K421" s="324">
        <f>'d3'!K421-d3П!K421</f>
        <v>0</v>
      </c>
      <c r="L421" s="324">
        <f>'d3'!L421-d3П!L421</f>
        <v>0</v>
      </c>
      <c r="M421" s="324">
        <f>'d3'!M421-d3П!M421</f>
        <v>0</v>
      </c>
      <c r="N421" s="324">
        <f>'d3'!N421-d3П!N421</f>
        <v>0</v>
      </c>
      <c r="O421" s="324">
        <f>'d3'!O421-d3П!O421</f>
        <v>0</v>
      </c>
      <c r="P421" s="324">
        <f>'d3'!P421-d3П!P421</f>
        <v>0</v>
      </c>
      <c r="Q421" s="20"/>
    </row>
    <row r="422" spans="1:18" ht="69" customHeight="1" thickTop="1" thickBot="1" x14ac:dyDescent="0.25">
      <c r="A422" s="326">
        <v>3718710</v>
      </c>
      <c r="B422" s="326">
        <v>8710</v>
      </c>
      <c r="C422" s="101" t="s">
        <v>42</v>
      </c>
      <c r="D422" s="461" t="s">
        <v>638</v>
      </c>
      <c r="E422" s="324">
        <f>'d3'!E422-d3П!E422</f>
        <v>0</v>
      </c>
      <c r="F422" s="324">
        <f>'d3'!F422-d3П!F422</f>
        <v>0</v>
      </c>
      <c r="G422" s="324">
        <f>'d3'!G422-d3П!G422</f>
        <v>0</v>
      </c>
      <c r="H422" s="324">
        <f>'d3'!H422-d3П!H422</f>
        <v>0</v>
      </c>
      <c r="I422" s="324">
        <f>'d3'!I422-d3П!I422</f>
        <v>0</v>
      </c>
      <c r="J422" s="324">
        <f>'d3'!J422-d3П!J422</f>
        <v>0</v>
      </c>
      <c r="K422" s="324">
        <f>'d3'!K422-d3П!K422</f>
        <v>0</v>
      </c>
      <c r="L422" s="324">
        <f>'d3'!L422-d3П!L422</f>
        <v>0</v>
      </c>
      <c r="M422" s="324">
        <f>'d3'!M422-d3П!M422</f>
        <v>0</v>
      </c>
      <c r="N422" s="324">
        <f>'d3'!N422-d3П!N422</f>
        <v>0</v>
      </c>
      <c r="O422" s="324">
        <f>'d3'!O422-d3П!O422</f>
        <v>0</v>
      </c>
      <c r="P422" s="324">
        <f>'d3'!P422-d3П!P422</f>
        <v>0</v>
      </c>
      <c r="Q422" s="20"/>
    </row>
    <row r="423" spans="1:18" ht="47.25" hidden="1" thickTop="1" thickBot="1" x14ac:dyDescent="0.25">
      <c r="A423" s="164">
        <v>3718800</v>
      </c>
      <c r="B423" s="164">
        <v>8800</v>
      </c>
      <c r="C423" s="134"/>
      <c r="D423" s="164" t="s">
        <v>850</v>
      </c>
      <c r="E423" s="135">
        <f>E424</f>
        <v>0</v>
      </c>
      <c r="F423" s="135">
        <f>F424</f>
        <v>0</v>
      </c>
      <c r="G423" s="135">
        <f t="shared" ref="G423:P424" si="103">G424</f>
        <v>0</v>
      </c>
      <c r="H423" s="135">
        <f t="shared" si="103"/>
        <v>0</v>
      </c>
      <c r="I423" s="135">
        <f t="shared" si="103"/>
        <v>0</v>
      </c>
      <c r="J423" s="135">
        <f t="shared" si="103"/>
        <v>0</v>
      </c>
      <c r="K423" s="135">
        <f t="shared" si="103"/>
        <v>0</v>
      </c>
      <c r="L423" s="135">
        <f t="shared" si="103"/>
        <v>0</v>
      </c>
      <c r="M423" s="135">
        <f t="shared" si="103"/>
        <v>0</v>
      </c>
      <c r="N423" s="135">
        <f t="shared" si="103"/>
        <v>0</v>
      </c>
      <c r="O423" s="135">
        <f t="shared" si="103"/>
        <v>0</v>
      </c>
      <c r="P423" s="135">
        <f t="shared" si="103"/>
        <v>0</v>
      </c>
      <c r="Q423" s="20"/>
    </row>
    <row r="424" spans="1:18" ht="93" hidden="1" thickTop="1" thickBot="1" x14ac:dyDescent="0.25">
      <c r="A424" s="165">
        <v>3718880</v>
      </c>
      <c r="B424" s="165">
        <v>8880</v>
      </c>
      <c r="C424" s="138"/>
      <c r="D424" s="151" t="s">
        <v>1136</v>
      </c>
      <c r="E424" s="139">
        <f>E425</f>
        <v>0</v>
      </c>
      <c r="F424" s="139">
        <f t="shared" ref="F424" si="104">F425</f>
        <v>0</v>
      </c>
      <c r="G424" s="139">
        <f t="shared" si="103"/>
        <v>0</v>
      </c>
      <c r="H424" s="139">
        <f t="shared" si="103"/>
        <v>0</v>
      </c>
      <c r="I424" s="139">
        <f t="shared" si="103"/>
        <v>0</v>
      </c>
      <c r="J424" s="139">
        <f t="shared" si="103"/>
        <v>0</v>
      </c>
      <c r="K424" s="139">
        <f t="shared" si="103"/>
        <v>0</v>
      </c>
      <c r="L424" s="139">
        <f t="shared" si="103"/>
        <v>0</v>
      </c>
      <c r="M424" s="139">
        <f t="shared" si="103"/>
        <v>0</v>
      </c>
      <c r="N424" s="139">
        <f t="shared" si="103"/>
        <v>0</v>
      </c>
      <c r="O424" s="139">
        <f t="shared" si="103"/>
        <v>0</v>
      </c>
      <c r="P424" s="139">
        <f t="shared" si="103"/>
        <v>0</v>
      </c>
      <c r="Q424" s="20"/>
    </row>
    <row r="425" spans="1:18" ht="93" hidden="1" thickTop="1" thickBot="1" x14ac:dyDescent="0.25">
      <c r="A425" s="126">
        <v>3718881</v>
      </c>
      <c r="B425" s="126">
        <v>8881</v>
      </c>
      <c r="C425" s="126" t="s">
        <v>170</v>
      </c>
      <c r="D425" s="126" t="s">
        <v>1137</v>
      </c>
      <c r="E425" s="150">
        <f>F425</f>
        <v>0</v>
      </c>
      <c r="F425" s="127">
        <f>(2500000)-2500000</f>
        <v>0</v>
      </c>
      <c r="G425" s="127"/>
      <c r="H425" s="127"/>
      <c r="I425" s="127"/>
      <c r="J425" s="125">
        <f t="shared" ref="J425" si="105">L425+O425</f>
        <v>0</v>
      </c>
      <c r="K425" s="127"/>
      <c r="L425" s="128"/>
      <c r="M425" s="128"/>
      <c r="N425" s="128"/>
      <c r="O425" s="130">
        <f t="shared" ref="O425" si="106">K425</f>
        <v>0</v>
      </c>
      <c r="P425" s="125">
        <f t="shared" ref="P425" si="107">+J425+E425</f>
        <v>0</v>
      </c>
      <c r="Q425" s="20"/>
    </row>
    <row r="426" spans="1:18" ht="47.25" hidden="1" thickTop="1" thickBot="1" x14ac:dyDescent="0.25">
      <c r="A426" s="123" t="s">
        <v>843</v>
      </c>
      <c r="B426" s="123" t="s">
        <v>698</v>
      </c>
      <c r="C426" s="123"/>
      <c r="D426" s="123" t="s">
        <v>699</v>
      </c>
      <c r="E426" s="125">
        <f>E427</f>
        <v>0</v>
      </c>
      <c r="F426" s="125">
        <f t="shared" ref="F426:P427" si="108">F427</f>
        <v>0</v>
      </c>
      <c r="G426" s="125">
        <f t="shared" si="108"/>
        <v>0</v>
      </c>
      <c r="H426" s="125">
        <f t="shared" si="108"/>
        <v>0</v>
      </c>
      <c r="I426" s="125">
        <f t="shared" si="108"/>
        <v>0</v>
      </c>
      <c r="J426" s="125">
        <f t="shared" si="108"/>
        <v>0</v>
      </c>
      <c r="K426" s="125">
        <f t="shared" si="108"/>
        <v>0</v>
      </c>
      <c r="L426" s="125">
        <f t="shared" si="108"/>
        <v>0</v>
      </c>
      <c r="M426" s="125">
        <f t="shared" si="108"/>
        <v>0</v>
      </c>
      <c r="N426" s="125">
        <f t="shared" si="108"/>
        <v>0</v>
      </c>
      <c r="O426" s="125">
        <f t="shared" si="108"/>
        <v>0</v>
      </c>
      <c r="P426" s="125">
        <f t="shared" si="108"/>
        <v>0</v>
      </c>
      <c r="Q426" s="20"/>
    </row>
    <row r="427" spans="1:18" ht="47.25" hidden="1" thickTop="1" thickBot="1" x14ac:dyDescent="0.25">
      <c r="A427" s="164">
        <v>3719100</v>
      </c>
      <c r="B427" s="134" t="s">
        <v>845</v>
      </c>
      <c r="C427" s="134"/>
      <c r="D427" s="134" t="s">
        <v>844</v>
      </c>
      <c r="E427" s="135">
        <f>E428</f>
        <v>0</v>
      </c>
      <c r="F427" s="135">
        <f t="shared" si="108"/>
        <v>0</v>
      </c>
      <c r="G427" s="135">
        <f t="shared" si="108"/>
        <v>0</v>
      </c>
      <c r="H427" s="135">
        <f t="shared" si="108"/>
        <v>0</v>
      </c>
      <c r="I427" s="135">
        <f t="shared" si="108"/>
        <v>0</v>
      </c>
      <c r="J427" s="135">
        <f t="shared" si="108"/>
        <v>0</v>
      </c>
      <c r="K427" s="135">
        <f t="shared" si="108"/>
        <v>0</v>
      </c>
      <c r="L427" s="135">
        <f t="shared" si="108"/>
        <v>0</v>
      </c>
      <c r="M427" s="135">
        <f t="shared" si="108"/>
        <v>0</v>
      </c>
      <c r="N427" s="135">
        <f t="shared" si="108"/>
        <v>0</v>
      </c>
      <c r="O427" s="135">
        <f t="shared" si="108"/>
        <v>0</v>
      </c>
      <c r="P427" s="135">
        <f t="shared" si="108"/>
        <v>0</v>
      </c>
      <c r="Q427" s="20"/>
    </row>
    <row r="428" spans="1:18" ht="51" hidden="1" customHeight="1" thickTop="1" thickBot="1" x14ac:dyDescent="0.25">
      <c r="A428" s="149">
        <v>3719110</v>
      </c>
      <c r="B428" s="149">
        <v>9110</v>
      </c>
      <c r="C428" s="126" t="s">
        <v>43</v>
      </c>
      <c r="D428" s="397" t="s">
        <v>450</v>
      </c>
      <c r="E428" s="125">
        <f>F428</f>
        <v>0</v>
      </c>
      <c r="F428" s="132">
        <v>0</v>
      </c>
      <c r="G428" s="132"/>
      <c r="H428" s="132"/>
      <c r="I428" s="132"/>
      <c r="J428" s="125">
        <f>L428+O428</f>
        <v>0</v>
      </c>
      <c r="K428" s="132"/>
      <c r="L428" s="132"/>
      <c r="M428" s="132"/>
      <c r="N428" s="132"/>
      <c r="O428" s="130">
        <f>K428</f>
        <v>0</v>
      </c>
      <c r="P428" s="125">
        <f>E428+J428</f>
        <v>0</v>
      </c>
      <c r="Q428" s="20"/>
    </row>
    <row r="429" spans="1:18" ht="111" customHeight="1" thickTop="1" thickBot="1" x14ac:dyDescent="0.25">
      <c r="A429" s="636" t="s">
        <v>381</v>
      </c>
      <c r="B429" s="636" t="s">
        <v>381</v>
      </c>
      <c r="C429" s="636" t="s">
        <v>381</v>
      </c>
      <c r="D429" s="636" t="s">
        <v>391</v>
      </c>
      <c r="E429" s="637">
        <f t="shared" ref="E429:P429" si="109">E16+E48+E220+E106+E138+E199++E320+E345+E412+E373+E393+E403+E354+E285+E256</f>
        <v>48725658.370000042</v>
      </c>
      <c r="F429" s="637">
        <f t="shared" si="109"/>
        <v>48725658.370000042</v>
      </c>
      <c r="G429" s="637">
        <f t="shared" si="109"/>
        <v>5635881</v>
      </c>
      <c r="H429" s="637">
        <f t="shared" si="109"/>
        <v>1689408.7099999879</v>
      </c>
      <c r="I429" s="637">
        <f t="shared" si="109"/>
        <v>0</v>
      </c>
      <c r="J429" s="637">
        <f t="shared" si="109"/>
        <v>87300083.620000005</v>
      </c>
      <c r="K429" s="637">
        <f t="shared" si="109"/>
        <v>87300083.620000005</v>
      </c>
      <c r="L429" s="637">
        <f>L16+L48+L220+L106+L138+L199++L320+L345+L412+L373+L393+L403+L354+L285+L256</f>
        <v>-238000</v>
      </c>
      <c r="M429" s="637">
        <f t="shared" si="109"/>
        <v>0</v>
      </c>
      <c r="N429" s="637">
        <f t="shared" si="109"/>
        <v>0</v>
      </c>
      <c r="O429" s="637">
        <f t="shared" si="109"/>
        <v>87538083.620000005</v>
      </c>
      <c r="P429" s="637">
        <f t="shared" si="109"/>
        <v>136025741.99000004</v>
      </c>
      <c r="Q429" s="79" t="b">
        <f>P429=J429+E429</f>
        <v>1</v>
      </c>
    </row>
    <row r="430" spans="1:18" ht="47.25" thickTop="1" thickBot="1" x14ac:dyDescent="0.25">
      <c r="A430" s="776" t="s">
        <v>1495</v>
      </c>
      <c r="B430" s="777"/>
      <c r="C430" s="777"/>
      <c r="D430" s="777"/>
      <c r="E430" s="777"/>
      <c r="F430" s="777"/>
      <c r="G430" s="777"/>
      <c r="H430" s="777"/>
      <c r="I430" s="777"/>
      <c r="J430" s="777"/>
      <c r="K430" s="777"/>
      <c r="L430" s="777"/>
      <c r="M430" s="777"/>
      <c r="N430" s="777"/>
      <c r="O430" s="777"/>
      <c r="P430" s="777"/>
      <c r="Q430" s="56"/>
    </row>
    <row r="431" spans="1:18" ht="47.25" thickTop="1" thickBot="1" x14ac:dyDescent="0.7">
      <c r="A431" s="19"/>
      <c r="B431" s="19"/>
      <c r="C431" s="19"/>
      <c r="D431" s="751"/>
      <c r="E431" s="751"/>
      <c r="F431" s="751"/>
      <c r="G431" s="751"/>
      <c r="H431" s="751"/>
      <c r="I431" s="751"/>
      <c r="J431" s="751"/>
      <c r="K431" s="751"/>
      <c r="L431" s="751"/>
      <c r="M431" s="751"/>
      <c r="N431" s="751"/>
      <c r="O431" s="751"/>
      <c r="P431" s="751"/>
      <c r="Q431" s="84"/>
    </row>
    <row r="432" spans="1:18" ht="95.25" customHeight="1" thickTop="1" x14ac:dyDescent="0.55000000000000004">
      <c r="E432" s="651"/>
      <c r="G432" s="58"/>
      <c r="H432" s="58"/>
      <c r="I432" s="91"/>
      <c r="J432" s="92"/>
      <c r="K432" s="92"/>
      <c r="L432" s="91"/>
      <c r="M432" s="91"/>
      <c r="N432" s="91"/>
      <c r="O432" s="91"/>
      <c r="P432" s="92"/>
      <c r="Q432" s="82"/>
    </row>
    <row r="433" spans="1:20" x14ac:dyDescent="0.2">
      <c r="E433" s="59"/>
      <c r="F433" s="60"/>
      <c r="G433" s="58"/>
      <c r="H433" s="58"/>
      <c r="I433" s="91"/>
      <c r="J433" s="93"/>
      <c r="K433" s="93"/>
      <c r="L433" s="91"/>
      <c r="M433" s="91"/>
      <c r="N433" s="91"/>
      <c r="O433" s="91"/>
      <c r="P433" s="92"/>
    </row>
    <row r="434" spans="1:20" x14ac:dyDescent="0.2">
      <c r="E434" s="59"/>
      <c r="F434" s="60"/>
      <c r="G434" s="58"/>
      <c r="H434" s="58"/>
      <c r="I434" s="91"/>
      <c r="J434" s="93"/>
      <c r="K434" s="93"/>
      <c r="L434" s="91"/>
      <c r="M434" s="91"/>
      <c r="N434" s="91"/>
      <c r="O434" s="91"/>
      <c r="P434" s="92"/>
    </row>
    <row r="435" spans="1:20" ht="60.75" x14ac:dyDescent="0.2">
      <c r="E435" s="651" t="e">
        <f>#REF!=E429</f>
        <v>#REF!</v>
      </c>
      <c r="F435" s="651" t="e">
        <f>#REF!=F429</f>
        <v>#REF!</v>
      </c>
      <c r="G435" s="651" t="e">
        <f>#REF!=G429</f>
        <v>#REF!</v>
      </c>
      <c r="H435" s="651" t="e">
        <f>#REF!=H429</f>
        <v>#REF!</v>
      </c>
      <c r="I435" s="651" t="e">
        <f>#REF!=I429</f>
        <v>#REF!</v>
      </c>
      <c r="J435" s="651" t="e">
        <f>#REF!=J429</f>
        <v>#REF!</v>
      </c>
      <c r="K435" s="651" t="e">
        <f>#REF!=K429</f>
        <v>#REF!</v>
      </c>
      <c r="L435" s="651" t="e">
        <f>#REF!=L429</f>
        <v>#REF!</v>
      </c>
      <c r="M435" s="651" t="e">
        <f>#REF!=M429</f>
        <v>#REF!</v>
      </c>
      <c r="N435" s="651" t="e">
        <f>#REF!=N429</f>
        <v>#REF!</v>
      </c>
      <c r="O435" s="651" t="e">
        <f>#REF!=O429</f>
        <v>#REF!</v>
      </c>
      <c r="P435" s="651" t="e">
        <f>#REF!=P429</f>
        <v>#REF!</v>
      </c>
    </row>
    <row r="436" spans="1:20" ht="61.5" x14ac:dyDescent="0.2">
      <c r="E436" s="651" t="b">
        <f>E429=F429</f>
        <v>1</v>
      </c>
      <c r="F436" s="652">
        <f>F422/E429</f>
        <v>0</v>
      </c>
      <c r="G436" s="86"/>
      <c r="H436" s="87"/>
      <c r="I436" s="88"/>
      <c r="J436" s="651" t="e">
        <f>#REF!=#REF!+#REF!</f>
        <v>#REF!</v>
      </c>
      <c r="K436" s="94"/>
      <c r="L436" s="79"/>
      <c r="M436" s="88"/>
      <c r="N436" s="88"/>
      <c r="O436" s="79"/>
      <c r="P436" s="651" t="b">
        <f>E429+J429=P429</f>
        <v>1</v>
      </c>
    </row>
    <row r="437" spans="1:20" ht="60.75" x14ac:dyDescent="0.2">
      <c r="E437" s="89"/>
      <c r="F437" s="90"/>
      <c r="G437" s="89"/>
      <c r="H437" s="653" t="e">
        <f>#REF!-H429</f>
        <v>#REF!</v>
      </c>
      <c r="I437" s="89"/>
      <c r="J437" s="59"/>
      <c r="K437" s="59"/>
    </row>
    <row r="438" spans="1:20" ht="61.5" x14ac:dyDescent="0.2">
      <c r="A438" s="21"/>
      <c r="B438" s="21"/>
      <c r="C438" s="21"/>
      <c r="D438" s="22"/>
      <c r="E438" s="37" t="e">
        <f>E429-#REF!</f>
        <v>#REF!</v>
      </c>
      <c r="F438" s="652">
        <f>400000/E429</f>
        <v>8.2092271994066365E-3</v>
      </c>
      <c r="G438" s="86"/>
      <c r="H438" s="61"/>
      <c r="I438" s="22"/>
      <c r="J438" s="37" t="e">
        <f>J429-#REF!</f>
        <v>#REF!</v>
      </c>
      <c r="K438" s="37" t="e">
        <f>K429-#REF!</f>
        <v>#REF!</v>
      </c>
      <c r="L438" s="37"/>
      <c r="M438" s="37"/>
      <c r="N438" s="37"/>
      <c r="O438" s="37" t="e">
        <f>O429-#REF!</f>
        <v>#REF!</v>
      </c>
      <c r="P438" s="37"/>
    </row>
    <row r="439" spans="1:20" ht="61.5" x14ac:dyDescent="0.2">
      <c r="D439" s="22"/>
      <c r="E439" s="37"/>
      <c r="F439" s="63"/>
      <c r="G439" s="55"/>
      <c r="H439" s="61"/>
      <c r="I439" s="22"/>
      <c r="J439" s="37"/>
      <c r="K439" s="37"/>
      <c r="L439" s="64"/>
      <c r="P439" s="55"/>
      <c r="Q439" s="85"/>
      <c r="R439" s="65"/>
    </row>
    <row r="440" spans="1:20" ht="60.75" x14ac:dyDescent="0.2">
      <c r="A440" s="21"/>
      <c r="B440" s="21"/>
      <c r="C440" s="21"/>
      <c r="D440" s="22"/>
      <c r="E440" s="26"/>
      <c r="F440" s="26"/>
      <c r="G440" s="26"/>
      <c r="H440" s="26"/>
      <c r="I440" s="66"/>
      <c r="J440" s="26"/>
      <c r="K440" s="26"/>
      <c r="L440" s="26"/>
      <c r="M440" s="26"/>
      <c r="N440" s="26"/>
      <c r="O440" s="26"/>
      <c r="P440" s="26"/>
      <c r="Q440" s="85"/>
      <c r="R440" s="65"/>
    </row>
    <row r="441" spans="1:20" ht="60.75" x14ac:dyDescent="0.2">
      <c r="D441" s="22"/>
      <c r="E441" s="37"/>
      <c r="F441" s="67"/>
      <c r="O441" s="55"/>
      <c r="P441" s="55"/>
    </row>
    <row r="442" spans="1:20" ht="60.75" x14ac:dyDescent="0.2">
      <c r="A442" s="21"/>
      <c r="B442" s="21"/>
      <c r="C442" s="21"/>
      <c r="D442" s="22"/>
      <c r="E442" s="37"/>
      <c r="F442" s="62"/>
      <c r="G442" s="64"/>
      <c r="I442" s="68"/>
      <c r="J442" s="59"/>
      <c r="K442" s="59"/>
      <c r="L442" s="21"/>
      <c r="M442" s="21"/>
      <c r="N442" s="21"/>
      <c r="O442" s="21"/>
      <c r="P442" s="55"/>
    </row>
    <row r="443" spans="1:20" ht="62.25" x14ac:dyDescent="0.8">
      <c r="A443" s="21"/>
      <c r="B443" s="21"/>
      <c r="C443" s="21"/>
      <c r="D443" s="21"/>
      <c r="E443" s="69"/>
      <c r="F443" s="62"/>
      <c r="J443" s="59"/>
      <c r="K443" s="59"/>
      <c r="L443" s="21"/>
      <c r="M443" s="21"/>
      <c r="N443" s="21"/>
      <c r="O443" s="21"/>
      <c r="P443" s="70"/>
    </row>
    <row r="444" spans="1:20" s="81" customFormat="1" ht="45.75" x14ac:dyDescent="0.2">
      <c r="A444" s="18"/>
      <c r="B444" s="18"/>
      <c r="C444" s="18"/>
      <c r="D444" s="18"/>
      <c r="E444" s="71"/>
      <c r="F444" s="67"/>
      <c r="G444" s="18"/>
      <c r="H444" s="18"/>
      <c r="I444" s="18"/>
      <c r="J444" s="57"/>
      <c r="K444" s="57"/>
      <c r="L444" s="18"/>
      <c r="M444" s="18"/>
      <c r="N444" s="18"/>
      <c r="O444" s="18"/>
      <c r="P444" s="57"/>
      <c r="R444" s="20"/>
      <c r="S444" s="21"/>
      <c r="T444" s="21"/>
    </row>
    <row r="445" spans="1:20" s="81" customFormat="1" ht="45.75" x14ac:dyDescent="0.2">
      <c r="A445" s="21"/>
      <c r="B445" s="21"/>
      <c r="C445" s="21"/>
      <c r="D445" s="21"/>
      <c r="E445" s="69"/>
      <c r="F445" s="62"/>
      <c r="G445" s="18"/>
      <c r="H445" s="18"/>
      <c r="I445" s="18"/>
      <c r="J445" s="57"/>
      <c r="K445" s="57"/>
      <c r="L445" s="21"/>
      <c r="M445" s="21"/>
      <c r="N445" s="21"/>
      <c r="O445" s="21"/>
      <c r="P445" s="21"/>
      <c r="R445" s="20"/>
      <c r="S445" s="21"/>
      <c r="T445" s="21"/>
    </row>
    <row r="446" spans="1:20" s="81" customFormat="1" ht="45.75" x14ac:dyDescent="0.2">
      <c r="A446" s="18"/>
      <c r="B446" s="18"/>
      <c r="C446" s="18"/>
      <c r="D446" s="18"/>
      <c r="E446" s="72"/>
      <c r="F446" s="67"/>
      <c r="G446" s="18"/>
      <c r="H446" s="18"/>
      <c r="I446" s="18"/>
      <c r="J446" s="57"/>
      <c r="K446" s="57"/>
      <c r="L446" s="18"/>
      <c r="M446" s="18"/>
      <c r="N446" s="18"/>
      <c r="O446" s="18"/>
      <c r="P446" s="57"/>
      <c r="R446" s="20"/>
      <c r="S446" s="21"/>
      <c r="T446" s="21"/>
    </row>
    <row r="447" spans="1:20" s="81" customFormat="1" ht="45.75" x14ac:dyDescent="0.2">
      <c r="A447" s="18"/>
      <c r="B447" s="18"/>
      <c r="C447" s="18"/>
      <c r="D447" s="18"/>
      <c r="E447" s="72"/>
      <c r="F447" s="67"/>
      <c r="G447" s="18"/>
      <c r="H447" s="18"/>
      <c r="I447" s="18"/>
      <c r="J447" s="57"/>
      <c r="K447" s="57"/>
      <c r="L447" s="18"/>
      <c r="M447" s="18"/>
      <c r="N447" s="18"/>
      <c r="O447" s="18"/>
      <c r="P447" s="57"/>
      <c r="R447" s="20"/>
      <c r="S447" s="21"/>
      <c r="T447" s="21"/>
    </row>
    <row r="448" spans="1:20" s="81" customFormat="1" ht="45.75" x14ac:dyDescent="0.2">
      <c r="A448" s="18"/>
      <c r="B448" s="18"/>
      <c r="C448" s="18"/>
      <c r="D448" s="18"/>
      <c r="E448" s="72"/>
      <c r="F448" s="67"/>
      <c r="G448" s="18"/>
      <c r="H448" s="18"/>
      <c r="I448" s="18"/>
      <c r="J448" s="57"/>
      <c r="K448" s="57"/>
      <c r="L448" s="18"/>
      <c r="M448" s="18"/>
      <c r="N448" s="18"/>
      <c r="O448" s="18"/>
      <c r="P448" s="57"/>
      <c r="R448" s="20"/>
      <c r="S448" s="21"/>
      <c r="T448" s="21"/>
    </row>
    <row r="449" spans="1:20" s="81" customFormat="1" ht="47.25" thickTop="1" thickBot="1" x14ac:dyDescent="0.25">
      <c r="A449" s="21"/>
      <c r="B449" s="21"/>
      <c r="C449" s="21"/>
      <c r="D449" s="21"/>
      <c r="E449" s="72"/>
      <c r="F449" s="67"/>
      <c r="G449" s="21"/>
      <c r="H449" s="21"/>
      <c r="I449" s="21"/>
      <c r="J449" s="21"/>
      <c r="K449" s="21"/>
      <c r="L449" s="21"/>
      <c r="M449" s="21"/>
      <c r="N449" s="21"/>
      <c r="O449" s="21"/>
      <c r="P449" s="21"/>
      <c r="R449" s="20"/>
      <c r="S449" s="21"/>
      <c r="T449" s="21"/>
    </row>
    <row r="450" spans="1:20" s="81" customFormat="1" ht="45.75" x14ac:dyDescent="0.2">
      <c r="A450" s="21"/>
      <c r="B450" s="21"/>
      <c r="C450" s="21"/>
      <c r="D450" s="21"/>
      <c r="E450" s="72"/>
      <c r="F450" s="67"/>
      <c r="G450" s="21"/>
      <c r="H450" s="21"/>
      <c r="I450" s="21"/>
      <c r="J450" s="21"/>
      <c r="K450" s="21"/>
      <c r="L450" s="21"/>
      <c r="M450" s="21"/>
      <c r="N450" s="21"/>
      <c r="O450" s="21"/>
      <c r="P450" s="21"/>
      <c r="R450" s="20"/>
      <c r="S450" s="21"/>
      <c r="T450" s="21"/>
    </row>
    <row r="451" spans="1:20" s="81" customFormat="1" ht="45.75" x14ac:dyDescent="0.2">
      <c r="A451" s="21"/>
      <c r="B451" s="21"/>
      <c r="C451" s="21"/>
      <c r="D451" s="21"/>
      <c r="E451" s="72"/>
      <c r="F451" s="67"/>
      <c r="G451" s="21"/>
      <c r="H451" s="21"/>
      <c r="I451" s="21"/>
      <c r="J451" s="21"/>
      <c r="K451" s="21"/>
      <c r="L451" s="21"/>
      <c r="M451" s="21"/>
      <c r="N451" s="21"/>
      <c r="O451" s="21"/>
      <c r="P451" s="21"/>
      <c r="R451" s="20"/>
      <c r="S451" s="21"/>
      <c r="T451" s="21"/>
    </row>
    <row r="452" spans="1:20" s="81" customFormat="1" ht="45.75" x14ac:dyDescent="0.2">
      <c r="A452" s="21"/>
      <c r="B452" s="21"/>
      <c r="C452" s="21"/>
      <c r="D452" s="21"/>
      <c r="E452" s="72"/>
      <c r="F452" s="67"/>
      <c r="G452" s="21"/>
      <c r="H452" s="21"/>
      <c r="I452" s="21"/>
      <c r="J452" s="21"/>
      <c r="K452" s="21"/>
      <c r="L452" s="21"/>
      <c r="M452" s="21"/>
      <c r="N452" s="21"/>
      <c r="O452" s="21"/>
      <c r="P452" s="21"/>
      <c r="R452" s="20"/>
      <c r="S452" s="21"/>
      <c r="T452" s="21"/>
    </row>
  </sheetData>
  <mergeCells count="129">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K33:K34"/>
    <mergeCell ref="L33:L34"/>
    <mergeCell ref="M33:M34"/>
    <mergeCell ref="N33:N34"/>
    <mergeCell ref="O33:O34"/>
    <mergeCell ref="P33:P34"/>
    <mergeCell ref="O12:O13"/>
    <mergeCell ref="A33:A34"/>
    <mergeCell ref="B33:B34"/>
    <mergeCell ref="C33:C34"/>
    <mergeCell ref="E33:E34"/>
    <mergeCell ref="F33:F34"/>
    <mergeCell ref="G33:G34"/>
    <mergeCell ref="H33:H34"/>
    <mergeCell ref="I33:I34"/>
    <mergeCell ref="J33:J34"/>
    <mergeCell ref="N167:N170"/>
    <mergeCell ref="O167:O170"/>
    <mergeCell ref="P167:P170"/>
    <mergeCell ref="Q167:Q170"/>
    <mergeCell ref="R167:R170"/>
    <mergeCell ref="A171:A174"/>
    <mergeCell ref="B171:B174"/>
    <mergeCell ref="C171:C174"/>
    <mergeCell ref="E171:E174"/>
    <mergeCell ref="F171:F174"/>
    <mergeCell ref="H167:H170"/>
    <mergeCell ref="I167:I170"/>
    <mergeCell ref="J167:J170"/>
    <mergeCell ref="K167:K170"/>
    <mergeCell ref="L167:L170"/>
    <mergeCell ref="M167:M170"/>
    <mergeCell ref="A167:A170"/>
    <mergeCell ref="B167:B170"/>
    <mergeCell ref="C167:C170"/>
    <mergeCell ref="E167:E170"/>
    <mergeCell ref="F167:F170"/>
    <mergeCell ref="G167:G170"/>
    <mergeCell ref="M171:M174"/>
    <mergeCell ref="N171:N174"/>
    <mergeCell ref="O171:O174"/>
    <mergeCell ref="P171:P174"/>
    <mergeCell ref="R171:R174"/>
    <mergeCell ref="A175:A177"/>
    <mergeCell ref="B175:B177"/>
    <mergeCell ref="C175:C177"/>
    <mergeCell ref="E175:E177"/>
    <mergeCell ref="F175:F177"/>
    <mergeCell ref="G171:G174"/>
    <mergeCell ref="H171:H174"/>
    <mergeCell ref="I171:I174"/>
    <mergeCell ref="J171:J174"/>
    <mergeCell ref="K171:K174"/>
    <mergeCell ref="L171:L174"/>
    <mergeCell ref="R178:R180"/>
    <mergeCell ref="A196:A197"/>
    <mergeCell ref="B196:B197"/>
    <mergeCell ref="C196:C197"/>
    <mergeCell ref="E196:E197"/>
    <mergeCell ref="F196:F197"/>
    <mergeCell ref="M175:M177"/>
    <mergeCell ref="N175:N177"/>
    <mergeCell ref="O175:O177"/>
    <mergeCell ref="P175:P177"/>
    <mergeCell ref="R175:R177"/>
    <mergeCell ref="A178:A180"/>
    <mergeCell ref="B178:B180"/>
    <mergeCell ref="C178:C180"/>
    <mergeCell ref="G175:G177"/>
    <mergeCell ref="H175:H177"/>
    <mergeCell ref="I175:I177"/>
    <mergeCell ref="J175:J177"/>
    <mergeCell ref="K175:K177"/>
    <mergeCell ref="L175:L177"/>
    <mergeCell ref="A308:A309"/>
    <mergeCell ref="B308:B309"/>
    <mergeCell ref="C308:C309"/>
    <mergeCell ref="M196:M197"/>
    <mergeCell ref="N196:N197"/>
    <mergeCell ref="O196:O197"/>
    <mergeCell ref="P196:P197"/>
    <mergeCell ref="A277:A278"/>
    <mergeCell ref="B277:B278"/>
    <mergeCell ref="C277:C278"/>
    <mergeCell ref="G196:G197"/>
    <mergeCell ref="H196:H197"/>
    <mergeCell ref="I196:I197"/>
    <mergeCell ref="J196:J197"/>
    <mergeCell ref="K196:K197"/>
    <mergeCell ref="L196:L197"/>
    <mergeCell ref="P341:P342"/>
    <mergeCell ref="A430:P430"/>
    <mergeCell ref="D431:P431"/>
    <mergeCell ref="J341:J342"/>
    <mergeCell ref="K341:K342"/>
    <mergeCell ref="L341:L342"/>
    <mergeCell ref="M341:M342"/>
    <mergeCell ref="N341:N342"/>
    <mergeCell ref="O341:O342"/>
    <mergeCell ref="A341:A342"/>
    <mergeCell ref="B341:B342"/>
    <mergeCell ref="C341:C342"/>
    <mergeCell ref="E341:E342"/>
    <mergeCell ref="F341:F342"/>
    <mergeCell ref="G341:G342"/>
    <mergeCell ref="H341:H342"/>
    <mergeCell ref="I341:I342"/>
  </mergeCells>
  <conditionalFormatting sqref="Q345:Q352">
    <cfRule type="iconSet" priority="17">
      <iconSet iconSet="3Arrows">
        <cfvo type="percent" val="0"/>
        <cfvo type="percent" val="33"/>
        <cfvo type="percent" val="67"/>
      </iconSet>
    </cfRule>
  </conditionalFormatting>
  <conditionalFormatting sqref="Q354:Q355">
    <cfRule type="iconSet" priority="13">
      <iconSet iconSet="3Arrows">
        <cfvo type="percent" val="0"/>
        <cfvo type="percent" val="33"/>
        <cfvo type="percent" val="67"/>
      </iconSet>
    </cfRule>
  </conditionalFormatting>
  <conditionalFormatting sqref="Q356:Q371">
    <cfRule type="iconSet" priority="21">
      <iconSet iconSet="3Arrows">
        <cfvo type="percent" val="0"/>
        <cfvo type="percent" val="33"/>
        <cfvo type="percent" val="67"/>
      </iconSet>
    </cfRule>
  </conditionalFormatting>
  <conditionalFormatting sqref="Q393:Q398">
    <cfRule type="iconSet" priority="20">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8">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16">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23">
      <iconSet iconSet="3Arrows">
        <cfvo type="percent" val="0"/>
        <cfvo type="percent" val="33"/>
        <cfvo type="percent" val="67"/>
      </iconSet>
    </cfRule>
  </conditionalFormatting>
  <conditionalFormatting sqref="R345:R346">
    <cfRule type="iconSet" priority="11">
      <iconSet iconSet="3Arrows">
        <cfvo type="percent" val="0"/>
        <cfvo type="percent" val="33"/>
        <cfvo type="percent" val="67"/>
      </iconSet>
    </cfRule>
  </conditionalFormatting>
  <conditionalFormatting sqref="R347:R352">
    <cfRule type="iconSet" priority="10">
      <iconSet iconSet="3Arrows">
        <cfvo type="percent" val="0"/>
        <cfvo type="percent" val="33"/>
        <cfvo type="percent" val="67"/>
      </iconSet>
    </cfRule>
  </conditionalFormatting>
  <conditionalFormatting sqref="R354:R355">
    <cfRule type="iconSet" priority="12">
      <iconSet iconSet="3Arrows">
        <cfvo type="percent" val="0"/>
        <cfvo type="percent" val="33"/>
        <cfvo type="percent" val="67"/>
      </iconSet>
    </cfRule>
  </conditionalFormatting>
  <conditionalFormatting sqref="R356:R371">
    <cfRule type="iconSet" priority="22">
      <iconSet iconSet="3Arrows">
        <cfvo type="percent" val="0"/>
        <cfvo type="percent" val="33"/>
        <cfvo type="percent" val="67"/>
      </iconSet>
    </cfRule>
  </conditionalFormatting>
  <conditionalFormatting sqref="R381:R391">
    <cfRule type="iconSet" priority="18">
      <iconSet iconSet="3Arrows">
        <cfvo type="percent" val="0"/>
        <cfvo type="percent" val="33"/>
        <cfvo type="percent" val="67"/>
      </iconSet>
    </cfRule>
  </conditionalFormatting>
  <conditionalFormatting sqref="R393:R394">
    <cfRule type="iconSet" priority="9">
      <iconSet iconSet="3Arrows">
        <cfvo type="percent" val="0"/>
        <cfvo type="percent" val="33"/>
        <cfvo type="percent" val="67"/>
      </iconSet>
    </cfRule>
  </conditionalFormatting>
  <conditionalFormatting sqref="R395:R398">
    <cfRule type="iconSet" priority="19">
      <iconSet iconSet="3Arrows">
        <cfvo type="percent" val="0"/>
        <cfvo type="percent" val="33"/>
        <cfvo type="percent" val="67"/>
      </iconSet>
    </cfRule>
  </conditionalFormatting>
  <conditionalFormatting sqref="R405:R407 Q404:R404 R403">
    <cfRule type="iconSet" priority="15">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59" max="15" man="1"/>
    <brk id="20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4"/>
  <sheetViews>
    <sheetView view="pageBreakPreview" topLeftCell="A26" zoomScale="90" zoomScaleSheetLayoutView="90" workbookViewId="0">
      <selection activeCell="A62" sqref="A62:XFD62"/>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4.85546875" style="13" customWidth="1"/>
    <col min="7" max="7" width="15.140625" style="13" customWidth="1"/>
    <col min="8" max="8" width="16.42578125" style="13" customWidth="1"/>
    <col min="9" max="9" width="8.28515625" style="13" customWidth="1"/>
    <col min="10" max="10" width="9.140625" style="13"/>
    <col min="11" max="11" width="9.7109375" style="13" customWidth="1"/>
    <col min="12" max="12" width="9.140625" style="13"/>
    <col min="13" max="13" width="8.140625" style="13" customWidth="1"/>
    <col min="14" max="16384" width="9.140625" style="13"/>
  </cols>
  <sheetData>
    <row r="1" spans="1:17" x14ac:dyDescent="0.2">
      <c r="A1"/>
      <c r="B1"/>
      <c r="C1"/>
      <c r="D1"/>
      <c r="E1" s="719" t="s">
        <v>114</v>
      </c>
      <c r="F1" s="719"/>
    </row>
    <row r="2" spans="1:17" x14ac:dyDescent="0.2">
      <c r="A2"/>
      <c r="B2"/>
      <c r="C2"/>
      <c r="D2"/>
      <c r="E2" s="719" t="s">
        <v>955</v>
      </c>
      <c r="F2" s="719"/>
    </row>
    <row r="3" spans="1:17" x14ac:dyDescent="0.2">
      <c r="A3"/>
      <c r="B3"/>
      <c r="C3"/>
      <c r="D3"/>
      <c r="E3" s="719" t="s">
        <v>1635</v>
      </c>
      <c r="F3" s="719"/>
    </row>
    <row r="4" spans="1:17" x14ac:dyDescent="0.2">
      <c r="A4"/>
      <c r="B4"/>
      <c r="C4"/>
      <c r="D4"/>
      <c r="E4"/>
      <c r="F4"/>
    </row>
    <row r="5" spans="1:17" ht="18.75" x14ac:dyDescent="0.2">
      <c r="A5" s="722" t="s">
        <v>571</v>
      </c>
      <c r="B5" s="722"/>
      <c r="C5" s="722"/>
      <c r="D5" s="722"/>
      <c r="E5" s="722"/>
      <c r="F5" s="722"/>
    </row>
    <row r="6" spans="1:17" ht="18.75" x14ac:dyDescent="0.2">
      <c r="A6" s="722" t="s">
        <v>1494</v>
      </c>
      <c r="B6" s="722"/>
      <c r="C6" s="722"/>
      <c r="D6" s="722"/>
      <c r="E6" s="722"/>
      <c r="F6" s="722"/>
    </row>
    <row r="7" spans="1:17" ht="18.75" x14ac:dyDescent="0.2">
      <c r="A7" s="320"/>
      <c r="B7" s="320"/>
      <c r="C7" s="320"/>
      <c r="D7" s="320"/>
      <c r="E7" s="320"/>
      <c r="F7" s="320"/>
    </row>
    <row r="8" spans="1:17" x14ac:dyDescent="0.2">
      <c r="A8" s="723">
        <v>2256400000</v>
      </c>
      <c r="B8" s="724"/>
      <c r="C8" s="725"/>
      <c r="D8" s="725"/>
      <c r="E8" s="725"/>
      <c r="F8" s="725"/>
      <c r="G8" s="20"/>
    </row>
    <row r="9" spans="1:17" ht="15" customHeight="1" x14ac:dyDescent="0.2">
      <c r="A9" s="726" t="s">
        <v>489</v>
      </c>
      <c r="B9" s="727"/>
      <c r="C9" s="725"/>
      <c r="D9" s="725"/>
      <c r="E9" s="725"/>
      <c r="F9" s="725"/>
      <c r="G9" s="20"/>
    </row>
    <row r="10" spans="1:17" ht="13.5" thickBot="1" x14ac:dyDescent="0.25">
      <c r="A10" s="512"/>
      <c r="B10" s="512"/>
      <c r="C10"/>
      <c r="D10"/>
      <c r="E10"/>
      <c r="F10" s="513" t="s">
        <v>404</v>
      </c>
      <c r="G10" s="20"/>
    </row>
    <row r="11" spans="1:17" ht="14.25" thickTop="1" thickBot="1" x14ac:dyDescent="0.25">
      <c r="A11" s="728" t="s">
        <v>57</v>
      </c>
      <c r="B11" s="728" t="s">
        <v>378</v>
      </c>
      <c r="C11" s="728" t="s">
        <v>383</v>
      </c>
      <c r="D11" s="728" t="s">
        <v>12</v>
      </c>
      <c r="E11" s="728" t="s">
        <v>52</v>
      </c>
      <c r="F11" s="728"/>
      <c r="G11" s="20"/>
    </row>
    <row r="12" spans="1:17" ht="35.450000000000003" customHeight="1" thickTop="1" thickBot="1" x14ac:dyDescent="0.25">
      <c r="A12" s="728"/>
      <c r="B12" s="728"/>
      <c r="C12" s="728"/>
      <c r="D12" s="729"/>
      <c r="E12" s="514" t="s">
        <v>384</v>
      </c>
      <c r="F12" s="514" t="s">
        <v>385</v>
      </c>
      <c r="G12" s="20"/>
    </row>
    <row r="13" spans="1:17" ht="14.25" thickTop="1" thickBot="1" x14ac:dyDescent="0.25">
      <c r="A13" s="515">
        <v>1</v>
      </c>
      <c r="B13" s="515">
        <v>2</v>
      </c>
      <c r="C13" s="515">
        <v>3</v>
      </c>
      <c r="D13" s="515">
        <v>4</v>
      </c>
      <c r="E13" s="515">
        <v>5</v>
      </c>
      <c r="F13" s="515">
        <v>6</v>
      </c>
      <c r="G13" s="20"/>
    </row>
    <row r="14" spans="1:17" ht="30.75" customHeight="1" thickTop="1" thickBot="1" x14ac:dyDescent="0.25">
      <c r="A14" s="730" t="s">
        <v>379</v>
      </c>
      <c r="B14" s="730"/>
      <c r="C14" s="731"/>
      <c r="D14" s="731"/>
      <c r="E14" s="731"/>
      <c r="F14" s="731"/>
      <c r="G14" s="20"/>
    </row>
    <row r="15" spans="1:17" ht="26.45" customHeight="1" thickTop="1" thickBot="1" x14ac:dyDescent="0.25">
      <c r="A15" s="525" t="s">
        <v>115</v>
      </c>
      <c r="B15" s="526" t="s">
        <v>116</v>
      </c>
      <c r="C15" s="525">
        <f>C16+C25+C20</f>
        <v>511297991.37</v>
      </c>
      <c r="D15" s="525">
        <f>D16+D25+D20</f>
        <v>-474086152.92000008</v>
      </c>
      <c r="E15" s="525">
        <f>E16+E25+E20</f>
        <v>985384144.29000008</v>
      </c>
      <c r="F15" s="525">
        <f>F16+F25+F20</f>
        <v>984715455.1400001</v>
      </c>
      <c r="G15" s="666">
        <f>E15-F15</f>
        <v>668689.14999997616</v>
      </c>
      <c r="H15" s="115"/>
      <c r="I15" s="115"/>
      <c r="J15" s="115"/>
      <c r="K15" s="115"/>
      <c r="L15" s="115"/>
      <c r="M15" s="115"/>
      <c r="N15" s="115"/>
      <c r="O15" s="115"/>
      <c r="P15" s="115"/>
      <c r="Q15" s="115"/>
    </row>
    <row r="16" spans="1:17" ht="42" hidden="1" thickTop="1" thickBot="1" x14ac:dyDescent="0.25">
      <c r="A16" s="522">
        <v>202000</v>
      </c>
      <c r="B16" s="527" t="s">
        <v>960</v>
      </c>
      <c r="C16" s="524">
        <f t="shared" ref="C16:C17" si="0">SUM(D16,E16)</f>
        <v>0</v>
      </c>
      <c r="D16" s="524">
        <f t="shared" ref="D16" si="1">D17</f>
        <v>0</v>
      </c>
      <c r="E16" s="524">
        <f>E17</f>
        <v>0</v>
      </c>
      <c r="F16" s="524">
        <f t="shared" ref="F16" si="2">F17</f>
        <v>0</v>
      </c>
      <c r="G16" s="382"/>
      <c r="H16" s="115"/>
      <c r="I16" s="115"/>
      <c r="J16" s="115"/>
      <c r="K16" s="115"/>
      <c r="L16" s="115"/>
      <c r="M16" s="115"/>
      <c r="N16" s="115"/>
      <c r="O16" s="115"/>
      <c r="P16" s="115"/>
      <c r="Q16" s="115"/>
    </row>
    <row r="17" spans="1:17" ht="27" hidden="1" thickTop="1" thickBot="1" x14ac:dyDescent="0.25">
      <c r="A17" s="528">
        <v>202200</v>
      </c>
      <c r="B17" s="529" t="s">
        <v>962</v>
      </c>
      <c r="C17" s="525">
        <f t="shared" si="0"/>
        <v>0</v>
      </c>
      <c r="D17" s="525">
        <f>SUM(D18:D19)</f>
        <v>0</v>
      </c>
      <c r="E17" s="525">
        <f>SUM(E18:E19)</f>
        <v>0</v>
      </c>
      <c r="F17" s="525">
        <f>SUM(F18:F19)</f>
        <v>0</v>
      </c>
      <c r="G17" s="382"/>
      <c r="H17" s="115"/>
      <c r="I17" s="115"/>
      <c r="J17" s="115"/>
      <c r="K17" s="115"/>
      <c r="L17" s="115"/>
      <c r="M17" s="115"/>
      <c r="N17" s="115"/>
      <c r="O17" s="115"/>
      <c r="P17" s="115"/>
      <c r="Q17" s="115"/>
    </row>
    <row r="18" spans="1:17" ht="14.25" hidden="1" thickTop="1" thickBot="1" x14ac:dyDescent="0.25">
      <c r="A18" s="519">
        <v>202210</v>
      </c>
      <c r="B18" s="520" t="s">
        <v>961</v>
      </c>
      <c r="C18" s="521">
        <f>SUM(D18,E18)</f>
        <v>0</v>
      </c>
      <c r="D18" s="525"/>
      <c r="E18" s="521">
        <v>0</v>
      </c>
      <c r="F18" s="521">
        <v>0</v>
      </c>
      <c r="G18" s="382"/>
      <c r="H18" s="115"/>
      <c r="I18" s="115"/>
      <c r="J18" s="115"/>
      <c r="K18" s="115"/>
      <c r="L18" s="115"/>
      <c r="M18" s="115"/>
      <c r="N18" s="115"/>
      <c r="O18" s="115"/>
      <c r="P18" s="115"/>
      <c r="Q18" s="115"/>
    </row>
    <row r="19" spans="1:17" ht="14.25" hidden="1" thickTop="1" thickBot="1" x14ac:dyDescent="0.25">
      <c r="A19" s="519">
        <v>202220</v>
      </c>
      <c r="B19" s="520" t="s">
        <v>359</v>
      </c>
      <c r="C19" s="521">
        <f>SUM(D19,E19)</f>
        <v>0</v>
      </c>
      <c r="D19" s="525"/>
      <c r="E19" s="521">
        <v>0</v>
      </c>
      <c r="F19" s="521">
        <v>0</v>
      </c>
      <c r="G19" s="382"/>
      <c r="H19" s="115"/>
      <c r="I19" s="115"/>
      <c r="J19" s="115"/>
      <c r="K19" s="115"/>
      <c r="L19" s="115"/>
      <c r="M19" s="115"/>
      <c r="N19" s="115"/>
      <c r="O19" s="115"/>
      <c r="P19" s="115"/>
      <c r="Q19" s="115"/>
    </row>
    <row r="20" spans="1:17" ht="70.5" customHeight="1" thickTop="1" thickBot="1" x14ac:dyDescent="0.25">
      <c r="A20" s="522">
        <v>206000</v>
      </c>
      <c r="B20" s="523" t="s">
        <v>1450</v>
      </c>
      <c r="C20" s="524">
        <f>C21+C23</f>
        <v>150000000</v>
      </c>
      <c r="D20" s="524">
        <f t="shared" ref="D20:F20" si="3">D21+D23</f>
        <v>150000000</v>
      </c>
      <c r="E20" s="524">
        <f t="shared" si="3"/>
        <v>0</v>
      </c>
      <c r="F20" s="524">
        <f t="shared" si="3"/>
        <v>0</v>
      </c>
      <c r="G20" s="382"/>
      <c r="H20" s="115"/>
      <c r="I20" s="115"/>
      <c r="J20" s="115"/>
      <c r="K20" s="115"/>
      <c r="L20" s="115"/>
      <c r="M20" s="115"/>
      <c r="N20" s="115"/>
      <c r="O20" s="115"/>
      <c r="P20" s="115"/>
      <c r="Q20" s="115"/>
    </row>
    <row r="21" spans="1:17" ht="65.25" thickTop="1" thickBot="1" x14ac:dyDescent="0.25">
      <c r="A21" s="516">
        <v>206100</v>
      </c>
      <c r="B21" s="517" t="s">
        <v>1451</v>
      </c>
      <c r="C21" s="518">
        <f>C22</f>
        <v>150000000</v>
      </c>
      <c r="D21" s="518">
        <f t="shared" ref="D21" si="4">D22</f>
        <v>150000000</v>
      </c>
      <c r="E21" s="518">
        <f t="shared" ref="E21" si="5">E22</f>
        <v>0</v>
      </c>
      <c r="F21" s="518">
        <f t="shared" ref="F21" si="6">F22</f>
        <v>0</v>
      </c>
      <c r="G21" s="382"/>
      <c r="H21" s="115"/>
      <c r="I21" s="115"/>
      <c r="J21" s="115"/>
      <c r="K21" s="115"/>
      <c r="L21" s="115"/>
      <c r="M21" s="115"/>
      <c r="N21" s="115"/>
      <c r="O21" s="115"/>
      <c r="P21" s="115"/>
      <c r="Q21" s="115"/>
    </row>
    <row r="22" spans="1:17" ht="39.75" thickTop="1" thickBot="1" x14ac:dyDescent="0.25">
      <c r="A22" s="519">
        <v>206120</v>
      </c>
      <c r="B22" s="520" t="s">
        <v>1453</v>
      </c>
      <c r="C22" s="521">
        <f>D22+E22</f>
        <v>150000000</v>
      </c>
      <c r="D22" s="521">
        <v>150000000</v>
      </c>
      <c r="E22" s="521">
        <v>0</v>
      </c>
      <c r="F22" s="521">
        <v>0</v>
      </c>
      <c r="G22" s="382"/>
      <c r="H22" s="115"/>
      <c r="I22" s="115"/>
      <c r="J22" s="115"/>
      <c r="K22" s="115"/>
      <c r="L22" s="115"/>
      <c r="M22" s="115"/>
      <c r="N22" s="115"/>
      <c r="O22" s="115"/>
      <c r="P22" s="115"/>
      <c r="Q22" s="115"/>
    </row>
    <row r="23" spans="1:17" ht="52.5" hidden="1" thickTop="1" thickBot="1" x14ac:dyDescent="0.25">
      <c r="A23" s="386">
        <v>206200</v>
      </c>
      <c r="B23" s="387" t="s">
        <v>1452</v>
      </c>
      <c r="C23" s="388">
        <f>C24</f>
        <v>0</v>
      </c>
      <c r="D23" s="388">
        <f t="shared" ref="D23:F23" si="7">D24</f>
        <v>0</v>
      </c>
      <c r="E23" s="388">
        <f t="shared" si="7"/>
        <v>0</v>
      </c>
      <c r="F23" s="388">
        <f t="shared" si="7"/>
        <v>0</v>
      </c>
      <c r="G23" s="382"/>
      <c r="H23" s="115"/>
      <c r="I23" s="115"/>
      <c r="J23" s="115"/>
      <c r="K23" s="115"/>
      <c r="L23" s="115"/>
      <c r="M23" s="115"/>
      <c r="N23" s="115"/>
      <c r="O23" s="115"/>
      <c r="P23" s="115"/>
      <c r="Q23" s="115"/>
    </row>
    <row r="24" spans="1:17" ht="27" hidden="1" thickTop="1" thickBot="1" x14ac:dyDescent="0.25">
      <c r="A24" s="384">
        <v>206220</v>
      </c>
      <c r="B24" s="385" t="s">
        <v>1454</v>
      </c>
      <c r="C24" s="354">
        <f>D24+E24</f>
        <v>0</v>
      </c>
      <c r="D24" s="354">
        <v>0</v>
      </c>
      <c r="E24" s="354">
        <v>0</v>
      </c>
      <c r="F24" s="354">
        <v>0</v>
      </c>
      <c r="G24" s="382"/>
      <c r="H24" s="115"/>
      <c r="I24" s="115"/>
      <c r="J24" s="115"/>
      <c r="K24" s="115"/>
      <c r="L24" s="115"/>
      <c r="M24" s="115"/>
      <c r="N24" s="115"/>
      <c r="O24" s="115"/>
      <c r="P24" s="115"/>
      <c r="Q24" s="115"/>
    </row>
    <row r="25" spans="1:17" ht="42" thickTop="1" thickBot="1" x14ac:dyDescent="0.25">
      <c r="A25" s="522">
        <v>208000</v>
      </c>
      <c r="B25" s="523" t="s">
        <v>964</v>
      </c>
      <c r="C25" s="524">
        <f>C26+C29+C27</f>
        <v>361297991.37</v>
      </c>
      <c r="D25" s="524">
        <f>D26+D29+D27</f>
        <v>-624086152.92000008</v>
      </c>
      <c r="E25" s="524">
        <f>E26+E29+E27</f>
        <v>985384144.29000008</v>
      </c>
      <c r="F25" s="524">
        <f>F26+F29+F27</f>
        <v>984715455.1400001</v>
      </c>
      <c r="G25" s="667">
        <f>E25-F25</f>
        <v>668689.14999997616</v>
      </c>
      <c r="H25" s="115"/>
      <c r="I25" s="115"/>
      <c r="J25" s="115"/>
      <c r="K25" s="115"/>
      <c r="L25" s="115"/>
      <c r="M25" s="115"/>
      <c r="N25" s="115"/>
      <c r="O25" s="115"/>
      <c r="P25" s="115"/>
      <c r="Q25" s="115"/>
    </row>
    <row r="26" spans="1:17" ht="15" thickTop="1" thickBot="1" x14ac:dyDescent="0.25">
      <c r="A26" s="522" t="s">
        <v>117</v>
      </c>
      <c r="B26" s="527" t="s">
        <v>118</v>
      </c>
      <c r="C26" s="524">
        <f>SUM(D26,E26)</f>
        <v>361297991.37</v>
      </c>
      <c r="D26" s="524">
        <v>341325281.88</v>
      </c>
      <c r="E26" s="524">
        <v>19972709.489999998</v>
      </c>
      <c r="F26" s="524">
        <f>(19972709.49)-668689.15</f>
        <v>19304020.34</v>
      </c>
      <c r="G26" s="667"/>
      <c r="H26" s="115"/>
      <c r="I26" s="115"/>
      <c r="J26" s="115"/>
      <c r="K26" s="115"/>
      <c r="L26" s="115"/>
      <c r="M26" s="115"/>
      <c r="N26" s="115"/>
      <c r="O26" s="115"/>
      <c r="P26" s="115"/>
      <c r="Q26" s="115"/>
    </row>
    <row r="27" spans="1:17" ht="15" hidden="1" thickTop="1" thickBot="1" x14ac:dyDescent="0.25">
      <c r="A27" s="389">
        <v>208300</v>
      </c>
      <c r="B27" s="390" t="s">
        <v>967</v>
      </c>
      <c r="C27" s="391">
        <f>SUM(D27,E27)</f>
        <v>0</v>
      </c>
      <c r="D27" s="383">
        <f>D28</f>
        <v>0</v>
      </c>
      <c r="E27" s="383">
        <f>E28</f>
        <v>0</v>
      </c>
      <c r="F27" s="383">
        <f>F28</f>
        <v>0</v>
      </c>
      <c r="G27" s="382"/>
      <c r="H27" s="115"/>
      <c r="I27" s="115"/>
      <c r="J27" s="115"/>
      <c r="K27" s="115"/>
      <c r="L27" s="115"/>
      <c r="M27" s="115"/>
      <c r="N27" s="115"/>
      <c r="O27" s="115"/>
      <c r="P27" s="115"/>
      <c r="Q27" s="115"/>
    </row>
    <row r="28" spans="1:17" ht="52.5" hidden="1" thickTop="1" thickBot="1" x14ac:dyDescent="0.25">
      <c r="A28" s="116">
        <v>208330</v>
      </c>
      <c r="B28" s="117" t="s">
        <v>968</v>
      </c>
      <c r="C28" s="391">
        <f>SUM(D28,E28)</f>
        <v>0</v>
      </c>
      <c r="D28" s="354"/>
      <c r="E28" s="354">
        <f>-D28</f>
        <v>0</v>
      </c>
      <c r="F28" s="354">
        <f>E28</f>
        <v>0</v>
      </c>
      <c r="G28" s="382"/>
      <c r="H28" s="115"/>
      <c r="I28" s="115"/>
      <c r="J28" s="115"/>
      <c r="K28" s="115"/>
      <c r="L28" s="115"/>
      <c r="M28" s="115"/>
      <c r="N28" s="115"/>
      <c r="O28" s="115"/>
      <c r="P28" s="115"/>
      <c r="Q28" s="115"/>
    </row>
    <row r="29" spans="1:17" ht="55.5" thickTop="1" thickBot="1" x14ac:dyDescent="0.25">
      <c r="A29" s="522">
        <v>208400</v>
      </c>
      <c r="B29" s="527" t="s">
        <v>119</v>
      </c>
      <c r="C29" s="524">
        <f>SUM(D29,E29)</f>
        <v>0</v>
      </c>
      <c r="D29" s="524">
        <f>'d3'!E429-'d1'!D153+'d4'!N29+(-D20)+(-D26)</f>
        <v>-965411434.80000007</v>
      </c>
      <c r="E29" s="524">
        <f>-D29</f>
        <v>965411434.80000007</v>
      </c>
      <c r="F29" s="524">
        <f>E29</f>
        <v>965411434.80000007</v>
      </c>
      <c r="G29" s="667" t="b">
        <f>E29=('d3'!J429+'d4'!O29)-('d1'!E153+E30+E26)</f>
        <v>1</v>
      </c>
      <c r="H29" s="115"/>
      <c r="I29" s="115"/>
      <c r="J29" s="115"/>
      <c r="K29" s="115"/>
      <c r="L29" s="115"/>
      <c r="M29" s="115"/>
      <c r="N29" s="115"/>
      <c r="O29" s="115"/>
      <c r="P29" s="115"/>
      <c r="Q29" s="115"/>
    </row>
    <row r="30" spans="1:17" ht="14.25" thickTop="1" thickBot="1" x14ac:dyDescent="0.25">
      <c r="A30" s="528">
        <v>300000</v>
      </c>
      <c r="B30" s="529" t="s">
        <v>356</v>
      </c>
      <c r="C30" s="525">
        <f>C31</f>
        <v>6564386.9900000002</v>
      </c>
      <c r="D30" s="525">
        <f>D31</f>
        <v>0</v>
      </c>
      <c r="E30" s="525">
        <f>E31</f>
        <v>6564386.9900000002</v>
      </c>
      <c r="F30" s="525">
        <f>F31</f>
        <v>6564386.9900000002</v>
      </c>
      <c r="G30" s="114"/>
      <c r="H30" s="115"/>
      <c r="I30" s="115"/>
      <c r="J30" s="115"/>
      <c r="K30" s="115"/>
      <c r="L30" s="115"/>
      <c r="M30" s="115"/>
      <c r="N30" s="115"/>
      <c r="O30" s="115"/>
      <c r="P30" s="115"/>
      <c r="Q30" s="115"/>
    </row>
    <row r="31" spans="1:17" ht="42" thickTop="1" thickBot="1" x14ac:dyDescent="0.25">
      <c r="A31" s="522">
        <v>301000</v>
      </c>
      <c r="B31" s="527" t="s">
        <v>357</v>
      </c>
      <c r="C31" s="524">
        <f>C32+C33</f>
        <v>6564386.9900000002</v>
      </c>
      <c r="D31" s="524">
        <f>D32+D33</f>
        <v>0</v>
      </c>
      <c r="E31" s="524">
        <f>E32+E33</f>
        <v>6564386.9900000002</v>
      </c>
      <c r="F31" s="524">
        <f>F32+F33</f>
        <v>6564386.9900000002</v>
      </c>
      <c r="G31" s="114"/>
      <c r="H31" s="115"/>
      <c r="I31" s="115"/>
      <c r="J31" s="115"/>
      <c r="K31" s="115"/>
      <c r="L31" s="115"/>
      <c r="M31" s="115"/>
      <c r="N31" s="115"/>
      <c r="O31" s="115"/>
      <c r="P31" s="115"/>
      <c r="Q31" s="115"/>
    </row>
    <row r="32" spans="1:17" ht="14.25" thickTop="1" thickBot="1" x14ac:dyDescent="0.25">
      <c r="A32" s="519">
        <v>301100</v>
      </c>
      <c r="B32" s="520" t="s">
        <v>358</v>
      </c>
      <c r="C32" s="521">
        <f>SUM(D32,E32)</f>
        <v>10004886.99</v>
      </c>
      <c r="D32" s="521"/>
      <c r="E32" s="521">
        <f>(9660000)+344886.99</f>
        <v>10004886.99</v>
      </c>
      <c r="F32" s="521">
        <f>9660000+344886.99</f>
        <v>10004886.99</v>
      </c>
      <c r="G32" s="114"/>
      <c r="H32" s="115"/>
      <c r="I32" s="115"/>
      <c r="J32" s="115"/>
      <c r="K32" s="115"/>
      <c r="L32" s="115"/>
      <c r="M32" s="115"/>
      <c r="N32" s="115"/>
      <c r="O32" s="115"/>
      <c r="P32" s="115"/>
      <c r="Q32" s="115"/>
    </row>
    <row r="33" spans="1:17" ht="14.25" thickTop="1" thickBot="1" x14ac:dyDescent="0.25">
      <c r="A33" s="519">
        <v>301200</v>
      </c>
      <c r="B33" s="520" t="s">
        <v>359</v>
      </c>
      <c r="C33" s="521">
        <f>SUM(D33,E33)</f>
        <v>-3440500</v>
      </c>
      <c r="D33" s="521"/>
      <c r="E33" s="521">
        <f>(-2590490)-850010</f>
        <v>-3440500</v>
      </c>
      <c r="F33" s="521">
        <f>(-2590490)-850010</f>
        <v>-3440500</v>
      </c>
      <c r="G33" s="114"/>
      <c r="H33" s="115"/>
      <c r="I33" s="115"/>
      <c r="J33" s="115"/>
      <c r="K33" s="115"/>
      <c r="L33" s="115"/>
      <c r="M33" s="115"/>
      <c r="N33" s="115"/>
      <c r="O33" s="115"/>
      <c r="P33" s="115"/>
      <c r="Q33" s="115"/>
    </row>
    <row r="34" spans="1:17" ht="24" customHeight="1" thickTop="1" thickBot="1" x14ac:dyDescent="0.25">
      <c r="A34" s="530" t="s">
        <v>381</v>
      </c>
      <c r="B34" s="531" t="s">
        <v>380</v>
      </c>
      <c r="C34" s="532">
        <f>C15+C30</f>
        <v>517862378.36000001</v>
      </c>
      <c r="D34" s="532">
        <f>D15+D30</f>
        <v>-474086152.92000008</v>
      </c>
      <c r="E34" s="532">
        <f>E15+E30</f>
        <v>991948531.28000009</v>
      </c>
      <c r="F34" s="532">
        <f>F15+F30</f>
        <v>991279842.13000011</v>
      </c>
      <c r="G34" s="114"/>
      <c r="H34" s="115"/>
      <c r="I34" s="115"/>
      <c r="J34" s="115"/>
      <c r="K34" s="115"/>
      <c r="L34" s="115"/>
      <c r="M34" s="115"/>
      <c r="N34" s="115"/>
      <c r="O34" s="115"/>
      <c r="P34" s="115"/>
      <c r="Q34" s="115"/>
    </row>
    <row r="35" spans="1:17" ht="35.450000000000003" customHeight="1" thickTop="1" thickBot="1" x14ac:dyDescent="0.25">
      <c r="A35" s="730" t="s">
        <v>382</v>
      </c>
      <c r="B35" s="730"/>
      <c r="C35" s="731"/>
      <c r="D35" s="731"/>
      <c r="E35" s="731"/>
      <c r="F35" s="731"/>
      <c r="G35" s="114"/>
      <c r="H35" s="115"/>
      <c r="I35" s="115"/>
      <c r="J35" s="115"/>
      <c r="K35" s="115"/>
      <c r="L35" s="115"/>
      <c r="M35" s="115"/>
      <c r="N35" s="115"/>
      <c r="O35" s="115"/>
      <c r="P35" s="115"/>
      <c r="Q35" s="115"/>
    </row>
    <row r="36" spans="1:17" ht="27" thickTop="1" thickBot="1" x14ac:dyDescent="0.25">
      <c r="A36" s="528">
        <v>400000</v>
      </c>
      <c r="B36" s="529" t="s">
        <v>120</v>
      </c>
      <c r="C36" s="525">
        <f>C37+C42</f>
        <v>6564386.9900000002</v>
      </c>
      <c r="D36" s="525">
        <f>D37+D42</f>
        <v>0</v>
      </c>
      <c r="E36" s="525">
        <f>E37+E42</f>
        <v>6564386.9900000002</v>
      </c>
      <c r="F36" s="525">
        <f>F37+F42</f>
        <v>6564386.9900000002</v>
      </c>
      <c r="G36" s="114"/>
      <c r="H36" s="115"/>
      <c r="I36" s="115"/>
      <c r="J36" s="115"/>
      <c r="K36" s="115"/>
      <c r="L36" s="115"/>
      <c r="M36" s="115"/>
      <c r="N36" s="115"/>
      <c r="O36" s="115"/>
      <c r="P36" s="115"/>
      <c r="Q36" s="115"/>
    </row>
    <row r="37" spans="1:17" ht="15" thickTop="1" thickBot="1" x14ac:dyDescent="0.25">
      <c r="A37" s="522">
        <v>401000</v>
      </c>
      <c r="B37" s="527" t="s">
        <v>121</v>
      </c>
      <c r="C37" s="524">
        <f>C38+C40</f>
        <v>10004886.99</v>
      </c>
      <c r="D37" s="524">
        <f>D38+D40</f>
        <v>0</v>
      </c>
      <c r="E37" s="524">
        <f>E38+E40</f>
        <v>10004886.99</v>
      </c>
      <c r="F37" s="524">
        <f>F38+F40</f>
        <v>10004886.99</v>
      </c>
      <c r="G37" s="114"/>
      <c r="H37" s="115"/>
      <c r="I37" s="115"/>
      <c r="J37" s="115"/>
      <c r="K37" s="115"/>
      <c r="L37" s="115"/>
      <c r="M37" s="115"/>
      <c r="N37" s="115"/>
      <c r="O37" s="115"/>
      <c r="P37" s="115"/>
      <c r="Q37" s="115"/>
    </row>
    <row r="38" spans="1:17" ht="14.25" hidden="1" thickTop="1" thickBot="1" x14ac:dyDescent="0.25">
      <c r="A38" s="516">
        <v>401100</v>
      </c>
      <c r="B38" s="533" t="s">
        <v>963</v>
      </c>
      <c r="C38" s="518">
        <f>C39</f>
        <v>0</v>
      </c>
      <c r="D38" s="518">
        <f>D39</f>
        <v>0</v>
      </c>
      <c r="E38" s="518">
        <f>E39</f>
        <v>0</v>
      </c>
      <c r="F38" s="518">
        <f>F39</f>
        <v>0</v>
      </c>
      <c r="G38" s="114"/>
      <c r="H38" s="115"/>
      <c r="I38" s="115"/>
      <c r="J38" s="115"/>
      <c r="K38" s="115"/>
      <c r="L38" s="115"/>
      <c r="M38" s="115"/>
      <c r="N38" s="115"/>
      <c r="O38" s="115"/>
      <c r="P38" s="115"/>
      <c r="Q38" s="115"/>
    </row>
    <row r="39" spans="1:17" ht="27" hidden="1" thickTop="1" thickBot="1" x14ac:dyDescent="0.25">
      <c r="A39" s="519">
        <v>401101</v>
      </c>
      <c r="B39" s="520" t="s">
        <v>958</v>
      </c>
      <c r="C39" s="521">
        <f>SUM(D39,E39)</f>
        <v>0</v>
      </c>
      <c r="D39" s="525"/>
      <c r="E39" s="521">
        <v>0</v>
      </c>
      <c r="F39" s="521">
        <v>0</v>
      </c>
      <c r="G39" s="114"/>
      <c r="H39" s="115"/>
      <c r="I39" s="115"/>
      <c r="J39" s="115"/>
      <c r="K39" s="115"/>
      <c r="L39" s="115"/>
      <c r="M39" s="115"/>
      <c r="N39" s="115"/>
      <c r="O39" s="115"/>
      <c r="P39" s="115"/>
      <c r="Q39" s="115"/>
    </row>
    <row r="40" spans="1:17" s="4" customFormat="1" ht="14.25" thickTop="1" thickBot="1" x14ac:dyDescent="0.25">
      <c r="A40" s="516">
        <v>401200</v>
      </c>
      <c r="B40" s="533" t="s">
        <v>360</v>
      </c>
      <c r="C40" s="518">
        <f>SUM(D40,E40)</f>
        <v>10004886.99</v>
      </c>
      <c r="D40" s="518"/>
      <c r="E40" s="518">
        <f>E41</f>
        <v>10004886.99</v>
      </c>
      <c r="F40" s="518">
        <f>F41</f>
        <v>10004886.99</v>
      </c>
      <c r="G40" s="119"/>
      <c r="H40" s="120"/>
      <c r="I40" s="120"/>
      <c r="J40" s="120"/>
      <c r="K40" s="120"/>
      <c r="L40" s="120"/>
      <c r="M40" s="120"/>
      <c r="N40" s="120"/>
      <c r="O40" s="120"/>
      <c r="P40" s="120"/>
      <c r="Q40" s="120"/>
    </row>
    <row r="41" spans="1:17" ht="27" thickTop="1" thickBot="1" x14ac:dyDescent="0.25">
      <c r="A41" s="519">
        <v>401201</v>
      </c>
      <c r="B41" s="520" t="s">
        <v>958</v>
      </c>
      <c r="C41" s="521">
        <f>SUM(D41,E41)</f>
        <v>10004886.99</v>
      </c>
      <c r="D41" s="525"/>
      <c r="E41" s="521">
        <f>E32</f>
        <v>10004886.99</v>
      </c>
      <c r="F41" s="521">
        <f>F32</f>
        <v>10004886.99</v>
      </c>
      <c r="G41" s="114"/>
      <c r="H41" s="115"/>
      <c r="I41" s="115"/>
      <c r="J41" s="115"/>
      <c r="K41" s="115"/>
      <c r="L41" s="115"/>
      <c r="M41" s="115"/>
      <c r="N41" s="115"/>
      <c r="O41" s="115"/>
      <c r="P41" s="115"/>
      <c r="Q41" s="115"/>
    </row>
    <row r="42" spans="1:17" s="4" customFormat="1" ht="15" thickTop="1" thickBot="1" x14ac:dyDescent="0.25">
      <c r="A42" s="522">
        <v>402000</v>
      </c>
      <c r="B42" s="527" t="s">
        <v>361</v>
      </c>
      <c r="C42" s="524">
        <f>C45+C43</f>
        <v>-3440500</v>
      </c>
      <c r="D42" s="524">
        <f>D45+D43</f>
        <v>0</v>
      </c>
      <c r="E42" s="524">
        <f>E45+E43</f>
        <v>-3440500</v>
      </c>
      <c r="F42" s="524">
        <f>F45+F43</f>
        <v>-3440500</v>
      </c>
      <c r="G42" s="119"/>
      <c r="H42" s="120"/>
      <c r="I42" s="120"/>
      <c r="J42" s="120"/>
      <c r="K42" s="120"/>
      <c r="L42" s="120"/>
      <c r="M42" s="120"/>
      <c r="N42" s="120"/>
      <c r="O42" s="120"/>
      <c r="P42" s="120"/>
      <c r="Q42" s="120"/>
    </row>
    <row r="43" spans="1:17" s="4" customFormat="1" ht="14.25" hidden="1" thickTop="1" thickBot="1" x14ac:dyDescent="0.25">
      <c r="A43" s="516">
        <v>402100</v>
      </c>
      <c r="B43" s="533" t="s">
        <v>1008</v>
      </c>
      <c r="C43" s="518">
        <f>C44</f>
        <v>0</v>
      </c>
      <c r="D43" s="518">
        <f>D44</f>
        <v>0</v>
      </c>
      <c r="E43" s="518">
        <f>E44</f>
        <v>0</v>
      </c>
      <c r="F43" s="518">
        <f>F44</f>
        <v>0</v>
      </c>
      <c r="G43" s="119"/>
      <c r="H43" s="120"/>
      <c r="I43" s="120"/>
      <c r="J43" s="120"/>
      <c r="K43" s="120"/>
      <c r="L43" s="120"/>
      <c r="M43" s="120"/>
      <c r="N43" s="120"/>
      <c r="O43" s="120"/>
      <c r="P43" s="120"/>
      <c r="Q43" s="120"/>
    </row>
    <row r="44" spans="1:17" s="4" customFormat="1" ht="27" hidden="1" thickTop="1" thickBot="1" x14ac:dyDescent="0.25">
      <c r="A44" s="519">
        <v>402101</v>
      </c>
      <c r="B44" s="520" t="s">
        <v>958</v>
      </c>
      <c r="C44" s="521">
        <f>SUM(D44,E44)</f>
        <v>0</v>
      </c>
      <c r="D44" s="525"/>
      <c r="E44" s="521">
        <v>0</v>
      </c>
      <c r="F44" s="521">
        <v>0</v>
      </c>
      <c r="G44" s="119"/>
      <c r="H44" s="120"/>
      <c r="I44" s="120"/>
      <c r="J44" s="120"/>
      <c r="K44" s="120"/>
      <c r="L44" s="120"/>
      <c r="M44" s="120"/>
      <c r="N44" s="120"/>
      <c r="O44" s="120"/>
      <c r="P44" s="120"/>
      <c r="Q44" s="120"/>
    </row>
    <row r="45" spans="1:17" s="4" customFormat="1" ht="14.25" thickTop="1" thickBot="1" x14ac:dyDescent="0.25">
      <c r="A45" s="516">
        <v>402200</v>
      </c>
      <c r="B45" s="533" t="s">
        <v>957</v>
      </c>
      <c r="C45" s="518">
        <f>SUM(C46,C47)</f>
        <v>-3440500</v>
      </c>
      <c r="D45" s="518"/>
      <c r="E45" s="518">
        <f>SUM(E46,E47)</f>
        <v>-3440500</v>
      </c>
      <c r="F45" s="518">
        <f>SUM(F46,F47)</f>
        <v>-3440500</v>
      </c>
      <c r="G45" s="119"/>
      <c r="H45" s="120"/>
      <c r="I45" s="120"/>
      <c r="J45" s="120"/>
      <c r="K45" s="120"/>
      <c r="L45" s="120"/>
      <c r="M45" s="120"/>
      <c r="N45" s="120"/>
      <c r="O45" s="120"/>
      <c r="P45" s="120"/>
      <c r="Q45" s="120"/>
    </row>
    <row r="46" spans="1:17" s="4" customFormat="1" ht="27" thickTop="1" thickBot="1" x14ac:dyDescent="0.25">
      <c r="A46" s="519">
        <v>402201</v>
      </c>
      <c r="B46" s="520" t="s">
        <v>958</v>
      </c>
      <c r="C46" s="521">
        <f>SUM(D46,E46)</f>
        <v>-3440500</v>
      </c>
      <c r="D46" s="525"/>
      <c r="E46" s="521">
        <f>E33</f>
        <v>-3440500</v>
      </c>
      <c r="F46" s="521">
        <f>F33</f>
        <v>-3440500</v>
      </c>
      <c r="G46" s="119"/>
      <c r="H46" s="120"/>
      <c r="I46" s="120"/>
      <c r="J46" s="120"/>
      <c r="K46" s="120"/>
      <c r="L46" s="120"/>
      <c r="M46" s="120"/>
      <c r="N46" s="120"/>
      <c r="O46" s="120"/>
      <c r="P46" s="120"/>
      <c r="Q46" s="120"/>
    </row>
    <row r="47" spans="1:17" ht="27" hidden="1" thickTop="1" thickBot="1" x14ac:dyDescent="0.25">
      <c r="A47" s="116">
        <v>402202</v>
      </c>
      <c r="B47" s="117" t="s">
        <v>959</v>
      </c>
      <c r="C47" s="118">
        <f>SUM(D47,E47)</f>
        <v>0</v>
      </c>
      <c r="D47" s="353"/>
      <c r="E47" s="354">
        <v>0</v>
      </c>
      <c r="F47" s="118">
        <v>0</v>
      </c>
      <c r="G47" s="114"/>
      <c r="H47" s="115"/>
      <c r="I47" s="115"/>
      <c r="J47" s="115"/>
      <c r="K47" s="115"/>
      <c r="L47" s="115"/>
      <c r="M47" s="115"/>
      <c r="N47" s="115"/>
      <c r="O47" s="115"/>
      <c r="P47" s="115"/>
      <c r="Q47" s="115"/>
    </row>
    <row r="48" spans="1:17" ht="27" thickTop="1" thickBot="1" x14ac:dyDescent="0.25">
      <c r="A48" s="528" t="s">
        <v>122</v>
      </c>
      <c r="B48" s="529" t="s">
        <v>123</v>
      </c>
      <c r="C48" s="525">
        <f>C54+C49</f>
        <v>511297991.37</v>
      </c>
      <c r="D48" s="525">
        <f t="shared" ref="D48:F48" si="8">D54+D49</f>
        <v>-474086152.92000008</v>
      </c>
      <c r="E48" s="525">
        <f t="shared" si="8"/>
        <v>985384144.29000008</v>
      </c>
      <c r="F48" s="525">
        <f t="shared" si="8"/>
        <v>984715455.1400001</v>
      </c>
      <c r="G48" s="114"/>
      <c r="H48" s="115"/>
      <c r="I48" s="115"/>
      <c r="J48" s="115"/>
      <c r="K48" s="115"/>
      <c r="L48" s="115"/>
      <c r="M48" s="115"/>
      <c r="N48" s="115"/>
      <c r="O48" s="115"/>
      <c r="P48" s="115"/>
      <c r="Q48" s="115"/>
    </row>
    <row r="49" spans="1:17" ht="64.5" customHeight="1" thickTop="1" thickBot="1" x14ac:dyDescent="0.25">
      <c r="A49" s="522">
        <v>601000</v>
      </c>
      <c r="B49" s="527" t="s">
        <v>1455</v>
      </c>
      <c r="C49" s="524">
        <f>C50+C52</f>
        <v>150000000</v>
      </c>
      <c r="D49" s="524">
        <f t="shared" ref="D49:F49" si="9">D50+D52</f>
        <v>150000000</v>
      </c>
      <c r="E49" s="524">
        <f t="shared" si="9"/>
        <v>0</v>
      </c>
      <c r="F49" s="524">
        <f t="shared" si="9"/>
        <v>0</v>
      </c>
      <c r="G49" s="114"/>
      <c r="H49" s="115"/>
      <c r="I49" s="115"/>
      <c r="J49" s="115"/>
      <c r="K49" s="115"/>
      <c r="L49" s="115"/>
      <c r="M49" s="115"/>
      <c r="N49" s="115"/>
      <c r="O49" s="115"/>
      <c r="P49" s="115"/>
      <c r="Q49" s="115"/>
    </row>
    <row r="50" spans="1:17" ht="73.5" customHeight="1" thickTop="1" thickBot="1" x14ac:dyDescent="0.25">
      <c r="A50" s="516">
        <v>601100</v>
      </c>
      <c r="B50" s="533" t="s">
        <v>1451</v>
      </c>
      <c r="C50" s="518">
        <f>C51</f>
        <v>150000000</v>
      </c>
      <c r="D50" s="518">
        <f t="shared" ref="D50:F50" si="10">D51</f>
        <v>150000000</v>
      </c>
      <c r="E50" s="518">
        <f t="shared" si="10"/>
        <v>0</v>
      </c>
      <c r="F50" s="518">
        <f t="shared" si="10"/>
        <v>0</v>
      </c>
      <c r="G50" s="114"/>
      <c r="H50" s="115"/>
      <c r="I50" s="115"/>
      <c r="J50" s="115"/>
      <c r="K50" s="115"/>
      <c r="L50" s="115"/>
      <c r="M50" s="115"/>
      <c r="N50" s="115"/>
      <c r="O50" s="115"/>
      <c r="P50" s="115"/>
      <c r="Q50" s="115"/>
    </row>
    <row r="51" spans="1:17" ht="39.75" thickTop="1" thickBot="1" x14ac:dyDescent="0.25">
      <c r="A51" s="519">
        <v>601120</v>
      </c>
      <c r="B51" s="520" t="s">
        <v>1453</v>
      </c>
      <c r="C51" s="521">
        <f>D51+E51</f>
        <v>150000000</v>
      </c>
      <c r="D51" s="521">
        <v>150000000</v>
      </c>
      <c r="E51" s="521">
        <v>0</v>
      </c>
      <c r="F51" s="521">
        <v>0</v>
      </c>
      <c r="G51" s="114"/>
      <c r="H51" s="115"/>
      <c r="I51" s="115"/>
      <c r="J51" s="115"/>
      <c r="K51" s="115"/>
      <c r="L51" s="115"/>
      <c r="M51" s="115"/>
      <c r="N51" s="115"/>
      <c r="O51" s="115"/>
      <c r="P51" s="115"/>
      <c r="Q51" s="115"/>
    </row>
    <row r="52" spans="1:17" ht="52.5" hidden="1" thickTop="1" thickBot="1" x14ac:dyDescent="0.25">
      <c r="A52" s="386">
        <v>601200</v>
      </c>
      <c r="B52" s="392" t="s">
        <v>1456</v>
      </c>
      <c r="C52" s="388">
        <f>C53</f>
        <v>0</v>
      </c>
      <c r="D52" s="388">
        <f t="shared" ref="D52" si="11">D53</f>
        <v>0</v>
      </c>
      <c r="E52" s="388">
        <f t="shared" ref="E52" si="12">E53</f>
        <v>0</v>
      </c>
      <c r="F52" s="388">
        <f t="shared" ref="F52" si="13">F53</f>
        <v>0</v>
      </c>
      <c r="G52" s="114"/>
      <c r="H52" s="115"/>
      <c r="I52" s="115"/>
      <c r="J52" s="115"/>
      <c r="K52" s="115"/>
      <c r="L52" s="115"/>
      <c r="M52" s="115"/>
      <c r="N52" s="115"/>
      <c r="O52" s="115"/>
      <c r="P52" s="115"/>
      <c r="Q52" s="115"/>
    </row>
    <row r="53" spans="1:17" ht="27" hidden="1" thickTop="1" thickBot="1" x14ac:dyDescent="0.25">
      <c r="A53" s="384">
        <v>601220</v>
      </c>
      <c r="B53" s="385" t="s">
        <v>1457</v>
      </c>
      <c r="C53" s="354">
        <f>D53+E53</f>
        <v>0</v>
      </c>
      <c r="D53" s="354">
        <v>0</v>
      </c>
      <c r="E53" s="354">
        <v>0</v>
      </c>
      <c r="F53" s="354">
        <v>0</v>
      </c>
      <c r="G53" s="114"/>
      <c r="H53" s="115"/>
      <c r="I53" s="115"/>
      <c r="J53" s="115"/>
      <c r="K53" s="115"/>
      <c r="L53" s="115"/>
      <c r="M53" s="115"/>
      <c r="N53" s="115"/>
      <c r="O53" s="115"/>
      <c r="P53" s="115"/>
      <c r="Q53" s="115"/>
    </row>
    <row r="54" spans="1:17" ht="28.5" thickTop="1" thickBot="1" x14ac:dyDescent="0.25">
      <c r="A54" s="522">
        <v>602000</v>
      </c>
      <c r="B54" s="527" t="s">
        <v>965</v>
      </c>
      <c r="C54" s="524">
        <f>C55+C58+C56</f>
        <v>361297991.37</v>
      </c>
      <c r="D54" s="524">
        <f>D55+D58+D56</f>
        <v>-624086152.92000008</v>
      </c>
      <c r="E54" s="524">
        <f>E55+E58+E56</f>
        <v>985384144.29000008</v>
      </c>
      <c r="F54" s="524">
        <f>F55+F58+F56</f>
        <v>984715455.1400001</v>
      </c>
      <c r="G54" s="114"/>
      <c r="H54" s="115"/>
      <c r="I54" s="115"/>
      <c r="J54" s="115"/>
      <c r="K54" s="115"/>
      <c r="L54" s="115"/>
      <c r="M54" s="115"/>
      <c r="N54" s="115"/>
      <c r="O54" s="115"/>
      <c r="P54" s="115"/>
      <c r="Q54" s="115"/>
    </row>
    <row r="55" spans="1:17" ht="14.25" thickTop="1" thickBot="1" x14ac:dyDescent="0.25">
      <c r="A55" s="516">
        <v>602100</v>
      </c>
      <c r="B55" s="533" t="s">
        <v>966</v>
      </c>
      <c r="C55" s="518">
        <f>SUM(D55,E55)</f>
        <v>361297991.37</v>
      </c>
      <c r="D55" s="518">
        <f>D26</f>
        <v>341325281.88</v>
      </c>
      <c r="E55" s="518">
        <f>E26</f>
        <v>19972709.489999998</v>
      </c>
      <c r="F55" s="518">
        <f>F26</f>
        <v>19304020.34</v>
      </c>
      <c r="G55" s="114"/>
      <c r="H55" s="115"/>
      <c r="I55" s="115"/>
      <c r="J55" s="115"/>
      <c r="K55" s="115"/>
      <c r="L55" s="115"/>
      <c r="M55" s="115"/>
      <c r="N55" s="115"/>
      <c r="O55" s="115"/>
      <c r="P55" s="115"/>
      <c r="Q55" s="115"/>
    </row>
    <row r="56" spans="1:17" ht="14.25" hidden="1" thickTop="1" thickBot="1" x14ac:dyDescent="0.25">
      <c r="A56" s="516">
        <v>602300</v>
      </c>
      <c r="B56" s="533" t="s">
        <v>967</v>
      </c>
      <c r="C56" s="518">
        <f>SUM(D56,E56)</f>
        <v>0</v>
      </c>
      <c r="D56" s="518">
        <f>D57</f>
        <v>0</v>
      </c>
      <c r="E56" s="518">
        <f>E57</f>
        <v>0</v>
      </c>
      <c r="F56" s="518">
        <f>E56</f>
        <v>0</v>
      </c>
      <c r="G56" s="114"/>
      <c r="H56" s="115"/>
      <c r="I56" s="115"/>
      <c r="J56" s="115"/>
      <c r="K56" s="115"/>
      <c r="L56" s="115"/>
      <c r="M56" s="115"/>
      <c r="N56" s="115"/>
      <c r="O56" s="115"/>
      <c r="P56" s="115"/>
      <c r="Q56" s="115"/>
    </row>
    <row r="57" spans="1:17" ht="52.5" hidden="1" thickTop="1" thickBot="1" x14ac:dyDescent="0.25">
      <c r="A57" s="519">
        <v>602303</v>
      </c>
      <c r="B57" s="520" t="s">
        <v>968</v>
      </c>
      <c r="C57" s="521">
        <f>SUM(D57,E57)</f>
        <v>0</v>
      </c>
      <c r="D57" s="521"/>
      <c r="E57" s="521">
        <f>-D57</f>
        <v>0</v>
      </c>
      <c r="F57" s="521">
        <f>E57</f>
        <v>0</v>
      </c>
      <c r="G57" s="114"/>
      <c r="H57" s="115"/>
      <c r="I57" s="115"/>
      <c r="J57" s="115"/>
      <c r="K57" s="115"/>
      <c r="L57" s="115"/>
      <c r="M57" s="115"/>
      <c r="N57" s="115"/>
      <c r="O57" s="115"/>
      <c r="P57" s="115"/>
      <c r="Q57" s="115"/>
    </row>
    <row r="58" spans="1:17" ht="52.5" thickTop="1" thickBot="1" x14ac:dyDescent="0.25">
      <c r="A58" s="516">
        <v>602400</v>
      </c>
      <c r="B58" s="533" t="s">
        <v>119</v>
      </c>
      <c r="C58" s="518">
        <f>SUM(D58,E58)</f>
        <v>0</v>
      </c>
      <c r="D58" s="518">
        <f>D29</f>
        <v>-965411434.80000007</v>
      </c>
      <c r="E58" s="518">
        <f>E29</f>
        <v>965411434.80000007</v>
      </c>
      <c r="F58" s="518">
        <f>F29</f>
        <v>965411434.80000007</v>
      </c>
      <c r="G58" s="114"/>
      <c r="H58" s="115"/>
      <c r="I58" s="115"/>
      <c r="J58" s="115"/>
      <c r="K58" s="115"/>
      <c r="L58" s="115"/>
      <c r="M58" s="115"/>
      <c r="N58" s="115"/>
      <c r="O58" s="115"/>
      <c r="P58" s="115"/>
      <c r="Q58" s="115"/>
    </row>
    <row r="59" spans="1:17" ht="30" customHeight="1" thickTop="1" thickBot="1" x14ac:dyDescent="0.25">
      <c r="A59" s="530" t="s">
        <v>381</v>
      </c>
      <c r="B59" s="531" t="s">
        <v>380</v>
      </c>
      <c r="C59" s="532">
        <f>C36+C48</f>
        <v>517862378.36000001</v>
      </c>
      <c r="D59" s="532">
        <f>D36+D48</f>
        <v>-474086152.92000008</v>
      </c>
      <c r="E59" s="532">
        <f>E36+E48</f>
        <v>991948531.28000009</v>
      </c>
      <c r="F59" s="532">
        <f>F36+F48</f>
        <v>991279842.13000011</v>
      </c>
      <c r="G59" s="114"/>
      <c r="H59" s="115"/>
      <c r="I59" s="115"/>
      <c r="J59" s="115"/>
      <c r="K59" s="115"/>
      <c r="L59" s="115"/>
      <c r="M59" s="115"/>
      <c r="N59" s="115"/>
      <c r="O59" s="115"/>
      <c r="P59" s="115"/>
      <c r="Q59" s="115"/>
    </row>
    <row r="60" spans="1:17" ht="13.5" thickTop="1" x14ac:dyDescent="0.2">
      <c r="A60" s="121"/>
      <c r="B60" s="121"/>
      <c r="C60" s="121"/>
      <c r="D60" s="121"/>
      <c r="E60" s="121"/>
      <c r="F60" s="121"/>
      <c r="G60" s="121"/>
      <c r="H60" s="121"/>
      <c r="I60" s="121"/>
    </row>
    <row r="61" spans="1:17" ht="45.75" x14ac:dyDescent="0.65">
      <c r="A61" s="121"/>
      <c r="B61" s="363" t="s">
        <v>1458</v>
      </c>
      <c r="C61"/>
      <c r="D61"/>
      <c r="E61" s="14" t="s">
        <v>1459</v>
      </c>
      <c r="F61" s="14"/>
      <c r="G61" s="122"/>
      <c r="H61" s="122"/>
      <c r="I61" s="122"/>
      <c r="J61" s="122"/>
      <c r="K61" s="122"/>
      <c r="L61" s="122"/>
      <c r="M61" s="122"/>
      <c r="N61" s="122"/>
      <c r="O61" s="122"/>
    </row>
    <row r="62" spans="1:17" ht="31.5" hidden="1" x14ac:dyDescent="0.25">
      <c r="A62" s="121"/>
      <c r="B62" s="361" t="s">
        <v>1423</v>
      </c>
      <c r="C62"/>
      <c r="D62"/>
      <c r="E62" s="362" t="s">
        <v>1424</v>
      </c>
      <c r="F62" s="348"/>
      <c r="G62" s="121"/>
      <c r="H62" s="121"/>
      <c r="I62" s="121"/>
    </row>
    <row r="63" spans="1:17" ht="15.75" x14ac:dyDescent="0.25">
      <c r="A63" s="121"/>
      <c r="B63" s="359"/>
      <c r="C63" s="359"/>
      <c r="D63" s="360"/>
      <c r="E63" s="348"/>
      <c r="F63" s="348"/>
      <c r="G63" s="121"/>
      <c r="H63" s="121"/>
      <c r="I63" s="121"/>
    </row>
    <row r="64" spans="1:17" ht="15.75" customHeight="1" x14ac:dyDescent="0.25">
      <c r="B64" s="720" t="s">
        <v>522</v>
      </c>
      <c r="C64" s="721"/>
      <c r="D64" s="721"/>
      <c r="E64" s="1" t="s">
        <v>1326</v>
      </c>
      <c r="F64" s="1"/>
    </row>
  </sheetData>
  <mergeCells count="15">
    <mergeCell ref="E1:F1"/>
    <mergeCell ref="E2:F2"/>
    <mergeCell ref="E3:F3"/>
    <mergeCell ref="B64:D64"/>
    <mergeCell ref="A5:F5"/>
    <mergeCell ref="A6:F6"/>
    <mergeCell ref="A8:F8"/>
    <mergeCell ref="A9:F9"/>
    <mergeCell ref="A11:A12"/>
    <mergeCell ref="B11:B12"/>
    <mergeCell ref="C11:C12"/>
    <mergeCell ref="D11:D12"/>
    <mergeCell ref="E11:F11"/>
    <mergeCell ref="A14:F14"/>
    <mergeCell ref="A35:F35"/>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57"/>
  <sheetViews>
    <sheetView view="pageBreakPreview" zoomScale="25" zoomScaleNormal="25" zoomScaleSheetLayoutView="25" zoomScalePageLayoutView="10" workbookViewId="0">
      <pane ySplit="14" topLeftCell="A202" activePane="bottomLeft" state="frozen"/>
      <selection activeCell="B119" sqref="B119"/>
      <selection pane="bottomLeft" activeCell="A431" sqref="A431:XFD431"/>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58" t="s">
        <v>492</v>
      </c>
      <c r="O1" s="759"/>
      <c r="P1" s="759"/>
      <c r="Q1" s="759"/>
    </row>
    <row r="2" spans="1:18" ht="45.75" x14ac:dyDescent="0.2">
      <c r="A2" s="76"/>
      <c r="B2" s="76"/>
      <c r="C2" s="76"/>
      <c r="D2" s="76"/>
      <c r="E2" s="77"/>
      <c r="F2" s="78"/>
      <c r="G2" s="77"/>
      <c r="H2" s="77"/>
      <c r="I2" s="77"/>
      <c r="J2" s="77"/>
      <c r="K2" s="77"/>
      <c r="L2" s="77"/>
      <c r="M2" s="77"/>
      <c r="N2" s="758" t="s">
        <v>1627</v>
      </c>
      <c r="O2" s="760"/>
      <c r="P2" s="760"/>
      <c r="Q2" s="760"/>
    </row>
    <row r="3" spans="1:18" ht="40.700000000000003" customHeight="1" x14ac:dyDescent="0.2">
      <c r="A3" s="76"/>
      <c r="B3" s="76"/>
      <c r="C3" s="76"/>
      <c r="D3" s="76"/>
      <c r="E3" s="77"/>
      <c r="F3" s="78"/>
      <c r="G3" s="77"/>
      <c r="H3" s="77"/>
      <c r="I3" s="77"/>
      <c r="J3" s="77"/>
      <c r="K3" s="77"/>
      <c r="L3" s="77"/>
      <c r="M3" s="77"/>
      <c r="N3" s="77"/>
      <c r="O3" s="758"/>
      <c r="P3" s="761"/>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2" t="s">
        <v>564</v>
      </c>
      <c r="B5" s="762"/>
      <c r="C5" s="762"/>
      <c r="D5" s="762"/>
      <c r="E5" s="762"/>
      <c r="F5" s="762"/>
      <c r="G5" s="762"/>
      <c r="H5" s="762"/>
      <c r="I5" s="762"/>
      <c r="J5" s="762"/>
      <c r="K5" s="762"/>
      <c r="L5" s="762"/>
      <c r="M5" s="762"/>
      <c r="N5" s="762"/>
      <c r="O5" s="762"/>
      <c r="P5" s="762"/>
      <c r="Q5" s="80"/>
    </row>
    <row r="6" spans="1:18" ht="45" x14ac:dyDescent="0.2">
      <c r="A6" s="762" t="s">
        <v>1473</v>
      </c>
      <c r="B6" s="762"/>
      <c r="C6" s="762"/>
      <c r="D6" s="762"/>
      <c r="E6" s="762"/>
      <c r="F6" s="762"/>
      <c r="G6" s="762"/>
      <c r="H6" s="762"/>
      <c r="I6" s="762"/>
      <c r="J6" s="762"/>
      <c r="K6" s="762"/>
      <c r="L6" s="762"/>
      <c r="M6" s="762"/>
      <c r="N6" s="762"/>
      <c r="O6" s="762"/>
      <c r="P6" s="762"/>
      <c r="Q6" s="80"/>
    </row>
    <row r="7" spans="1:18" ht="45" x14ac:dyDescent="0.2">
      <c r="A7" s="77"/>
      <c r="B7" s="77"/>
      <c r="C7" s="77"/>
      <c r="D7" s="77"/>
      <c r="E7" s="77"/>
      <c r="F7" s="77"/>
      <c r="G7" s="77"/>
      <c r="H7" s="77"/>
      <c r="I7" s="77"/>
      <c r="J7" s="77"/>
      <c r="K7" s="77"/>
      <c r="L7" s="77"/>
      <c r="M7" s="77"/>
      <c r="N7" s="77"/>
      <c r="O7" s="77"/>
      <c r="P7" s="77"/>
      <c r="Q7" s="80"/>
    </row>
    <row r="8" spans="1:18" ht="45.75" x14ac:dyDescent="0.65">
      <c r="A8" s="763">
        <v>2256400000</v>
      </c>
      <c r="B8" s="764"/>
      <c r="C8" s="77"/>
      <c r="D8" s="393"/>
      <c r="E8" s="393"/>
      <c r="F8" s="393"/>
      <c r="G8" s="393"/>
      <c r="H8" s="393"/>
      <c r="I8" s="393"/>
      <c r="J8" s="393"/>
      <c r="K8" s="393"/>
      <c r="L8" s="393"/>
      <c r="M8" s="393"/>
      <c r="N8" s="393"/>
      <c r="O8" s="393"/>
      <c r="P8" s="393"/>
      <c r="Q8" s="13"/>
    </row>
    <row r="9" spans="1:18" ht="45.75" x14ac:dyDescent="0.2">
      <c r="A9" s="768" t="s">
        <v>489</v>
      </c>
      <c r="B9" s="769"/>
      <c r="C9" s="77"/>
      <c r="D9" s="393"/>
      <c r="E9" s="393"/>
      <c r="F9" s="393"/>
      <c r="G9" s="393"/>
      <c r="H9" s="393"/>
      <c r="I9" s="393"/>
      <c r="J9" s="393"/>
      <c r="K9" s="393"/>
      <c r="L9" s="393"/>
      <c r="M9" s="393"/>
      <c r="N9" s="393"/>
      <c r="O9" s="393"/>
      <c r="P9" s="393"/>
      <c r="Q9" s="13"/>
    </row>
    <row r="10" spans="1:18" ht="53.45" customHeight="1" thickBot="1" x14ac:dyDescent="0.25">
      <c r="A10" s="77"/>
      <c r="B10" s="77"/>
      <c r="C10" s="77"/>
      <c r="D10" s="393"/>
      <c r="E10" s="393"/>
      <c r="F10" s="394"/>
      <c r="G10" s="393"/>
      <c r="H10" s="393"/>
      <c r="I10" s="393"/>
      <c r="J10" s="393"/>
      <c r="K10" s="393"/>
      <c r="L10" s="393"/>
      <c r="M10" s="393"/>
      <c r="N10" s="393"/>
      <c r="O10" s="393"/>
      <c r="P10" s="313" t="s">
        <v>404</v>
      </c>
      <c r="Q10" s="13"/>
    </row>
    <row r="11" spans="1:18" ht="62.45" customHeight="1" thickTop="1" thickBot="1" x14ac:dyDescent="0.25">
      <c r="A11" s="767" t="s">
        <v>490</v>
      </c>
      <c r="B11" s="767" t="s">
        <v>491</v>
      </c>
      <c r="C11" s="767" t="s">
        <v>390</v>
      </c>
      <c r="D11" s="767" t="s">
        <v>572</v>
      </c>
      <c r="E11" s="765" t="s">
        <v>12</v>
      </c>
      <c r="F11" s="765"/>
      <c r="G11" s="765"/>
      <c r="H11" s="765"/>
      <c r="I11" s="765"/>
      <c r="J11" s="765" t="s">
        <v>52</v>
      </c>
      <c r="K11" s="765"/>
      <c r="L11" s="765"/>
      <c r="M11" s="765"/>
      <c r="N11" s="765"/>
      <c r="O11" s="766"/>
      <c r="P11" s="765" t="s">
        <v>11</v>
      </c>
      <c r="Q11" s="20"/>
    </row>
    <row r="12" spans="1:18" ht="96" customHeight="1" thickTop="1" thickBot="1" x14ac:dyDescent="0.25">
      <c r="A12" s="765"/>
      <c r="B12" s="770"/>
      <c r="C12" s="770"/>
      <c r="D12" s="765"/>
      <c r="E12" s="767" t="s">
        <v>384</v>
      </c>
      <c r="F12" s="767" t="s">
        <v>53</v>
      </c>
      <c r="G12" s="767" t="s">
        <v>13</v>
      </c>
      <c r="H12" s="767"/>
      <c r="I12" s="767" t="s">
        <v>55</v>
      </c>
      <c r="J12" s="767" t="s">
        <v>384</v>
      </c>
      <c r="K12" s="767" t="s">
        <v>385</v>
      </c>
      <c r="L12" s="767" t="s">
        <v>53</v>
      </c>
      <c r="M12" s="767" t="s">
        <v>13</v>
      </c>
      <c r="N12" s="767"/>
      <c r="O12" s="767" t="s">
        <v>55</v>
      </c>
      <c r="P12" s="765"/>
      <c r="Q12" s="20"/>
    </row>
    <row r="13" spans="1:18" ht="328.7" customHeight="1" thickTop="1" thickBot="1" x14ac:dyDescent="0.25">
      <c r="A13" s="770"/>
      <c r="B13" s="770"/>
      <c r="C13" s="770"/>
      <c r="D13" s="770"/>
      <c r="E13" s="767"/>
      <c r="F13" s="767"/>
      <c r="G13" s="314" t="s">
        <v>54</v>
      </c>
      <c r="H13" s="314" t="s">
        <v>15</v>
      </c>
      <c r="I13" s="767"/>
      <c r="J13" s="767"/>
      <c r="K13" s="767"/>
      <c r="L13" s="767"/>
      <c r="M13" s="314" t="s">
        <v>54</v>
      </c>
      <c r="N13" s="314" t="s">
        <v>15</v>
      </c>
      <c r="O13" s="767"/>
      <c r="P13" s="765"/>
      <c r="Q13" s="20"/>
    </row>
    <row r="14" spans="1:18" s="24" customFormat="1" ht="47.25" thickTop="1" thickBot="1" x14ac:dyDescent="0.25">
      <c r="A14" s="308" t="s">
        <v>2</v>
      </c>
      <c r="B14" s="308" t="s">
        <v>3</v>
      </c>
      <c r="C14" s="308" t="s">
        <v>14</v>
      </c>
      <c r="D14" s="308" t="s">
        <v>5</v>
      </c>
      <c r="E14" s="308" t="s">
        <v>392</v>
      </c>
      <c r="F14" s="308" t="s">
        <v>393</v>
      </c>
      <c r="G14" s="308" t="s">
        <v>394</v>
      </c>
      <c r="H14" s="308" t="s">
        <v>395</v>
      </c>
      <c r="I14" s="308" t="s">
        <v>396</v>
      </c>
      <c r="J14" s="308" t="s">
        <v>397</v>
      </c>
      <c r="K14" s="308" t="s">
        <v>398</v>
      </c>
      <c r="L14" s="308" t="s">
        <v>399</v>
      </c>
      <c r="M14" s="308" t="s">
        <v>400</v>
      </c>
      <c r="N14" s="308" t="s">
        <v>401</v>
      </c>
      <c r="O14" s="308" t="s">
        <v>402</v>
      </c>
      <c r="P14" s="308" t="s">
        <v>403</v>
      </c>
      <c r="Q14" s="124"/>
      <c r="R14" s="23"/>
    </row>
    <row r="15" spans="1:18" s="24" customFormat="1" ht="120" customHeight="1" thickTop="1" thickBot="1" x14ac:dyDescent="0.25">
      <c r="A15" s="689" t="s">
        <v>148</v>
      </c>
      <c r="B15" s="689"/>
      <c r="C15" s="689"/>
      <c r="D15" s="690" t="s">
        <v>150</v>
      </c>
      <c r="E15" s="691">
        <f>E16</f>
        <v>372204523.04000002</v>
      </c>
      <c r="F15" s="692">
        <f t="shared" ref="F15:N15" si="0">F16</f>
        <v>372204523.04000002</v>
      </c>
      <c r="G15" s="692">
        <f t="shared" si="0"/>
        <v>105352900</v>
      </c>
      <c r="H15" s="692">
        <f t="shared" si="0"/>
        <v>6286293</v>
      </c>
      <c r="I15" s="692">
        <f t="shared" si="0"/>
        <v>0</v>
      </c>
      <c r="J15" s="691">
        <f t="shared" si="0"/>
        <v>363715640.30000007</v>
      </c>
      <c r="K15" s="692">
        <f t="shared" si="0"/>
        <v>357199840.30000007</v>
      </c>
      <c r="L15" s="692">
        <f t="shared" si="0"/>
        <v>6150400</v>
      </c>
      <c r="M15" s="692">
        <f t="shared" si="0"/>
        <v>0</v>
      </c>
      <c r="N15" s="692">
        <f t="shared" si="0"/>
        <v>0</v>
      </c>
      <c r="O15" s="691">
        <f>O16</f>
        <v>357565240.30000007</v>
      </c>
      <c r="P15" s="692">
        <f t="shared" ref="P15" si="1">P16</f>
        <v>735920163.34000015</v>
      </c>
      <c r="Q15" s="25"/>
      <c r="R15" s="25"/>
    </row>
    <row r="16" spans="1:18" s="24" customFormat="1" ht="120" customHeight="1" thickTop="1" thickBot="1" x14ac:dyDescent="0.25">
      <c r="A16" s="693" t="s">
        <v>149</v>
      </c>
      <c r="B16" s="693"/>
      <c r="C16" s="693"/>
      <c r="D16" s="694" t="s">
        <v>151</v>
      </c>
      <c r="E16" s="695">
        <f>E17+E25+E36+E42+E22</f>
        <v>372204523.04000002</v>
      </c>
      <c r="F16" s="695">
        <f>F17+F25+F36+F42+F22</f>
        <v>372204523.04000002</v>
      </c>
      <c r="G16" s="695">
        <f>G17+G25+G36+G42+G22</f>
        <v>105352900</v>
      </c>
      <c r="H16" s="695">
        <f>H17+H25+H36+H42+H22</f>
        <v>6286293</v>
      </c>
      <c r="I16" s="695">
        <f>I17+I25+I36+I42+I22</f>
        <v>0</v>
      </c>
      <c r="J16" s="695">
        <f>L16+O16</f>
        <v>363715640.30000007</v>
      </c>
      <c r="K16" s="695">
        <f>K17+K25+K36+K42+K22</f>
        <v>357199840.30000007</v>
      </c>
      <c r="L16" s="695">
        <f>L17+L25+L36+L42+L22</f>
        <v>6150400</v>
      </c>
      <c r="M16" s="695">
        <f>M17+M25+M36+M42+M22</f>
        <v>0</v>
      </c>
      <c r="N16" s="695">
        <f>N17+N25+N36+N42+N22</f>
        <v>0</v>
      </c>
      <c r="O16" s="695">
        <f>O17+O25+O36+O42+O22</f>
        <v>357565240.30000007</v>
      </c>
      <c r="P16" s="695">
        <f>E16+J16</f>
        <v>735920163.34000015</v>
      </c>
      <c r="Q16" s="549" t="b">
        <f>P16=P18+P21+P27+P31+P33+P35+P38+P39+P41+P44+P45+P46+P24</f>
        <v>1</v>
      </c>
      <c r="R16" s="26"/>
    </row>
    <row r="17" spans="1:18" s="28" customFormat="1" ht="47.25" thickTop="1" thickBot="1" x14ac:dyDescent="0.25">
      <c r="A17" s="308" t="s">
        <v>679</v>
      </c>
      <c r="B17" s="308" t="s">
        <v>680</v>
      </c>
      <c r="C17" s="308"/>
      <c r="D17" s="308" t="s">
        <v>681</v>
      </c>
      <c r="E17" s="324">
        <f>SUM(E18:E21)</f>
        <v>171971766</v>
      </c>
      <c r="F17" s="324">
        <f>SUM(F18:F21)</f>
        <v>171971766</v>
      </c>
      <c r="G17" s="324">
        <f t="shared" ref="G17:P17" si="2">SUM(G18:G21)</f>
        <v>105352900</v>
      </c>
      <c r="H17" s="324">
        <f t="shared" si="2"/>
        <v>6286293</v>
      </c>
      <c r="I17" s="324">
        <f t="shared" si="2"/>
        <v>0</v>
      </c>
      <c r="J17" s="324">
        <f t="shared" si="2"/>
        <v>495000</v>
      </c>
      <c r="K17" s="324">
        <f t="shared" si="2"/>
        <v>495000</v>
      </c>
      <c r="L17" s="324">
        <f t="shared" si="2"/>
        <v>0</v>
      </c>
      <c r="M17" s="324">
        <f t="shared" si="2"/>
        <v>0</v>
      </c>
      <c r="N17" s="324">
        <f t="shared" si="2"/>
        <v>0</v>
      </c>
      <c r="O17" s="324">
        <f t="shared" si="2"/>
        <v>495000</v>
      </c>
      <c r="P17" s="324">
        <f t="shared" si="2"/>
        <v>172466766</v>
      </c>
      <c r="Q17" s="31"/>
      <c r="R17" s="27"/>
    </row>
    <row r="18" spans="1:18" ht="173.25" customHeight="1" thickTop="1" thickBot="1" x14ac:dyDescent="0.25">
      <c r="A18" s="101" t="s">
        <v>232</v>
      </c>
      <c r="B18" s="101" t="s">
        <v>233</v>
      </c>
      <c r="C18" s="101" t="s">
        <v>234</v>
      </c>
      <c r="D18" s="101" t="s">
        <v>231</v>
      </c>
      <c r="E18" s="324">
        <f t="shared" ref="E18:E44" si="3">F18</f>
        <v>141365646</v>
      </c>
      <c r="F18" s="322">
        <f>(((130683646)-502260+110000+3000000)+8424260-3500000)+2900000+250000-302260+302260</f>
        <v>141365646</v>
      </c>
      <c r="G18" s="322">
        <f>(((95820900)+3000000)+7132000-3500000)+2900000</f>
        <v>105352900</v>
      </c>
      <c r="H18" s="322">
        <f>(3417000+111000+2275293+350000+88000)+45000</f>
        <v>6286293</v>
      </c>
      <c r="I18" s="322"/>
      <c r="J18" s="324">
        <f t="shared" ref="J18:J31" si="4">L18+O18</f>
        <v>495000</v>
      </c>
      <c r="K18" s="322">
        <f>(((0)+435000)+30000)+30000+39800-39800</f>
        <v>495000</v>
      </c>
      <c r="L18" s="449"/>
      <c r="M18" s="548"/>
      <c r="N18" s="548"/>
      <c r="O18" s="450">
        <f t="shared" ref="O18:O31" si="5">K18</f>
        <v>495000</v>
      </c>
      <c r="P18" s="324">
        <f>+J18+E18</f>
        <v>141860646</v>
      </c>
      <c r="Q18" s="131"/>
      <c r="R18" s="29"/>
    </row>
    <row r="19" spans="1:18" ht="93" hidden="1" thickTop="1" thickBot="1" x14ac:dyDescent="0.25">
      <c r="A19" s="126" t="s">
        <v>583</v>
      </c>
      <c r="B19" s="126" t="s">
        <v>236</v>
      </c>
      <c r="C19" s="126" t="s">
        <v>234</v>
      </c>
      <c r="D19" s="126" t="s">
        <v>235</v>
      </c>
      <c r="E19" s="125">
        <f t="shared" ref="E19" si="6">F19</f>
        <v>0</v>
      </c>
      <c r="F19" s="127"/>
      <c r="G19" s="127"/>
      <c r="H19" s="127"/>
      <c r="I19" s="127"/>
      <c r="J19" s="125">
        <f t="shared" ref="J19" si="7">L19+O19</f>
        <v>0</v>
      </c>
      <c r="K19" s="127"/>
      <c r="L19" s="128"/>
      <c r="M19" s="129"/>
      <c r="N19" s="129"/>
      <c r="O19" s="130">
        <f t="shared" si="5"/>
        <v>0</v>
      </c>
      <c r="P19" s="125">
        <f>+J19+E19</f>
        <v>0</v>
      </c>
      <c r="Q19" s="131"/>
      <c r="R19" s="29"/>
    </row>
    <row r="20" spans="1:18" ht="93" hidden="1" thickTop="1" thickBot="1" x14ac:dyDescent="0.25">
      <c r="A20" s="126" t="s">
        <v>622</v>
      </c>
      <c r="B20" s="126" t="s">
        <v>362</v>
      </c>
      <c r="C20" s="126" t="s">
        <v>623</v>
      </c>
      <c r="D20" s="126" t="s">
        <v>624</v>
      </c>
      <c r="E20" s="125">
        <f t="shared" ref="E20" si="8">F20</f>
        <v>0</v>
      </c>
      <c r="F20" s="127">
        <v>0</v>
      </c>
      <c r="G20" s="127"/>
      <c r="H20" s="127"/>
      <c r="I20" s="127"/>
      <c r="J20" s="125">
        <f t="shared" ref="J20" si="9">L20+O20</f>
        <v>0</v>
      </c>
      <c r="K20" s="127"/>
      <c r="L20" s="128"/>
      <c r="M20" s="129"/>
      <c r="N20" s="129"/>
      <c r="O20" s="130">
        <f t="shared" si="5"/>
        <v>0</v>
      </c>
      <c r="P20" s="125">
        <f>+J20+E20</f>
        <v>0</v>
      </c>
      <c r="Q20" s="131"/>
      <c r="R20" s="30"/>
    </row>
    <row r="21" spans="1:18" ht="48" thickTop="1" thickBot="1" x14ac:dyDescent="0.25">
      <c r="A21" s="101" t="s">
        <v>247</v>
      </c>
      <c r="B21" s="101" t="s">
        <v>43</v>
      </c>
      <c r="C21" s="101" t="s">
        <v>42</v>
      </c>
      <c r="D21" s="101" t="s">
        <v>248</v>
      </c>
      <c r="E21" s="324">
        <f t="shared" si="3"/>
        <v>30606120</v>
      </c>
      <c r="F21" s="453">
        <f>(((((105141400+20000000-10000000+32000000-67690000+1000000-2000000+30000000)-23310000)-36450000)-7182000)-7517680)-3555600+170000</f>
        <v>30606120</v>
      </c>
      <c r="G21" s="453"/>
      <c r="H21" s="453"/>
      <c r="I21" s="453"/>
      <c r="J21" s="324">
        <f t="shared" si="4"/>
        <v>0</v>
      </c>
      <c r="K21" s="453"/>
      <c r="L21" s="453"/>
      <c r="M21" s="453"/>
      <c r="N21" s="453"/>
      <c r="O21" s="450">
        <f t="shared" si="5"/>
        <v>0</v>
      </c>
      <c r="P21" s="324">
        <f>E21+J21</f>
        <v>30606120</v>
      </c>
      <c r="Q21" s="131"/>
      <c r="R21" s="30"/>
    </row>
    <row r="22" spans="1:18" ht="47.25" thickTop="1" thickBot="1" x14ac:dyDescent="0.25">
      <c r="A22" s="308" t="s">
        <v>1592</v>
      </c>
      <c r="B22" s="308" t="s">
        <v>707</v>
      </c>
      <c r="C22" s="308"/>
      <c r="D22" s="308" t="s">
        <v>708</v>
      </c>
      <c r="E22" s="324">
        <f>E23</f>
        <v>2173000</v>
      </c>
      <c r="F22" s="324">
        <f t="shared" ref="F22:P22" si="10">F23</f>
        <v>2173000</v>
      </c>
      <c r="G22" s="324">
        <f t="shared" si="10"/>
        <v>0</v>
      </c>
      <c r="H22" s="324">
        <f t="shared" si="10"/>
        <v>0</v>
      </c>
      <c r="I22" s="324">
        <f t="shared" si="10"/>
        <v>0</v>
      </c>
      <c r="J22" s="324">
        <f t="shared" si="10"/>
        <v>55000</v>
      </c>
      <c r="K22" s="324">
        <f t="shared" si="10"/>
        <v>55000</v>
      </c>
      <c r="L22" s="324">
        <f t="shared" si="10"/>
        <v>0</v>
      </c>
      <c r="M22" s="324">
        <f t="shared" si="10"/>
        <v>0</v>
      </c>
      <c r="N22" s="324">
        <f t="shared" si="10"/>
        <v>0</v>
      </c>
      <c r="O22" s="324">
        <f t="shared" si="10"/>
        <v>55000</v>
      </c>
      <c r="P22" s="324">
        <f t="shared" si="10"/>
        <v>2228000</v>
      </c>
      <c r="Q22" s="131"/>
      <c r="R22" s="30"/>
    </row>
    <row r="23" spans="1:18" ht="48" thickTop="1" thickBot="1" x14ac:dyDescent="0.25">
      <c r="A23" s="325" t="s">
        <v>1593</v>
      </c>
      <c r="B23" s="325" t="s">
        <v>735</v>
      </c>
      <c r="C23" s="325"/>
      <c r="D23" s="325" t="s">
        <v>736</v>
      </c>
      <c r="E23" s="321">
        <f>E24</f>
        <v>2173000</v>
      </c>
      <c r="F23" s="321">
        <f t="shared" ref="F23:P23" si="11">F24</f>
        <v>2173000</v>
      </c>
      <c r="G23" s="321">
        <f t="shared" si="11"/>
        <v>0</v>
      </c>
      <c r="H23" s="321">
        <f t="shared" si="11"/>
        <v>0</v>
      </c>
      <c r="I23" s="321">
        <f t="shared" si="11"/>
        <v>0</v>
      </c>
      <c r="J23" s="321">
        <f t="shared" si="11"/>
        <v>55000</v>
      </c>
      <c r="K23" s="321">
        <f t="shared" si="11"/>
        <v>55000</v>
      </c>
      <c r="L23" s="321">
        <f t="shared" si="11"/>
        <v>0</v>
      </c>
      <c r="M23" s="321">
        <f t="shared" si="11"/>
        <v>0</v>
      </c>
      <c r="N23" s="321">
        <f t="shared" si="11"/>
        <v>0</v>
      </c>
      <c r="O23" s="321">
        <f t="shared" si="11"/>
        <v>55000</v>
      </c>
      <c r="P23" s="321">
        <f t="shared" si="11"/>
        <v>2228000</v>
      </c>
      <c r="Q23" s="131"/>
      <c r="R23" s="30"/>
    </row>
    <row r="24" spans="1:18" ht="93" thickTop="1" thickBot="1" x14ac:dyDescent="0.25">
      <c r="A24" s="101" t="s">
        <v>1594</v>
      </c>
      <c r="B24" s="101" t="s">
        <v>329</v>
      </c>
      <c r="C24" s="101" t="s">
        <v>191</v>
      </c>
      <c r="D24" s="461" t="s">
        <v>331</v>
      </c>
      <c r="E24" s="324">
        <f t="shared" ref="E24" si="12">F24</f>
        <v>2173000</v>
      </c>
      <c r="F24" s="453">
        <f>((1000000)+900000)+273000</f>
        <v>2173000</v>
      </c>
      <c r="G24" s="322"/>
      <c r="H24" s="322"/>
      <c r="I24" s="453"/>
      <c r="J24" s="324">
        <f t="shared" ref="J24" si="13">L24+O24</f>
        <v>55000</v>
      </c>
      <c r="K24" s="453">
        <v>55000</v>
      </c>
      <c r="L24" s="453"/>
      <c r="M24" s="453"/>
      <c r="N24" s="453"/>
      <c r="O24" s="450">
        <f>(K24)</f>
        <v>55000</v>
      </c>
      <c r="P24" s="324">
        <f t="shared" ref="P24" si="14">E24+J24</f>
        <v>2228000</v>
      </c>
      <c r="Q24" s="131"/>
      <c r="R24" s="30"/>
    </row>
    <row r="25" spans="1:18" s="28" customFormat="1" ht="47.25" thickTop="1" thickBot="1" x14ac:dyDescent="0.3">
      <c r="A25" s="308" t="s">
        <v>743</v>
      </c>
      <c r="B25" s="308" t="s">
        <v>744</v>
      </c>
      <c r="C25" s="308"/>
      <c r="D25" s="308" t="s">
        <v>745</v>
      </c>
      <c r="E25" s="324">
        <f t="shared" ref="E25:P25" si="15">SUM(E26:E35)-E26-E29-E32</f>
        <v>8276735</v>
      </c>
      <c r="F25" s="324">
        <f t="shared" si="15"/>
        <v>8276735</v>
      </c>
      <c r="G25" s="324">
        <f t="shared" si="15"/>
        <v>0</v>
      </c>
      <c r="H25" s="324">
        <f t="shared" si="15"/>
        <v>0</v>
      </c>
      <c r="I25" s="324">
        <f t="shared" si="15"/>
        <v>0</v>
      </c>
      <c r="J25" s="324">
        <f t="shared" si="15"/>
        <v>6515800</v>
      </c>
      <c r="K25" s="324">
        <f t="shared" si="15"/>
        <v>0</v>
      </c>
      <c r="L25" s="324">
        <f t="shared" si="15"/>
        <v>6150400</v>
      </c>
      <c r="M25" s="324">
        <f t="shared" si="15"/>
        <v>0</v>
      </c>
      <c r="N25" s="324">
        <f t="shared" si="15"/>
        <v>0</v>
      </c>
      <c r="O25" s="324">
        <f t="shared" si="15"/>
        <v>365400</v>
      </c>
      <c r="P25" s="324">
        <f t="shared" si="15"/>
        <v>14792535</v>
      </c>
      <c r="Q25" s="133"/>
      <c r="R25" s="31"/>
    </row>
    <row r="26" spans="1:18" s="33" customFormat="1" ht="47.25" thickTop="1" thickBot="1" x14ac:dyDescent="0.25">
      <c r="A26" s="310" t="s">
        <v>682</v>
      </c>
      <c r="B26" s="310" t="s">
        <v>683</v>
      </c>
      <c r="C26" s="310"/>
      <c r="D26" s="310" t="s">
        <v>684</v>
      </c>
      <c r="E26" s="312">
        <f t="shared" ref="E26:P26" si="16">SUM(E27:E28)</f>
        <v>5585400</v>
      </c>
      <c r="F26" s="312">
        <f t="shared" si="16"/>
        <v>5585400</v>
      </c>
      <c r="G26" s="312">
        <f t="shared" si="16"/>
        <v>0</v>
      </c>
      <c r="H26" s="312">
        <f t="shared" si="16"/>
        <v>0</v>
      </c>
      <c r="I26" s="312">
        <f t="shared" si="16"/>
        <v>0</v>
      </c>
      <c r="J26" s="312">
        <f t="shared" si="16"/>
        <v>0</v>
      </c>
      <c r="K26" s="312">
        <f t="shared" si="16"/>
        <v>0</v>
      </c>
      <c r="L26" s="312">
        <f t="shared" si="16"/>
        <v>0</v>
      </c>
      <c r="M26" s="312">
        <f t="shared" si="16"/>
        <v>0</v>
      </c>
      <c r="N26" s="312">
        <f t="shared" si="16"/>
        <v>0</v>
      </c>
      <c r="O26" s="312">
        <f t="shared" si="16"/>
        <v>0</v>
      </c>
      <c r="P26" s="312">
        <f t="shared" si="16"/>
        <v>5585400</v>
      </c>
      <c r="Q26" s="136"/>
      <c r="R26" s="32"/>
    </row>
    <row r="27" spans="1:18" ht="48" thickTop="1" thickBot="1" x14ac:dyDescent="0.25">
      <c r="A27" s="101" t="s">
        <v>238</v>
      </c>
      <c r="B27" s="101" t="s">
        <v>239</v>
      </c>
      <c r="C27" s="101" t="s">
        <v>240</v>
      </c>
      <c r="D27" s="101" t="s">
        <v>237</v>
      </c>
      <c r="E27" s="324">
        <f t="shared" si="3"/>
        <v>5585400</v>
      </c>
      <c r="F27" s="453">
        <f>((4883000)+500000)+202400</f>
        <v>5585400</v>
      </c>
      <c r="G27" s="453"/>
      <c r="H27" s="453"/>
      <c r="I27" s="453"/>
      <c r="J27" s="324">
        <f t="shared" si="4"/>
        <v>0</v>
      </c>
      <c r="K27" s="453"/>
      <c r="L27" s="453"/>
      <c r="M27" s="453"/>
      <c r="N27" s="453"/>
      <c r="O27" s="450">
        <f t="shared" si="5"/>
        <v>0</v>
      </c>
      <c r="P27" s="324">
        <f>+J27+E27</f>
        <v>5585400</v>
      </c>
      <c r="Q27" s="131"/>
      <c r="R27" s="29"/>
    </row>
    <row r="28" spans="1:18" ht="93" hidden="1" thickTop="1" thickBot="1" x14ac:dyDescent="0.25">
      <c r="A28" s="41" t="s">
        <v>971</v>
      </c>
      <c r="B28" s="41" t="s">
        <v>972</v>
      </c>
      <c r="C28" s="41" t="s">
        <v>240</v>
      </c>
      <c r="D28" s="41" t="s">
        <v>973</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310" t="s">
        <v>686</v>
      </c>
      <c r="B29" s="310" t="s">
        <v>687</v>
      </c>
      <c r="C29" s="310"/>
      <c r="D29" s="310" t="s">
        <v>685</v>
      </c>
      <c r="E29" s="312">
        <f>SUM(E31)+E32+E30</f>
        <v>2691335</v>
      </c>
      <c r="F29" s="312">
        <f t="shared" ref="F29:P29" si="17">SUM(F31)+F32+F30</f>
        <v>2691335</v>
      </c>
      <c r="G29" s="312">
        <f t="shared" si="17"/>
        <v>0</v>
      </c>
      <c r="H29" s="312">
        <f t="shared" si="17"/>
        <v>0</v>
      </c>
      <c r="I29" s="312">
        <f t="shared" si="17"/>
        <v>0</v>
      </c>
      <c r="J29" s="312">
        <f t="shared" si="17"/>
        <v>6515800</v>
      </c>
      <c r="K29" s="312">
        <f t="shared" si="17"/>
        <v>0</v>
      </c>
      <c r="L29" s="312">
        <f t="shared" si="17"/>
        <v>6150400</v>
      </c>
      <c r="M29" s="312">
        <f t="shared" si="17"/>
        <v>0</v>
      </c>
      <c r="N29" s="312">
        <f t="shared" si="17"/>
        <v>0</v>
      </c>
      <c r="O29" s="312">
        <f t="shared" si="17"/>
        <v>365400</v>
      </c>
      <c r="P29" s="312">
        <f t="shared" si="17"/>
        <v>9207135</v>
      </c>
      <c r="Q29" s="137"/>
      <c r="R29" s="34"/>
    </row>
    <row r="30" spans="1:18" ht="48" hidden="1" thickTop="1" thickBot="1" x14ac:dyDescent="0.25">
      <c r="A30" s="101" t="s">
        <v>1384</v>
      </c>
      <c r="B30" s="101" t="s">
        <v>212</v>
      </c>
      <c r="C30" s="101" t="s">
        <v>213</v>
      </c>
      <c r="D30" s="101" t="s">
        <v>41</v>
      </c>
      <c r="E30" s="324">
        <f t="shared" si="3"/>
        <v>0</v>
      </c>
      <c r="F30" s="453"/>
      <c r="G30" s="453"/>
      <c r="H30" s="453"/>
      <c r="I30" s="453"/>
      <c r="J30" s="324">
        <f t="shared" si="4"/>
        <v>0</v>
      </c>
      <c r="K30" s="453"/>
      <c r="L30" s="453"/>
      <c r="M30" s="453"/>
      <c r="N30" s="453"/>
      <c r="O30" s="450">
        <f t="shared" si="5"/>
        <v>0</v>
      </c>
      <c r="P30" s="324">
        <f>+J30+E30</f>
        <v>0</v>
      </c>
      <c r="Q30" s="137"/>
      <c r="R30" s="34"/>
    </row>
    <row r="31" spans="1:18" ht="48" thickTop="1" thickBot="1" x14ac:dyDescent="0.25">
      <c r="A31" s="101" t="s">
        <v>299</v>
      </c>
      <c r="B31" s="101" t="s">
        <v>300</v>
      </c>
      <c r="C31" s="101" t="s">
        <v>170</v>
      </c>
      <c r="D31" s="101" t="s">
        <v>441</v>
      </c>
      <c r="E31" s="324">
        <f t="shared" si="3"/>
        <v>329335</v>
      </c>
      <c r="F31" s="453">
        <v>329335</v>
      </c>
      <c r="G31" s="453"/>
      <c r="H31" s="453"/>
      <c r="I31" s="453"/>
      <c r="J31" s="324">
        <f t="shared" si="4"/>
        <v>0</v>
      </c>
      <c r="K31" s="453"/>
      <c r="L31" s="453"/>
      <c r="M31" s="453"/>
      <c r="N31" s="453"/>
      <c r="O31" s="450">
        <f t="shared" si="5"/>
        <v>0</v>
      </c>
      <c r="P31" s="324">
        <f>+J31+E31</f>
        <v>329335</v>
      </c>
      <c r="Q31" s="131"/>
      <c r="R31" s="30"/>
    </row>
    <row r="32" spans="1:18" ht="48" thickTop="1" thickBot="1" x14ac:dyDescent="0.25">
      <c r="A32" s="325" t="s">
        <v>689</v>
      </c>
      <c r="B32" s="325" t="s">
        <v>690</v>
      </c>
      <c r="C32" s="325"/>
      <c r="D32" s="550" t="s">
        <v>688</v>
      </c>
      <c r="E32" s="321">
        <f>SUM(E33:E35)</f>
        <v>2362000</v>
      </c>
      <c r="F32" s="321">
        <f t="shared" ref="F32:O32" si="18">SUM(F33:F35)</f>
        <v>2362000</v>
      </c>
      <c r="G32" s="321">
        <f t="shared" si="18"/>
        <v>0</v>
      </c>
      <c r="H32" s="321">
        <f t="shared" si="18"/>
        <v>0</v>
      </c>
      <c r="I32" s="321">
        <f t="shared" si="18"/>
        <v>0</v>
      </c>
      <c r="J32" s="321">
        <f t="shared" si="18"/>
        <v>6515800</v>
      </c>
      <c r="K32" s="321">
        <f t="shared" si="18"/>
        <v>0</v>
      </c>
      <c r="L32" s="321">
        <f t="shared" si="18"/>
        <v>6150400</v>
      </c>
      <c r="M32" s="321">
        <f t="shared" si="18"/>
        <v>0</v>
      </c>
      <c r="N32" s="321">
        <f t="shared" si="18"/>
        <v>0</v>
      </c>
      <c r="O32" s="321">
        <f t="shared" si="18"/>
        <v>365400</v>
      </c>
      <c r="P32" s="321">
        <f>E32+J32</f>
        <v>8877800</v>
      </c>
      <c r="Q32" s="137"/>
      <c r="R32" s="35"/>
    </row>
    <row r="33" spans="1:18" s="33" customFormat="1" ht="156.75" customHeight="1" thickTop="1" thickBot="1" x14ac:dyDescent="0.7">
      <c r="A33" s="732" t="s">
        <v>339</v>
      </c>
      <c r="B33" s="732" t="s">
        <v>338</v>
      </c>
      <c r="C33" s="732" t="s">
        <v>170</v>
      </c>
      <c r="D33" s="551" t="s">
        <v>439</v>
      </c>
      <c r="E33" s="734">
        <f t="shared" si="3"/>
        <v>0</v>
      </c>
      <c r="F33" s="735"/>
      <c r="G33" s="735"/>
      <c r="H33" s="735"/>
      <c r="I33" s="735"/>
      <c r="J33" s="737">
        <f>L33+O33</f>
        <v>6515800</v>
      </c>
      <c r="K33" s="735"/>
      <c r="L33" s="735">
        <f>(2604400+176000+570000+1000000)+3400000-1500000-50000-50000</f>
        <v>6150400</v>
      </c>
      <c r="M33" s="735"/>
      <c r="N33" s="735"/>
      <c r="O33" s="752">
        <f>(865400)-500000</f>
        <v>365400</v>
      </c>
      <c r="P33" s="754">
        <f>E33+J33</f>
        <v>6515800</v>
      </c>
      <c r="Q33" s="140"/>
      <c r="R33" s="36"/>
    </row>
    <row r="34" spans="1:18" s="33" customFormat="1" ht="120.75" customHeight="1" thickTop="1" thickBot="1" x14ac:dyDescent="0.25">
      <c r="A34" s="733"/>
      <c r="B34" s="743"/>
      <c r="C34" s="733"/>
      <c r="D34" s="552" t="s">
        <v>440</v>
      </c>
      <c r="E34" s="733"/>
      <c r="F34" s="736"/>
      <c r="G34" s="736"/>
      <c r="H34" s="736"/>
      <c r="I34" s="736"/>
      <c r="J34" s="738"/>
      <c r="K34" s="736"/>
      <c r="L34" s="736"/>
      <c r="M34" s="736"/>
      <c r="N34" s="736"/>
      <c r="O34" s="753"/>
      <c r="P34" s="755"/>
      <c r="Q34" s="36"/>
      <c r="R34" s="36"/>
    </row>
    <row r="35" spans="1:18" s="33" customFormat="1" ht="79.5" customHeight="1" thickTop="1" thickBot="1" x14ac:dyDescent="0.25">
      <c r="A35" s="101" t="s">
        <v>909</v>
      </c>
      <c r="B35" s="101" t="s">
        <v>257</v>
      </c>
      <c r="C35" s="101" t="s">
        <v>170</v>
      </c>
      <c r="D35" s="101" t="s">
        <v>255</v>
      </c>
      <c r="E35" s="324">
        <f>F35</f>
        <v>2362000</v>
      </c>
      <c r="F35" s="453">
        <v>2362000</v>
      </c>
      <c r="G35" s="453"/>
      <c r="H35" s="453"/>
      <c r="I35" s="453"/>
      <c r="J35" s="324">
        <f>L35+O35</f>
        <v>0</v>
      </c>
      <c r="K35" s="453"/>
      <c r="L35" s="453"/>
      <c r="M35" s="453"/>
      <c r="N35" s="453"/>
      <c r="O35" s="450"/>
      <c r="P35" s="324">
        <f>E35+J35</f>
        <v>2362000</v>
      </c>
      <c r="Q35" s="36"/>
      <c r="R35" s="36"/>
    </row>
    <row r="36" spans="1:18" s="33" customFormat="1" ht="65.25" customHeight="1" thickTop="1" thickBot="1" x14ac:dyDescent="0.25">
      <c r="A36" s="308" t="s">
        <v>691</v>
      </c>
      <c r="B36" s="308" t="s">
        <v>692</v>
      </c>
      <c r="C36" s="308"/>
      <c r="D36" s="308" t="s">
        <v>693</v>
      </c>
      <c r="E36" s="324">
        <f t="shared" ref="E36:P36" si="19">E40+E37</f>
        <v>59388104.5</v>
      </c>
      <c r="F36" s="324">
        <f t="shared" si="19"/>
        <v>59388104.5</v>
      </c>
      <c r="G36" s="324">
        <f t="shared" si="19"/>
        <v>0</v>
      </c>
      <c r="H36" s="324">
        <f t="shared" si="19"/>
        <v>0</v>
      </c>
      <c r="I36" s="324">
        <f t="shared" si="19"/>
        <v>0</v>
      </c>
      <c r="J36" s="324">
        <f t="shared" si="19"/>
        <v>162646300.84</v>
      </c>
      <c r="K36" s="324">
        <f t="shared" si="19"/>
        <v>162646300.84</v>
      </c>
      <c r="L36" s="324">
        <f t="shared" si="19"/>
        <v>0</v>
      </c>
      <c r="M36" s="324">
        <f t="shared" si="19"/>
        <v>0</v>
      </c>
      <c r="N36" s="324">
        <f t="shared" si="19"/>
        <v>0</v>
      </c>
      <c r="O36" s="324">
        <f t="shared" si="19"/>
        <v>162646300.84</v>
      </c>
      <c r="P36" s="324">
        <f t="shared" si="19"/>
        <v>222034405.34</v>
      </c>
      <c r="Q36" s="36"/>
      <c r="R36" s="36"/>
    </row>
    <row r="37" spans="1:18" s="33" customFormat="1" ht="75.75" customHeight="1" thickTop="1" thickBot="1" x14ac:dyDescent="0.25">
      <c r="A37" s="310" t="s">
        <v>1167</v>
      </c>
      <c r="B37" s="310" t="s">
        <v>1168</v>
      </c>
      <c r="C37" s="310"/>
      <c r="D37" s="310" t="s">
        <v>1166</v>
      </c>
      <c r="E37" s="312">
        <f t="shared" ref="E37:P37" si="20">SUM(E38:E39)</f>
        <v>48968104.5</v>
      </c>
      <c r="F37" s="312">
        <f t="shared" si="20"/>
        <v>48968104.5</v>
      </c>
      <c r="G37" s="312">
        <f t="shared" si="20"/>
        <v>0</v>
      </c>
      <c r="H37" s="312">
        <f t="shared" si="20"/>
        <v>0</v>
      </c>
      <c r="I37" s="312">
        <f t="shared" si="20"/>
        <v>0</v>
      </c>
      <c r="J37" s="312">
        <f t="shared" si="20"/>
        <v>162646300.84</v>
      </c>
      <c r="K37" s="312">
        <f t="shared" si="20"/>
        <v>162646300.84</v>
      </c>
      <c r="L37" s="312">
        <f t="shared" si="20"/>
        <v>0</v>
      </c>
      <c r="M37" s="312">
        <f t="shared" si="20"/>
        <v>0</v>
      </c>
      <c r="N37" s="312">
        <f t="shared" si="20"/>
        <v>0</v>
      </c>
      <c r="O37" s="312">
        <f t="shared" si="20"/>
        <v>162646300.84</v>
      </c>
      <c r="P37" s="312">
        <f t="shared" si="20"/>
        <v>211614405.34</v>
      </c>
      <c r="Q37" s="36"/>
      <c r="R37" s="36"/>
    </row>
    <row r="38" spans="1:18" s="33" customFormat="1" ht="60.75" customHeight="1" thickTop="1" thickBot="1" x14ac:dyDescent="0.25">
      <c r="A38" s="101" t="s">
        <v>1194</v>
      </c>
      <c r="B38" s="101" t="s">
        <v>1195</v>
      </c>
      <c r="C38" s="101" t="s">
        <v>1170</v>
      </c>
      <c r="D38" s="101" t="s">
        <v>1196</v>
      </c>
      <c r="E38" s="324">
        <f>F38</f>
        <v>42074105.5</v>
      </c>
      <c r="F38" s="453">
        <f>((5000000+3000000+8000000+10000000)+6000000)+1074105.5+9000000</f>
        <v>42074105.5</v>
      </c>
      <c r="G38" s="453"/>
      <c r="H38" s="453"/>
      <c r="I38" s="453"/>
      <c r="J38" s="324">
        <f>L38+O38</f>
        <v>159025894.5</v>
      </c>
      <c r="K38" s="453">
        <f>(((((25000000+15000000)+60500000)+25000000)-1074105.5+16000000)+10000000)+8600000</f>
        <v>159025894.5</v>
      </c>
      <c r="L38" s="453"/>
      <c r="M38" s="453"/>
      <c r="N38" s="453"/>
      <c r="O38" s="450">
        <f>K38</f>
        <v>159025894.5</v>
      </c>
      <c r="P38" s="324">
        <f>E38+J38</f>
        <v>201100000</v>
      </c>
      <c r="Q38" s="36"/>
      <c r="R38" s="36"/>
    </row>
    <row r="39" spans="1:18" s="33" customFormat="1" ht="72.75" customHeight="1" thickTop="1" thickBot="1" x14ac:dyDescent="0.25">
      <c r="A39" s="101" t="s">
        <v>1171</v>
      </c>
      <c r="B39" s="101" t="s">
        <v>1172</v>
      </c>
      <c r="C39" s="101" t="s">
        <v>1170</v>
      </c>
      <c r="D39" s="101" t="s">
        <v>1169</v>
      </c>
      <c r="E39" s="324">
        <f>F39</f>
        <v>6893999</v>
      </c>
      <c r="F39" s="453">
        <f>((((8862000)+760769+200000+370480+40000+435000+49750)+230000)-4718000+365000+200000+39000)+60000</f>
        <v>6893999</v>
      </c>
      <c r="G39" s="453"/>
      <c r="H39" s="453"/>
      <c r="I39" s="453"/>
      <c r="J39" s="324">
        <f>L39+O39</f>
        <v>3620406.34</v>
      </c>
      <c r="K39" s="453">
        <f>(((0)+739231+1266175.34+1250000+124000+25000+485000)-230000)-39000</f>
        <v>3620406.34</v>
      </c>
      <c r="L39" s="453"/>
      <c r="M39" s="453"/>
      <c r="N39" s="453"/>
      <c r="O39" s="450">
        <f>K39</f>
        <v>3620406.34</v>
      </c>
      <c r="P39" s="324">
        <f>E39+J39</f>
        <v>10514405.34</v>
      </c>
      <c r="Q39" s="36"/>
      <c r="R39" s="36"/>
    </row>
    <row r="40" spans="1:18" s="33" customFormat="1" ht="47.25" thickTop="1" thickBot="1" x14ac:dyDescent="0.25">
      <c r="A40" s="310" t="s">
        <v>694</v>
      </c>
      <c r="B40" s="310" t="s">
        <v>695</v>
      </c>
      <c r="C40" s="310"/>
      <c r="D40" s="310" t="s">
        <v>696</v>
      </c>
      <c r="E40" s="312">
        <f>SUM(E41)</f>
        <v>10420000</v>
      </c>
      <c r="F40" s="312">
        <f t="shared" ref="F40:P40" si="21">SUM(F41)</f>
        <v>10420000</v>
      </c>
      <c r="G40" s="312">
        <f t="shared" si="21"/>
        <v>0</v>
      </c>
      <c r="H40" s="312">
        <f t="shared" si="21"/>
        <v>0</v>
      </c>
      <c r="I40" s="312">
        <f t="shared" si="21"/>
        <v>0</v>
      </c>
      <c r="J40" s="312">
        <f t="shared" si="21"/>
        <v>0</v>
      </c>
      <c r="K40" s="312">
        <f t="shared" si="21"/>
        <v>0</v>
      </c>
      <c r="L40" s="312">
        <f t="shared" si="21"/>
        <v>0</v>
      </c>
      <c r="M40" s="312">
        <f t="shared" si="21"/>
        <v>0</v>
      </c>
      <c r="N40" s="312">
        <f t="shared" si="21"/>
        <v>0</v>
      </c>
      <c r="O40" s="312">
        <f t="shared" si="21"/>
        <v>0</v>
      </c>
      <c r="P40" s="312">
        <f t="shared" si="21"/>
        <v>10420000</v>
      </c>
      <c r="Q40" s="36"/>
    </row>
    <row r="41" spans="1:18" ht="48" thickTop="1" thickBot="1" x14ac:dyDescent="0.25">
      <c r="A41" s="101" t="s">
        <v>241</v>
      </c>
      <c r="B41" s="101" t="s">
        <v>242</v>
      </c>
      <c r="C41" s="101" t="s">
        <v>243</v>
      </c>
      <c r="D41" s="101" t="s">
        <v>244</v>
      </c>
      <c r="E41" s="324">
        <f>F41</f>
        <v>10420000</v>
      </c>
      <c r="F41" s="453">
        <f>(10200000)+220000</f>
        <v>10420000</v>
      </c>
      <c r="G41" s="453"/>
      <c r="H41" s="453"/>
      <c r="I41" s="453"/>
      <c r="J41" s="324">
        <f>L41+O41</f>
        <v>0</v>
      </c>
      <c r="K41" s="453">
        <v>0</v>
      </c>
      <c r="L41" s="453"/>
      <c r="M41" s="453"/>
      <c r="N41" s="453"/>
      <c r="O41" s="450">
        <f>K41</f>
        <v>0</v>
      </c>
      <c r="P41" s="324">
        <f>E41+J41</f>
        <v>10420000</v>
      </c>
      <c r="Q41" s="20"/>
    </row>
    <row r="42" spans="1:18" ht="72" customHeight="1" thickTop="1" thickBot="1" x14ac:dyDescent="0.25">
      <c r="A42" s="308" t="s">
        <v>697</v>
      </c>
      <c r="B42" s="308" t="s">
        <v>698</v>
      </c>
      <c r="C42" s="308"/>
      <c r="D42" s="308" t="s">
        <v>699</v>
      </c>
      <c r="E42" s="324">
        <f>E43+E46</f>
        <v>130394917.54000001</v>
      </c>
      <c r="F42" s="324">
        <f t="shared" ref="F42:P42" si="22">F43+F46</f>
        <v>130394917.54000001</v>
      </c>
      <c r="G42" s="324">
        <f t="shared" si="22"/>
        <v>0</v>
      </c>
      <c r="H42" s="324">
        <f t="shared" si="22"/>
        <v>0</v>
      </c>
      <c r="I42" s="324">
        <f t="shared" si="22"/>
        <v>0</v>
      </c>
      <c r="J42" s="324">
        <f t="shared" si="22"/>
        <v>194003539.46000004</v>
      </c>
      <c r="K42" s="324">
        <f t="shared" si="22"/>
        <v>194003539.46000004</v>
      </c>
      <c r="L42" s="324">
        <f t="shared" si="22"/>
        <v>0</v>
      </c>
      <c r="M42" s="324">
        <f t="shared" si="22"/>
        <v>0</v>
      </c>
      <c r="N42" s="324">
        <f t="shared" si="22"/>
        <v>0</v>
      </c>
      <c r="O42" s="324">
        <f t="shared" si="22"/>
        <v>194003539.46000004</v>
      </c>
      <c r="P42" s="324">
        <f t="shared" si="22"/>
        <v>324398457.00000006</v>
      </c>
      <c r="Q42" s="20"/>
    </row>
    <row r="43" spans="1:18" s="33" customFormat="1" ht="91.5" thickTop="1" thickBot="1" x14ac:dyDescent="0.25">
      <c r="A43" s="310" t="s">
        <v>700</v>
      </c>
      <c r="B43" s="310" t="s">
        <v>701</v>
      </c>
      <c r="C43" s="310"/>
      <c r="D43" s="310" t="s">
        <v>702</v>
      </c>
      <c r="E43" s="312">
        <f>SUM(E44:E45)</f>
        <v>1333600</v>
      </c>
      <c r="F43" s="312">
        <f t="shared" ref="F43:P43" si="23">SUM(F44:F45)</f>
        <v>1333600</v>
      </c>
      <c r="G43" s="312">
        <f t="shared" si="23"/>
        <v>0</v>
      </c>
      <c r="H43" s="312">
        <f t="shared" si="23"/>
        <v>0</v>
      </c>
      <c r="I43" s="312">
        <f t="shared" si="23"/>
        <v>0</v>
      </c>
      <c r="J43" s="312">
        <f t="shared" si="23"/>
        <v>0</v>
      </c>
      <c r="K43" s="312">
        <f t="shared" si="23"/>
        <v>0</v>
      </c>
      <c r="L43" s="312">
        <f t="shared" si="23"/>
        <v>0</v>
      </c>
      <c r="M43" s="312">
        <f t="shared" si="23"/>
        <v>0</v>
      </c>
      <c r="N43" s="312">
        <f t="shared" si="23"/>
        <v>0</v>
      </c>
      <c r="O43" s="312">
        <f t="shared" si="23"/>
        <v>0</v>
      </c>
      <c r="P43" s="312">
        <f t="shared" si="23"/>
        <v>1333600</v>
      </c>
      <c r="Q43" s="36"/>
      <c r="R43" s="36"/>
    </row>
    <row r="44" spans="1:18" ht="138.75" thickTop="1" thickBot="1" x14ac:dyDescent="0.25">
      <c r="A44" s="101" t="s">
        <v>245</v>
      </c>
      <c r="B44" s="101" t="s">
        <v>246</v>
      </c>
      <c r="C44" s="101" t="s">
        <v>43</v>
      </c>
      <c r="D44" s="101" t="s">
        <v>442</v>
      </c>
      <c r="E44" s="324">
        <f t="shared" si="3"/>
        <v>1178000</v>
      </c>
      <c r="F44" s="453">
        <v>1178000</v>
      </c>
      <c r="G44" s="453"/>
      <c r="H44" s="453"/>
      <c r="I44" s="453"/>
      <c r="J44" s="324">
        <f>L44+O44</f>
        <v>0</v>
      </c>
      <c r="K44" s="453"/>
      <c r="L44" s="453"/>
      <c r="M44" s="453"/>
      <c r="N44" s="453"/>
      <c r="O44" s="450">
        <f>K44</f>
        <v>0</v>
      </c>
      <c r="P44" s="324">
        <f>E44+J44</f>
        <v>1178000</v>
      </c>
      <c r="Q44" s="20"/>
    </row>
    <row r="45" spans="1:18" ht="48" thickTop="1" thickBot="1" x14ac:dyDescent="0.25">
      <c r="A45" s="101" t="s">
        <v>574</v>
      </c>
      <c r="B45" s="101" t="s">
        <v>363</v>
      </c>
      <c r="C45" s="101" t="s">
        <v>43</v>
      </c>
      <c r="D45" s="101" t="s">
        <v>364</v>
      </c>
      <c r="E45" s="324">
        <f t="shared" ref="E45:E46" si="24">F45</f>
        <v>155600</v>
      </c>
      <c r="F45" s="453">
        <v>155600</v>
      </c>
      <c r="G45" s="453"/>
      <c r="H45" s="453"/>
      <c r="I45" s="453"/>
      <c r="J45" s="324">
        <f>L45+O45</f>
        <v>0</v>
      </c>
      <c r="K45" s="453">
        <f>(1000000)-1000000</f>
        <v>0</v>
      </c>
      <c r="L45" s="453"/>
      <c r="M45" s="453"/>
      <c r="N45" s="453"/>
      <c r="O45" s="450">
        <f>K45</f>
        <v>0</v>
      </c>
      <c r="P45" s="324">
        <f>E45+J45</f>
        <v>155600</v>
      </c>
      <c r="Q45" s="20"/>
    </row>
    <row r="46" spans="1:18" ht="91.5" thickTop="1" thickBot="1" x14ac:dyDescent="0.25">
      <c r="A46" s="310" t="s">
        <v>512</v>
      </c>
      <c r="B46" s="310" t="s">
        <v>513</v>
      </c>
      <c r="C46" s="310" t="s">
        <v>43</v>
      </c>
      <c r="D46" s="310" t="s">
        <v>514</v>
      </c>
      <c r="E46" s="312">
        <f t="shared" si="24"/>
        <v>129061317.54000001</v>
      </c>
      <c r="F46" s="312">
        <f>((((((40873318.14-300000+2000000)+58713600)+5262218-400000+225000-600000)-4000000+3000000-1000000+1000000+421000+280000)+16496035+1000000)-13000+1000000-8260.6+8607+200000+150000+100000+150000+150000+199000+199000+52000+60000+1000000-3000000+200000-927200)+6570000</f>
        <v>129061317.54000001</v>
      </c>
      <c r="G46" s="135"/>
      <c r="H46" s="135"/>
      <c r="I46" s="135"/>
      <c r="J46" s="312">
        <f>L46+O46</f>
        <v>194003539.46000004</v>
      </c>
      <c r="K46" s="453">
        <f>((((((26816681.86-700000)+100285900)+28871250-800000-10025000+9800000+600000+300000)+4000000-3000000+6155000+326000+280000-280000)+13887124)+500000-1986250+1999250+1000000+3276301.58-9900-139500.98-117000-200-1440-3000000-119085+110478+1600000+3000000+190000+4656730+1000000+927200)+4600000</f>
        <v>194003539.46000004</v>
      </c>
      <c r="L46" s="312"/>
      <c r="M46" s="312"/>
      <c r="N46" s="312"/>
      <c r="O46" s="312">
        <f>K46</f>
        <v>194003539.46000004</v>
      </c>
      <c r="P46" s="312">
        <f>E46+J46</f>
        <v>323064857.00000006</v>
      </c>
      <c r="Q46" s="20"/>
      <c r="R46" s="26"/>
    </row>
    <row r="47" spans="1:18" ht="120" customHeight="1" thickTop="1" thickBot="1" x14ac:dyDescent="0.25">
      <c r="A47" s="689" t="s">
        <v>152</v>
      </c>
      <c r="B47" s="689"/>
      <c r="C47" s="689"/>
      <c r="D47" s="690" t="s">
        <v>0</v>
      </c>
      <c r="E47" s="691">
        <f>E48</f>
        <v>2159938074.4100003</v>
      </c>
      <c r="F47" s="692">
        <f t="shared" ref="F47" si="25">F48</f>
        <v>2159938074.4100003</v>
      </c>
      <c r="G47" s="692">
        <f>G48</f>
        <v>1427521063.73</v>
      </c>
      <c r="H47" s="692">
        <f>H48</f>
        <v>172278689.68000001</v>
      </c>
      <c r="I47" s="692">
        <f t="shared" ref="I47" si="26">I48</f>
        <v>0</v>
      </c>
      <c r="J47" s="691">
        <f>J48</f>
        <v>394752200.28000003</v>
      </c>
      <c r="K47" s="692">
        <f>K48</f>
        <v>168132646.13000003</v>
      </c>
      <c r="L47" s="692">
        <f>L48</f>
        <v>208990042.55000001</v>
      </c>
      <c r="M47" s="692">
        <f t="shared" ref="M47" si="27">M48</f>
        <v>53430813</v>
      </c>
      <c r="N47" s="692">
        <f>N48</f>
        <v>17707720</v>
      </c>
      <c r="O47" s="691">
        <f>O48</f>
        <v>185762157.73000002</v>
      </c>
      <c r="P47" s="692">
        <f t="shared" ref="P47" si="28">P48</f>
        <v>2554690274.6900005</v>
      </c>
      <c r="Q47" s="20"/>
    </row>
    <row r="48" spans="1:18" ht="120" customHeight="1" thickTop="1" thickBot="1" x14ac:dyDescent="0.25">
      <c r="A48" s="693" t="s">
        <v>153</v>
      </c>
      <c r="B48" s="693"/>
      <c r="C48" s="693"/>
      <c r="D48" s="694" t="s">
        <v>1</v>
      </c>
      <c r="E48" s="695">
        <f>E49+E90+E102+E93+E99</f>
        <v>2159938074.4100003</v>
      </c>
      <c r="F48" s="695">
        <f>F49+F90+F102+F93+F99</f>
        <v>2159938074.4100003</v>
      </c>
      <c r="G48" s="695">
        <f>G49+G90+G102+G93+G99</f>
        <v>1427521063.73</v>
      </c>
      <c r="H48" s="695">
        <f>H49+H90+H102+H93+H99</f>
        <v>172278689.68000001</v>
      </c>
      <c r="I48" s="695">
        <f>I49+I90+I102+I93+I99</f>
        <v>0</v>
      </c>
      <c r="J48" s="695">
        <f>L48+O48</f>
        <v>394752200.28000003</v>
      </c>
      <c r="K48" s="695">
        <f>K49+K90+K102+K93+K99</f>
        <v>168132646.13000003</v>
      </c>
      <c r="L48" s="695">
        <f>L49+L90+L102+L93+L99</f>
        <v>208990042.55000001</v>
      </c>
      <c r="M48" s="695">
        <f>M49+M90+M102+M93+M99</f>
        <v>53430813</v>
      </c>
      <c r="N48" s="695">
        <f>N49+N90+N102+N93+N99</f>
        <v>17707720</v>
      </c>
      <c r="O48" s="695">
        <f>O49+O90+O102+O93+O99</f>
        <v>185762157.73000002</v>
      </c>
      <c r="P48" s="695">
        <f>E48+J48</f>
        <v>2554690274.6900005</v>
      </c>
      <c r="Q48" s="549" t="b">
        <f>P48=P50+P52+P53+P54+P56+P57+P60+P62+P63+P65+P66+P68+P69+P70+P80+P91+P92+P96+P98+P59+P86+P87+P74+P75+P77+P78+P72+P73+P89</f>
        <v>1</v>
      </c>
      <c r="R48" s="26"/>
    </row>
    <row r="49" spans="1:20" ht="47.25" thickTop="1" thickBot="1" x14ac:dyDescent="0.25">
      <c r="A49" s="308" t="s">
        <v>703</v>
      </c>
      <c r="B49" s="308" t="s">
        <v>704</v>
      </c>
      <c r="C49" s="308"/>
      <c r="D49" s="308" t="s">
        <v>705</v>
      </c>
      <c r="E49" s="324">
        <f t="shared" ref="E49:P49" si="29">E50+E51+E55+E60+E61+E64+E67+E70+E71+E74+E58+E75+E76+E79+E82+E85+E88</f>
        <v>2158326952.5900002</v>
      </c>
      <c r="F49" s="324">
        <f t="shared" si="29"/>
        <v>2158326952.5900002</v>
      </c>
      <c r="G49" s="324">
        <f t="shared" si="29"/>
        <v>1427521063.73</v>
      </c>
      <c r="H49" s="324">
        <f t="shared" si="29"/>
        <v>171861608.87</v>
      </c>
      <c r="I49" s="324">
        <f t="shared" si="29"/>
        <v>0</v>
      </c>
      <c r="J49" s="324">
        <f t="shared" si="29"/>
        <v>314647589.81999999</v>
      </c>
      <c r="K49" s="324">
        <f t="shared" si="29"/>
        <v>88028035.670000017</v>
      </c>
      <c r="L49" s="324">
        <f t="shared" si="29"/>
        <v>208990042.55000001</v>
      </c>
      <c r="M49" s="324">
        <f t="shared" si="29"/>
        <v>53430813</v>
      </c>
      <c r="N49" s="324">
        <f t="shared" si="29"/>
        <v>17707720</v>
      </c>
      <c r="O49" s="324">
        <f t="shared" si="29"/>
        <v>105657547.27000001</v>
      </c>
      <c r="P49" s="324">
        <f t="shared" si="29"/>
        <v>2472974542.4099998</v>
      </c>
      <c r="Q49" s="30"/>
      <c r="R49" s="26"/>
    </row>
    <row r="50" spans="1:20" ht="48" thickTop="1" thickBot="1" x14ac:dyDescent="0.6">
      <c r="A50" s="101" t="s">
        <v>198</v>
      </c>
      <c r="B50" s="101" t="s">
        <v>199</v>
      </c>
      <c r="C50" s="101" t="s">
        <v>201</v>
      </c>
      <c r="D50" s="101" t="s">
        <v>202</v>
      </c>
      <c r="E50" s="324">
        <f>F50</f>
        <v>594374194.45000005</v>
      </c>
      <c r="F50" s="453">
        <f>((((518100000+6834000+121810+46482400+5516000+34247960+1883491+20029153+1410722+1453964+1539752+121850+3930+500000+95000+100000+300000-5000000-45500000-36876000)+44459370+694434-60000+199000+190036+107781+500000)-3725+60000+39744+76095+126083+46659+30889+50000+100000+81631+29892+47038+235238+334730)-6066900+110000+28003.98+100000+121680.47)+1296133-1400+77750</f>
        <v>594374194.45000005</v>
      </c>
      <c r="G50" s="453">
        <f>((424700000-45500000)+20333842)-9400000</f>
        <v>390133842</v>
      </c>
      <c r="H50" s="453">
        <f>((34247960+1883491+20029153+1410722+1453964+1539752)+110000)-79000-130000</f>
        <v>60466042</v>
      </c>
      <c r="I50" s="453"/>
      <c r="J50" s="324">
        <f t="shared" ref="J50:J73" si="30">L50+O50</f>
        <v>96507450.019999996</v>
      </c>
      <c r="K50" s="453">
        <f>((((500000)+60000)+100000+14768)-28003.98+30000)+100000+44016</f>
        <v>820780.02</v>
      </c>
      <c r="L50" s="453">
        <f>(((94139890)+89700+22385+83361-7100-626500+413055-1000-4500-500)-200270)-37820+12300</f>
        <v>93883001</v>
      </c>
      <c r="M50" s="453">
        <f>((17927390)+89700)-257700</f>
        <v>17759390</v>
      </c>
      <c r="N50" s="453">
        <f>(4628330)+11000-6000+3000</f>
        <v>4636330</v>
      </c>
      <c r="O50" s="450">
        <f>(((K50+1546780)+31099)+200270)+25520</f>
        <v>2624449.02</v>
      </c>
      <c r="P50" s="324">
        <f t="shared" ref="P50:P62" si="31">E50+J50</f>
        <v>690881644.47000003</v>
      </c>
      <c r="Q50" s="141"/>
      <c r="R50" s="26"/>
    </row>
    <row r="51" spans="1:20" ht="48" thickTop="1" thickBot="1" x14ac:dyDescent="0.6">
      <c r="A51" s="325" t="s">
        <v>203</v>
      </c>
      <c r="B51" s="325" t="s">
        <v>200</v>
      </c>
      <c r="C51" s="325"/>
      <c r="D51" s="325" t="s">
        <v>641</v>
      </c>
      <c r="E51" s="321">
        <f>E52+E53+E54</f>
        <v>521127554.72000003</v>
      </c>
      <c r="F51" s="321">
        <f>F52+F53+F54</f>
        <v>521127554.72000003</v>
      </c>
      <c r="G51" s="321">
        <f t="shared" ref="G51:I51" si="32">G52+G53+G54</f>
        <v>279639514.96000004</v>
      </c>
      <c r="H51" s="321">
        <f t="shared" si="32"/>
        <v>84018146</v>
      </c>
      <c r="I51" s="321">
        <f t="shared" si="32"/>
        <v>0</v>
      </c>
      <c r="J51" s="321">
        <f t="shared" ref="J51" si="33">J52+J53+J54</f>
        <v>106088139.12</v>
      </c>
      <c r="K51" s="321">
        <f t="shared" ref="K51" si="34">K52+K53+K54</f>
        <v>28293769.120000001</v>
      </c>
      <c r="L51" s="321">
        <f t="shared" ref="L51" si="35">L52+L53+L54</f>
        <v>76229122</v>
      </c>
      <c r="M51" s="321">
        <f t="shared" ref="M51" si="36">M52+M53+M54</f>
        <v>24306843</v>
      </c>
      <c r="N51" s="321">
        <f t="shared" ref="N51" si="37">N52+N53+N54</f>
        <v>1908470</v>
      </c>
      <c r="O51" s="321">
        <f t="shared" ref="O51" si="38">O52+O53+O54</f>
        <v>29859017.120000001</v>
      </c>
      <c r="P51" s="321">
        <f>E51+J51</f>
        <v>627215693.84000003</v>
      </c>
      <c r="Q51" s="141"/>
      <c r="R51" s="37"/>
    </row>
    <row r="52" spans="1:20" ht="93" thickTop="1" thickBot="1" x14ac:dyDescent="0.6">
      <c r="A52" s="101" t="s">
        <v>639</v>
      </c>
      <c r="B52" s="101" t="s">
        <v>640</v>
      </c>
      <c r="C52" s="101" t="s">
        <v>204</v>
      </c>
      <c r="D52" s="101" t="s">
        <v>1257</v>
      </c>
      <c r="E52" s="324">
        <f t="shared" ref="E52:E62" si="39">F52</f>
        <v>473029875.72000003</v>
      </c>
      <c r="F52" s="453">
        <f>(((((291024550+15000600+229878+80712500+7004000+45443420+1405040+21980904+4836961+2727144+242950+6050+666880+10740+500000+90000+200000+500000-5000000+100000000-36500000-29674000)+45137822.62+6050+1224752-95530-50000+5596)+835955.14+133640+257600+353974+405200+600000+150000+120000+150000-11725+1000000)-39440527.66+28196+289630+108000-14319+391210+6400+252942+100000+130000+38016+28312+150000+82720+24382+4000)-28100000+340000+89488-3880+3080+253960+24390-252942-41000-286434.62-12997500-6019198.76-1900000+6000000)+2150000-100000+60000</f>
        <v>473029875.72000003</v>
      </c>
      <c r="G52" s="453">
        <f>(((238511902+82000000-36500000)+23163291.62)-39440527.66)-16500000</f>
        <v>251234665.96000001</v>
      </c>
      <c r="H52" s="453">
        <f>((45443420+1405040+21980904+4836961+2727144)+340000)+2150000</f>
        <v>78883469</v>
      </c>
      <c r="I52" s="453"/>
      <c r="J52" s="324">
        <f t="shared" si="30"/>
        <v>105068123.12</v>
      </c>
      <c r="K52" s="453">
        <f>(((((500000+500000+500000+483297.98+449851.94+260000+1158336+669262+663111+879754+412299+5700000+1750000+3800000)+873801.16-100000-500000-483297.98+1249446.24+95530+50000)+236960-353974+1000000+1371885.29+900000+11725+400000+69420+1500000)+14319-141525.5-500000+108790+594900+300000+78800+7840+51768)+2134+372050.04+361526.8-24390+252942+26800+97150+99880+25218+198000-9741-395334.74)+269577.52+567966+15300+25218+999307.37</f>
        <v>27445903.120000001</v>
      </c>
      <c r="L52" s="453">
        <f>((76269610)+42800+11040-238120-4000-200000+354442+5000+2198+25240)-211238</f>
        <v>76056972</v>
      </c>
      <c r="M52" s="453">
        <f>((24386640)+42800)-122597</f>
        <v>24306843</v>
      </c>
      <c r="N52" s="453">
        <f>(1771070)+48500-6000+14350</f>
        <v>1827920</v>
      </c>
      <c r="O52" s="450">
        <f>((K52+1352610)+7400-6000)+211238</f>
        <v>29011151.120000001</v>
      </c>
      <c r="P52" s="324">
        <f t="shared" si="31"/>
        <v>578097998.84000003</v>
      </c>
      <c r="Q52" s="141"/>
      <c r="R52" s="26"/>
      <c r="T52" s="38"/>
    </row>
    <row r="53" spans="1:20" ht="138.75" thickTop="1" thickBot="1" x14ac:dyDescent="0.25">
      <c r="A53" s="101" t="s">
        <v>648</v>
      </c>
      <c r="B53" s="101" t="s">
        <v>649</v>
      </c>
      <c r="C53" s="101" t="s">
        <v>207</v>
      </c>
      <c r="D53" s="101" t="s">
        <v>1258</v>
      </c>
      <c r="E53" s="324">
        <f t="shared" si="39"/>
        <v>29318388</v>
      </c>
      <c r="F53" s="453">
        <f>((((28544020+292110+8100+1142200+237500+2100+1338370+19817+268500+10435+41600+5920+200000+10000+10660)+103949)+5370+900)-2850000+3500-78063)+1400</f>
        <v>29318388</v>
      </c>
      <c r="G53" s="453">
        <f>(23779110)-2500000</f>
        <v>21279110</v>
      </c>
      <c r="H53" s="453">
        <f>(1338370+19817+268500+10435)+3500</f>
        <v>1640622</v>
      </c>
      <c r="I53" s="453"/>
      <c r="J53" s="324">
        <f t="shared" si="30"/>
        <v>270016</v>
      </c>
      <c r="K53" s="453">
        <f>((0)+100000)-2134</f>
        <v>97866</v>
      </c>
      <c r="L53" s="453">
        <v>172150</v>
      </c>
      <c r="M53" s="453"/>
      <c r="N53" s="453">
        <v>80550</v>
      </c>
      <c r="O53" s="450">
        <f>K53</f>
        <v>97866</v>
      </c>
      <c r="P53" s="324">
        <f t="shared" si="31"/>
        <v>29588404</v>
      </c>
      <c r="Q53" s="20"/>
      <c r="R53" s="27"/>
    </row>
    <row r="54" spans="1:20" ht="93" thickTop="1" thickBot="1" x14ac:dyDescent="0.25">
      <c r="A54" s="101" t="s">
        <v>989</v>
      </c>
      <c r="B54" s="101" t="s">
        <v>990</v>
      </c>
      <c r="C54" s="101" t="s">
        <v>207</v>
      </c>
      <c r="D54" s="101" t="s">
        <v>1259</v>
      </c>
      <c r="E54" s="324">
        <f t="shared" ref="E54" si="40">F54</f>
        <v>18779291</v>
      </c>
      <c r="F54" s="453">
        <f>((((8569752+424160+12728+6393800+359900+300000+2400640+93745+970870+18800+9450+2960+200000+5000+35000)+751686)+50000+50000)+10000+800)-1880000</f>
        <v>18779291</v>
      </c>
      <c r="G54" s="453">
        <v>7125739</v>
      </c>
      <c r="H54" s="453">
        <f>(2400640+93745+970870+18800)+10000</f>
        <v>3494055</v>
      </c>
      <c r="I54" s="453"/>
      <c r="J54" s="324">
        <f t="shared" ref="J54" si="41">L54+O54</f>
        <v>750000</v>
      </c>
      <c r="K54" s="453">
        <f>300000+250000+200000</f>
        <v>750000</v>
      </c>
      <c r="L54" s="453"/>
      <c r="M54" s="453"/>
      <c r="N54" s="453"/>
      <c r="O54" s="450">
        <f>K54</f>
        <v>750000</v>
      </c>
      <c r="P54" s="324">
        <f t="shared" ref="P54" si="42">E54+J54</f>
        <v>19529291</v>
      </c>
      <c r="Q54" s="20"/>
      <c r="R54" s="27"/>
    </row>
    <row r="55" spans="1:20" ht="48" thickTop="1" thickBot="1" x14ac:dyDescent="0.25">
      <c r="A55" s="325" t="s">
        <v>497</v>
      </c>
      <c r="B55" s="325" t="s">
        <v>205</v>
      </c>
      <c r="C55" s="325"/>
      <c r="D55" s="325" t="s">
        <v>654</v>
      </c>
      <c r="E55" s="321">
        <f>SUM(E56:E57)</f>
        <v>736020903</v>
      </c>
      <c r="F55" s="321">
        <f>SUM(F56:F57)</f>
        <v>736020903</v>
      </c>
      <c r="G55" s="321">
        <f>SUM(G56:G57)</f>
        <v>598322650</v>
      </c>
      <c r="H55" s="321">
        <f>SUM(H56:H57)</f>
        <v>0</v>
      </c>
      <c r="I55" s="321">
        <f>SUM(I56:I57)</f>
        <v>0</v>
      </c>
      <c r="J55" s="321">
        <f t="shared" ref="J55:P55" si="43">SUM(J56:J57)</f>
        <v>0</v>
      </c>
      <c r="K55" s="321">
        <f t="shared" si="43"/>
        <v>0</v>
      </c>
      <c r="L55" s="321">
        <f t="shared" si="43"/>
        <v>0</v>
      </c>
      <c r="M55" s="321">
        <f t="shared" si="43"/>
        <v>0</v>
      </c>
      <c r="N55" s="321">
        <f t="shared" si="43"/>
        <v>0</v>
      </c>
      <c r="O55" s="321">
        <f t="shared" si="43"/>
        <v>0</v>
      </c>
      <c r="P55" s="321">
        <f t="shared" si="43"/>
        <v>736020903</v>
      </c>
      <c r="Q55" s="20"/>
      <c r="R55" s="35"/>
    </row>
    <row r="56" spans="1:20" ht="93" thickTop="1" thickBot="1" x14ac:dyDescent="0.25">
      <c r="A56" s="101" t="s">
        <v>655</v>
      </c>
      <c r="B56" s="101" t="s">
        <v>656</v>
      </c>
      <c r="C56" s="101" t="s">
        <v>204</v>
      </c>
      <c r="D56" s="101" t="s">
        <v>1260</v>
      </c>
      <c r="E56" s="324">
        <f t="shared" ref="E56:E57" si="44">F56</f>
        <v>726545553</v>
      </c>
      <c r="F56" s="453">
        <f>((723235253)+3259400)+50900</f>
        <v>726545553</v>
      </c>
      <c r="G56" s="453">
        <f>((587733920)+2660700)+23000</f>
        <v>590417620</v>
      </c>
      <c r="H56" s="453"/>
      <c r="I56" s="453"/>
      <c r="J56" s="324">
        <f t="shared" ref="J56:J57" si="45">L56+O56</f>
        <v>0</v>
      </c>
      <c r="K56" s="453"/>
      <c r="L56" s="453"/>
      <c r="M56" s="453"/>
      <c r="N56" s="453"/>
      <c r="O56" s="450">
        <f>K56</f>
        <v>0</v>
      </c>
      <c r="P56" s="324">
        <f t="shared" ref="P56:P59" si="46">E56+J56</f>
        <v>726545553</v>
      </c>
      <c r="Q56" s="20"/>
      <c r="R56" s="30"/>
    </row>
    <row r="57" spans="1:20" ht="93" thickTop="1" thickBot="1" x14ac:dyDescent="0.25">
      <c r="A57" s="101" t="s">
        <v>1112</v>
      </c>
      <c r="B57" s="339" t="s">
        <v>1113</v>
      </c>
      <c r="C57" s="101" t="s">
        <v>207</v>
      </c>
      <c r="D57" s="101" t="s">
        <v>1261</v>
      </c>
      <c r="E57" s="324">
        <f t="shared" si="44"/>
        <v>9475350</v>
      </c>
      <c r="F57" s="538">
        <f>((10990650)-1464400)-50900</f>
        <v>9475350</v>
      </c>
      <c r="G57" s="538">
        <f>((9008730)-1080700)-23000</f>
        <v>7905030</v>
      </c>
      <c r="H57" s="538"/>
      <c r="I57" s="538"/>
      <c r="J57" s="324">
        <f t="shared" si="45"/>
        <v>0</v>
      </c>
      <c r="K57" s="538"/>
      <c r="L57" s="538"/>
      <c r="M57" s="538"/>
      <c r="N57" s="538"/>
      <c r="O57" s="539"/>
      <c r="P57" s="324">
        <f t="shared" si="46"/>
        <v>9475350</v>
      </c>
      <c r="Q57" s="20"/>
      <c r="R57" s="30"/>
    </row>
    <row r="58" spans="1:20" ht="276" thickTop="1" thickBot="1" x14ac:dyDescent="0.25">
      <c r="A58" s="550" t="s">
        <v>925</v>
      </c>
      <c r="B58" s="550" t="s">
        <v>50</v>
      </c>
      <c r="C58" s="550"/>
      <c r="D58" s="634" t="s">
        <v>1538</v>
      </c>
      <c r="E58" s="635">
        <f t="shared" ref="E58:O58" si="47">E59</f>
        <v>128512.77</v>
      </c>
      <c r="F58" s="635">
        <f t="shared" si="47"/>
        <v>128512.77</v>
      </c>
      <c r="G58" s="635">
        <f t="shared" si="47"/>
        <v>105342.77</v>
      </c>
      <c r="H58" s="635">
        <f t="shared" si="47"/>
        <v>0</v>
      </c>
      <c r="I58" s="635">
        <f t="shared" si="47"/>
        <v>0</v>
      </c>
      <c r="J58" s="635">
        <f t="shared" si="47"/>
        <v>0</v>
      </c>
      <c r="K58" s="635">
        <f t="shared" si="47"/>
        <v>0</v>
      </c>
      <c r="L58" s="635">
        <f t="shared" si="47"/>
        <v>0</v>
      </c>
      <c r="M58" s="635">
        <f t="shared" si="47"/>
        <v>0</v>
      </c>
      <c r="N58" s="635">
        <f t="shared" si="47"/>
        <v>0</v>
      </c>
      <c r="O58" s="635">
        <f t="shared" si="47"/>
        <v>0</v>
      </c>
      <c r="P58" s="635">
        <f>E58+J58</f>
        <v>128512.77</v>
      </c>
      <c r="Q58" s="20"/>
      <c r="R58" s="30"/>
    </row>
    <row r="59" spans="1:20" ht="310.7" customHeight="1" thickTop="1" thickBot="1" x14ac:dyDescent="0.25">
      <c r="A59" s="101" t="s">
        <v>926</v>
      </c>
      <c r="B59" s="101" t="s">
        <v>927</v>
      </c>
      <c r="C59" s="101" t="s">
        <v>204</v>
      </c>
      <c r="D59" s="101" t="s">
        <v>1539</v>
      </c>
      <c r="E59" s="324">
        <f t="shared" ref="E59" si="48">F59</f>
        <v>128512.77</v>
      </c>
      <c r="F59" s="453">
        <v>128512.77</v>
      </c>
      <c r="G59" s="453">
        <v>105342.77</v>
      </c>
      <c r="H59" s="453"/>
      <c r="I59" s="453"/>
      <c r="J59" s="324">
        <f t="shared" ref="J59" si="49">L59+O59</f>
        <v>0</v>
      </c>
      <c r="K59" s="453"/>
      <c r="L59" s="453"/>
      <c r="M59" s="453"/>
      <c r="N59" s="453"/>
      <c r="O59" s="450">
        <f>K59</f>
        <v>0</v>
      </c>
      <c r="P59" s="324">
        <f t="shared" si="46"/>
        <v>128512.77</v>
      </c>
      <c r="Q59" s="20"/>
      <c r="R59" s="26"/>
    </row>
    <row r="60" spans="1:20" ht="93" thickTop="1" thickBot="1" x14ac:dyDescent="0.25">
      <c r="A60" s="101" t="s">
        <v>657</v>
      </c>
      <c r="B60" s="101" t="s">
        <v>206</v>
      </c>
      <c r="C60" s="101" t="s">
        <v>181</v>
      </c>
      <c r="D60" s="101" t="s">
        <v>498</v>
      </c>
      <c r="E60" s="324">
        <f t="shared" si="39"/>
        <v>34679196</v>
      </c>
      <c r="F60" s="453">
        <f>(((33713454+543690+17600+529000+174450+2166040+44713+824782+82818+13383+5450+213660+320+50000)+487838+1486)-4020000+20000-89488)-100000</f>
        <v>34679196</v>
      </c>
      <c r="G60" s="453">
        <f>(27858536)-3400000</f>
        <v>24458536</v>
      </c>
      <c r="H60" s="453">
        <f>((2166040+44713+824782+82818+13383)+20000)-100000</f>
        <v>3051736</v>
      </c>
      <c r="I60" s="453"/>
      <c r="J60" s="324">
        <f t="shared" si="30"/>
        <v>3479494</v>
      </c>
      <c r="K60" s="453">
        <f>((0)+1000000+75834)+1300000</f>
        <v>2375834</v>
      </c>
      <c r="L60" s="453">
        <v>745660</v>
      </c>
      <c r="M60" s="453">
        <v>38710</v>
      </c>
      <c r="N60" s="453">
        <v>117220</v>
      </c>
      <c r="O60" s="450">
        <f>(K60+358000)</f>
        <v>2733834</v>
      </c>
      <c r="P60" s="324">
        <f t="shared" si="31"/>
        <v>38158690</v>
      </c>
      <c r="Q60" s="20"/>
      <c r="R60" s="26"/>
    </row>
    <row r="61" spans="1:20" ht="93" thickTop="1" thickBot="1" x14ac:dyDescent="0.25">
      <c r="A61" s="325" t="s">
        <v>208</v>
      </c>
      <c r="B61" s="325" t="s">
        <v>191</v>
      </c>
      <c r="C61" s="325"/>
      <c r="D61" s="325" t="s">
        <v>499</v>
      </c>
      <c r="E61" s="321">
        <f>E62+E63</f>
        <v>189991970.19999996</v>
      </c>
      <c r="F61" s="321">
        <f t="shared" ref="F61:O61" si="50">F62+F63</f>
        <v>189991970.19999996</v>
      </c>
      <c r="G61" s="321">
        <f t="shared" si="50"/>
        <v>103198899</v>
      </c>
      <c r="H61" s="321">
        <f t="shared" si="50"/>
        <v>22357750.870000005</v>
      </c>
      <c r="I61" s="321">
        <f t="shared" si="50"/>
        <v>0</v>
      </c>
      <c r="J61" s="321">
        <f t="shared" si="50"/>
        <v>37337989</v>
      </c>
      <c r="K61" s="321">
        <f t="shared" si="50"/>
        <v>2299929</v>
      </c>
      <c r="L61" s="321">
        <f t="shared" si="50"/>
        <v>34688060</v>
      </c>
      <c r="M61" s="321">
        <f t="shared" si="50"/>
        <v>11325870</v>
      </c>
      <c r="N61" s="321">
        <f t="shared" si="50"/>
        <v>11045700</v>
      </c>
      <c r="O61" s="321">
        <f t="shared" si="50"/>
        <v>2649929</v>
      </c>
      <c r="P61" s="321">
        <f t="shared" si="31"/>
        <v>227329959.19999996</v>
      </c>
      <c r="Q61" s="20"/>
      <c r="R61" s="35"/>
    </row>
    <row r="62" spans="1:20" ht="93" thickTop="1" thickBot="1" x14ac:dyDescent="0.25">
      <c r="A62" s="101" t="s">
        <v>658</v>
      </c>
      <c r="B62" s="101" t="s">
        <v>659</v>
      </c>
      <c r="C62" s="101" t="s">
        <v>209</v>
      </c>
      <c r="D62" s="101" t="s">
        <v>660</v>
      </c>
      <c r="E62" s="324">
        <f t="shared" si="39"/>
        <v>166056570.19999996</v>
      </c>
      <c r="F62" s="453">
        <f>(((166319425.51)+60257.19+27737.76)+107923+26316-729671.33+158722.33)+67575.79+18283.95</f>
        <v>166056570.19999996</v>
      </c>
      <c r="G62" s="453">
        <v>83514099</v>
      </c>
      <c r="H62" s="453">
        <f>(((22961117.51)+60257.19+27737.76)-729671.33)+67575.79-47550+18283.95</f>
        <v>22357750.870000005</v>
      </c>
      <c r="I62" s="453"/>
      <c r="J62" s="324">
        <f>L62+O62</f>
        <v>37337989</v>
      </c>
      <c r="K62" s="453">
        <f>(((300000)+320808+570949+391061)+35000)+682111</f>
        <v>2299929</v>
      </c>
      <c r="L62" s="453">
        <f>(34808060)-266000-58520+200000+22600-5000-13080-5000-2000+15000-8000</f>
        <v>34688060</v>
      </c>
      <c r="M62" s="453">
        <f>(11591870)-266000</f>
        <v>11325870</v>
      </c>
      <c r="N62" s="453">
        <f>(10739700)+120000+60000+120000+6000</f>
        <v>11045700</v>
      </c>
      <c r="O62" s="450">
        <f>(K62+230000)+120000</f>
        <v>2649929</v>
      </c>
      <c r="P62" s="324">
        <f t="shared" si="31"/>
        <v>203394559.19999996</v>
      </c>
      <c r="Q62" s="20"/>
      <c r="R62" s="26"/>
    </row>
    <row r="63" spans="1:20" ht="93" thickTop="1" thickBot="1" x14ac:dyDescent="0.25">
      <c r="A63" s="101" t="s">
        <v>662</v>
      </c>
      <c r="B63" s="101" t="s">
        <v>661</v>
      </c>
      <c r="C63" s="101" t="s">
        <v>209</v>
      </c>
      <c r="D63" s="101" t="s">
        <v>663</v>
      </c>
      <c r="E63" s="324">
        <f t="shared" ref="E63" si="51">F63</f>
        <v>23935400</v>
      </c>
      <c r="F63" s="453">
        <f>(25730400)-1795000</f>
        <v>23935400</v>
      </c>
      <c r="G63" s="453">
        <f>(21264800)-1580000</f>
        <v>19684800</v>
      </c>
      <c r="H63" s="453"/>
      <c r="I63" s="453"/>
      <c r="J63" s="324">
        <f>L63+O63</f>
        <v>0</v>
      </c>
      <c r="K63" s="453"/>
      <c r="L63" s="453"/>
      <c r="M63" s="453"/>
      <c r="N63" s="453"/>
      <c r="O63" s="450"/>
      <c r="P63" s="324">
        <f t="shared" ref="P63" si="52">E63+J63</f>
        <v>23935400</v>
      </c>
      <c r="Q63" s="20"/>
      <c r="R63" s="30"/>
    </row>
    <row r="64" spans="1:20" ht="48" thickTop="1" thickBot="1" x14ac:dyDescent="0.25">
      <c r="A64" s="325" t="s">
        <v>665</v>
      </c>
      <c r="B64" s="325" t="s">
        <v>664</v>
      </c>
      <c r="C64" s="325"/>
      <c r="D64" s="325" t="s">
        <v>666</v>
      </c>
      <c r="E64" s="321">
        <f>E65+E66</f>
        <v>28210334</v>
      </c>
      <c r="F64" s="321">
        <f t="shared" ref="F64:O64" si="53">F65+F66</f>
        <v>28210334</v>
      </c>
      <c r="G64" s="321">
        <f t="shared" si="53"/>
        <v>18564976</v>
      </c>
      <c r="H64" s="321">
        <f t="shared" si="53"/>
        <v>1523626</v>
      </c>
      <c r="I64" s="321">
        <f t="shared" si="53"/>
        <v>0</v>
      </c>
      <c r="J64" s="321">
        <f t="shared" si="53"/>
        <v>638596.13000000012</v>
      </c>
      <c r="K64" s="321">
        <f t="shared" si="53"/>
        <v>426756.13000000012</v>
      </c>
      <c r="L64" s="321">
        <f t="shared" si="53"/>
        <v>211840</v>
      </c>
      <c r="M64" s="321">
        <f t="shared" si="53"/>
        <v>0</v>
      </c>
      <c r="N64" s="321">
        <f t="shared" si="53"/>
        <v>0</v>
      </c>
      <c r="O64" s="321">
        <f t="shared" si="53"/>
        <v>426756.13000000012</v>
      </c>
      <c r="P64" s="321">
        <f>E64+J64</f>
        <v>28848930.129999999</v>
      </c>
      <c r="Q64" s="20"/>
      <c r="R64" s="35"/>
    </row>
    <row r="65" spans="1:18" ht="48" thickTop="1" thickBot="1" x14ac:dyDescent="0.25">
      <c r="A65" s="101" t="s">
        <v>667</v>
      </c>
      <c r="B65" s="101" t="s">
        <v>668</v>
      </c>
      <c r="C65" s="101" t="s">
        <v>210</v>
      </c>
      <c r="D65" s="101" t="s">
        <v>500</v>
      </c>
      <c r="E65" s="324">
        <f>F65</f>
        <v>27558034</v>
      </c>
      <c r="F65" s="453">
        <f>(((((19846132+754290+2035+1354150+1028432+15761+726715+19718+1550+100000)+2560000+98632+1042739)+55800)+18600+33570)+96480+70430)-267000</f>
        <v>27558034</v>
      </c>
      <c r="G65" s="453">
        <f>(16464976)+2100000</f>
        <v>18564976</v>
      </c>
      <c r="H65" s="453">
        <f>(1028432+15761+726715+19718)-267000</f>
        <v>1523626</v>
      </c>
      <c r="I65" s="453"/>
      <c r="J65" s="324">
        <f>L65+O65</f>
        <v>638596.13000000012</v>
      </c>
      <c r="K65" s="453">
        <f>(((300000)+1133704.59-993704.59)+126756.13)-140000</f>
        <v>426756.13000000012</v>
      </c>
      <c r="L65" s="453">
        <v>211840</v>
      </c>
      <c r="M65" s="453"/>
      <c r="N65" s="453"/>
      <c r="O65" s="450">
        <f>K65</f>
        <v>426756.13000000012</v>
      </c>
      <c r="P65" s="324">
        <f>E65+J65</f>
        <v>28196630.129999999</v>
      </c>
      <c r="Q65" s="20"/>
      <c r="R65" s="30"/>
    </row>
    <row r="66" spans="1:18" ht="48" thickTop="1" thickBot="1" x14ac:dyDescent="0.25">
      <c r="A66" s="101" t="s">
        <v>669</v>
      </c>
      <c r="B66" s="101" t="s">
        <v>670</v>
      </c>
      <c r="C66" s="101" t="s">
        <v>210</v>
      </c>
      <c r="D66" s="101" t="s">
        <v>337</v>
      </c>
      <c r="E66" s="324">
        <f>F66</f>
        <v>652300</v>
      </c>
      <c r="F66" s="453">
        <f>(534300)+118000</f>
        <v>652300</v>
      </c>
      <c r="G66" s="453"/>
      <c r="H66" s="453"/>
      <c r="I66" s="453"/>
      <c r="J66" s="324">
        <f>L66+O66</f>
        <v>0</v>
      </c>
      <c r="K66" s="453"/>
      <c r="L66" s="453"/>
      <c r="M66" s="453"/>
      <c r="N66" s="453"/>
      <c r="O66" s="450">
        <f>K66</f>
        <v>0</v>
      </c>
      <c r="P66" s="324">
        <f>E66+J66</f>
        <v>652300</v>
      </c>
      <c r="Q66" s="20"/>
      <c r="R66" s="30"/>
    </row>
    <row r="67" spans="1:18" ht="48" thickTop="1" thickBot="1" x14ac:dyDescent="0.25">
      <c r="A67" s="325" t="s">
        <v>671</v>
      </c>
      <c r="B67" s="325" t="s">
        <v>672</v>
      </c>
      <c r="C67" s="325"/>
      <c r="D67" s="325" t="s">
        <v>428</v>
      </c>
      <c r="E67" s="321">
        <f>E68+E69</f>
        <v>6293123</v>
      </c>
      <c r="F67" s="321">
        <f>F68+F69</f>
        <v>6293123</v>
      </c>
      <c r="G67" s="321">
        <f t="shared" ref="G67:O67" si="54">G68+G69</f>
        <v>4638770</v>
      </c>
      <c r="H67" s="321">
        <f t="shared" si="54"/>
        <v>373442</v>
      </c>
      <c r="I67" s="321">
        <f t="shared" si="54"/>
        <v>0</v>
      </c>
      <c r="J67" s="321">
        <f t="shared" si="54"/>
        <v>21119</v>
      </c>
      <c r="K67" s="321">
        <f t="shared" si="54"/>
        <v>21119</v>
      </c>
      <c r="L67" s="321">
        <f t="shared" si="54"/>
        <v>0</v>
      </c>
      <c r="M67" s="321">
        <f t="shared" si="54"/>
        <v>0</v>
      </c>
      <c r="N67" s="321">
        <f t="shared" si="54"/>
        <v>0</v>
      </c>
      <c r="O67" s="321">
        <f t="shared" si="54"/>
        <v>21119</v>
      </c>
      <c r="P67" s="321">
        <f>E67+J67</f>
        <v>6314242</v>
      </c>
      <c r="Q67" s="20"/>
      <c r="R67" s="35"/>
    </row>
    <row r="68" spans="1:18" ht="93" thickTop="1" thickBot="1" x14ac:dyDescent="0.25">
      <c r="A68" s="101" t="s">
        <v>673</v>
      </c>
      <c r="B68" s="101" t="s">
        <v>674</v>
      </c>
      <c r="C68" s="101" t="s">
        <v>210</v>
      </c>
      <c r="D68" s="101" t="s">
        <v>675</v>
      </c>
      <c r="E68" s="324">
        <f>F68</f>
        <v>1365823</v>
      </c>
      <c r="F68" s="453">
        <f>(((694997+184000+3254+67900+5480+126800+3835+24307+2000+1550)+216000)+26000+500)+9200</f>
        <v>1365823</v>
      </c>
      <c r="G68" s="453">
        <f>((573200)+21400)+5400</f>
        <v>600000</v>
      </c>
      <c r="H68" s="453">
        <f>((126800+3835+24307+2000)+216000)+500</f>
        <v>373442</v>
      </c>
      <c r="I68" s="453"/>
      <c r="J68" s="324">
        <f>L68+O68</f>
        <v>21119</v>
      </c>
      <c r="K68" s="453">
        <f>(0)+21119</f>
        <v>21119</v>
      </c>
      <c r="L68" s="453"/>
      <c r="M68" s="453"/>
      <c r="N68" s="453"/>
      <c r="O68" s="450">
        <f>K68</f>
        <v>21119</v>
      </c>
      <c r="P68" s="324">
        <f>E68+J68</f>
        <v>1386942</v>
      </c>
      <c r="Q68" s="20"/>
      <c r="R68" s="26"/>
    </row>
    <row r="69" spans="1:18" ht="93" thickTop="1" thickBot="1" x14ac:dyDescent="0.25">
      <c r="A69" s="101" t="s">
        <v>676</v>
      </c>
      <c r="B69" s="101" t="s">
        <v>677</v>
      </c>
      <c r="C69" s="101" t="s">
        <v>210</v>
      </c>
      <c r="D69" s="101" t="s">
        <v>678</v>
      </c>
      <c r="E69" s="324">
        <f>F69</f>
        <v>4927300</v>
      </c>
      <c r="F69" s="453">
        <f>4927300</f>
        <v>4927300</v>
      </c>
      <c r="G69" s="453">
        <v>4038770</v>
      </c>
      <c r="H69" s="453"/>
      <c r="I69" s="453"/>
      <c r="J69" s="324">
        <f t="shared" ref="J69" si="55">L69+O69</f>
        <v>0</v>
      </c>
      <c r="K69" s="453"/>
      <c r="L69" s="453"/>
      <c r="M69" s="453"/>
      <c r="N69" s="453"/>
      <c r="O69" s="450">
        <f t="shared" ref="O69" si="56">K69</f>
        <v>0</v>
      </c>
      <c r="P69" s="324">
        <f t="shared" ref="P69" si="57">E69+J69</f>
        <v>4927300</v>
      </c>
      <c r="Q69" s="20"/>
      <c r="R69" s="30"/>
    </row>
    <row r="70" spans="1:18" ht="93" thickTop="1" thickBot="1" x14ac:dyDescent="0.25">
      <c r="A70" s="101" t="s">
        <v>645</v>
      </c>
      <c r="B70" s="101" t="s">
        <v>646</v>
      </c>
      <c r="C70" s="101" t="s">
        <v>210</v>
      </c>
      <c r="D70" s="101" t="s">
        <v>647</v>
      </c>
      <c r="E70" s="324">
        <f t="shared" ref="E70" si="58">F70</f>
        <v>3159813</v>
      </c>
      <c r="F70" s="453">
        <f>((3648277+246000+47200+10970+37890+5200+24476+800+400)-900000+2500)+36100</f>
        <v>3159813</v>
      </c>
      <c r="G70" s="453">
        <f>((2990391)-750000)+36100</f>
        <v>2276491</v>
      </c>
      <c r="H70" s="453">
        <f>(37890+5200+24476+800)+2500</f>
        <v>70866</v>
      </c>
      <c r="I70" s="453"/>
      <c r="J70" s="324">
        <f t="shared" ref="J70" si="59">L70+O70</f>
        <v>0</v>
      </c>
      <c r="K70" s="453"/>
      <c r="L70" s="453"/>
      <c r="M70" s="453"/>
      <c r="N70" s="453"/>
      <c r="O70" s="450">
        <f t="shared" ref="O70" si="60">K70</f>
        <v>0</v>
      </c>
      <c r="P70" s="324">
        <f t="shared" ref="P70" si="61">E70+J70</f>
        <v>3159813</v>
      </c>
      <c r="Q70" s="20"/>
      <c r="R70" s="26"/>
    </row>
    <row r="71" spans="1:18" s="33" customFormat="1" ht="93" thickTop="1" thickBot="1" x14ac:dyDescent="0.25">
      <c r="A71" s="325" t="s">
        <v>650</v>
      </c>
      <c r="B71" s="325" t="s">
        <v>651</v>
      </c>
      <c r="C71" s="325"/>
      <c r="D71" s="325" t="s">
        <v>1610</v>
      </c>
      <c r="E71" s="321">
        <f t="shared" ref="E71:E92" si="62">F71</f>
        <v>0</v>
      </c>
      <c r="F71" s="321">
        <f>SUM(F72:F73)</f>
        <v>0</v>
      </c>
      <c r="G71" s="321">
        <f t="shared" ref="G71:I71" si="63">SUM(G72:G73)</f>
        <v>0</v>
      </c>
      <c r="H71" s="321">
        <f t="shared" si="63"/>
        <v>0</v>
      </c>
      <c r="I71" s="321">
        <f t="shared" si="63"/>
        <v>0</v>
      </c>
      <c r="J71" s="321">
        <f t="shared" si="30"/>
        <v>14698938</v>
      </c>
      <c r="K71" s="321">
        <f>SUM(K72:K73)</f>
        <v>14698938</v>
      </c>
      <c r="L71" s="321">
        <f t="shared" ref="L71:N71" si="64">SUM(L72:L73)</f>
        <v>0</v>
      </c>
      <c r="M71" s="321">
        <f t="shared" si="64"/>
        <v>0</v>
      </c>
      <c r="N71" s="321">
        <f t="shared" si="64"/>
        <v>0</v>
      </c>
      <c r="O71" s="321">
        <f>SUM(O72:O73)</f>
        <v>14698938</v>
      </c>
      <c r="P71" s="321">
        <f t="shared" ref="P71:P73" si="65">E71+J71</f>
        <v>14698938</v>
      </c>
      <c r="Q71" s="36"/>
      <c r="R71" s="37"/>
    </row>
    <row r="72" spans="1:18" s="33" customFormat="1" ht="180.75" customHeight="1" thickTop="1" thickBot="1" x14ac:dyDescent="0.25">
      <c r="A72" s="101" t="s">
        <v>652</v>
      </c>
      <c r="B72" s="101" t="s">
        <v>653</v>
      </c>
      <c r="C72" s="101" t="s">
        <v>210</v>
      </c>
      <c r="D72" s="101" t="s">
        <v>1611</v>
      </c>
      <c r="E72" s="324">
        <f t="shared" si="62"/>
        <v>0</v>
      </c>
      <c r="F72" s="453"/>
      <c r="G72" s="453"/>
      <c r="H72" s="453"/>
      <c r="I72" s="453"/>
      <c r="J72" s="324">
        <f t="shared" si="30"/>
        <v>4409682</v>
      </c>
      <c r="K72" s="453">
        <v>4409682</v>
      </c>
      <c r="L72" s="453"/>
      <c r="M72" s="453"/>
      <c r="N72" s="453"/>
      <c r="O72" s="450">
        <f t="shared" ref="O72:O73" si="66">K72</f>
        <v>4409682</v>
      </c>
      <c r="P72" s="324">
        <f t="shared" si="65"/>
        <v>4409682</v>
      </c>
      <c r="Q72" s="36"/>
      <c r="R72" s="26"/>
    </row>
    <row r="73" spans="1:18" s="33" customFormat="1" ht="171.75" customHeight="1" thickTop="1" thickBot="1" x14ac:dyDescent="0.25">
      <c r="A73" s="101" t="s">
        <v>974</v>
      </c>
      <c r="B73" s="101" t="s">
        <v>975</v>
      </c>
      <c r="C73" s="101" t="s">
        <v>210</v>
      </c>
      <c r="D73" s="101" t="s">
        <v>1612</v>
      </c>
      <c r="E73" s="324">
        <f t="shared" si="62"/>
        <v>0</v>
      </c>
      <c r="F73" s="453"/>
      <c r="G73" s="453"/>
      <c r="H73" s="453"/>
      <c r="I73" s="453"/>
      <c r="J73" s="324">
        <f t="shared" si="30"/>
        <v>10289256</v>
      </c>
      <c r="K73" s="453">
        <f>(8348168+1367732+573356)</f>
        <v>10289256</v>
      </c>
      <c r="L73" s="453"/>
      <c r="M73" s="453"/>
      <c r="N73" s="453"/>
      <c r="O73" s="450">
        <f t="shared" si="66"/>
        <v>10289256</v>
      </c>
      <c r="P73" s="324">
        <f t="shared" si="65"/>
        <v>10289256</v>
      </c>
      <c r="Q73" s="36"/>
      <c r="R73" s="26"/>
    </row>
    <row r="74" spans="1:18" s="33" customFormat="1" ht="138.75" thickTop="1" thickBot="1" x14ac:dyDescent="0.25">
      <c r="A74" s="101" t="s">
        <v>642</v>
      </c>
      <c r="B74" s="101" t="s">
        <v>643</v>
      </c>
      <c r="C74" s="101" t="s">
        <v>210</v>
      </c>
      <c r="D74" s="101" t="s">
        <v>644</v>
      </c>
      <c r="E74" s="324">
        <f t="shared" si="62"/>
        <v>7005709</v>
      </c>
      <c r="F74" s="453">
        <f>(3668858)+3336851</f>
        <v>7005709</v>
      </c>
      <c r="G74" s="453">
        <f>(3007261)+2738110</f>
        <v>5745371</v>
      </c>
      <c r="H74" s="453"/>
      <c r="I74" s="453"/>
      <c r="J74" s="324">
        <f t="shared" ref="J74" si="67">L74+O74</f>
        <v>0</v>
      </c>
      <c r="K74" s="453"/>
      <c r="L74" s="453"/>
      <c r="M74" s="453"/>
      <c r="N74" s="453"/>
      <c r="O74" s="450">
        <f t="shared" ref="O74" si="68">K74</f>
        <v>0</v>
      </c>
      <c r="P74" s="324">
        <f t="shared" ref="P74" si="69">E74+J74</f>
        <v>7005709</v>
      </c>
      <c r="Q74" s="36"/>
      <c r="R74" s="26"/>
    </row>
    <row r="75" spans="1:18" s="33" customFormat="1" ht="160.5" customHeight="1" thickTop="1" thickBot="1" x14ac:dyDescent="0.25">
      <c r="A75" s="101" t="s">
        <v>936</v>
      </c>
      <c r="B75" s="101" t="s">
        <v>937</v>
      </c>
      <c r="C75" s="101" t="s">
        <v>210</v>
      </c>
      <c r="D75" s="101" t="s">
        <v>1427</v>
      </c>
      <c r="E75" s="324">
        <f t="shared" ref="E75" si="70">F75</f>
        <v>532739</v>
      </c>
      <c r="F75" s="453">
        <v>532739</v>
      </c>
      <c r="G75" s="453">
        <v>436671</v>
      </c>
      <c r="H75" s="453"/>
      <c r="I75" s="453"/>
      <c r="J75" s="324">
        <f t="shared" ref="J75" si="71">L75+O75</f>
        <v>0</v>
      </c>
      <c r="K75" s="453">
        <v>0</v>
      </c>
      <c r="L75" s="453"/>
      <c r="M75" s="453"/>
      <c r="N75" s="453"/>
      <c r="O75" s="450">
        <f t="shared" ref="O75" si="72">K75</f>
        <v>0</v>
      </c>
      <c r="P75" s="324">
        <f t="shared" ref="P75" si="73">E75+J75</f>
        <v>532739</v>
      </c>
      <c r="Q75" s="36"/>
      <c r="R75" s="26"/>
    </row>
    <row r="76" spans="1:18" s="33" customFormat="1" ht="93" thickTop="1" thickBot="1" x14ac:dyDescent="0.25">
      <c r="A76" s="325" t="s">
        <v>991</v>
      </c>
      <c r="B76" s="325" t="s">
        <v>993</v>
      </c>
      <c r="C76" s="325"/>
      <c r="D76" s="325" t="s">
        <v>1419</v>
      </c>
      <c r="E76" s="321">
        <f>F76</f>
        <v>0</v>
      </c>
      <c r="F76" s="321">
        <f>SUM(F77:F78)</f>
        <v>0</v>
      </c>
      <c r="G76" s="321">
        <f>SUM(G77:G78)</f>
        <v>0</v>
      </c>
      <c r="H76" s="321">
        <f>SUM(H77:H78)</f>
        <v>0</v>
      </c>
      <c r="I76" s="321">
        <f>SUM(I77:I78)</f>
        <v>0</v>
      </c>
      <c r="J76" s="321">
        <f>L76+O76</f>
        <v>14416500</v>
      </c>
      <c r="K76" s="321">
        <f>SUM(K77:K78)</f>
        <v>14416500</v>
      </c>
      <c r="L76" s="321">
        <f>SUM(L77:L78)</f>
        <v>0</v>
      </c>
      <c r="M76" s="321">
        <f>SUM(M77:M78)</f>
        <v>0</v>
      </c>
      <c r="N76" s="321">
        <f>SUM(N77:N78)</f>
        <v>0</v>
      </c>
      <c r="O76" s="321">
        <f>SUM(O77:O78)</f>
        <v>14416500</v>
      </c>
      <c r="P76" s="321">
        <f>E76+J76</f>
        <v>14416500</v>
      </c>
      <c r="Q76" s="36"/>
      <c r="R76" s="26"/>
    </row>
    <row r="77" spans="1:18" s="33" customFormat="1" ht="189" customHeight="1" thickTop="1" thickBot="1" x14ac:dyDescent="0.25">
      <c r="A77" s="101" t="s">
        <v>992</v>
      </c>
      <c r="B77" s="101" t="s">
        <v>994</v>
      </c>
      <c r="C77" s="101" t="s">
        <v>210</v>
      </c>
      <c r="D77" s="101" t="s">
        <v>1233</v>
      </c>
      <c r="E77" s="324">
        <f>F77</f>
        <v>0</v>
      </c>
      <c r="F77" s="453"/>
      <c r="G77" s="453"/>
      <c r="H77" s="453"/>
      <c r="I77" s="453"/>
      <c r="J77" s="324">
        <f t="shared" ref="J77:J78" si="74">L77+O77</f>
        <v>5766600</v>
      </c>
      <c r="K77" s="453">
        <v>5766600</v>
      </c>
      <c r="L77" s="453"/>
      <c r="M77" s="453"/>
      <c r="N77" s="453"/>
      <c r="O77" s="450">
        <f t="shared" ref="O77:O78" si="75">K77</f>
        <v>5766600</v>
      </c>
      <c r="P77" s="324">
        <f>E77+J77</f>
        <v>5766600</v>
      </c>
      <c r="Q77" s="36"/>
      <c r="R77" s="26"/>
    </row>
    <row r="78" spans="1:18" s="33" customFormat="1" ht="176.25" customHeight="1" thickTop="1" thickBot="1" x14ac:dyDescent="0.25">
      <c r="A78" s="101" t="s">
        <v>1032</v>
      </c>
      <c r="B78" s="101" t="s">
        <v>1033</v>
      </c>
      <c r="C78" s="101" t="s">
        <v>210</v>
      </c>
      <c r="D78" s="101" t="s">
        <v>1564</v>
      </c>
      <c r="E78" s="324">
        <f>F78</f>
        <v>0</v>
      </c>
      <c r="F78" s="453">
        <f>(553900)-553900</f>
        <v>0</v>
      </c>
      <c r="G78" s="453"/>
      <c r="H78" s="453"/>
      <c r="I78" s="453"/>
      <c r="J78" s="324">
        <f t="shared" si="74"/>
        <v>8649900</v>
      </c>
      <c r="K78" s="453">
        <v>8649900</v>
      </c>
      <c r="L78" s="453"/>
      <c r="M78" s="453"/>
      <c r="N78" s="453"/>
      <c r="O78" s="450">
        <f t="shared" si="75"/>
        <v>8649900</v>
      </c>
      <c r="P78" s="324">
        <f>E78+J78</f>
        <v>8649900</v>
      </c>
      <c r="Q78" s="36"/>
      <c r="R78" s="26"/>
    </row>
    <row r="79" spans="1:18" s="33" customFormat="1" ht="114.75" customHeight="1" thickTop="1" thickBot="1" x14ac:dyDescent="0.25">
      <c r="A79" s="325" t="s">
        <v>1371</v>
      </c>
      <c r="B79" s="325" t="s">
        <v>1372</v>
      </c>
      <c r="C79" s="325"/>
      <c r="D79" s="325" t="s">
        <v>1527</v>
      </c>
      <c r="E79" s="321">
        <f>SUM(E80:E81)</f>
        <v>0</v>
      </c>
      <c r="F79" s="321">
        <f t="shared" ref="F79:P79" si="76">SUM(F80:F81)</f>
        <v>0</v>
      </c>
      <c r="G79" s="321">
        <f t="shared" si="76"/>
        <v>0</v>
      </c>
      <c r="H79" s="321">
        <f t="shared" si="76"/>
        <v>0</v>
      </c>
      <c r="I79" s="321">
        <f t="shared" si="76"/>
        <v>0</v>
      </c>
      <c r="J79" s="321">
        <f t="shared" si="76"/>
        <v>19000000</v>
      </c>
      <c r="K79" s="321">
        <f t="shared" si="76"/>
        <v>19000000</v>
      </c>
      <c r="L79" s="321">
        <f t="shared" si="76"/>
        <v>0</v>
      </c>
      <c r="M79" s="321">
        <f t="shared" si="76"/>
        <v>0</v>
      </c>
      <c r="N79" s="321">
        <f t="shared" si="76"/>
        <v>0</v>
      </c>
      <c r="O79" s="321">
        <f t="shared" si="76"/>
        <v>19000000</v>
      </c>
      <c r="P79" s="321">
        <f t="shared" si="76"/>
        <v>19000000</v>
      </c>
      <c r="Q79" s="36"/>
      <c r="R79" s="26"/>
    </row>
    <row r="80" spans="1:18" s="33" customFormat="1" ht="163.5" customHeight="1" thickTop="1" thickBot="1" x14ac:dyDescent="0.25">
      <c r="A80" s="101" t="s">
        <v>1373</v>
      </c>
      <c r="B80" s="101" t="s">
        <v>1374</v>
      </c>
      <c r="C80" s="101" t="s">
        <v>210</v>
      </c>
      <c r="D80" s="101" t="s">
        <v>1528</v>
      </c>
      <c r="E80" s="324">
        <f>F80</f>
        <v>0</v>
      </c>
      <c r="F80" s="453"/>
      <c r="G80" s="453"/>
      <c r="H80" s="453"/>
      <c r="I80" s="453"/>
      <c r="J80" s="324">
        <f t="shared" ref="J80:J81" si="77">L80+O80</f>
        <v>19000000</v>
      </c>
      <c r="K80" s="453">
        <f>((((5000000)+10000000)+12000000)-10000000)+2000000</f>
        <v>19000000</v>
      </c>
      <c r="L80" s="453"/>
      <c r="M80" s="453"/>
      <c r="N80" s="453"/>
      <c r="O80" s="450">
        <f t="shared" ref="O80:O81" si="78">K80</f>
        <v>19000000</v>
      </c>
      <c r="P80" s="324">
        <f>E80+J80</f>
        <v>19000000</v>
      </c>
      <c r="Q80" s="36"/>
      <c r="R80" s="26"/>
    </row>
    <row r="81" spans="1:18" s="33" customFormat="1" ht="138.75" hidden="1" thickTop="1" thickBot="1" x14ac:dyDescent="0.25">
      <c r="A81" s="126" t="s">
        <v>1375</v>
      </c>
      <c r="B81" s="126" t="s">
        <v>1376</v>
      </c>
      <c r="C81" s="126" t="s">
        <v>210</v>
      </c>
      <c r="D81" s="126" t="s">
        <v>1377</v>
      </c>
      <c r="E81" s="125">
        <f>F81</f>
        <v>0</v>
      </c>
      <c r="F81" s="132"/>
      <c r="G81" s="132"/>
      <c r="H81" s="132"/>
      <c r="I81" s="132"/>
      <c r="J81" s="125">
        <f t="shared" si="77"/>
        <v>0</v>
      </c>
      <c r="K81" s="132"/>
      <c r="L81" s="132"/>
      <c r="M81" s="132"/>
      <c r="N81" s="132"/>
      <c r="O81" s="130">
        <f t="shared" si="78"/>
        <v>0</v>
      </c>
      <c r="P81" s="125">
        <f>E81+J81</f>
        <v>0</v>
      </c>
      <c r="Q81" s="36"/>
      <c r="R81" s="26"/>
    </row>
    <row r="82" spans="1:18" s="33" customFormat="1" ht="138.75" hidden="1" thickTop="1" thickBot="1" x14ac:dyDescent="0.25">
      <c r="A82" s="138" t="s">
        <v>1440</v>
      </c>
      <c r="B82" s="138" t="s">
        <v>1439</v>
      </c>
      <c r="C82" s="138"/>
      <c r="D82" s="138" t="s">
        <v>1441</v>
      </c>
      <c r="E82" s="139">
        <f>SUM(E83:E84)</f>
        <v>0</v>
      </c>
      <c r="F82" s="139">
        <f t="shared" ref="F82:O82" si="79">SUM(F83:F84)</f>
        <v>0</v>
      </c>
      <c r="G82" s="139">
        <f t="shared" si="79"/>
        <v>0</v>
      </c>
      <c r="H82" s="139">
        <f t="shared" si="79"/>
        <v>0</v>
      </c>
      <c r="I82" s="139">
        <f t="shared" si="79"/>
        <v>0</v>
      </c>
      <c r="J82" s="139">
        <f t="shared" si="79"/>
        <v>0</v>
      </c>
      <c r="K82" s="139">
        <f t="shared" si="79"/>
        <v>0</v>
      </c>
      <c r="L82" s="139">
        <f t="shared" si="79"/>
        <v>0</v>
      </c>
      <c r="M82" s="139">
        <f t="shared" si="79"/>
        <v>0</v>
      </c>
      <c r="N82" s="139">
        <f t="shared" si="79"/>
        <v>0</v>
      </c>
      <c r="O82" s="139">
        <f t="shared" si="79"/>
        <v>0</v>
      </c>
      <c r="P82" s="139">
        <f>SUM(P83:P84)</f>
        <v>0</v>
      </c>
      <c r="Q82" s="36"/>
      <c r="R82" s="26"/>
    </row>
    <row r="83" spans="1:18" s="33" customFormat="1" ht="93" hidden="1" thickTop="1" thickBot="1" x14ac:dyDescent="0.25">
      <c r="A83" s="126" t="s">
        <v>1442</v>
      </c>
      <c r="B83" s="126" t="s">
        <v>1443</v>
      </c>
      <c r="C83" s="126" t="s">
        <v>210</v>
      </c>
      <c r="D83" s="126" t="s">
        <v>1447</v>
      </c>
      <c r="E83" s="125">
        <f t="shared" ref="E83:E84" si="80">F83</f>
        <v>0</v>
      </c>
      <c r="F83" s="132">
        <v>0</v>
      </c>
      <c r="G83" s="132"/>
      <c r="H83" s="132"/>
      <c r="I83" s="132"/>
      <c r="J83" s="125">
        <f t="shared" ref="J83:J84" si="81">L83+O83</f>
        <v>0</v>
      </c>
      <c r="K83" s="132"/>
      <c r="L83" s="132"/>
      <c r="M83" s="132"/>
      <c r="N83" s="132"/>
      <c r="O83" s="130">
        <f t="shared" ref="O83" si="82">K83</f>
        <v>0</v>
      </c>
      <c r="P83" s="125">
        <f t="shared" ref="P83:P84" si="83">E83+J83</f>
        <v>0</v>
      </c>
      <c r="Q83" s="36"/>
      <c r="R83" s="26"/>
    </row>
    <row r="84" spans="1:18" s="33" customFormat="1" ht="138.75" hidden="1" thickTop="1" thickBot="1" x14ac:dyDescent="0.25">
      <c r="A84" s="126" t="s">
        <v>1444</v>
      </c>
      <c r="B84" s="126" t="s">
        <v>1445</v>
      </c>
      <c r="C84" s="126" t="s">
        <v>210</v>
      </c>
      <c r="D84" s="126" t="s">
        <v>1446</v>
      </c>
      <c r="E84" s="125">
        <f t="shared" si="80"/>
        <v>0</v>
      </c>
      <c r="F84" s="132"/>
      <c r="G84" s="132"/>
      <c r="H84" s="132"/>
      <c r="I84" s="132"/>
      <c r="J84" s="125">
        <f t="shared" si="81"/>
        <v>0</v>
      </c>
      <c r="K84" s="132"/>
      <c r="L84" s="132"/>
      <c r="M84" s="132"/>
      <c r="N84" s="132"/>
      <c r="O84" s="130">
        <f>K84</f>
        <v>0</v>
      </c>
      <c r="P84" s="125">
        <f t="shared" si="83"/>
        <v>0</v>
      </c>
      <c r="Q84" s="36"/>
      <c r="R84" s="26"/>
    </row>
    <row r="85" spans="1:18" s="33" customFormat="1" ht="213" customHeight="1" thickTop="1" thickBot="1" x14ac:dyDescent="0.25">
      <c r="A85" s="325" t="s">
        <v>1541</v>
      </c>
      <c r="B85" s="325" t="s">
        <v>1543</v>
      </c>
      <c r="C85" s="126"/>
      <c r="D85" s="325" t="s">
        <v>1540</v>
      </c>
      <c r="E85" s="321">
        <f>SUM(E86:E87)</f>
        <v>1385303.4500000002</v>
      </c>
      <c r="F85" s="321">
        <f t="shared" ref="F85:O85" si="84">SUM(F86:F87)</f>
        <v>1385303.4500000002</v>
      </c>
      <c r="G85" s="321">
        <f t="shared" si="84"/>
        <v>0</v>
      </c>
      <c r="H85" s="321">
        <f t="shared" si="84"/>
        <v>0</v>
      </c>
      <c r="I85" s="321">
        <f t="shared" si="84"/>
        <v>0</v>
      </c>
      <c r="J85" s="321">
        <f t="shared" si="84"/>
        <v>22459364.549999997</v>
      </c>
      <c r="K85" s="321">
        <f t="shared" si="84"/>
        <v>5674410.4000000004</v>
      </c>
      <c r="L85" s="321">
        <f t="shared" si="84"/>
        <v>3232359.55</v>
      </c>
      <c r="M85" s="321">
        <f t="shared" si="84"/>
        <v>0</v>
      </c>
      <c r="N85" s="321">
        <f t="shared" si="84"/>
        <v>0</v>
      </c>
      <c r="O85" s="321">
        <f t="shared" si="84"/>
        <v>19227005</v>
      </c>
      <c r="P85" s="321">
        <f>SUM(P86:P87)</f>
        <v>23844668</v>
      </c>
      <c r="Q85" s="36"/>
      <c r="R85" s="26"/>
    </row>
    <row r="86" spans="1:18" s="33" customFormat="1" ht="230.25" thickTop="1" thickBot="1" x14ac:dyDescent="0.25">
      <c r="A86" s="101" t="s">
        <v>1544</v>
      </c>
      <c r="B86" s="101" t="s">
        <v>1542</v>
      </c>
      <c r="C86" s="101" t="s">
        <v>210</v>
      </c>
      <c r="D86" s="101" t="s">
        <v>1545</v>
      </c>
      <c r="E86" s="324">
        <f>F86</f>
        <v>1385303.4500000002</v>
      </c>
      <c r="F86" s="453">
        <f>((2032.85)+1485270.6)-102000</f>
        <v>1385303.4500000002</v>
      </c>
      <c r="G86" s="453"/>
      <c r="H86" s="453"/>
      <c r="I86" s="453"/>
      <c r="J86" s="324">
        <f t="shared" ref="J86:J87" si="85">L86+O86</f>
        <v>5674410.4000000004</v>
      </c>
      <c r="K86" s="453">
        <f>(((150704)+3288050)+2133656.4)+102000</f>
        <v>5674410.4000000004</v>
      </c>
      <c r="L86" s="453"/>
      <c r="M86" s="453"/>
      <c r="N86" s="453"/>
      <c r="O86" s="450">
        <f t="shared" ref="O86" si="86">K86</f>
        <v>5674410.4000000004</v>
      </c>
      <c r="P86" s="324">
        <f>E86+J86</f>
        <v>7059713.8500000006</v>
      </c>
      <c r="Q86" s="36"/>
      <c r="R86" s="26"/>
    </row>
    <row r="87" spans="1:18" s="33" customFormat="1" ht="219" customHeight="1" thickTop="1" thickBot="1" x14ac:dyDescent="0.25">
      <c r="A87" s="101" t="s">
        <v>1546</v>
      </c>
      <c r="B87" s="101" t="s">
        <v>1547</v>
      </c>
      <c r="C87" s="101" t="s">
        <v>210</v>
      </c>
      <c r="D87" s="101" t="s">
        <v>1548</v>
      </c>
      <c r="E87" s="324">
        <f>F87</f>
        <v>0</v>
      </c>
      <c r="F87" s="453"/>
      <c r="G87" s="453"/>
      <c r="H87" s="453"/>
      <c r="I87" s="453"/>
      <c r="J87" s="324">
        <f t="shared" si="85"/>
        <v>16784954.149999999</v>
      </c>
      <c r="K87" s="453"/>
      <c r="L87" s="453">
        <f>((4737.15)+3465622.4)-238000</f>
        <v>3232359.55</v>
      </c>
      <c r="M87" s="453"/>
      <c r="N87" s="453"/>
      <c r="O87" s="450">
        <f>((K87+8336063)+4978531.6)+238000</f>
        <v>13552594.6</v>
      </c>
      <c r="P87" s="324">
        <f>E87+J87</f>
        <v>16784954.149999999</v>
      </c>
      <c r="Q87" s="36"/>
      <c r="R87" s="26"/>
    </row>
    <row r="88" spans="1:18" s="33" customFormat="1" ht="93" thickTop="1" thickBot="1" x14ac:dyDescent="0.25">
      <c r="A88" s="325" t="s">
        <v>1616</v>
      </c>
      <c r="B88" s="325" t="s">
        <v>1619</v>
      </c>
      <c r="C88" s="126"/>
      <c r="D88" s="325" t="s">
        <v>1620</v>
      </c>
      <c r="E88" s="321">
        <f>E89</f>
        <v>35417600</v>
      </c>
      <c r="F88" s="321">
        <f t="shared" ref="F88:P88" si="87">F89</f>
        <v>35417600</v>
      </c>
      <c r="G88" s="321">
        <f t="shared" si="87"/>
        <v>0</v>
      </c>
      <c r="H88" s="321">
        <f t="shared" si="87"/>
        <v>0</v>
      </c>
      <c r="I88" s="321">
        <f t="shared" si="87"/>
        <v>0</v>
      </c>
      <c r="J88" s="321">
        <f t="shared" si="87"/>
        <v>0</v>
      </c>
      <c r="K88" s="321">
        <f t="shared" si="87"/>
        <v>0</v>
      </c>
      <c r="L88" s="321">
        <f t="shared" si="87"/>
        <v>0</v>
      </c>
      <c r="M88" s="321">
        <f t="shared" si="87"/>
        <v>0</v>
      </c>
      <c r="N88" s="321">
        <f t="shared" si="87"/>
        <v>0</v>
      </c>
      <c r="O88" s="321">
        <f t="shared" si="87"/>
        <v>0</v>
      </c>
      <c r="P88" s="321">
        <f t="shared" si="87"/>
        <v>35417600</v>
      </c>
      <c r="Q88" s="36"/>
      <c r="R88" s="26"/>
    </row>
    <row r="89" spans="1:18" s="33" customFormat="1" ht="138.75" thickTop="1" thickBot="1" x14ac:dyDescent="0.25">
      <c r="A89" s="101" t="s">
        <v>1617</v>
      </c>
      <c r="B89" s="101" t="s">
        <v>1618</v>
      </c>
      <c r="C89" s="101" t="s">
        <v>210</v>
      </c>
      <c r="D89" s="101" t="s">
        <v>1621</v>
      </c>
      <c r="E89" s="324">
        <f>F89</f>
        <v>35417600</v>
      </c>
      <c r="F89" s="453">
        <f>(27529800)+7887800</f>
        <v>35417600</v>
      </c>
      <c r="G89" s="453"/>
      <c r="H89" s="453"/>
      <c r="I89" s="453"/>
      <c r="J89" s="324">
        <f t="shared" ref="J89" si="88">L89+O89</f>
        <v>0</v>
      </c>
      <c r="K89" s="453"/>
      <c r="L89" s="453"/>
      <c r="M89" s="453"/>
      <c r="N89" s="453"/>
      <c r="O89" s="450">
        <f t="shared" ref="O89" si="89">K89</f>
        <v>0</v>
      </c>
      <c r="P89" s="324">
        <f>E89+J89</f>
        <v>35417600</v>
      </c>
      <c r="Q89" s="36"/>
      <c r="R89" s="26"/>
    </row>
    <row r="90" spans="1:18" s="33" customFormat="1" ht="47.25" thickTop="1" thickBot="1" x14ac:dyDescent="0.25">
      <c r="A90" s="308" t="s">
        <v>706</v>
      </c>
      <c r="B90" s="308" t="s">
        <v>707</v>
      </c>
      <c r="C90" s="308"/>
      <c r="D90" s="308" t="s">
        <v>708</v>
      </c>
      <c r="E90" s="324">
        <f>SUM(E91:E92)</f>
        <v>1611121.8199999998</v>
      </c>
      <c r="F90" s="324">
        <f t="shared" ref="F90:P90" si="90">SUM(F91:F92)</f>
        <v>1611121.8199999998</v>
      </c>
      <c r="G90" s="324">
        <f t="shared" si="90"/>
        <v>0</v>
      </c>
      <c r="H90" s="324">
        <f t="shared" si="90"/>
        <v>417080.81000000006</v>
      </c>
      <c r="I90" s="324">
        <f t="shared" si="90"/>
        <v>0</v>
      </c>
      <c r="J90" s="324">
        <f t="shared" si="90"/>
        <v>0</v>
      </c>
      <c r="K90" s="324">
        <f t="shared" si="90"/>
        <v>0</v>
      </c>
      <c r="L90" s="324">
        <f t="shared" si="90"/>
        <v>0</v>
      </c>
      <c r="M90" s="324">
        <f t="shared" si="90"/>
        <v>0</v>
      </c>
      <c r="N90" s="324">
        <f t="shared" si="90"/>
        <v>0</v>
      </c>
      <c r="O90" s="324">
        <f t="shared" si="90"/>
        <v>0</v>
      </c>
      <c r="P90" s="324">
        <f t="shared" si="90"/>
        <v>1611121.8199999998</v>
      </c>
      <c r="Q90" s="36"/>
      <c r="R90" s="26"/>
    </row>
    <row r="91" spans="1:18" s="33" customFormat="1" ht="167.25" customHeight="1" thickTop="1" thickBot="1" x14ac:dyDescent="0.25">
      <c r="A91" s="101" t="s">
        <v>430</v>
      </c>
      <c r="B91" s="101" t="s">
        <v>431</v>
      </c>
      <c r="C91" s="101" t="s">
        <v>185</v>
      </c>
      <c r="D91" s="101" t="s">
        <v>429</v>
      </c>
      <c r="E91" s="324">
        <f t="shared" si="62"/>
        <v>715000</v>
      </c>
      <c r="F91" s="453">
        <v>715000</v>
      </c>
      <c r="G91" s="453"/>
      <c r="H91" s="453"/>
      <c r="I91" s="453"/>
      <c r="J91" s="324">
        <f>L91+O91</f>
        <v>0</v>
      </c>
      <c r="K91" s="453"/>
      <c r="L91" s="453"/>
      <c r="M91" s="453"/>
      <c r="N91" s="453"/>
      <c r="O91" s="450">
        <f>K91</f>
        <v>0</v>
      </c>
      <c r="P91" s="324">
        <f>E91+J91</f>
        <v>715000</v>
      </c>
      <c r="Q91" s="36"/>
      <c r="R91" s="39"/>
    </row>
    <row r="92" spans="1:18" s="33" customFormat="1" ht="114.75" customHeight="1" thickTop="1" thickBot="1" x14ac:dyDescent="0.25">
      <c r="A92" s="101" t="s">
        <v>1215</v>
      </c>
      <c r="B92" s="101" t="s">
        <v>1182</v>
      </c>
      <c r="C92" s="101" t="s">
        <v>206</v>
      </c>
      <c r="D92" s="461" t="s">
        <v>1183</v>
      </c>
      <c r="E92" s="324">
        <f t="shared" si="62"/>
        <v>896121.82</v>
      </c>
      <c r="F92" s="453">
        <f>(1759600)-863478.18</f>
        <v>896121.82</v>
      </c>
      <c r="G92" s="453"/>
      <c r="H92" s="453">
        <f>(590600)-108207.43-55573.35-9738.41</f>
        <v>417080.81000000006</v>
      </c>
      <c r="I92" s="453"/>
      <c r="J92" s="324">
        <f>L92+O92</f>
        <v>0</v>
      </c>
      <c r="K92" s="453"/>
      <c r="L92" s="453"/>
      <c r="M92" s="453"/>
      <c r="N92" s="453"/>
      <c r="O92" s="450">
        <f>K92</f>
        <v>0</v>
      </c>
      <c r="P92" s="324">
        <f>E92+J92</f>
        <v>896121.82</v>
      </c>
      <c r="Q92" s="36"/>
      <c r="R92" s="39"/>
    </row>
    <row r="93" spans="1:18" s="33" customFormat="1" ht="57" customHeight="1" thickTop="1" thickBot="1" x14ac:dyDescent="0.25">
      <c r="A93" s="308" t="s">
        <v>1072</v>
      </c>
      <c r="B93" s="308" t="s">
        <v>744</v>
      </c>
      <c r="C93" s="308"/>
      <c r="D93" s="308" t="s">
        <v>1071</v>
      </c>
      <c r="E93" s="324">
        <f>E94+E97</f>
        <v>0</v>
      </c>
      <c r="F93" s="324">
        <f t="shared" ref="F93:P93" si="91">F94+F97</f>
        <v>0</v>
      </c>
      <c r="G93" s="324">
        <f t="shared" si="91"/>
        <v>0</v>
      </c>
      <c r="H93" s="324">
        <f t="shared" si="91"/>
        <v>0</v>
      </c>
      <c r="I93" s="324">
        <f t="shared" si="91"/>
        <v>0</v>
      </c>
      <c r="J93" s="324">
        <f t="shared" si="91"/>
        <v>80104610.460000008</v>
      </c>
      <c r="K93" s="324">
        <f t="shared" si="91"/>
        <v>80104610.460000008</v>
      </c>
      <c r="L93" s="324">
        <f t="shared" si="91"/>
        <v>0</v>
      </c>
      <c r="M93" s="324">
        <f t="shared" si="91"/>
        <v>0</v>
      </c>
      <c r="N93" s="324">
        <f t="shared" si="91"/>
        <v>0</v>
      </c>
      <c r="O93" s="324">
        <f t="shared" si="91"/>
        <v>80104610.460000008</v>
      </c>
      <c r="P93" s="324">
        <f t="shared" si="91"/>
        <v>80104610.460000008</v>
      </c>
      <c r="Q93" s="36"/>
      <c r="R93" s="26"/>
    </row>
    <row r="94" spans="1:18" s="33" customFormat="1" ht="57" customHeight="1" thickTop="1" thickBot="1" x14ac:dyDescent="0.25">
      <c r="A94" s="310" t="s">
        <v>1070</v>
      </c>
      <c r="B94" s="310" t="s">
        <v>799</v>
      </c>
      <c r="C94" s="310"/>
      <c r="D94" s="310" t="s">
        <v>800</v>
      </c>
      <c r="E94" s="312">
        <f>E95</f>
        <v>0</v>
      </c>
      <c r="F94" s="312">
        <f t="shared" ref="F94:P95" si="92">F95</f>
        <v>0</v>
      </c>
      <c r="G94" s="312">
        <f t="shared" si="92"/>
        <v>0</v>
      </c>
      <c r="H94" s="312">
        <f t="shared" si="92"/>
        <v>0</v>
      </c>
      <c r="I94" s="312">
        <f t="shared" si="92"/>
        <v>0</v>
      </c>
      <c r="J94" s="312">
        <f t="shared" si="92"/>
        <v>42511535.24000001</v>
      </c>
      <c r="K94" s="312">
        <f t="shared" si="92"/>
        <v>42511535.24000001</v>
      </c>
      <c r="L94" s="312">
        <f t="shared" si="92"/>
        <v>0</v>
      </c>
      <c r="M94" s="312">
        <f t="shared" si="92"/>
        <v>0</v>
      </c>
      <c r="N94" s="312">
        <f t="shared" si="92"/>
        <v>0</v>
      </c>
      <c r="O94" s="312">
        <f t="shared" si="92"/>
        <v>42511535.24000001</v>
      </c>
      <c r="P94" s="312">
        <f t="shared" si="92"/>
        <v>42511535.24000001</v>
      </c>
      <c r="Q94" s="36"/>
      <c r="R94" s="26"/>
    </row>
    <row r="95" spans="1:18" s="33" customFormat="1" ht="54" thickTop="1" thickBot="1" x14ac:dyDescent="0.25">
      <c r="A95" s="325" t="s">
        <v>1073</v>
      </c>
      <c r="B95" s="325" t="s">
        <v>817</v>
      </c>
      <c r="C95" s="325"/>
      <c r="D95" s="325" t="s">
        <v>1499</v>
      </c>
      <c r="E95" s="321">
        <f>E96</f>
        <v>0</v>
      </c>
      <c r="F95" s="321">
        <f t="shared" si="92"/>
        <v>0</v>
      </c>
      <c r="G95" s="321">
        <f t="shared" si="92"/>
        <v>0</v>
      </c>
      <c r="H95" s="321">
        <f t="shared" si="92"/>
        <v>0</v>
      </c>
      <c r="I95" s="321">
        <f t="shared" si="92"/>
        <v>0</v>
      </c>
      <c r="J95" s="321">
        <f t="shared" si="92"/>
        <v>42511535.24000001</v>
      </c>
      <c r="K95" s="321">
        <f t="shared" si="92"/>
        <v>42511535.24000001</v>
      </c>
      <c r="L95" s="321">
        <f t="shared" si="92"/>
        <v>0</v>
      </c>
      <c r="M95" s="321">
        <f t="shared" si="92"/>
        <v>0</v>
      </c>
      <c r="N95" s="321">
        <f t="shared" si="92"/>
        <v>0</v>
      </c>
      <c r="O95" s="321">
        <f t="shared" si="92"/>
        <v>42511535.24000001</v>
      </c>
      <c r="P95" s="321">
        <f t="shared" si="92"/>
        <v>42511535.24000001</v>
      </c>
      <c r="Q95" s="36"/>
      <c r="R95" s="26"/>
    </row>
    <row r="96" spans="1:18" s="33" customFormat="1" ht="57" customHeight="1" thickTop="1" thickBot="1" x14ac:dyDescent="0.25">
      <c r="A96" s="101" t="s">
        <v>1085</v>
      </c>
      <c r="B96" s="101" t="s">
        <v>311</v>
      </c>
      <c r="C96" s="101" t="s">
        <v>304</v>
      </c>
      <c r="D96" s="101" t="s">
        <v>1479</v>
      </c>
      <c r="E96" s="324">
        <f t="shared" ref="E96" si="93">F96</f>
        <v>0</v>
      </c>
      <c r="F96" s="453"/>
      <c r="G96" s="453"/>
      <c r="H96" s="453"/>
      <c r="I96" s="453"/>
      <c r="J96" s="324">
        <f t="shared" ref="J96" si="94">L96+O96</f>
        <v>42511535.24000001</v>
      </c>
      <c r="K96" s="453">
        <f>(((((2000000+5000000+2000000+2000000)+20260227.26)-400000)+6500000+108534.57)+10000000)-4957226.59</f>
        <v>42511535.24000001</v>
      </c>
      <c r="L96" s="453"/>
      <c r="M96" s="453"/>
      <c r="N96" s="453"/>
      <c r="O96" s="450">
        <f t="shared" ref="O96" si="95">K96</f>
        <v>42511535.24000001</v>
      </c>
      <c r="P96" s="324">
        <f>E96+J96</f>
        <v>42511535.24000001</v>
      </c>
      <c r="Q96" s="30"/>
      <c r="R96" s="26"/>
    </row>
    <row r="97" spans="1:18" s="33" customFormat="1" ht="57" customHeight="1" thickTop="1" thickBot="1" x14ac:dyDescent="0.25">
      <c r="A97" s="310" t="s">
        <v>1074</v>
      </c>
      <c r="B97" s="310" t="s">
        <v>687</v>
      </c>
      <c r="C97" s="310"/>
      <c r="D97" s="310" t="s">
        <v>685</v>
      </c>
      <c r="E97" s="312">
        <f>E98</f>
        <v>0</v>
      </c>
      <c r="F97" s="312">
        <f t="shared" ref="F97:P97" si="96">F98</f>
        <v>0</v>
      </c>
      <c r="G97" s="312">
        <f t="shared" si="96"/>
        <v>0</v>
      </c>
      <c r="H97" s="312">
        <f t="shared" si="96"/>
        <v>0</v>
      </c>
      <c r="I97" s="312">
        <f t="shared" si="96"/>
        <v>0</v>
      </c>
      <c r="J97" s="312">
        <f t="shared" si="96"/>
        <v>37593075.220000006</v>
      </c>
      <c r="K97" s="312">
        <f t="shared" si="96"/>
        <v>37593075.220000006</v>
      </c>
      <c r="L97" s="312">
        <f t="shared" si="96"/>
        <v>0</v>
      </c>
      <c r="M97" s="312">
        <f t="shared" si="96"/>
        <v>0</v>
      </c>
      <c r="N97" s="312">
        <f t="shared" si="96"/>
        <v>0</v>
      </c>
      <c r="O97" s="312">
        <f t="shared" si="96"/>
        <v>37593075.220000006</v>
      </c>
      <c r="P97" s="312">
        <f t="shared" si="96"/>
        <v>37593075.220000006</v>
      </c>
      <c r="Q97" s="30"/>
      <c r="R97" s="26"/>
    </row>
    <row r="98" spans="1:18" s="33" customFormat="1" ht="57" customHeight="1" thickTop="1" thickBot="1" x14ac:dyDescent="0.25">
      <c r="A98" s="101" t="s">
        <v>1075</v>
      </c>
      <c r="B98" s="101" t="s">
        <v>212</v>
      </c>
      <c r="C98" s="101" t="s">
        <v>213</v>
      </c>
      <c r="D98" s="101" t="s">
        <v>41</v>
      </c>
      <c r="E98" s="324">
        <f t="shared" ref="E98" si="97">F98</f>
        <v>0</v>
      </c>
      <c r="F98" s="453"/>
      <c r="G98" s="453"/>
      <c r="H98" s="453"/>
      <c r="I98" s="453"/>
      <c r="J98" s="324">
        <f t="shared" ref="J98" si="98">L98+O98</f>
        <v>37593075.220000006</v>
      </c>
      <c r="K98" s="453">
        <f>(((((7500000+7500000)+3455977.12)+4000000+5000000+1199278.78)+5500000)+6037819.32)-2600000</f>
        <v>37593075.220000006</v>
      </c>
      <c r="L98" s="453"/>
      <c r="M98" s="453"/>
      <c r="N98" s="453"/>
      <c r="O98" s="450">
        <f t="shared" ref="O98" si="99">K98</f>
        <v>37593075.220000006</v>
      </c>
      <c r="P98" s="324">
        <f>E98+J98</f>
        <v>37593075.220000006</v>
      </c>
      <c r="Q98" s="30"/>
      <c r="R98" s="26"/>
    </row>
    <row r="99" spans="1:18" s="33" customFormat="1" ht="47.25" hidden="1" thickTop="1" thickBot="1" x14ac:dyDescent="0.25">
      <c r="A99" s="123" t="s">
        <v>1206</v>
      </c>
      <c r="B99" s="123" t="s">
        <v>692</v>
      </c>
      <c r="C99" s="123"/>
      <c r="D99" s="123" t="s">
        <v>693</v>
      </c>
      <c r="E99" s="125">
        <f t="shared" ref="E99:P100" si="100">E100</f>
        <v>0</v>
      </c>
      <c r="F99" s="125">
        <f t="shared" si="100"/>
        <v>0</v>
      </c>
      <c r="G99" s="125">
        <f t="shared" si="100"/>
        <v>0</v>
      </c>
      <c r="H99" s="125">
        <f t="shared" si="100"/>
        <v>0</v>
      </c>
      <c r="I99" s="125">
        <f t="shared" si="100"/>
        <v>0</v>
      </c>
      <c r="J99" s="125">
        <f t="shared" si="100"/>
        <v>0</v>
      </c>
      <c r="K99" s="125">
        <f t="shared" si="100"/>
        <v>0</v>
      </c>
      <c r="L99" s="125">
        <f t="shared" si="100"/>
        <v>0</v>
      </c>
      <c r="M99" s="125">
        <f t="shared" si="100"/>
        <v>0</v>
      </c>
      <c r="N99" s="125">
        <f t="shared" si="100"/>
        <v>0</v>
      </c>
      <c r="O99" s="125">
        <f t="shared" si="100"/>
        <v>0</v>
      </c>
      <c r="P99" s="125">
        <f t="shared" si="100"/>
        <v>0</v>
      </c>
      <c r="Q99" s="30"/>
      <c r="R99" s="26"/>
    </row>
    <row r="100" spans="1:18" s="33" customFormat="1" ht="47.25" hidden="1" thickTop="1" thickBot="1" x14ac:dyDescent="0.25">
      <c r="A100" s="134" t="s">
        <v>1207</v>
      </c>
      <c r="B100" s="134" t="s">
        <v>1168</v>
      </c>
      <c r="C100" s="134"/>
      <c r="D100" s="134" t="s">
        <v>1166</v>
      </c>
      <c r="E100" s="135">
        <f t="shared" si="100"/>
        <v>0</v>
      </c>
      <c r="F100" s="135">
        <f t="shared" si="100"/>
        <v>0</v>
      </c>
      <c r="G100" s="135">
        <f t="shared" si="100"/>
        <v>0</v>
      </c>
      <c r="H100" s="135">
        <f t="shared" si="100"/>
        <v>0</v>
      </c>
      <c r="I100" s="135">
        <f t="shared" si="100"/>
        <v>0</v>
      </c>
      <c r="J100" s="135">
        <f t="shared" si="100"/>
        <v>0</v>
      </c>
      <c r="K100" s="135">
        <f t="shared" si="100"/>
        <v>0</v>
      </c>
      <c r="L100" s="135">
        <f t="shared" si="100"/>
        <v>0</v>
      </c>
      <c r="M100" s="135">
        <f t="shared" si="100"/>
        <v>0</v>
      </c>
      <c r="N100" s="135">
        <f t="shared" si="100"/>
        <v>0</v>
      </c>
      <c r="O100" s="135">
        <f t="shared" si="100"/>
        <v>0</v>
      </c>
      <c r="P100" s="135">
        <f t="shared" si="100"/>
        <v>0</v>
      </c>
      <c r="Q100" s="30"/>
      <c r="R100" s="26"/>
    </row>
    <row r="101" spans="1:18" s="33" customFormat="1" ht="48" hidden="1" thickTop="1" thickBot="1" x14ac:dyDescent="0.25">
      <c r="A101" s="126" t="s">
        <v>1208</v>
      </c>
      <c r="B101" s="126" t="s">
        <v>1172</v>
      </c>
      <c r="C101" s="126" t="s">
        <v>1170</v>
      </c>
      <c r="D101" s="126" t="s">
        <v>1169</v>
      </c>
      <c r="E101" s="125">
        <f>F101</f>
        <v>0</v>
      </c>
      <c r="F101" s="132"/>
      <c r="G101" s="132"/>
      <c r="H101" s="132"/>
      <c r="I101" s="132"/>
      <c r="J101" s="125">
        <f>L101+O101</f>
        <v>0</v>
      </c>
      <c r="K101" s="132">
        <v>0</v>
      </c>
      <c r="L101" s="132"/>
      <c r="M101" s="132"/>
      <c r="N101" s="132"/>
      <c r="O101" s="130">
        <f>K101</f>
        <v>0</v>
      </c>
      <c r="P101" s="125">
        <f>E101+J101</f>
        <v>0</v>
      </c>
      <c r="Q101" s="30"/>
      <c r="R101" s="26"/>
    </row>
    <row r="102" spans="1:18" s="33" customFormat="1" ht="47.25" hidden="1" customHeight="1" thickTop="1" thickBot="1" x14ac:dyDescent="0.25">
      <c r="A102" s="144" t="s">
        <v>1012</v>
      </c>
      <c r="B102" s="144" t="s">
        <v>698</v>
      </c>
      <c r="C102" s="144"/>
      <c r="D102" s="144" t="s">
        <v>699</v>
      </c>
      <c r="E102" s="42">
        <f>E103</f>
        <v>0</v>
      </c>
      <c r="F102" s="42">
        <f t="shared" ref="F102:P103" si="101">F103</f>
        <v>0</v>
      </c>
      <c r="G102" s="42">
        <f t="shared" si="101"/>
        <v>0</v>
      </c>
      <c r="H102" s="42">
        <f t="shared" si="101"/>
        <v>0</v>
      </c>
      <c r="I102" s="42">
        <f t="shared" si="101"/>
        <v>0</v>
      </c>
      <c r="J102" s="42">
        <f t="shared" si="101"/>
        <v>0</v>
      </c>
      <c r="K102" s="42">
        <f t="shared" si="101"/>
        <v>0</v>
      </c>
      <c r="L102" s="42">
        <f t="shared" si="101"/>
        <v>0</v>
      </c>
      <c r="M102" s="42">
        <f t="shared" si="101"/>
        <v>0</v>
      </c>
      <c r="N102" s="42">
        <f t="shared" si="101"/>
        <v>0</v>
      </c>
      <c r="O102" s="42">
        <f t="shared" si="101"/>
        <v>0</v>
      </c>
      <c r="P102" s="42">
        <f t="shared" si="101"/>
        <v>0</v>
      </c>
      <c r="Q102" s="36"/>
      <c r="R102" s="26"/>
    </row>
    <row r="103" spans="1:18" s="33" customFormat="1" ht="91.5" hidden="1" thickTop="1" thickBot="1" x14ac:dyDescent="0.25">
      <c r="A103" s="145" t="s">
        <v>1013</v>
      </c>
      <c r="B103" s="145" t="s">
        <v>701</v>
      </c>
      <c r="C103" s="145"/>
      <c r="D103" s="145" t="s">
        <v>702</v>
      </c>
      <c r="E103" s="146">
        <f>E104</f>
        <v>0</v>
      </c>
      <c r="F103" s="146">
        <f t="shared" si="101"/>
        <v>0</v>
      </c>
      <c r="G103" s="146">
        <f t="shared" si="101"/>
        <v>0</v>
      </c>
      <c r="H103" s="146">
        <f t="shared" si="101"/>
        <v>0</v>
      </c>
      <c r="I103" s="146">
        <f t="shared" si="101"/>
        <v>0</v>
      </c>
      <c r="J103" s="146">
        <f t="shared" si="101"/>
        <v>0</v>
      </c>
      <c r="K103" s="146">
        <f t="shared" si="101"/>
        <v>0</v>
      </c>
      <c r="L103" s="146">
        <f t="shared" si="101"/>
        <v>0</v>
      </c>
      <c r="M103" s="146">
        <f t="shared" si="101"/>
        <v>0</v>
      </c>
      <c r="N103" s="146">
        <f t="shared" si="101"/>
        <v>0</v>
      </c>
      <c r="O103" s="146">
        <f t="shared" si="101"/>
        <v>0</v>
      </c>
      <c r="P103" s="146">
        <f t="shared" si="101"/>
        <v>0</v>
      </c>
      <c r="Q103" s="36"/>
      <c r="R103" s="26"/>
    </row>
    <row r="104" spans="1:18" s="33" customFormat="1" ht="48" hidden="1" thickTop="1" thickBot="1" x14ac:dyDescent="0.25">
      <c r="A104" s="41" t="s">
        <v>1014</v>
      </c>
      <c r="B104" s="41" t="s">
        <v>363</v>
      </c>
      <c r="C104" s="41" t="s">
        <v>43</v>
      </c>
      <c r="D104" s="41" t="s">
        <v>364</v>
      </c>
      <c r="E104" s="42">
        <f t="shared" ref="E104" si="102">F104</f>
        <v>0</v>
      </c>
      <c r="F104" s="43"/>
      <c r="G104" s="43"/>
      <c r="H104" s="43"/>
      <c r="I104" s="43"/>
      <c r="J104" s="42">
        <f>L104+O104</f>
        <v>0</v>
      </c>
      <c r="K104" s="43"/>
      <c r="L104" s="43"/>
      <c r="M104" s="43"/>
      <c r="N104" s="43"/>
      <c r="O104" s="44">
        <f>K104</f>
        <v>0</v>
      </c>
      <c r="P104" s="42">
        <f>E104+J104</f>
        <v>0</v>
      </c>
      <c r="Q104" s="36"/>
      <c r="R104" s="26"/>
    </row>
    <row r="105" spans="1:18" ht="120" customHeight="1" thickTop="1" thickBot="1" x14ac:dyDescent="0.25">
      <c r="A105" s="689" t="s">
        <v>154</v>
      </c>
      <c r="B105" s="689"/>
      <c r="C105" s="689"/>
      <c r="D105" s="690" t="s">
        <v>18</v>
      </c>
      <c r="E105" s="691">
        <f>E106</f>
        <v>111570647</v>
      </c>
      <c r="F105" s="692">
        <f t="shared" ref="F105:G105" si="103">F106</f>
        <v>111570647</v>
      </c>
      <c r="G105" s="692">
        <f t="shared" si="103"/>
        <v>5426981</v>
      </c>
      <c r="H105" s="692">
        <f>H106</f>
        <v>399960</v>
      </c>
      <c r="I105" s="692">
        <f t="shared" ref="I105" si="104">I106</f>
        <v>0</v>
      </c>
      <c r="J105" s="691">
        <f>J106</f>
        <v>38596959.370000005</v>
      </c>
      <c r="K105" s="692">
        <f>K106</f>
        <v>38596959.370000005</v>
      </c>
      <c r="L105" s="692">
        <f>L106</f>
        <v>0</v>
      </c>
      <c r="M105" s="692">
        <f t="shared" ref="M105" si="105">M106</f>
        <v>0</v>
      </c>
      <c r="N105" s="692">
        <f>N106</f>
        <v>0</v>
      </c>
      <c r="O105" s="691">
        <f>O106</f>
        <v>38596959.370000005</v>
      </c>
      <c r="P105" s="692">
        <f>P106</f>
        <v>150167606.37</v>
      </c>
      <c r="Q105" s="20"/>
    </row>
    <row r="106" spans="1:18" ht="120" customHeight="1" thickTop="1" thickBot="1" x14ac:dyDescent="0.25">
      <c r="A106" s="693" t="s">
        <v>155</v>
      </c>
      <c r="B106" s="693"/>
      <c r="C106" s="693"/>
      <c r="D106" s="694" t="s">
        <v>36</v>
      </c>
      <c r="E106" s="695">
        <f>E107+E110+E127+E125</f>
        <v>111570647</v>
      </c>
      <c r="F106" s="695">
        <f t="shared" ref="F106:P106" si="106">F107+F110+F127+F125</f>
        <v>111570647</v>
      </c>
      <c r="G106" s="695">
        <f t="shared" si="106"/>
        <v>5426981</v>
      </c>
      <c r="H106" s="695">
        <f t="shared" si="106"/>
        <v>399960</v>
      </c>
      <c r="I106" s="695">
        <f t="shared" si="106"/>
        <v>0</v>
      </c>
      <c r="J106" s="695">
        <f t="shared" si="106"/>
        <v>38596959.370000005</v>
      </c>
      <c r="K106" s="695">
        <f t="shared" si="106"/>
        <v>38596959.370000005</v>
      </c>
      <c r="L106" s="695">
        <f t="shared" si="106"/>
        <v>0</v>
      </c>
      <c r="M106" s="695">
        <f t="shared" si="106"/>
        <v>0</v>
      </c>
      <c r="N106" s="695">
        <f t="shared" si="106"/>
        <v>0</v>
      </c>
      <c r="O106" s="695">
        <f t="shared" si="106"/>
        <v>38596959.370000005</v>
      </c>
      <c r="P106" s="695">
        <f t="shared" si="106"/>
        <v>150167606.37</v>
      </c>
      <c r="Q106" s="549" t="b">
        <f>P106=P108+P111+P112+P113+P114+P117+P121+P122+P126+P130+P124+P134</f>
        <v>1</v>
      </c>
      <c r="R106" s="26"/>
    </row>
    <row r="107" spans="1:18" ht="47.25" thickTop="1" thickBot="1" x14ac:dyDescent="0.25">
      <c r="A107" s="308" t="s">
        <v>709</v>
      </c>
      <c r="B107" s="308" t="s">
        <v>680</v>
      </c>
      <c r="C107" s="308"/>
      <c r="D107" s="308" t="s">
        <v>681</v>
      </c>
      <c r="E107" s="324">
        <f>SUM(E108:E109)</f>
        <v>3607111</v>
      </c>
      <c r="F107" s="324">
        <f t="shared" ref="F107:P107" si="107">SUM(F108:F109)</f>
        <v>3607111</v>
      </c>
      <c r="G107" s="324">
        <f t="shared" si="107"/>
        <v>2657100</v>
      </c>
      <c r="H107" s="324">
        <f t="shared" si="107"/>
        <v>191160</v>
      </c>
      <c r="I107" s="324">
        <f t="shared" si="107"/>
        <v>0</v>
      </c>
      <c r="J107" s="324">
        <f t="shared" si="107"/>
        <v>0</v>
      </c>
      <c r="K107" s="324">
        <f t="shared" si="107"/>
        <v>0</v>
      </c>
      <c r="L107" s="324">
        <f t="shared" si="107"/>
        <v>0</v>
      </c>
      <c r="M107" s="324">
        <f t="shared" si="107"/>
        <v>0</v>
      </c>
      <c r="N107" s="324">
        <f t="shared" si="107"/>
        <v>0</v>
      </c>
      <c r="O107" s="324">
        <f t="shared" si="107"/>
        <v>0</v>
      </c>
      <c r="P107" s="324">
        <f t="shared" si="107"/>
        <v>3607111</v>
      </c>
      <c r="Q107" s="30"/>
      <c r="R107" s="26"/>
    </row>
    <row r="108" spans="1:18" ht="93" thickTop="1" thickBot="1" x14ac:dyDescent="0.25">
      <c r="A108" s="101" t="s">
        <v>415</v>
      </c>
      <c r="B108" s="101" t="s">
        <v>236</v>
      </c>
      <c r="C108" s="101" t="s">
        <v>234</v>
      </c>
      <c r="D108" s="101" t="s">
        <v>235</v>
      </c>
      <c r="E108" s="324">
        <f>F108</f>
        <v>3607111</v>
      </c>
      <c r="F108" s="453">
        <f>(3390311)+216800</f>
        <v>3607111</v>
      </c>
      <c r="G108" s="453">
        <f>(2480000)+177100</f>
        <v>2657100</v>
      </c>
      <c r="H108" s="453">
        <v>191160</v>
      </c>
      <c r="I108" s="453"/>
      <c r="J108" s="324">
        <f t="shared" ref="J108:J136" si="108">L108+O108</f>
        <v>0</v>
      </c>
      <c r="K108" s="453">
        <v>0</v>
      </c>
      <c r="L108" s="453"/>
      <c r="M108" s="453"/>
      <c r="N108" s="453"/>
      <c r="O108" s="450">
        <f>K108</f>
        <v>0</v>
      </c>
      <c r="P108" s="324">
        <f t="shared" ref="P108:P136" si="109">E108+J108</f>
        <v>3607111</v>
      </c>
      <c r="Q108" s="39"/>
      <c r="R108" s="26"/>
    </row>
    <row r="109" spans="1:18" ht="93" hidden="1" thickTop="1" thickBot="1" x14ac:dyDescent="0.25">
      <c r="A109" s="126" t="s">
        <v>1239</v>
      </c>
      <c r="B109" s="126" t="s">
        <v>362</v>
      </c>
      <c r="C109" s="126" t="s">
        <v>623</v>
      </c>
      <c r="D109" s="126" t="s">
        <v>624</v>
      </c>
      <c r="E109" s="125">
        <f>F109</f>
        <v>0</v>
      </c>
      <c r="F109" s="132">
        <v>0</v>
      </c>
      <c r="G109" s="132"/>
      <c r="H109" s="132"/>
      <c r="I109" s="132"/>
      <c r="J109" s="125">
        <f t="shared" si="108"/>
        <v>0</v>
      </c>
      <c r="K109" s="132"/>
      <c r="L109" s="132"/>
      <c r="M109" s="132"/>
      <c r="N109" s="132"/>
      <c r="O109" s="130">
        <f>K109</f>
        <v>0</v>
      </c>
      <c r="P109" s="125">
        <f t="shared" si="109"/>
        <v>0</v>
      </c>
      <c r="Q109" s="39"/>
      <c r="R109" s="26"/>
    </row>
    <row r="110" spans="1:18" ht="47.25" thickTop="1" thickBot="1" x14ac:dyDescent="0.25">
      <c r="A110" s="308" t="s">
        <v>710</v>
      </c>
      <c r="B110" s="308" t="s">
        <v>711</v>
      </c>
      <c r="C110" s="308"/>
      <c r="D110" s="308" t="s">
        <v>712</v>
      </c>
      <c r="E110" s="324">
        <f>SUM(E111:E124)-E116-E118-E120-E123</f>
        <v>107863536</v>
      </c>
      <c r="F110" s="324">
        <f t="shared" ref="F110:P110" si="110">SUM(F111:F124)-F116-F118-F120-F123</f>
        <v>107863536</v>
      </c>
      <c r="G110" s="324">
        <f t="shared" si="110"/>
        <v>2769881</v>
      </c>
      <c r="H110" s="324">
        <f t="shared" si="110"/>
        <v>208800</v>
      </c>
      <c r="I110" s="324">
        <f t="shared" si="110"/>
        <v>0</v>
      </c>
      <c r="J110" s="324">
        <f t="shared" si="110"/>
        <v>35552534.380000003</v>
      </c>
      <c r="K110" s="324">
        <f t="shared" si="110"/>
        <v>35552534.380000003</v>
      </c>
      <c r="L110" s="324">
        <f t="shared" si="110"/>
        <v>0</v>
      </c>
      <c r="M110" s="324">
        <f t="shared" si="110"/>
        <v>0</v>
      </c>
      <c r="N110" s="324">
        <f t="shared" si="110"/>
        <v>0</v>
      </c>
      <c r="O110" s="324">
        <f t="shared" si="110"/>
        <v>35552534.380000003</v>
      </c>
      <c r="P110" s="324">
        <f t="shared" si="110"/>
        <v>143416070.38</v>
      </c>
      <c r="Q110" s="39"/>
      <c r="R110" s="39"/>
    </row>
    <row r="111" spans="1:18" ht="48" thickTop="1" thickBot="1" x14ac:dyDescent="0.25">
      <c r="A111" s="101" t="s">
        <v>214</v>
      </c>
      <c r="B111" s="101" t="s">
        <v>211</v>
      </c>
      <c r="C111" s="101" t="s">
        <v>215</v>
      </c>
      <c r="D111" s="101" t="s">
        <v>19</v>
      </c>
      <c r="E111" s="324">
        <f>F111</f>
        <v>26228835</v>
      </c>
      <c r="F111" s="453">
        <f>(((24239100-5400000)+625000)+4500000+71480)+2193255</f>
        <v>26228835</v>
      </c>
      <c r="G111" s="453"/>
      <c r="H111" s="453"/>
      <c r="I111" s="453"/>
      <c r="J111" s="324">
        <f t="shared" si="108"/>
        <v>21870800</v>
      </c>
      <c r="K111" s="453">
        <f>(((((6800000)+5212000)+1000000)+2994000+254700)+2000000)-148300-172000-69600+3000000+1000000</f>
        <v>21870800</v>
      </c>
      <c r="L111" s="453"/>
      <c r="M111" s="453"/>
      <c r="N111" s="453"/>
      <c r="O111" s="450">
        <f>K111</f>
        <v>21870800</v>
      </c>
      <c r="P111" s="324">
        <f t="shared" si="109"/>
        <v>48099635</v>
      </c>
      <c r="Q111" s="20"/>
      <c r="R111" s="30"/>
    </row>
    <row r="112" spans="1:18" ht="48" thickTop="1" thickBot="1" x14ac:dyDescent="0.25">
      <c r="A112" s="101" t="s">
        <v>504</v>
      </c>
      <c r="B112" s="101" t="s">
        <v>507</v>
      </c>
      <c r="C112" s="101" t="s">
        <v>506</v>
      </c>
      <c r="D112" s="101" t="s">
        <v>505</v>
      </c>
      <c r="E112" s="324">
        <f>F112</f>
        <v>14036600</v>
      </c>
      <c r="F112" s="453">
        <f>(((10860600-1200000)+450000+426000)+1000000+1000000)+1500000</f>
        <v>14036600</v>
      </c>
      <c r="G112" s="453"/>
      <c r="H112" s="453"/>
      <c r="I112" s="453"/>
      <c r="J112" s="324">
        <f t="shared" si="108"/>
        <v>0</v>
      </c>
      <c r="K112" s="453"/>
      <c r="L112" s="453"/>
      <c r="M112" s="453"/>
      <c r="N112" s="453"/>
      <c r="O112" s="450">
        <f>K112</f>
        <v>0</v>
      </c>
      <c r="P112" s="324">
        <f t="shared" si="109"/>
        <v>14036600</v>
      </c>
      <c r="Q112" s="20"/>
      <c r="R112" s="39"/>
    </row>
    <row r="113" spans="1:18" ht="48" thickTop="1" thickBot="1" x14ac:dyDescent="0.25">
      <c r="A113" s="101" t="s">
        <v>216</v>
      </c>
      <c r="B113" s="101" t="s">
        <v>217</v>
      </c>
      <c r="C113" s="101" t="s">
        <v>218</v>
      </c>
      <c r="D113" s="101" t="s">
        <v>219</v>
      </c>
      <c r="E113" s="324">
        <f t="shared" ref="E113:E136" si="111">F113</f>
        <v>14721900</v>
      </c>
      <c r="F113" s="453">
        <f>((((9381900-1300000)+1500000+300000+500000)+840000)+1500000)+2000000</f>
        <v>14721900</v>
      </c>
      <c r="G113" s="453"/>
      <c r="H113" s="453"/>
      <c r="I113" s="453"/>
      <c r="J113" s="324">
        <f t="shared" si="108"/>
        <v>11788875.380000001</v>
      </c>
      <c r="K113" s="453">
        <f>((((2400000)+4029711)+1089138+1606348+2108584+2000000)-1078649.38+2065943.76)-2432200</f>
        <v>11788875.380000001</v>
      </c>
      <c r="L113" s="453"/>
      <c r="M113" s="453"/>
      <c r="N113" s="453"/>
      <c r="O113" s="450">
        <f>K113</f>
        <v>11788875.380000001</v>
      </c>
      <c r="P113" s="324">
        <f t="shared" si="109"/>
        <v>26510775.380000003</v>
      </c>
      <c r="Q113" s="20"/>
      <c r="R113" s="39"/>
    </row>
    <row r="114" spans="1:18" ht="93" thickTop="1" thickBot="1" x14ac:dyDescent="0.25">
      <c r="A114" s="101" t="s">
        <v>220</v>
      </c>
      <c r="B114" s="101" t="s">
        <v>221</v>
      </c>
      <c r="C114" s="101" t="s">
        <v>222</v>
      </c>
      <c r="D114" s="101" t="s">
        <v>345</v>
      </c>
      <c r="E114" s="324">
        <f t="shared" si="111"/>
        <v>24519146</v>
      </c>
      <c r="F114" s="453">
        <f>(((26512900-1500000)+500000+39246)-1000000+43000+950000)-1026000</f>
        <v>24519146</v>
      </c>
      <c r="G114" s="132"/>
      <c r="H114" s="132"/>
      <c r="I114" s="132"/>
      <c r="J114" s="324">
        <f t="shared" si="108"/>
        <v>892859</v>
      </c>
      <c r="K114" s="453">
        <f>((0)+308038+233750)+351071</f>
        <v>892859</v>
      </c>
      <c r="L114" s="453"/>
      <c r="M114" s="453"/>
      <c r="N114" s="453"/>
      <c r="O114" s="450">
        <f>K114</f>
        <v>892859</v>
      </c>
      <c r="P114" s="324">
        <f t="shared" si="109"/>
        <v>25412005</v>
      </c>
      <c r="Q114" s="20"/>
      <c r="R114" s="39"/>
    </row>
    <row r="115" spans="1:18" ht="48" hidden="1" thickTop="1" thickBot="1" x14ac:dyDescent="0.25">
      <c r="A115" s="126" t="s">
        <v>223</v>
      </c>
      <c r="B115" s="126" t="s">
        <v>224</v>
      </c>
      <c r="C115" s="126" t="s">
        <v>225</v>
      </c>
      <c r="D115" s="126" t="s">
        <v>226</v>
      </c>
      <c r="E115" s="125">
        <f t="shared" si="111"/>
        <v>0</v>
      </c>
      <c r="F115" s="132">
        <f>(7556300)-7556300</f>
        <v>0</v>
      </c>
      <c r="G115" s="132"/>
      <c r="H115" s="132"/>
      <c r="I115" s="132"/>
      <c r="J115" s="324">
        <f t="shared" si="108"/>
        <v>0</v>
      </c>
      <c r="K115" s="453">
        <f>(200000)-200000</f>
        <v>0</v>
      </c>
      <c r="L115" s="453"/>
      <c r="M115" s="453"/>
      <c r="N115" s="453"/>
      <c r="O115" s="450">
        <f>K115</f>
        <v>0</v>
      </c>
      <c r="P115" s="324">
        <f t="shared" si="109"/>
        <v>0</v>
      </c>
      <c r="Q115" s="20"/>
      <c r="R115" s="39"/>
    </row>
    <row r="116" spans="1:18" ht="48" thickTop="1" thickBot="1" x14ac:dyDescent="0.25">
      <c r="A116" s="325" t="s">
        <v>713</v>
      </c>
      <c r="B116" s="325" t="s">
        <v>714</v>
      </c>
      <c r="C116" s="325"/>
      <c r="D116" s="325" t="s">
        <v>715</v>
      </c>
      <c r="E116" s="321">
        <f>E117</f>
        <v>19427800</v>
      </c>
      <c r="F116" s="321">
        <f t="shared" ref="F116:P116" si="112">F117</f>
        <v>19427800</v>
      </c>
      <c r="G116" s="321">
        <f t="shared" si="112"/>
        <v>0</v>
      </c>
      <c r="H116" s="321">
        <f t="shared" si="112"/>
        <v>0</v>
      </c>
      <c r="I116" s="321">
        <f t="shared" si="112"/>
        <v>0</v>
      </c>
      <c r="J116" s="321">
        <f t="shared" si="112"/>
        <v>1000000</v>
      </c>
      <c r="K116" s="321">
        <f t="shared" si="112"/>
        <v>1000000</v>
      </c>
      <c r="L116" s="321">
        <f t="shared" si="112"/>
        <v>0</v>
      </c>
      <c r="M116" s="321">
        <f t="shared" si="112"/>
        <v>0</v>
      </c>
      <c r="N116" s="321">
        <f t="shared" si="112"/>
        <v>0</v>
      </c>
      <c r="O116" s="321">
        <f t="shared" si="112"/>
        <v>1000000</v>
      </c>
      <c r="P116" s="321">
        <f t="shared" si="112"/>
        <v>20427800</v>
      </c>
      <c r="Q116" s="20"/>
      <c r="R116" s="39"/>
    </row>
    <row r="117" spans="1:18" ht="93" thickTop="1" thickBot="1" x14ac:dyDescent="0.25">
      <c r="A117" s="101" t="s">
        <v>227</v>
      </c>
      <c r="B117" s="101" t="s">
        <v>228</v>
      </c>
      <c r="C117" s="101" t="s">
        <v>346</v>
      </c>
      <c r="D117" s="101" t="s">
        <v>229</v>
      </c>
      <c r="E117" s="324">
        <f t="shared" si="111"/>
        <v>19427800</v>
      </c>
      <c r="F117" s="453">
        <f>(19727800-600000)+300000</f>
        <v>19427800</v>
      </c>
      <c r="G117" s="453"/>
      <c r="H117" s="453"/>
      <c r="I117" s="453"/>
      <c r="J117" s="324">
        <f t="shared" si="108"/>
        <v>1000000</v>
      </c>
      <c r="K117" s="453">
        <f>(0)+1000000</f>
        <v>1000000</v>
      </c>
      <c r="L117" s="453"/>
      <c r="M117" s="453"/>
      <c r="N117" s="453"/>
      <c r="O117" s="450">
        <f t="shared" ref="O117:O136" si="113">K117</f>
        <v>1000000</v>
      </c>
      <c r="P117" s="324">
        <f t="shared" si="109"/>
        <v>20427800</v>
      </c>
      <c r="Q117" s="20"/>
      <c r="R117" s="39"/>
    </row>
    <row r="118" spans="1:18" ht="48" hidden="1" thickTop="1" thickBot="1" x14ac:dyDescent="0.25">
      <c r="A118" s="138" t="s">
        <v>716</v>
      </c>
      <c r="B118" s="138" t="s">
        <v>717</v>
      </c>
      <c r="C118" s="138"/>
      <c r="D118" s="138" t="s">
        <v>718</v>
      </c>
      <c r="E118" s="139">
        <f>E119</f>
        <v>0</v>
      </c>
      <c r="F118" s="139">
        <f t="shared" ref="F118:P118" si="114">F119</f>
        <v>0</v>
      </c>
      <c r="G118" s="139">
        <f t="shared" si="114"/>
        <v>0</v>
      </c>
      <c r="H118" s="139">
        <f t="shared" si="114"/>
        <v>0</v>
      </c>
      <c r="I118" s="139">
        <f t="shared" si="114"/>
        <v>0</v>
      </c>
      <c r="J118" s="575">
        <f t="shared" si="114"/>
        <v>0</v>
      </c>
      <c r="K118" s="575">
        <f t="shared" si="114"/>
        <v>0</v>
      </c>
      <c r="L118" s="575">
        <f t="shared" si="114"/>
        <v>0</v>
      </c>
      <c r="M118" s="575">
        <f t="shared" si="114"/>
        <v>0</v>
      </c>
      <c r="N118" s="575">
        <f t="shared" si="114"/>
        <v>0</v>
      </c>
      <c r="O118" s="575">
        <f t="shared" si="114"/>
        <v>0</v>
      </c>
      <c r="P118" s="575">
        <f t="shared" si="114"/>
        <v>0</v>
      </c>
      <c r="Q118" s="20"/>
      <c r="R118" s="39"/>
    </row>
    <row r="119" spans="1:18" ht="48" hidden="1" thickTop="1" thickBot="1" x14ac:dyDescent="0.25">
      <c r="A119" s="126" t="s">
        <v>474</v>
      </c>
      <c r="B119" s="126" t="s">
        <v>475</v>
      </c>
      <c r="C119" s="126" t="s">
        <v>230</v>
      </c>
      <c r="D119" s="126" t="s">
        <v>476</v>
      </c>
      <c r="E119" s="125">
        <f t="shared" si="111"/>
        <v>0</v>
      </c>
      <c r="F119" s="132">
        <v>0</v>
      </c>
      <c r="G119" s="132"/>
      <c r="H119" s="132"/>
      <c r="I119" s="132"/>
      <c r="J119" s="576">
        <f t="shared" si="108"/>
        <v>0</v>
      </c>
      <c r="K119" s="577"/>
      <c r="L119" s="577"/>
      <c r="M119" s="577"/>
      <c r="N119" s="577"/>
      <c r="O119" s="578">
        <f t="shared" si="113"/>
        <v>0</v>
      </c>
      <c r="P119" s="576">
        <f t="shared" si="109"/>
        <v>0</v>
      </c>
      <c r="Q119" s="20"/>
      <c r="R119" s="39"/>
    </row>
    <row r="120" spans="1:18" ht="48" thickTop="1" thickBot="1" x14ac:dyDescent="0.25">
      <c r="A120" s="325" t="s">
        <v>719</v>
      </c>
      <c r="B120" s="325" t="s">
        <v>720</v>
      </c>
      <c r="C120" s="325"/>
      <c r="D120" s="325" t="s">
        <v>721</v>
      </c>
      <c r="E120" s="321">
        <f>SUM(E121:E122)</f>
        <v>8929255</v>
      </c>
      <c r="F120" s="321">
        <f t="shared" ref="F120:P120" si="115">SUM(F121:F122)</f>
        <v>8929255</v>
      </c>
      <c r="G120" s="321">
        <f t="shared" si="115"/>
        <v>2769881</v>
      </c>
      <c r="H120" s="321">
        <f t="shared" si="115"/>
        <v>208800</v>
      </c>
      <c r="I120" s="321">
        <f t="shared" si="115"/>
        <v>0</v>
      </c>
      <c r="J120" s="321">
        <f t="shared" si="115"/>
        <v>0</v>
      </c>
      <c r="K120" s="321">
        <f t="shared" si="115"/>
        <v>0</v>
      </c>
      <c r="L120" s="321">
        <f t="shared" si="115"/>
        <v>0</v>
      </c>
      <c r="M120" s="321">
        <f t="shared" si="115"/>
        <v>0</v>
      </c>
      <c r="N120" s="321">
        <f t="shared" si="115"/>
        <v>0</v>
      </c>
      <c r="O120" s="321">
        <f t="shared" si="115"/>
        <v>0</v>
      </c>
      <c r="P120" s="321">
        <f t="shared" si="115"/>
        <v>8929255</v>
      </c>
      <c r="Q120" s="20"/>
      <c r="R120" s="39"/>
    </row>
    <row r="121" spans="1:18" s="33" customFormat="1" ht="48" thickTop="1" thickBot="1" x14ac:dyDescent="0.25">
      <c r="A121" s="101" t="s">
        <v>321</v>
      </c>
      <c r="B121" s="101" t="s">
        <v>323</v>
      </c>
      <c r="C121" s="101" t="s">
        <v>230</v>
      </c>
      <c r="D121" s="461" t="s">
        <v>319</v>
      </c>
      <c r="E121" s="324">
        <f t="shared" si="111"/>
        <v>3823055</v>
      </c>
      <c r="F121" s="453">
        <f>(4423055)-600000</f>
        <v>3823055</v>
      </c>
      <c r="G121" s="453">
        <f>(3269881)-500000</f>
        <v>2769881</v>
      </c>
      <c r="H121" s="453">
        <v>208800</v>
      </c>
      <c r="I121" s="453"/>
      <c r="J121" s="324">
        <f t="shared" si="108"/>
        <v>0</v>
      </c>
      <c r="K121" s="453"/>
      <c r="L121" s="453"/>
      <c r="M121" s="453"/>
      <c r="N121" s="453"/>
      <c r="O121" s="450">
        <f t="shared" si="113"/>
        <v>0</v>
      </c>
      <c r="P121" s="324">
        <f t="shared" si="109"/>
        <v>3823055</v>
      </c>
      <c r="Q121" s="36"/>
      <c r="R121" s="26"/>
    </row>
    <row r="122" spans="1:18" s="33" customFormat="1" ht="48" thickTop="1" thickBot="1" x14ac:dyDescent="0.25">
      <c r="A122" s="101" t="s">
        <v>322</v>
      </c>
      <c r="B122" s="101" t="s">
        <v>324</v>
      </c>
      <c r="C122" s="101" t="s">
        <v>230</v>
      </c>
      <c r="D122" s="461" t="s">
        <v>320</v>
      </c>
      <c r="E122" s="324">
        <f t="shared" si="111"/>
        <v>5106200</v>
      </c>
      <c r="F122" s="453">
        <f>(5426200)-150000-170000</f>
        <v>5106200</v>
      </c>
      <c r="G122" s="453"/>
      <c r="H122" s="453"/>
      <c r="I122" s="453"/>
      <c r="J122" s="324">
        <f t="shared" si="108"/>
        <v>0</v>
      </c>
      <c r="K122" s="453"/>
      <c r="L122" s="453"/>
      <c r="M122" s="453"/>
      <c r="N122" s="453"/>
      <c r="O122" s="450">
        <f t="shared" si="113"/>
        <v>0</v>
      </c>
      <c r="P122" s="324">
        <f t="shared" si="109"/>
        <v>5106200</v>
      </c>
      <c r="Q122" s="36"/>
      <c r="R122" s="39"/>
    </row>
    <row r="123" spans="1:18" s="33" customFormat="1" ht="127.5" hidden="1" customHeight="1" thickTop="1" thickBot="1" x14ac:dyDescent="0.25">
      <c r="A123" s="325" t="s">
        <v>1566</v>
      </c>
      <c r="B123" s="325" t="s">
        <v>1567</v>
      </c>
      <c r="C123" s="325"/>
      <c r="D123" s="325" t="s">
        <v>1565</v>
      </c>
      <c r="E123" s="321">
        <f>E124</f>
        <v>0</v>
      </c>
      <c r="F123" s="321">
        <f t="shared" ref="F123:P123" si="116">F124</f>
        <v>0</v>
      </c>
      <c r="G123" s="321">
        <f t="shared" si="116"/>
        <v>0</v>
      </c>
      <c r="H123" s="321">
        <f t="shared" si="116"/>
        <v>0</v>
      </c>
      <c r="I123" s="321">
        <f t="shared" si="116"/>
        <v>0</v>
      </c>
      <c r="J123" s="321">
        <f t="shared" si="116"/>
        <v>0</v>
      </c>
      <c r="K123" s="321">
        <f t="shared" si="116"/>
        <v>0</v>
      </c>
      <c r="L123" s="321">
        <f t="shared" si="116"/>
        <v>0</v>
      </c>
      <c r="M123" s="321">
        <f t="shared" si="116"/>
        <v>0</v>
      </c>
      <c r="N123" s="321">
        <f t="shared" si="116"/>
        <v>0</v>
      </c>
      <c r="O123" s="321">
        <f t="shared" si="116"/>
        <v>0</v>
      </c>
      <c r="P123" s="321">
        <f t="shared" si="116"/>
        <v>0</v>
      </c>
      <c r="Q123" s="36"/>
      <c r="R123" s="39"/>
    </row>
    <row r="124" spans="1:18" s="684" customFormat="1" ht="138.75" hidden="1" thickTop="1" thickBot="1" x14ac:dyDescent="0.25">
      <c r="A124" s="101" t="s">
        <v>1569</v>
      </c>
      <c r="B124" s="101" t="s">
        <v>1570</v>
      </c>
      <c r="C124" s="101" t="s">
        <v>230</v>
      </c>
      <c r="D124" s="461" t="s">
        <v>1568</v>
      </c>
      <c r="E124" s="324">
        <f t="shared" ref="E124" si="117">F124</f>
        <v>0</v>
      </c>
      <c r="F124" s="453"/>
      <c r="G124" s="453"/>
      <c r="H124" s="453"/>
      <c r="I124" s="453"/>
      <c r="J124" s="324">
        <f t="shared" ref="J124" si="118">L124+O124</f>
        <v>0</v>
      </c>
      <c r="K124" s="453">
        <f>(2994000)-2994000</f>
        <v>0</v>
      </c>
      <c r="L124" s="453"/>
      <c r="M124" s="453"/>
      <c r="N124" s="453"/>
      <c r="O124" s="450">
        <f t="shared" ref="O124" si="119">K124</f>
        <v>0</v>
      </c>
      <c r="P124" s="324">
        <f t="shared" ref="P124" si="120">E124+J124</f>
        <v>0</v>
      </c>
      <c r="Q124" s="682"/>
      <c r="R124" s="683"/>
    </row>
    <row r="125" spans="1:18" s="33" customFormat="1" ht="47.25" thickTop="1" thickBot="1" x14ac:dyDescent="0.25">
      <c r="A125" s="308" t="s">
        <v>1180</v>
      </c>
      <c r="B125" s="308" t="s">
        <v>707</v>
      </c>
      <c r="C125" s="308"/>
      <c r="D125" s="308" t="s">
        <v>708</v>
      </c>
      <c r="E125" s="324">
        <f>E126</f>
        <v>100000</v>
      </c>
      <c r="F125" s="324">
        <f t="shared" ref="F125:P125" si="121">F126</f>
        <v>100000</v>
      </c>
      <c r="G125" s="324">
        <f t="shared" si="121"/>
        <v>0</v>
      </c>
      <c r="H125" s="324">
        <f t="shared" si="121"/>
        <v>0</v>
      </c>
      <c r="I125" s="324">
        <f t="shared" si="121"/>
        <v>0</v>
      </c>
      <c r="J125" s="324">
        <f t="shared" si="121"/>
        <v>0</v>
      </c>
      <c r="K125" s="324">
        <f t="shared" si="121"/>
        <v>0</v>
      </c>
      <c r="L125" s="324">
        <f t="shared" si="121"/>
        <v>0</v>
      </c>
      <c r="M125" s="324">
        <f t="shared" si="121"/>
        <v>0</v>
      </c>
      <c r="N125" s="324">
        <f t="shared" si="121"/>
        <v>0</v>
      </c>
      <c r="O125" s="324">
        <f t="shared" si="121"/>
        <v>0</v>
      </c>
      <c r="P125" s="324">
        <f t="shared" si="121"/>
        <v>100000</v>
      </c>
      <c r="Q125" s="36"/>
      <c r="R125" s="39"/>
    </row>
    <row r="126" spans="1:18" s="33" customFormat="1" ht="93" thickTop="1" thickBot="1" x14ac:dyDescent="0.25">
      <c r="A126" s="101" t="s">
        <v>1181</v>
      </c>
      <c r="B126" s="101" t="s">
        <v>1182</v>
      </c>
      <c r="C126" s="101" t="s">
        <v>206</v>
      </c>
      <c r="D126" s="461" t="s">
        <v>1183</v>
      </c>
      <c r="E126" s="324">
        <f t="shared" ref="E126" si="122">F126</f>
        <v>100000</v>
      </c>
      <c r="F126" s="453">
        <v>100000</v>
      </c>
      <c r="G126" s="453"/>
      <c r="H126" s="453"/>
      <c r="I126" s="453"/>
      <c r="J126" s="324">
        <f t="shared" ref="J126" si="123">L126+O126</f>
        <v>0</v>
      </c>
      <c r="K126" s="453"/>
      <c r="L126" s="453"/>
      <c r="M126" s="453"/>
      <c r="N126" s="453"/>
      <c r="O126" s="450">
        <f t="shared" ref="O126" si="124">K126</f>
        <v>0</v>
      </c>
      <c r="P126" s="324">
        <f t="shared" ref="P126" si="125">E126+J126</f>
        <v>100000</v>
      </c>
      <c r="Q126" s="36"/>
      <c r="R126" s="39"/>
    </row>
    <row r="127" spans="1:18" s="33" customFormat="1" ht="47.25" thickTop="1" thickBot="1" x14ac:dyDescent="0.25">
      <c r="A127" s="308" t="s">
        <v>746</v>
      </c>
      <c r="B127" s="308" t="s">
        <v>744</v>
      </c>
      <c r="C127" s="308"/>
      <c r="D127" s="308" t="s">
        <v>745</v>
      </c>
      <c r="E127" s="324">
        <f>SUM(E133)+E128</f>
        <v>0</v>
      </c>
      <c r="F127" s="324">
        <f t="shared" ref="F127:P127" si="126">SUM(F133)+F128</f>
        <v>0</v>
      </c>
      <c r="G127" s="324">
        <f t="shared" si="126"/>
        <v>0</v>
      </c>
      <c r="H127" s="324">
        <f t="shared" si="126"/>
        <v>0</v>
      </c>
      <c r="I127" s="324">
        <f t="shared" si="126"/>
        <v>0</v>
      </c>
      <c r="J127" s="324">
        <f t="shared" si="126"/>
        <v>3044424.99</v>
      </c>
      <c r="K127" s="324">
        <f t="shared" si="126"/>
        <v>3044424.99</v>
      </c>
      <c r="L127" s="324">
        <f t="shared" si="126"/>
        <v>0</v>
      </c>
      <c r="M127" s="324">
        <f t="shared" si="126"/>
        <v>0</v>
      </c>
      <c r="N127" s="324">
        <f t="shared" si="126"/>
        <v>0</v>
      </c>
      <c r="O127" s="324">
        <f t="shared" si="126"/>
        <v>3044424.99</v>
      </c>
      <c r="P127" s="324">
        <f t="shared" si="126"/>
        <v>3044424.99</v>
      </c>
      <c r="Q127" s="36"/>
      <c r="R127" s="39"/>
    </row>
    <row r="128" spans="1:18" s="33" customFormat="1" ht="47.25" thickTop="1" thickBot="1" x14ac:dyDescent="0.25">
      <c r="A128" s="310" t="s">
        <v>1036</v>
      </c>
      <c r="B128" s="310" t="s">
        <v>799</v>
      </c>
      <c r="C128" s="310"/>
      <c r="D128" s="310" t="s">
        <v>800</v>
      </c>
      <c r="E128" s="312">
        <f>E131+E129</f>
        <v>0</v>
      </c>
      <c r="F128" s="312">
        <f t="shared" ref="F128:P128" si="127">F131+F129</f>
        <v>0</v>
      </c>
      <c r="G128" s="312">
        <f t="shared" si="127"/>
        <v>0</v>
      </c>
      <c r="H128" s="312">
        <f t="shared" si="127"/>
        <v>0</v>
      </c>
      <c r="I128" s="312">
        <f t="shared" si="127"/>
        <v>0</v>
      </c>
      <c r="J128" s="312">
        <f t="shared" si="127"/>
        <v>3044424.99</v>
      </c>
      <c r="K128" s="312">
        <f t="shared" si="127"/>
        <v>3044424.99</v>
      </c>
      <c r="L128" s="312">
        <f t="shared" si="127"/>
        <v>0</v>
      </c>
      <c r="M128" s="312">
        <f t="shared" si="127"/>
        <v>0</v>
      </c>
      <c r="N128" s="312">
        <f t="shared" si="127"/>
        <v>0</v>
      </c>
      <c r="O128" s="312">
        <f t="shared" si="127"/>
        <v>3044424.99</v>
      </c>
      <c r="P128" s="312">
        <f t="shared" si="127"/>
        <v>3044424.99</v>
      </c>
      <c r="Q128" s="36"/>
      <c r="R128" s="39"/>
    </row>
    <row r="129" spans="1:20" s="33" customFormat="1" ht="54.75" thickTop="1" thickBot="1" x14ac:dyDescent="0.25">
      <c r="A129" s="325" t="s">
        <v>1162</v>
      </c>
      <c r="B129" s="325" t="s">
        <v>817</v>
      </c>
      <c r="C129" s="325"/>
      <c r="D129" s="325" t="s">
        <v>1483</v>
      </c>
      <c r="E129" s="321">
        <f>E130</f>
        <v>0</v>
      </c>
      <c r="F129" s="321">
        <f t="shared" ref="F129:P129" si="128">F130</f>
        <v>0</v>
      </c>
      <c r="G129" s="321">
        <f t="shared" si="128"/>
        <v>0</v>
      </c>
      <c r="H129" s="321">
        <f t="shared" si="128"/>
        <v>0</v>
      </c>
      <c r="I129" s="321">
        <f t="shared" si="128"/>
        <v>0</v>
      </c>
      <c r="J129" s="321">
        <f t="shared" si="128"/>
        <v>3044424.99</v>
      </c>
      <c r="K129" s="321">
        <f t="shared" si="128"/>
        <v>3044424.99</v>
      </c>
      <c r="L129" s="321">
        <f t="shared" si="128"/>
        <v>0</v>
      </c>
      <c r="M129" s="321">
        <f t="shared" si="128"/>
        <v>0</v>
      </c>
      <c r="N129" s="321">
        <f t="shared" si="128"/>
        <v>0</v>
      </c>
      <c r="O129" s="321">
        <f t="shared" si="128"/>
        <v>3044424.99</v>
      </c>
      <c r="P129" s="321">
        <f t="shared" si="128"/>
        <v>3044424.99</v>
      </c>
      <c r="Q129" s="36"/>
      <c r="R129" s="39"/>
    </row>
    <row r="130" spans="1:20" s="33" customFormat="1" ht="54" thickTop="1" thickBot="1" x14ac:dyDescent="0.25">
      <c r="A130" s="101" t="s">
        <v>1161</v>
      </c>
      <c r="B130" s="101" t="s">
        <v>1163</v>
      </c>
      <c r="C130" s="101" t="s">
        <v>304</v>
      </c>
      <c r="D130" s="101" t="s">
        <v>1505</v>
      </c>
      <c r="E130" s="324">
        <f t="shared" ref="E130" si="129">F130</f>
        <v>0</v>
      </c>
      <c r="F130" s="453"/>
      <c r="G130" s="453"/>
      <c r="H130" s="453"/>
      <c r="I130" s="453"/>
      <c r="J130" s="324">
        <f t="shared" ref="J130" si="130">L130+O130</f>
        <v>3044424.99</v>
      </c>
      <c r="K130" s="453">
        <f>((1000000)+2058924.99)-14500</f>
        <v>3044424.99</v>
      </c>
      <c r="L130" s="453"/>
      <c r="M130" s="453"/>
      <c r="N130" s="453"/>
      <c r="O130" s="450">
        <f>K130</f>
        <v>3044424.99</v>
      </c>
      <c r="P130" s="324">
        <f t="shared" ref="P130" si="131">E130+J130</f>
        <v>3044424.99</v>
      </c>
      <c r="Q130" s="36"/>
      <c r="R130" s="39"/>
    </row>
    <row r="131" spans="1:20" s="33" customFormat="1" ht="48" hidden="1" thickTop="1" thickBot="1" x14ac:dyDescent="0.25">
      <c r="A131" s="142" t="s">
        <v>1037</v>
      </c>
      <c r="B131" s="142" t="s">
        <v>1035</v>
      </c>
      <c r="C131" s="142"/>
      <c r="D131" s="142" t="s">
        <v>1034</v>
      </c>
      <c r="E131" s="143">
        <f>E132</f>
        <v>0</v>
      </c>
      <c r="F131" s="143">
        <f t="shared" ref="F131:P131" si="132">F132</f>
        <v>0</v>
      </c>
      <c r="G131" s="143">
        <f t="shared" si="132"/>
        <v>0</v>
      </c>
      <c r="H131" s="143">
        <f t="shared" si="132"/>
        <v>0</v>
      </c>
      <c r="I131" s="143">
        <f t="shared" si="132"/>
        <v>0</v>
      </c>
      <c r="J131" s="143">
        <f t="shared" si="132"/>
        <v>0</v>
      </c>
      <c r="K131" s="143">
        <f t="shared" si="132"/>
        <v>0</v>
      </c>
      <c r="L131" s="143">
        <f t="shared" si="132"/>
        <v>0</v>
      </c>
      <c r="M131" s="143">
        <f t="shared" si="132"/>
        <v>0</v>
      </c>
      <c r="N131" s="143">
        <f t="shared" si="132"/>
        <v>0</v>
      </c>
      <c r="O131" s="143">
        <f t="shared" si="132"/>
        <v>0</v>
      </c>
      <c r="P131" s="143">
        <f t="shared" si="132"/>
        <v>0</v>
      </c>
      <c r="Q131" s="36"/>
      <c r="R131" s="39"/>
    </row>
    <row r="132" spans="1:20" s="33" customFormat="1" ht="93" hidden="1" thickTop="1" thickBot="1" x14ac:dyDescent="0.25">
      <c r="A132" s="41" t="s">
        <v>1038</v>
      </c>
      <c r="B132" s="41" t="s">
        <v>1039</v>
      </c>
      <c r="C132" s="41" t="s">
        <v>170</v>
      </c>
      <c r="D132" s="41" t="s">
        <v>1040</v>
      </c>
      <c r="E132" s="42">
        <f t="shared" si="111"/>
        <v>0</v>
      </c>
      <c r="F132" s="43"/>
      <c r="G132" s="43"/>
      <c r="H132" s="43"/>
      <c r="I132" s="43"/>
      <c r="J132" s="42">
        <f t="shared" si="108"/>
        <v>0</v>
      </c>
      <c r="K132" s="43"/>
      <c r="L132" s="43"/>
      <c r="M132" s="43"/>
      <c r="N132" s="43"/>
      <c r="O132" s="44">
        <f>K132</f>
        <v>0</v>
      </c>
      <c r="P132" s="42">
        <f t="shared" si="109"/>
        <v>0</v>
      </c>
      <c r="Q132" s="36"/>
      <c r="R132" s="26"/>
    </row>
    <row r="133" spans="1:20" s="28" customFormat="1" ht="47.25" hidden="1" thickTop="1" thickBot="1" x14ac:dyDescent="0.25">
      <c r="A133" s="310" t="s">
        <v>722</v>
      </c>
      <c r="B133" s="310" t="s">
        <v>687</v>
      </c>
      <c r="C133" s="310"/>
      <c r="D133" s="310" t="s">
        <v>685</v>
      </c>
      <c r="E133" s="312">
        <f>E134</f>
        <v>0</v>
      </c>
      <c r="F133" s="312">
        <f t="shared" ref="F133:P133" si="133">F134</f>
        <v>0</v>
      </c>
      <c r="G133" s="312">
        <f t="shared" si="133"/>
        <v>0</v>
      </c>
      <c r="H133" s="312">
        <f t="shared" si="133"/>
        <v>0</v>
      </c>
      <c r="I133" s="312">
        <f t="shared" si="133"/>
        <v>0</v>
      </c>
      <c r="J133" s="312">
        <f t="shared" si="133"/>
        <v>0</v>
      </c>
      <c r="K133" s="312">
        <f t="shared" si="133"/>
        <v>0</v>
      </c>
      <c r="L133" s="312">
        <f t="shared" si="133"/>
        <v>0</v>
      </c>
      <c r="M133" s="312">
        <f t="shared" si="133"/>
        <v>0</v>
      </c>
      <c r="N133" s="312">
        <f t="shared" si="133"/>
        <v>0</v>
      </c>
      <c r="O133" s="312">
        <f t="shared" si="133"/>
        <v>0</v>
      </c>
      <c r="P133" s="312">
        <f t="shared" si="133"/>
        <v>0</v>
      </c>
      <c r="Q133" s="147"/>
      <c r="R133" s="40"/>
    </row>
    <row r="134" spans="1:20" s="28" customFormat="1" ht="48" hidden="1" thickTop="1" thickBot="1" x14ac:dyDescent="0.25">
      <c r="A134" s="101" t="s">
        <v>1237</v>
      </c>
      <c r="B134" s="101" t="s">
        <v>212</v>
      </c>
      <c r="C134" s="101" t="s">
        <v>213</v>
      </c>
      <c r="D134" s="101" t="s">
        <v>41</v>
      </c>
      <c r="E134" s="324">
        <f t="shared" si="111"/>
        <v>0</v>
      </c>
      <c r="F134" s="453"/>
      <c r="G134" s="453"/>
      <c r="H134" s="453"/>
      <c r="I134" s="453"/>
      <c r="J134" s="324">
        <f t="shared" ref="J134" si="134">L134+O134</f>
        <v>0</v>
      </c>
      <c r="K134" s="453">
        <f>((0)+2000000)-2000000</f>
        <v>0</v>
      </c>
      <c r="L134" s="453"/>
      <c r="M134" s="453"/>
      <c r="N134" s="453"/>
      <c r="O134" s="450">
        <f t="shared" ref="O134" si="135">K134</f>
        <v>0</v>
      </c>
      <c r="P134" s="324">
        <f t="shared" si="109"/>
        <v>0</v>
      </c>
      <c r="Q134" s="147"/>
      <c r="R134" s="40"/>
    </row>
    <row r="135" spans="1:20" s="33" customFormat="1" ht="48" hidden="1" thickTop="1" thickBot="1" x14ac:dyDescent="0.25">
      <c r="A135" s="41" t="s">
        <v>434</v>
      </c>
      <c r="B135" s="41" t="s">
        <v>197</v>
      </c>
      <c r="C135" s="41" t="s">
        <v>170</v>
      </c>
      <c r="D135" s="41" t="s">
        <v>34</v>
      </c>
      <c r="E135" s="42">
        <f t="shared" si="111"/>
        <v>0</v>
      </c>
      <c r="F135" s="43"/>
      <c r="G135" s="43"/>
      <c r="H135" s="43"/>
      <c r="I135" s="43"/>
      <c r="J135" s="42">
        <f t="shared" si="108"/>
        <v>0</v>
      </c>
      <c r="K135" s="43"/>
      <c r="L135" s="43"/>
      <c r="M135" s="43"/>
      <c r="N135" s="43"/>
      <c r="O135" s="44">
        <f t="shared" si="113"/>
        <v>0</v>
      </c>
      <c r="P135" s="42">
        <f t="shared" si="109"/>
        <v>0</v>
      </c>
      <c r="Q135" s="36"/>
      <c r="R135" s="26"/>
    </row>
    <row r="136" spans="1:20" s="33" customFormat="1" ht="48" hidden="1" thickTop="1" thickBot="1" x14ac:dyDescent="0.25">
      <c r="A136" s="41" t="s">
        <v>508</v>
      </c>
      <c r="B136" s="41" t="s">
        <v>363</v>
      </c>
      <c r="C136" s="41" t="s">
        <v>43</v>
      </c>
      <c r="D136" s="41" t="s">
        <v>364</v>
      </c>
      <c r="E136" s="42">
        <f t="shared" si="111"/>
        <v>0</v>
      </c>
      <c r="F136" s="43"/>
      <c r="G136" s="43"/>
      <c r="H136" s="43"/>
      <c r="I136" s="43"/>
      <c r="J136" s="42">
        <f t="shared" si="108"/>
        <v>0</v>
      </c>
      <c r="K136" s="43"/>
      <c r="L136" s="43"/>
      <c r="M136" s="43"/>
      <c r="N136" s="43"/>
      <c r="O136" s="44">
        <f t="shared" si="113"/>
        <v>0</v>
      </c>
      <c r="P136" s="42">
        <f t="shared" si="109"/>
        <v>0</v>
      </c>
      <c r="Q136" s="36"/>
      <c r="R136" s="30"/>
    </row>
    <row r="137" spans="1:20" ht="120" customHeight="1" thickTop="1" thickBot="1" x14ac:dyDescent="0.25">
      <c r="A137" s="689" t="s">
        <v>156</v>
      </c>
      <c r="B137" s="689"/>
      <c r="C137" s="689"/>
      <c r="D137" s="690" t="s">
        <v>37</v>
      </c>
      <c r="E137" s="691">
        <f>E138</f>
        <v>380927135.01999998</v>
      </c>
      <c r="F137" s="692">
        <f t="shared" ref="F137:G137" si="136">F138</f>
        <v>380927135.01999998</v>
      </c>
      <c r="G137" s="692">
        <f t="shared" si="136"/>
        <v>100335238</v>
      </c>
      <c r="H137" s="692">
        <f>H138</f>
        <v>6065324.8200000003</v>
      </c>
      <c r="I137" s="692">
        <f t="shared" ref="I137" si="137">I138</f>
        <v>0</v>
      </c>
      <c r="J137" s="691">
        <f>J138</f>
        <v>339632254.42999995</v>
      </c>
      <c r="K137" s="692">
        <f>K138</f>
        <v>333368994.42999995</v>
      </c>
      <c r="L137" s="692">
        <f>L138</f>
        <v>6239260</v>
      </c>
      <c r="M137" s="692">
        <f t="shared" ref="M137" si="138">M138</f>
        <v>2604685</v>
      </c>
      <c r="N137" s="692">
        <f>N138</f>
        <v>705805</v>
      </c>
      <c r="O137" s="691">
        <f>O138</f>
        <v>333392994.42999995</v>
      </c>
      <c r="P137" s="692">
        <f>P138</f>
        <v>720559389.44999993</v>
      </c>
      <c r="Q137" s="20"/>
    </row>
    <row r="138" spans="1:20" ht="120" customHeight="1" thickTop="1" thickBot="1" x14ac:dyDescent="0.25">
      <c r="A138" s="693" t="s">
        <v>157</v>
      </c>
      <c r="B138" s="693"/>
      <c r="C138" s="693"/>
      <c r="D138" s="694" t="s">
        <v>38</v>
      </c>
      <c r="E138" s="695">
        <f>E139+E143+E185+E189</f>
        <v>380927135.01999998</v>
      </c>
      <c r="F138" s="695">
        <f>F139+F143+F185+F189</f>
        <v>380927135.01999998</v>
      </c>
      <c r="G138" s="695">
        <f>G139+G143+G185+G189</f>
        <v>100335238</v>
      </c>
      <c r="H138" s="695">
        <f>H139+H143+H185+H189</f>
        <v>6065324.8200000003</v>
      </c>
      <c r="I138" s="695">
        <f>I139+I143+I185+I189</f>
        <v>0</v>
      </c>
      <c r="J138" s="695">
        <f t="shared" ref="J138:J165" si="139">L138+O138</f>
        <v>339632254.42999995</v>
      </c>
      <c r="K138" s="695">
        <f>K139+K143+K185+K189</f>
        <v>333368994.42999995</v>
      </c>
      <c r="L138" s="695">
        <f>L139+L143+L185+L189</f>
        <v>6239260</v>
      </c>
      <c r="M138" s="695">
        <f>M139+M143+M185+M189</f>
        <v>2604685</v>
      </c>
      <c r="N138" s="695">
        <f>N139+N143+N185+N189</f>
        <v>705805</v>
      </c>
      <c r="O138" s="695">
        <f>O139+O143+O185+O189</f>
        <v>333392994.42999995</v>
      </c>
      <c r="P138" s="695">
        <f>E138+J138</f>
        <v>720559389.44999993</v>
      </c>
      <c r="Q138" s="487" t="b">
        <f>P138=P140+P142+P145+P146+P147+P148+P149+P150+P151+P152+P154+P155+P157+P159+P161+P162+P164+P165+P181+P183+P184+P187+P194+P192+P167+P171+P175+P158+P188</f>
        <v>1</v>
      </c>
      <c r="R138" s="46"/>
      <c r="S138" s="46"/>
      <c r="T138" s="45"/>
    </row>
    <row r="139" spans="1:20" ht="47.25" thickTop="1" thickBot="1" x14ac:dyDescent="0.25">
      <c r="A139" s="308" t="s">
        <v>723</v>
      </c>
      <c r="B139" s="308" t="s">
        <v>680</v>
      </c>
      <c r="C139" s="308"/>
      <c r="D139" s="308" t="s">
        <v>681</v>
      </c>
      <c r="E139" s="324">
        <f t="shared" ref="E139:P139" si="140">SUM(E140:E142)</f>
        <v>58461592</v>
      </c>
      <c r="F139" s="324">
        <f t="shared" si="140"/>
        <v>58461592</v>
      </c>
      <c r="G139" s="324">
        <f t="shared" si="140"/>
        <v>43614500</v>
      </c>
      <c r="H139" s="324">
        <f t="shared" si="140"/>
        <v>2042382</v>
      </c>
      <c r="I139" s="324">
        <f t="shared" si="140"/>
        <v>0</v>
      </c>
      <c r="J139" s="324">
        <f t="shared" si="140"/>
        <v>658000</v>
      </c>
      <c r="K139" s="324">
        <f t="shared" si="140"/>
        <v>658000</v>
      </c>
      <c r="L139" s="324">
        <f t="shared" si="140"/>
        <v>0</v>
      </c>
      <c r="M139" s="324">
        <f t="shared" si="140"/>
        <v>0</v>
      </c>
      <c r="N139" s="324">
        <f t="shared" si="140"/>
        <v>0</v>
      </c>
      <c r="O139" s="324">
        <f t="shared" si="140"/>
        <v>658000</v>
      </c>
      <c r="P139" s="324">
        <f t="shared" si="140"/>
        <v>59119592</v>
      </c>
      <c r="Q139" s="47"/>
      <c r="R139" s="46"/>
      <c r="T139" s="45"/>
    </row>
    <row r="140" spans="1:20" ht="93" thickTop="1" thickBot="1" x14ac:dyDescent="0.25">
      <c r="A140" s="101" t="s">
        <v>414</v>
      </c>
      <c r="B140" s="101" t="s">
        <v>236</v>
      </c>
      <c r="C140" s="101" t="s">
        <v>234</v>
      </c>
      <c r="D140" s="101" t="s">
        <v>235</v>
      </c>
      <c r="E140" s="324">
        <f t="shared" ref="E140" si="141">F140</f>
        <v>58431592</v>
      </c>
      <c r="F140" s="453">
        <f>(((58802582)+308000+318000+198000)-986990)+66000+30000-5000-19500-140000-19000-120500</f>
        <v>58431592</v>
      </c>
      <c r="G140" s="453">
        <f>(43735000)-120500</f>
        <v>43614500</v>
      </c>
      <c r="H140" s="453">
        <f>(2080882)-19500-19000</f>
        <v>2042382</v>
      </c>
      <c r="I140" s="453"/>
      <c r="J140" s="324">
        <f t="shared" si="139"/>
        <v>658000</v>
      </c>
      <c r="K140" s="453">
        <f>((700000)-121000)+50000+29000</f>
        <v>658000</v>
      </c>
      <c r="L140" s="453"/>
      <c r="M140" s="453"/>
      <c r="N140" s="453"/>
      <c r="O140" s="450">
        <f>K140</f>
        <v>658000</v>
      </c>
      <c r="P140" s="324">
        <f t="shared" ref="P140:P155" si="142">E140+J140</f>
        <v>59089592</v>
      </c>
      <c r="Q140" s="47"/>
      <c r="R140" s="46"/>
      <c r="T140" s="45"/>
    </row>
    <row r="141" spans="1:20" ht="93" hidden="1" thickTop="1" thickBot="1" x14ac:dyDescent="0.25">
      <c r="A141" s="101" t="s">
        <v>626</v>
      </c>
      <c r="B141" s="101" t="s">
        <v>362</v>
      </c>
      <c r="C141" s="101" t="s">
        <v>623</v>
      </c>
      <c r="D141" s="101" t="s">
        <v>624</v>
      </c>
      <c r="E141" s="324">
        <f t="shared" ref="E141:E142" si="143">F141</f>
        <v>0</v>
      </c>
      <c r="F141" s="453">
        <v>0</v>
      </c>
      <c r="G141" s="453"/>
      <c r="H141" s="453"/>
      <c r="I141" s="453"/>
      <c r="J141" s="324">
        <f t="shared" ref="J141:J142" si="144">L141+O141</f>
        <v>0</v>
      </c>
      <c r="K141" s="453"/>
      <c r="L141" s="453"/>
      <c r="M141" s="453"/>
      <c r="N141" s="453"/>
      <c r="O141" s="450">
        <f>K141</f>
        <v>0</v>
      </c>
      <c r="P141" s="324">
        <f t="shared" ref="P141:P142" si="145">E141+J141</f>
        <v>0</v>
      </c>
      <c r="Q141" s="47"/>
      <c r="R141" s="46"/>
      <c r="T141" s="45"/>
    </row>
    <row r="142" spans="1:20" ht="48" thickTop="1" thickBot="1" x14ac:dyDescent="0.25">
      <c r="A142" s="101" t="s">
        <v>914</v>
      </c>
      <c r="B142" s="101" t="s">
        <v>43</v>
      </c>
      <c r="C142" s="101" t="s">
        <v>42</v>
      </c>
      <c r="D142" s="101" t="s">
        <v>248</v>
      </c>
      <c r="E142" s="324">
        <f t="shared" si="143"/>
        <v>30000</v>
      </c>
      <c r="F142" s="453">
        <v>30000</v>
      </c>
      <c r="G142" s="453"/>
      <c r="H142" s="453"/>
      <c r="I142" s="453"/>
      <c r="J142" s="324">
        <f t="shared" si="144"/>
        <v>0</v>
      </c>
      <c r="K142" s="453"/>
      <c r="L142" s="453"/>
      <c r="M142" s="453"/>
      <c r="N142" s="453"/>
      <c r="O142" s="450"/>
      <c r="P142" s="324">
        <f t="shared" si="145"/>
        <v>30000</v>
      </c>
      <c r="Q142" s="47"/>
      <c r="R142" s="46"/>
      <c r="T142" s="45"/>
    </row>
    <row r="143" spans="1:20" ht="47.25" thickTop="1" thickBot="1" x14ac:dyDescent="0.25">
      <c r="A143" s="308" t="s">
        <v>724</v>
      </c>
      <c r="B143" s="308" t="s">
        <v>707</v>
      </c>
      <c r="C143" s="308"/>
      <c r="D143" s="308" t="s">
        <v>708</v>
      </c>
      <c r="E143" s="324">
        <f t="shared" ref="E143:P143" si="146">SUM(E144:E184)-E144-E153-E163-E166-E182-E160-E156</f>
        <v>322465543.01999998</v>
      </c>
      <c r="F143" s="324">
        <f t="shared" si="146"/>
        <v>322465543.01999998</v>
      </c>
      <c r="G143" s="324">
        <f t="shared" si="146"/>
        <v>56720738</v>
      </c>
      <c r="H143" s="324">
        <f t="shared" si="146"/>
        <v>4022942.82</v>
      </c>
      <c r="I143" s="324">
        <f t="shared" si="146"/>
        <v>0</v>
      </c>
      <c r="J143" s="324">
        <f t="shared" si="146"/>
        <v>295523730.28999996</v>
      </c>
      <c r="K143" s="324">
        <f t="shared" si="146"/>
        <v>289260470.28999996</v>
      </c>
      <c r="L143" s="324">
        <f t="shared" si="146"/>
        <v>6239260</v>
      </c>
      <c r="M143" s="324">
        <f t="shared" si="146"/>
        <v>2604685</v>
      </c>
      <c r="N143" s="324">
        <f t="shared" si="146"/>
        <v>705805</v>
      </c>
      <c r="O143" s="324">
        <f t="shared" si="146"/>
        <v>289284470.28999996</v>
      </c>
      <c r="P143" s="324">
        <f t="shared" si="146"/>
        <v>617989273.31000006</v>
      </c>
      <c r="Q143" s="47"/>
      <c r="R143" s="46"/>
      <c r="T143" s="45"/>
    </row>
    <row r="144" spans="1:20" ht="138.75" thickTop="1" thickBot="1" x14ac:dyDescent="0.25">
      <c r="A144" s="325" t="s">
        <v>725</v>
      </c>
      <c r="B144" s="325" t="s">
        <v>726</v>
      </c>
      <c r="C144" s="325"/>
      <c r="D144" s="325" t="s">
        <v>727</v>
      </c>
      <c r="E144" s="321">
        <f>SUM(E145:E149)</f>
        <v>82408000</v>
      </c>
      <c r="F144" s="321">
        <f t="shared" ref="F144:P144" si="147">SUM(F145:F149)</f>
        <v>82408000</v>
      </c>
      <c r="G144" s="321">
        <f t="shared" si="147"/>
        <v>0</v>
      </c>
      <c r="H144" s="321">
        <f t="shared" si="147"/>
        <v>0</v>
      </c>
      <c r="I144" s="321">
        <f t="shared" si="147"/>
        <v>0</v>
      </c>
      <c r="J144" s="321">
        <f t="shared" si="147"/>
        <v>50000</v>
      </c>
      <c r="K144" s="321">
        <f t="shared" si="147"/>
        <v>50000</v>
      </c>
      <c r="L144" s="321">
        <f t="shared" si="147"/>
        <v>0</v>
      </c>
      <c r="M144" s="321">
        <f t="shared" si="147"/>
        <v>0</v>
      </c>
      <c r="N144" s="321">
        <f t="shared" si="147"/>
        <v>0</v>
      </c>
      <c r="O144" s="321">
        <f t="shared" si="147"/>
        <v>50000</v>
      </c>
      <c r="P144" s="321">
        <f t="shared" si="147"/>
        <v>82458000</v>
      </c>
      <c r="Q144" s="148"/>
      <c r="R144" s="48"/>
      <c r="T144" s="49"/>
    </row>
    <row r="145" spans="1:18" s="33" customFormat="1" ht="93" thickTop="1" thickBot="1" x14ac:dyDescent="0.25">
      <c r="A145" s="101" t="s">
        <v>269</v>
      </c>
      <c r="B145" s="101" t="s">
        <v>270</v>
      </c>
      <c r="C145" s="101" t="s">
        <v>205</v>
      </c>
      <c r="D145" s="326" t="s">
        <v>271</v>
      </c>
      <c r="E145" s="324">
        <f>F145</f>
        <v>858000</v>
      </c>
      <c r="F145" s="453">
        <f>(835000)+23000</f>
        <v>858000</v>
      </c>
      <c r="G145" s="453"/>
      <c r="H145" s="453"/>
      <c r="I145" s="453"/>
      <c r="J145" s="324">
        <f t="shared" si="139"/>
        <v>50000</v>
      </c>
      <c r="K145" s="453">
        <v>50000</v>
      </c>
      <c r="L145" s="453"/>
      <c r="M145" s="453"/>
      <c r="N145" s="453"/>
      <c r="O145" s="450">
        <f t="shared" ref="O145:O165" si="148">K145</f>
        <v>50000</v>
      </c>
      <c r="P145" s="324">
        <f t="shared" si="142"/>
        <v>908000</v>
      </c>
      <c r="Q145" s="36"/>
      <c r="R145" s="46"/>
    </row>
    <row r="146" spans="1:18" s="33" customFormat="1" ht="48" thickTop="1" thickBot="1" x14ac:dyDescent="0.25">
      <c r="A146" s="101" t="s">
        <v>272</v>
      </c>
      <c r="B146" s="101" t="s">
        <v>273</v>
      </c>
      <c r="C146" s="101" t="s">
        <v>206</v>
      </c>
      <c r="D146" s="101" t="s">
        <v>6</v>
      </c>
      <c r="E146" s="324">
        <f t="shared" ref="E146:E196" si="149">F146</f>
        <v>650000</v>
      </c>
      <c r="F146" s="453">
        <v>650000</v>
      </c>
      <c r="G146" s="453"/>
      <c r="H146" s="453"/>
      <c r="I146" s="453"/>
      <c r="J146" s="324">
        <f t="shared" si="139"/>
        <v>0</v>
      </c>
      <c r="K146" s="453"/>
      <c r="L146" s="453"/>
      <c r="M146" s="453"/>
      <c r="N146" s="453"/>
      <c r="O146" s="450">
        <f t="shared" si="148"/>
        <v>0</v>
      </c>
      <c r="P146" s="324">
        <f t="shared" si="142"/>
        <v>650000</v>
      </c>
      <c r="Q146" s="36"/>
      <c r="R146" s="50"/>
    </row>
    <row r="147" spans="1:18" s="33" customFormat="1" ht="93" thickTop="1" thickBot="1" x14ac:dyDescent="0.25">
      <c r="A147" s="101" t="s">
        <v>275</v>
      </c>
      <c r="B147" s="101" t="s">
        <v>276</v>
      </c>
      <c r="C147" s="101" t="s">
        <v>206</v>
      </c>
      <c r="D147" s="101" t="s">
        <v>7</v>
      </c>
      <c r="E147" s="324">
        <f t="shared" si="149"/>
        <v>30200000</v>
      </c>
      <c r="F147" s="453">
        <f>(19200000+3000000)+8000000</f>
        <v>30200000</v>
      </c>
      <c r="G147" s="453"/>
      <c r="H147" s="453"/>
      <c r="I147" s="453"/>
      <c r="J147" s="324">
        <f t="shared" si="139"/>
        <v>0</v>
      </c>
      <c r="K147" s="453"/>
      <c r="L147" s="453"/>
      <c r="M147" s="453"/>
      <c r="N147" s="453"/>
      <c r="O147" s="450">
        <f t="shared" si="148"/>
        <v>0</v>
      </c>
      <c r="P147" s="324">
        <f t="shared" si="142"/>
        <v>30200000</v>
      </c>
      <c r="Q147" s="36"/>
      <c r="R147" s="50"/>
    </row>
    <row r="148" spans="1:18" s="33" customFormat="1" ht="93" thickTop="1" thickBot="1" x14ac:dyDescent="0.25">
      <c r="A148" s="101" t="s">
        <v>277</v>
      </c>
      <c r="B148" s="101" t="s">
        <v>274</v>
      </c>
      <c r="C148" s="101" t="s">
        <v>206</v>
      </c>
      <c r="D148" s="101" t="s">
        <v>8</v>
      </c>
      <c r="E148" s="324">
        <f t="shared" si="149"/>
        <v>700000</v>
      </c>
      <c r="F148" s="453">
        <v>700000</v>
      </c>
      <c r="G148" s="453"/>
      <c r="H148" s="453"/>
      <c r="I148" s="453"/>
      <c r="J148" s="324">
        <f t="shared" si="139"/>
        <v>0</v>
      </c>
      <c r="K148" s="453"/>
      <c r="L148" s="453"/>
      <c r="M148" s="453"/>
      <c r="N148" s="453"/>
      <c r="O148" s="450">
        <f t="shared" si="148"/>
        <v>0</v>
      </c>
      <c r="P148" s="324">
        <f t="shared" si="142"/>
        <v>700000</v>
      </c>
      <c r="Q148" s="36"/>
      <c r="R148" s="50"/>
    </row>
    <row r="149" spans="1:18" s="33" customFormat="1" ht="93" thickTop="1" thickBot="1" x14ac:dyDescent="0.25">
      <c r="A149" s="101" t="s">
        <v>278</v>
      </c>
      <c r="B149" s="101" t="s">
        <v>279</v>
      </c>
      <c r="C149" s="101" t="s">
        <v>206</v>
      </c>
      <c r="D149" s="101" t="s">
        <v>9</v>
      </c>
      <c r="E149" s="324">
        <f t="shared" si="149"/>
        <v>50000000</v>
      </c>
      <c r="F149" s="453">
        <f>(58000000-3000000)-5000000</f>
        <v>50000000</v>
      </c>
      <c r="G149" s="453"/>
      <c r="H149" s="453"/>
      <c r="I149" s="453"/>
      <c r="J149" s="324">
        <f t="shared" si="139"/>
        <v>0</v>
      </c>
      <c r="K149" s="453"/>
      <c r="L149" s="453"/>
      <c r="M149" s="453"/>
      <c r="N149" s="453"/>
      <c r="O149" s="450">
        <f t="shared" si="148"/>
        <v>0</v>
      </c>
      <c r="P149" s="324">
        <f t="shared" si="142"/>
        <v>50000000</v>
      </c>
      <c r="Q149" s="36"/>
      <c r="R149" s="50"/>
    </row>
    <row r="150" spans="1:18" s="33" customFormat="1" ht="93" thickTop="1" thickBot="1" x14ac:dyDescent="0.25">
      <c r="A150" s="101" t="s">
        <v>477</v>
      </c>
      <c r="B150" s="101" t="s">
        <v>478</v>
      </c>
      <c r="C150" s="101" t="s">
        <v>206</v>
      </c>
      <c r="D150" s="101" t="s">
        <v>479</v>
      </c>
      <c r="E150" s="324">
        <f t="shared" si="149"/>
        <v>362971</v>
      </c>
      <c r="F150" s="453">
        <v>362971</v>
      </c>
      <c r="G150" s="453"/>
      <c r="H150" s="453"/>
      <c r="I150" s="453"/>
      <c r="J150" s="324">
        <f t="shared" si="139"/>
        <v>0</v>
      </c>
      <c r="K150" s="453"/>
      <c r="L150" s="453"/>
      <c r="M150" s="453"/>
      <c r="N150" s="453"/>
      <c r="O150" s="450">
        <f t="shared" si="148"/>
        <v>0</v>
      </c>
      <c r="P150" s="324">
        <f t="shared" si="142"/>
        <v>362971</v>
      </c>
      <c r="Q150" s="36"/>
      <c r="R150" s="50"/>
    </row>
    <row r="151" spans="1:18" s="33" customFormat="1" ht="93" thickTop="1" thickBot="1" x14ac:dyDescent="0.25">
      <c r="A151" s="101" t="s">
        <v>915</v>
      </c>
      <c r="B151" s="101" t="s">
        <v>916</v>
      </c>
      <c r="C151" s="101" t="s">
        <v>206</v>
      </c>
      <c r="D151" s="101" t="s">
        <v>917</v>
      </c>
      <c r="E151" s="324">
        <f t="shared" ref="E151" si="150">F151</f>
        <v>1893100</v>
      </c>
      <c r="F151" s="453">
        <f>(1500000)+393100</f>
        <v>1893100</v>
      </c>
      <c r="G151" s="453"/>
      <c r="H151" s="453"/>
      <c r="I151" s="453"/>
      <c r="J151" s="324">
        <f t="shared" ref="J151" si="151">L151+O151</f>
        <v>0</v>
      </c>
      <c r="K151" s="453"/>
      <c r="L151" s="453"/>
      <c r="M151" s="453"/>
      <c r="N151" s="453"/>
      <c r="O151" s="450">
        <f t="shared" ref="O151" si="152">K151</f>
        <v>0</v>
      </c>
      <c r="P151" s="324">
        <f t="shared" ref="P151" si="153">E151+J151</f>
        <v>1893100</v>
      </c>
      <c r="Q151" s="36"/>
      <c r="R151" s="50"/>
    </row>
    <row r="152" spans="1:18" ht="93" thickTop="1" thickBot="1" x14ac:dyDescent="0.25">
      <c r="A152" s="101" t="s">
        <v>480</v>
      </c>
      <c r="B152" s="101" t="s">
        <v>481</v>
      </c>
      <c r="C152" s="101" t="s">
        <v>205</v>
      </c>
      <c r="D152" s="101" t="s">
        <v>482</v>
      </c>
      <c r="E152" s="324">
        <f t="shared" si="149"/>
        <v>470456</v>
      </c>
      <c r="F152" s="453">
        <v>470456</v>
      </c>
      <c r="G152" s="453"/>
      <c r="H152" s="453"/>
      <c r="I152" s="453"/>
      <c r="J152" s="324">
        <f t="shared" si="139"/>
        <v>0</v>
      </c>
      <c r="K152" s="453"/>
      <c r="L152" s="453"/>
      <c r="M152" s="453"/>
      <c r="N152" s="453"/>
      <c r="O152" s="450">
        <f>K152</f>
        <v>0</v>
      </c>
      <c r="P152" s="324">
        <f t="shared" si="142"/>
        <v>470456</v>
      </c>
      <c r="Q152" s="20"/>
      <c r="R152" s="50"/>
    </row>
    <row r="153" spans="1:18" s="33" customFormat="1" ht="138.75" thickTop="1" thickBot="1" x14ac:dyDescent="0.25">
      <c r="A153" s="325" t="s">
        <v>728</v>
      </c>
      <c r="B153" s="325" t="s">
        <v>729</v>
      </c>
      <c r="C153" s="325"/>
      <c r="D153" s="325" t="s">
        <v>730</v>
      </c>
      <c r="E153" s="321">
        <f>SUM(E154:E155)</f>
        <v>64697640.919999994</v>
      </c>
      <c r="F153" s="321">
        <f t="shared" ref="F153:P153" si="154">SUM(F154:F155)</f>
        <v>64697640.919999994</v>
      </c>
      <c r="G153" s="321">
        <f t="shared" si="154"/>
        <v>34154767</v>
      </c>
      <c r="H153" s="321">
        <f t="shared" si="154"/>
        <v>1281368.92</v>
      </c>
      <c r="I153" s="321">
        <f t="shared" si="154"/>
        <v>0</v>
      </c>
      <c r="J153" s="321">
        <f t="shared" si="154"/>
        <v>1774719.44</v>
      </c>
      <c r="K153" s="321">
        <f t="shared" si="154"/>
        <v>503719.44</v>
      </c>
      <c r="L153" s="321">
        <f t="shared" si="154"/>
        <v>1271000</v>
      </c>
      <c r="M153" s="321">
        <f t="shared" si="154"/>
        <v>719000</v>
      </c>
      <c r="N153" s="321">
        <f t="shared" si="154"/>
        <v>150000</v>
      </c>
      <c r="O153" s="321">
        <f t="shared" si="154"/>
        <v>503719.44</v>
      </c>
      <c r="P153" s="321">
        <f t="shared" si="154"/>
        <v>66472360.359999992</v>
      </c>
      <c r="Q153" s="36"/>
      <c r="R153" s="51"/>
    </row>
    <row r="154" spans="1:18" ht="138.75" thickTop="1" thickBot="1" x14ac:dyDescent="0.25">
      <c r="A154" s="101" t="s">
        <v>267</v>
      </c>
      <c r="B154" s="101" t="s">
        <v>265</v>
      </c>
      <c r="C154" s="101" t="s">
        <v>200</v>
      </c>
      <c r="D154" s="101" t="s">
        <v>17</v>
      </c>
      <c r="E154" s="324">
        <f t="shared" si="149"/>
        <v>53172038.919999994</v>
      </c>
      <c r="F154" s="453">
        <f>((((53507717.72)+150000)+2531.58)+134471+91942)-714623.38</f>
        <v>53172038.919999994</v>
      </c>
      <c r="G154" s="453">
        <f>(26679366)-400000</f>
        <v>26279366</v>
      </c>
      <c r="H154" s="453">
        <f>((621472.72)+2531.58)+1419.62</f>
        <v>625423.91999999993</v>
      </c>
      <c r="I154" s="453"/>
      <c r="J154" s="324">
        <f t="shared" si="139"/>
        <v>1335327</v>
      </c>
      <c r="K154" s="453">
        <f>(0)+64327</f>
        <v>64327</v>
      </c>
      <c r="L154" s="453">
        <v>1271000</v>
      </c>
      <c r="M154" s="453">
        <v>719000</v>
      </c>
      <c r="N154" s="453">
        <f>70000+10000+70000</f>
        <v>150000</v>
      </c>
      <c r="O154" s="450">
        <f>K154</f>
        <v>64327</v>
      </c>
      <c r="P154" s="324">
        <f t="shared" si="142"/>
        <v>54507365.919999994</v>
      </c>
      <c r="Q154" s="20"/>
      <c r="R154" s="46"/>
    </row>
    <row r="155" spans="1:18" ht="93" thickTop="1" thickBot="1" x14ac:dyDescent="0.25">
      <c r="A155" s="101" t="s">
        <v>268</v>
      </c>
      <c r="B155" s="101" t="s">
        <v>266</v>
      </c>
      <c r="C155" s="101" t="s">
        <v>199</v>
      </c>
      <c r="D155" s="101" t="s">
        <v>454</v>
      </c>
      <c r="E155" s="324">
        <f t="shared" si="149"/>
        <v>11525602</v>
      </c>
      <c r="F155" s="453">
        <f>((((11310735)+235107)+320000)-320000+18760)-45420+6420</f>
        <v>11525602</v>
      </c>
      <c r="G155" s="453">
        <f>4675746+3199655</f>
        <v>7875401</v>
      </c>
      <c r="H155" s="453">
        <f>(299371+9225+63300+833+266401+8754+53172+309)-45420</f>
        <v>655945</v>
      </c>
      <c r="I155" s="453"/>
      <c r="J155" s="324">
        <f t="shared" si="139"/>
        <v>439392.44</v>
      </c>
      <c r="K155" s="453">
        <f>((0)+394678.16+5714.28)+39000</f>
        <v>439392.44</v>
      </c>
      <c r="L155" s="453"/>
      <c r="M155" s="453"/>
      <c r="N155" s="453"/>
      <c r="O155" s="450">
        <f t="shared" si="148"/>
        <v>439392.44</v>
      </c>
      <c r="P155" s="324">
        <f t="shared" si="142"/>
        <v>11964994.439999999</v>
      </c>
      <c r="Q155" s="20"/>
      <c r="R155" s="46"/>
    </row>
    <row r="156" spans="1:18" ht="48" thickTop="1" thickBot="1" x14ac:dyDescent="0.25">
      <c r="A156" s="325" t="s">
        <v>1004</v>
      </c>
      <c r="B156" s="325" t="s">
        <v>761</v>
      </c>
      <c r="C156" s="325"/>
      <c r="D156" s="325" t="s">
        <v>762</v>
      </c>
      <c r="E156" s="321">
        <f t="shared" ref="E156:P156" si="155">SUM(E157:E158)</f>
        <v>12149127.51</v>
      </c>
      <c r="F156" s="321">
        <f t="shared" si="155"/>
        <v>12149127.51</v>
      </c>
      <c r="G156" s="321">
        <f t="shared" si="155"/>
        <v>7214829</v>
      </c>
      <c r="H156" s="321">
        <f t="shared" si="155"/>
        <v>178560.56</v>
      </c>
      <c r="I156" s="321">
        <f t="shared" si="155"/>
        <v>0</v>
      </c>
      <c r="J156" s="321">
        <f t="shared" si="155"/>
        <v>887315</v>
      </c>
      <c r="K156" s="321">
        <f t="shared" si="155"/>
        <v>887315</v>
      </c>
      <c r="L156" s="321">
        <f t="shared" si="155"/>
        <v>0</v>
      </c>
      <c r="M156" s="321">
        <f t="shared" si="155"/>
        <v>0</v>
      </c>
      <c r="N156" s="321">
        <f t="shared" si="155"/>
        <v>0</v>
      </c>
      <c r="O156" s="321">
        <f t="shared" si="155"/>
        <v>887315</v>
      </c>
      <c r="P156" s="321">
        <f t="shared" si="155"/>
        <v>13036442.51</v>
      </c>
      <c r="Q156" s="20"/>
      <c r="R156" s="46"/>
    </row>
    <row r="157" spans="1:18" ht="48" thickTop="1" thickBot="1" x14ac:dyDescent="0.25">
      <c r="A157" s="101" t="s">
        <v>1197</v>
      </c>
      <c r="B157" s="101" t="s">
        <v>184</v>
      </c>
      <c r="C157" s="101" t="s">
        <v>185</v>
      </c>
      <c r="D157" s="101" t="s">
        <v>636</v>
      </c>
      <c r="E157" s="309">
        <f t="shared" ref="E157" si="156">F157</f>
        <v>10766741.51</v>
      </c>
      <c r="F157" s="322">
        <f>((((10726813)+198876.95+190000+6003.73+15541.83)+118785+200000)+208000)-897279</f>
        <v>10766741.51</v>
      </c>
      <c r="G157" s="322">
        <f>(7875924)-108000-553095</f>
        <v>7214829</v>
      </c>
      <c r="H157" s="322">
        <f>((120805+10790+84400+66020)+6003.73+15541.83)-40000-36000-18000-4000-12000-15000</f>
        <v>178560.56</v>
      </c>
      <c r="I157" s="322"/>
      <c r="J157" s="324">
        <f t="shared" ref="J157" si="157">L157+O157</f>
        <v>13195</v>
      </c>
      <c r="K157" s="322">
        <v>13195</v>
      </c>
      <c r="L157" s="449"/>
      <c r="M157" s="449"/>
      <c r="N157" s="449"/>
      <c r="O157" s="450">
        <f t="shared" ref="O157" si="158">K157</f>
        <v>13195</v>
      </c>
      <c r="P157" s="324">
        <f>+J157+E157</f>
        <v>10779936.51</v>
      </c>
      <c r="Q157" s="20"/>
      <c r="R157" s="46"/>
    </row>
    <row r="158" spans="1:18" ht="138.75" thickTop="1" thickBot="1" x14ac:dyDescent="0.25">
      <c r="A158" s="101" t="s">
        <v>1005</v>
      </c>
      <c r="B158" s="101" t="s">
        <v>1006</v>
      </c>
      <c r="C158" s="101" t="s">
        <v>185</v>
      </c>
      <c r="D158" s="101" t="s">
        <v>1007</v>
      </c>
      <c r="E158" s="309">
        <f t="shared" ref="E158" si="159">F158</f>
        <v>1382385.9999999998</v>
      </c>
      <c r="F158" s="322">
        <f>((222000)+1660386)-500000-66608.08+52663.68+10000+1808.4+2136</f>
        <v>1382385.9999999998</v>
      </c>
      <c r="G158" s="322"/>
      <c r="H158" s="322"/>
      <c r="I158" s="322"/>
      <c r="J158" s="324">
        <f t="shared" ref="J158" si="160">L158+O158</f>
        <v>874120</v>
      </c>
      <c r="K158" s="322">
        <f>500000+374120</f>
        <v>874120</v>
      </c>
      <c r="L158" s="449"/>
      <c r="M158" s="449"/>
      <c r="N158" s="449"/>
      <c r="O158" s="450">
        <f t="shared" ref="O158" si="161">K158</f>
        <v>874120</v>
      </c>
      <c r="P158" s="324">
        <f>+J158+E158</f>
        <v>2256506</v>
      </c>
      <c r="Q158" s="20"/>
      <c r="R158" s="46"/>
    </row>
    <row r="159" spans="1:18" ht="184.5" thickTop="1" thickBot="1" x14ac:dyDescent="0.25">
      <c r="A159" s="101" t="s">
        <v>263</v>
      </c>
      <c r="B159" s="101" t="s">
        <v>264</v>
      </c>
      <c r="C159" s="101" t="s">
        <v>199</v>
      </c>
      <c r="D159" s="101" t="s">
        <v>452</v>
      </c>
      <c r="E159" s="324">
        <f t="shared" si="149"/>
        <v>6626500</v>
      </c>
      <c r="F159" s="453">
        <f>((5126500)+1200000)+300000</f>
        <v>6626500</v>
      </c>
      <c r="G159" s="453"/>
      <c r="H159" s="453"/>
      <c r="I159" s="453"/>
      <c r="J159" s="324">
        <f t="shared" si="139"/>
        <v>0</v>
      </c>
      <c r="K159" s="324"/>
      <c r="L159" s="453"/>
      <c r="M159" s="453"/>
      <c r="N159" s="453"/>
      <c r="O159" s="450">
        <f t="shared" si="148"/>
        <v>0</v>
      </c>
      <c r="P159" s="324">
        <f>+J159+E159</f>
        <v>6626500</v>
      </c>
      <c r="Q159" s="20"/>
      <c r="R159" s="50"/>
    </row>
    <row r="160" spans="1:18" ht="48" thickTop="1" thickBot="1" x14ac:dyDescent="0.25">
      <c r="A160" s="325" t="s">
        <v>876</v>
      </c>
      <c r="B160" s="325" t="s">
        <v>877</v>
      </c>
      <c r="C160" s="325"/>
      <c r="D160" s="325" t="s">
        <v>878</v>
      </c>
      <c r="E160" s="321">
        <f t="shared" si="149"/>
        <v>184607</v>
      </c>
      <c r="F160" s="321">
        <f>F161</f>
        <v>184607</v>
      </c>
      <c r="G160" s="321">
        <f t="shared" ref="G160:I160" si="162">G161</f>
        <v>0</v>
      </c>
      <c r="H160" s="321">
        <f t="shared" si="162"/>
        <v>0</v>
      </c>
      <c r="I160" s="321">
        <f t="shared" si="162"/>
        <v>0</v>
      </c>
      <c r="J160" s="321">
        <f t="shared" si="139"/>
        <v>0</v>
      </c>
      <c r="K160" s="321">
        <f t="shared" ref="K160:N160" si="163">K161</f>
        <v>0</v>
      </c>
      <c r="L160" s="321">
        <f t="shared" si="163"/>
        <v>0</v>
      </c>
      <c r="M160" s="321">
        <f t="shared" si="163"/>
        <v>0</v>
      </c>
      <c r="N160" s="321">
        <f t="shared" si="163"/>
        <v>0</v>
      </c>
      <c r="O160" s="321">
        <f t="shared" si="148"/>
        <v>0</v>
      </c>
      <c r="P160" s="321">
        <f>+J160+E160</f>
        <v>184607</v>
      </c>
      <c r="Q160" s="20"/>
      <c r="R160" s="50"/>
    </row>
    <row r="161" spans="1:18" ht="93" thickTop="1" thickBot="1" x14ac:dyDescent="0.25">
      <c r="A161" s="101" t="s">
        <v>483</v>
      </c>
      <c r="B161" s="101" t="s">
        <v>484</v>
      </c>
      <c r="C161" s="101" t="s">
        <v>199</v>
      </c>
      <c r="D161" s="101" t="s">
        <v>485</v>
      </c>
      <c r="E161" s="324">
        <f t="shared" si="149"/>
        <v>184607</v>
      </c>
      <c r="F161" s="453">
        <v>184607</v>
      </c>
      <c r="G161" s="453"/>
      <c r="H161" s="453"/>
      <c r="I161" s="453"/>
      <c r="J161" s="324">
        <f t="shared" si="139"/>
        <v>0</v>
      </c>
      <c r="K161" s="324"/>
      <c r="L161" s="453"/>
      <c r="M161" s="453"/>
      <c r="N161" s="453"/>
      <c r="O161" s="450">
        <f t="shared" si="148"/>
        <v>0</v>
      </c>
      <c r="P161" s="324">
        <f>+J161+E161</f>
        <v>184607</v>
      </c>
      <c r="Q161" s="20"/>
      <c r="R161" s="50"/>
    </row>
    <row r="162" spans="1:18" ht="138.75" thickTop="1" thickBot="1" x14ac:dyDescent="0.25">
      <c r="A162" s="101" t="s">
        <v>348</v>
      </c>
      <c r="B162" s="101" t="s">
        <v>347</v>
      </c>
      <c r="C162" s="101" t="s">
        <v>50</v>
      </c>
      <c r="D162" s="101" t="s">
        <v>453</v>
      </c>
      <c r="E162" s="324">
        <f t="shared" si="149"/>
        <v>2687933.28</v>
      </c>
      <c r="F162" s="453">
        <v>2687933.28</v>
      </c>
      <c r="G162" s="453"/>
      <c r="H162" s="453"/>
      <c r="I162" s="453"/>
      <c r="J162" s="324">
        <f t="shared" si="139"/>
        <v>0</v>
      </c>
      <c r="K162" s="324"/>
      <c r="L162" s="453"/>
      <c r="M162" s="453"/>
      <c r="N162" s="453"/>
      <c r="O162" s="450">
        <f t="shared" si="148"/>
        <v>0</v>
      </c>
      <c r="P162" s="324">
        <f>E162+J162</f>
        <v>2687933.28</v>
      </c>
      <c r="Q162" s="20"/>
      <c r="R162" s="50"/>
    </row>
    <row r="163" spans="1:18" s="33" customFormat="1" ht="48" thickTop="1" thickBot="1" x14ac:dyDescent="0.25">
      <c r="A163" s="325" t="s">
        <v>731</v>
      </c>
      <c r="B163" s="325" t="s">
        <v>732</v>
      </c>
      <c r="C163" s="325"/>
      <c r="D163" s="325" t="s">
        <v>733</v>
      </c>
      <c r="E163" s="321">
        <f>E164</f>
        <v>1100000</v>
      </c>
      <c r="F163" s="321">
        <f t="shared" ref="F163:P163" si="164">F164</f>
        <v>1100000</v>
      </c>
      <c r="G163" s="321">
        <f t="shared" si="164"/>
        <v>0</v>
      </c>
      <c r="H163" s="321">
        <f t="shared" si="164"/>
        <v>0</v>
      </c>
      <c r="I163" s="321">
        <f t="shared" si="164"/>
        <v>0</v>
      </c>
      <c r="J163" s="321">
        <f t="shared" si="164"/>
        <v>0</v>
      </c>
      <c r="K163" s="321">
        <f t="shared" si="164"/>
        <v>0</v>
      </c>
      <c r="L163" s="321">
        <f t="shared" si="164"/>
        <v>0</v>
      </c>
      <c r="M163" s="321">
        <f t="shared" si="164"/>
        <v>0</v>
      </c>
      <c r="N163" s="321">
        <f t="shared" si="164"/>
        <v>0</v>
      </c>
      <c r="O163" s="321">
        <f t="shared" si="164"/>
        <v>0</v>
      </c>
      <c r="P163" s="321">
        <f t="shared" si="164"/>
        <v>1100000</v>
      </c>
      <c r="Q163" s="36"/>
      <c r="R163" s="51"/>
    </row>
    <row r="164" spans="1:18" ht="93" thickTop="1" thickBot="1" x14ac:dyDescent="0.25">
      <c r="A164" s="101" t="s">
        <v>325</v>
      </c>
      <c r="B164" s="101" t="s">
        <v>326</v>
      </c>
      <c r="C164" s="101" t="s">
        <v>205</v>
      </c>
      <c r="D164" s="101" t="s">
        <v>633</v>
      </c>
      <c r="E164" s="324">
        <f t="shared" si="149"/>
        <v>1100000</v>
      </c>
      <c r="F164" s="453">
        <f>1000000+100000</f>
        <v>1100000</v>
      </c>
      <c r="G164" s="453"/>
      <c r="H164" s="453"/>
      <c r="I164" s="453"/>
      <c r="J164" s="324">
        <f t="shared" si="139"/>
        <v>0</v>
      </c>
      <c r="K164" s="453"/>
      <c r="L164" s="453"/>
      <c r="M164" s="453"/>
      <c r="N164" s="453"/>
      <c r="O164" s="450">
        <f t="shared" si="148"/>
        <v>0</v>
      </c>
      <c r="P164" s="324">
        <f>E164+J164</f>
        <v>1100000</v>
      </c>
      <c r="Q164" s="20"/>
      <c r="R164" s="50"/>
    </row>
    <row r="165" spans="1:18" ht="48" thickTop="1" thickBot="1" x14ac:dyDescent="0.25">
      <c r="A165" s="101" t="s">
        <v>427</v>
      </c>
      <c r="B165" s="101" t="s">
        <v>372</v>
      </c>
      <c r="C165" s="101" t="s">
        <v>373</v>
      </c>
      <c r="D165" s="101" t="s">
        <v>371</v>
      </c>
      <c r="E165" s="537">
        <f t="shared" si="149"/>
        <v>117000</v>
      </c>
      <c r="F165" s="453">
        <v>117000</v>
      </c>
      <c r="G165" s="453">
        <v>90000</v>
      </c>
      <c r="H165" s="453"/>
      <c r="I165" s="453"/>
      <c r="J165" s="324">
        <f t="shared" si="139"/>
        <v>0</v>
      </c>
      <c r="K165" s="453"/>
      <c r="L165" s="453"/>
      <c r="M165" s="453"/>
      <c r="N165" s="453"/>
      <c r="O165" s="450">
        <f t="shared" si="148"/>
        <v>0</v>
      </c>
      <c r="P165" s="324">
        <f>E165+J165</f>
        <v>117000</v>
      </c>
      <c r="Q165" s="20"/>
      <c r="R165" s="50"/>
    </row>
    <row r="166" spans="1:18" ht="93" thickTop="1" thickBot="1" x14ac:dyDescent="0.25">
      <c r="A166" s="325" t="s">
        <v>1042</v>
      </c>
      <c r="B166" s="325" t="s">
        <v>1043</v>
      </c>
      <c r="C166" s="325"/>
      <c r="D166" s="325" t="s">
        <v>1041</v>
      </c>
      <c r="E166" s="321">
        <f>E167+E171+E175+E178</f>
        <v>0</v>
      </c>
      <c r="F166" s="321">
        <f t="shared" ref="F166:P166" si="165">F167+F171+F175+F178</f>
        <v>0</v>
      </c>
      <c r="G166" s="321">
        <f t="shared" si="165"/>
        <v>0</v>
      </c>
      <c r="H166" s="321">
        <f t="shared" si="165"/>
        <v>0</v>
      </c>
      <c r="I166" s="321">
        <f t="shared" si="165"/>
        <v>0</v>
      </c>
      <c r="J166" s="321">
        <f t="shared" si="165"/>
        <v>203512892.28</v>
      </c>
      <c r="K166" s="321">
        <f t="shared" si="165"/>
        <v>203512892.28</v>
      </c>
      <c r="L166" s="321">
        <f t="shared" si="165"/>
        <v>0</v>
      </c>
      <c r="M166" s="321">
        <f t="shared" si="165"/>
        <v>0</v>
      </c>
      <c r="N166" s="321">
        <f t="shared" si="165"/>
        <v>0</v>
      </c>
      <c r="O166" s="321">
        <f t="shared" si="165"/>
        <v>203512892.28</v>
      </c>
      <c r="P166" s="321">
        <f t="shared" si="165"/>
        <v>203512892.28</v>
      </c>
      <c r="Q166" s="20"/>
      <c r="R166" s="50"/>
    </row>
    <row r="167" spans="1:18" ht="183.75" thickTop="1" x14ac:dyDescent="0.65">
      <c r="A167" s="740" t="s">
        <v>1044</v>
      </c>
      <c r="B167" s="740" t="s">
        <v>1045</v>
      </c>
      <c r="C167" s="740" t="s">
        <v>50</v>
      </c>
      <c r="D167" s="678" t="s">
        <v>1410</v>
      </c>
      <c r="E167" s="737">
        <f t="shared" ref="E167:E171" si="166">F167</f>
        <v>0</v>
      </c>
      <c r="F167" s="737"/>
      <c r="G167" s="737"/>
      <c r="H167" s="737"/>
      <c r="I167" s="737"/>
      <c r="J167" s="737">
        <f t="shared" ref="J167:J171" si="167">L167+O167</f>
        <v>109472645.87</v>
      </c>
      <c r="K167" s="757">
        <f>((0)+82535515)+26937130.87</f>
        <v>109472645.87</v>
      </c>
      <c r="L167" s="737"/>
      <c r="M167" s="737"/>
      <c r="N167" s="737"/>
      <c r="O167" s="757">
        <f t="shared" ref="O167:O171" si="168">K167</f>
        <v>109472645.87</v>
      </c>
      <c r="P167" s="737">
        <f t="shared" ref="P167:P171" si="169">E167+J167</f>
        <v>109472645.87</v>
      </c>
      <c r="Q167" s="778"/>
      <c r="R167" s="782"/>
    </row>
    <row r="168" spans="1:18" ht="204.75" customHeight="1" x14ac:dyDescent="0.2">
      <c r="A168" s="741"/>
      <c r="B168" s="741"/>
      <c r="C168" s="741"/>
      <c r="D168" s="679" t="s">
        <v>1411</v>
      </c>
      <c r="E168" s="741"/>
      <c r="F168" s="741"/>
      <c r="G168" s="741"/>
      <c r="H168" s="741"/>
      <c r="I168" s="741"/>
      <c r="J168" s="741"/>
      <c r="K168" s="741"/>
      <c r="L168" s="741"/>
      <c r="M168" s="741"/>
      <c r="N168" s="741"/>
      <c r="O168" s="741"/>
      <c r="P168" s="741"/>
      <c r="Q168" s="778"/>
      <c r="R168" s="783"/>
    </row>
    <row r="169" spans="1:18" ht="180" customHeight="1" x14ac:dyDescent="0.2">
      <c r="A169" s="741"/>
      <c r="B169" s="741"/>
      <c r="C169" s="741"/>
      <c r="D169" s="679" t="s">
        <v>1412</v>
      </c>
      <c r="E169" s="741"/>
      <c r="F169" s="741"/>
      <c r="G169" s="741"/>
      <c r="H169" s="741"/>
      <c r="I169" s="741"/>
      <c r="J169" s="741"/>
      <c r="K169" s="741"/>
      <c r="L169" s="741"/>
      <c r="M169" s="741"/>
      <c r="N169" s="741"/>
      <c r="O169" s="741"/>
      <c r="P169" s="741"/>
      <c r="Q169" s="778"/>
      <c r="R169" s="783"/>
    </row>
    <row r="170" spans="1:18" ht="117" customHeight="1" thickBot="1" x14ac:dyDescent="0.25">
      <c r="A170" s="742"/>
      <c r="B170" s="742"/>
      <c r="C170" s="742"/>
      <c r="D170" s="680" t="s">
        <v>1413</v>
      </c>
      <c r="E170" s="742"/>
      <c r="F170" s="742"/>
      <c r="G170" s="742"/>
      <c r="H170" s="742"/>
      <c r="I170" s="742"/>
      <c r="J170" s="742"/>
      <c r="K170" s="742"/>
      <c r="L170" s="742"/>
      <c r="M170" s="742"/>
      <c r="N170" s="742"/>
      <c r="O170" s="742"/>
      <c r="P170" s="742"/>
      <c r="Q170" s="778"/>
      <c r="R170" s="783"/>
    </row>
    <row r="171" spans="1:18" ht="183.75" thickTop="1" x14ac:dyDescent="0.65">
      <c r="A171" s="740" t="s">
        <v>1047</v>
      </c>
      <c r="B171" s="740" t="s">
        <v>1048</v>
      </c>
      <c r="C171" s="740" t="s">
        <v>50</v>
      </c>
      <c r="D171" s="678" t="s">
        <v>1046</v>
      </c>
      <c r="E171" s="737">
        <f t="shared" si="166"/>
        <v>0</v>
      </c>
      <c r="F171" s="737"/>
      <c r="G171" s="737"/>
      <c r="H171" s="737"/>
      <c r="I171" s="737"/>
      <c r="J171" s="737">
        <f t="shared" si="167"/>
        <v>76282388.099999994</v>
      </c>
      <c r="K171" s="757">
        <f>((0)+29419182)+46863206.1</f>
        <v>76282388.099999994</v>
      </c>
      <c r="L171" s="737"/>
      <c r="M171" s="737"/>
      <c r="N171" s="737"/>
      <c r="O171" s="757">
        <f t="shared" si="168"/>
        <v>76282388.099999994</v>
      </c>
      <c r="P171" s="737">
        <f t="shared" si="169"/>
        <v>76282388.099999994</v>
      </c>
      <c r="Q171" s="20"/>
      <c r="R171" s="782"/>
    </row>
    <row r="172" spans="1:18" ht="204.75" customHeight="1" x14ac:dyDescent="0.2">
      <c r="A172" s="741"/>
      <c r="B172" s="741"/>
      <c r="C172" s="741"/>
      <c r="D172" s="679" t="s">
        <v>1414</v>
      </c>
      <c r="E172" s="741"/>
      <c r="F172" s="741"/>
      <c r="G172" s="741"/>
      <c r="H172" s="741"/>
      <c r="I172" s="741"/>
      <c r="J172" s="741"/>
      <c r="K172" s="741"/>
      <c r="L172" s="741"/>
      <c r="M172" s="741"/>
      <c r="N172" s="741"/>
      <c r="O172" s="741"/>
      <c r="P172" s="741"/>
      <c r="Q172" s="20"/>
      <c r="R172" s="784"/>
    </row>
    <row r="173" spans="1:18" ht="201.75" customHeight="1" x14ac:dyDescent="0.2">
      <c r="A173" s="741"/>
      <c r="B173" s="741"/>
      <c r="C173" s="741"/>
      <c r="D173" s="679" t="s">
        <v>1415</v>
      </c>
      <c r="E173" s="741"/>
      <c r="F173" s="741"/>
      <c r="G173" s="741"/>
      <c r="H173" s="741"/>
      <c r="I173" s="741"/>
      <c r="J173" s="741"/>
      <c r="K173" s="741"/>
      <c r="L173" s="741"/>
      <c r="M173" s="741"/>
      <c r="N173" s="741"/>
      <c r="O173" s="741"/>
      <c r="P173" s="741"/>
      <c r="Q173" s="20"/>
      <c r="R173" s="784"/>
    </row>
    <row r="174" spans="1:18" ht="111" customHeight="1" thickBot="1" x14ac:dyDescent="0.25">
      <c r="A174" s="742"/>
      <c r="B174" s="742"/>
      <c r="C174" s="742"/>
      <c r="D174" s="680" t="s">
        <v>1416</v>
      </c>
      <c r="E174" s="742"/>
      <c r="F174" s="742"/>
      <c r="G174" s="742"/>
      <c r="H174" s="742"/>
      <c r="I174" s="742"/>
      <c r="J174" s="742"/>
      <c r="K174" s="742"/>
      <c r="L174" s="742"/>
      <c r="M174" s="742"/>
      <c r="N174" s="742"/>
      <c r="O174" s="742"/>
      <c r="P174" s="742"/>
      <c r="Q174" s="20"/>
      <c r="R174" s="784"/>
    </row>
    <row r="175" spans="1:18" ht="183.75" thickTop="1" x14ac:dyDescent="0.65">
      <c r="A175" s="740" t="s">
        <v>1049</v>
      </c>
      <c r="B175" s="740" t="s">
        <v>1050</v>
      </c>
      <c r="C175" s="740" t="s">
        <v>50</v>
      </c>
      <c r="D175" s="678" t="s">
        <v>1417</v>
      </c>
      <c r="E175" s="737">
        <f t="shared" ref="E175" si="170">F175</f>
        <v>0</v>
      </c>
      <c r="F175" s="737"/>
      <c r="G175" s="737"/>
      <c r="H175" s="737"/>
      <c r="I175" s="737"/>
      <c r="J175" s="737">
        <f t="shared" ref="J175" si="171">L175+O175</f>
        <v>17757858.309999999</v>
      </c>
      <c r="K175" s="757">
        <f>((0)+9627478)+8130380.31</f>
        <v>17757858.309999999</v>
      </c>
      <c r="L175" s="737"/>
      <c r="M175" s="737"/>
      <c r="N175" s="737"/>
      <c r="O175" s="757">
        <f t="shared" ref="O175" si="172">K175</f>
        <v>17757858.309999999</v>
      </c>
      <c r="P175" s="737">
        <f t="shared" ref="P175" si="173">E175+J175</f>
        <v>17757858.309999999</v>
      </c>
      <c r="Q175" s="20"/>
      <c r="R175" s="782"/>
    </row>
    <row r="176" spans="1:18" ht="183" x14ac:dyDescent="0.2">
      <c r="A176" s="741"/>
      <c r="B176" s="741"/>
      <c r="C176" s="741"/>
      <c r="D176" s="679" t="s">
        <v>1418</v>
      </c>
      <c r="E176" s="741"/>
      <c r="F176" s="741"/>
      <c r="G176" s="741"/>
      <c r="H176" s="741"/>
      <c r="I176" s="741"/>
      <c r="J176" s="741"/>
      <c r="K176" s="741"/>
      <c r="L176" s="741"/>
      <c r="M176" s="741"/>
      <c r="N176" s="741"/>
      <c r="O176" s="741"/>
      <c r="P176" s="741"/>
      <c r="Q176" s="20"/>
      <c r="R176" s="783"/>
    </row>
    <row r="177" spans="1:18" ht="70.5" customHeight="1" thickBot="1" x14ac:dyDescent="0.25">
      <c r="A177" s="742"/>
      <c r="B177" s="742"/>
      <c r="C177" s="742"/>
      <c r="D177" s="680" t="s">
        <v>1051</v>
      </c>
      <c r="E177" s="742"/>
      <c r="F177" s="742"/>
      <c r="G177" s="742"/>
      <c r="H177" s="742"/>
      <c r="I177" s="742"/>
      <c r="J177" s="742"/>
      <c r="K177" s="742"/>
      <c r="L177" s="742"/>
      <c r="M177" s="742"/>
      <c r="N177" s="742"/>
      <c r="O177" s="742"/>
      <c r="P177" s="742"/>
      <c r="Q177" s="20"/>
      <c r="R177" s="783"/>
    </row>
    <row r="178" spans="1:18" ht="183.75" hidden="1" thickTop="1" x14ac:dyDescent="0.65">
      <c r="A178" s="748" t="s">
        <v>1055</v>
      </c>
      <c r="B178" s="748" t="s">
        <v>1056</v>
      </c>
      <c r="C178" s="748" t="s">
        <v>50</v>
      </c>
      <c r="D178" s="398" t="s">
        <v>1052</v>
      </c>
      <c r="E178" s="789">
        <f t="shared" ref="E178" si="174">F178</f>
        <v>0</v>
      </c>
      <c r="F178" s="789"/>
      <c r="G178" s="789"/>
      <c r="H178" s="789"/>
      <c r="I178" s="789"/>
      <c r="J178" s="789">
        <f t="shared" ref="J178" si="175">L178+O178</f>
        <v>0</v>
      </c>
      <c r="K178" s="788">
        <v>0</v>
      </c>
      <c r="L178" s="787"/>
      <c r="M178" s="787"/>
      <c r="N178" s="787"/>
      <c r="O178" s="788">
        <f t="shared" ref="O178" si="176">K178</f>
        <v>0</v>
      </c>
      <c r="P178" s="787">
        <f t="shared" ref="P178" si="177">E178+J178</f>
        <v>0</v>
      </c>
      <c r="Q178" s="20"/>
      <c r="R178" s="782"/>
    </row>
    <row r="179" spans="1:18" ht="183" hidden="1" x14ac:dyDescent="0.2">
      <c r="A179" s="749"/>
      <c r="B179" s="749"/>
      <c r="C179" s="749"/>
      <c r="D179" s="124" t="s">
        <v>1053</v>
      </c>
      <c r="E179" s="790"/>
      <c r="F179" s="790"/>
      <c r="G179" s="790"/>
      <c r="H179" s="790"/>
      <c r="I179" s="790"/>
      <c r="J179" s="790"/>
      <c r="K179" s="749"/>
      <c r="L179" s="749"/>
      <c r="M179" s="749"/>
      <c r="N179" s="749"/>
      <c r="O179" s="749"/>
      <c r="P179" s="749"/>
      <c r="Q179" s="20"/>
      <c r="R179" s="783"/>
    </row>
    <row r="180" spans="1:18" ht="47.25" hidden="1" thickTop="1" thickBot="1" x14ac:dyDescent="0.25">
      <c r="A180" s="750"/>
      <c r="B180" s="750"/>
      <c r="C180" s="750"/>
      <c r="D180" s="399" t="s">
        <v>1054</v>
      </c>
      <c r="E180" s="791"/>
      <c r="F180" s="791"/>
      <c r="G180" s="791"/>
      <c r="H180" s="791"/>
      <c r="I180" s="791"/>
      <c r="J180" s="791"/>
      <c r="K180" s="750"/>
      <c r="L180" s="750"/>
      <c r="M180" s="750"/>
      <c r="N180" s="750"/>
      <c r="O180" s="750"/>
      <c r="P180" s="750"/>
      <c r="Q180" s="20"/>
      <c r="R180" s="783"/>
    </row>
    <row r="181" spans="1:18" ht="93" thickTop="1" thickBot="1" x14ac:dyDescent="0.25">
      <c r="A181" s="101" t="s">
        <v>1185</v>
      </c>
      <c r="B181" s="101" t="s">
        <v>1182</v>
      </c>
      <c r="C181" s="101" t="s">
        <v>206</v>
      </c>
      <c r="D181" s="461" t="s">
        <v>1183</v>
      </c>
      <c r="E181" s="537">
        <f t="shared" ref="E181" si="178">F181</f>
        <v>6550760.2199999997</v>
      </c>
      <c r="F181" s="453">
        <f>(((5975529)+1168180)+856731.22)-1449680</f>
        <v>6550760.2199999997</v>
      </c>
      <c r="G181" s="132"/>
      <c r="H181" s="132"/>
      <c r="I181" s="132"/>
      <c r="J181" s="324">
        <f t="shared" ref="J181" si="179">L181+O181</f>
        <v>52243489.939999998</v>
      </c>
      <c r="K181" s="453">
        <f>(((((30767856.02)+16737530.6-3236524.08)+908668+1644258+500000)+2222145.6)+4527005+1500000-3137673.2)+184344-374120</f>
        <v>52243489.939999998</v>
      </c>
      <c r="L181" s="453"/>
      <c r="M181" s="453"/>
      <c r="N181" s="453"/>
      <c r="O181" s="450">
        <f t="shared" ref="O181" si="180">K181</f>
        <v>52243489.939999998</v>
      </c>
      <c r="P181" s="324">
        <f>E181+J181</f>
        <v>58794250.159999996</v>
      </c>
      <c r="Q181" s="20"/>
      <c r="R181" s="21"/>
    </row>
    <row r="182" spans="1:18" s="33" customFormat="1" ht="48" thickTop="1" thickBot="1" x14ac:dyDescent="0.25">
      <c r="A182" s="325" t="s">
        <v>734</v>
      </c>
      <c r="B182" s="325" t="s">
        <v>735</v>
      </c>
      <c r="C182" s="325"/>
      <c r="D182" s="325" t="s">
        <v>736</v>
      </c>
      <c r="E182" s="321">
        <f>SUM(E183:E184)</f>
        <v>143217447.09</v>
      </c>
      <c r="F182" s="321">
        <f t="shared" ref="F182:P182" si="181">SUM(F183:F184)</f>
        <v>143217447.09</v>
      </c>
      <c r="G182" s="321">
        <f t="shared" si="181"/>
        <v>15261142</v>
      </c>
      <c r="H182" s="321">
        <f t="shared" si="181"/>
        <v>2563013.34</v>
      </c>
      <c r="I182" s="321">
        <f t="shared" si="181"/>
        <v>0</v>
      </c>
      <c r="J182" s="321">
        <f t="shared" si="181"/>
        <v>37055313.630000003</v>
      </c>
      <c r="K182" s="321">
        <f t="shared" si="181"/>
        <v>32063053.630000003</v>
      </c>
      <c r="L182" s="321">
        <f t="shared" si="181"/>
        <v>4968260</v>
      </c>
      <c r="M182" s="321">
        <f t="shared" si="181"/>
        <v>1885685</v>
      </c>
      <c r="N182" s="321">
        <f t="shared" si="181"/>
        <v>555805</v>
      </c>
      <c r="O182" s="321">
        <f t="shared" si="181"/>
        <v>32087053.630000003</v>
      </c>
      <c r="P182" s="321">
        <f t="shared" si="181"/>
        <v>180272760.72</v>
      </c>
      <c r="Q182" s="36"/>
      <c r="R182" s="51"/>
    </row>
    <row r="183" spans="1:18" ht="93" thickTop="1" thickBot="1" x14ac:dyDescent="0.25">
      <c r="A183" s="101" t="s">
        <v>327</v>
      </c>
      <c r="B183" s="101" t="s">
        <v>329</v>
      </c>
      <c r="C183" s="101" t="s">
        <v>191</v>
      </c>
      <c r="D183" s="461" t="s">
        <v>331</v>
      </c>
      <c r="E183" s="324">
        <f t="shared" si="149"/>
        <v>32901965.57</v>
      </c>
      <c r="F183" s="453">
        <f>((((((24773656)+2282350+2871000+571920)+149693+255079-300000+513700+22500+905816-13000-299300)+12809.13)+50000+100000+20000+100000+300000+46750+83490+84000+13280+45469.07+29500)-342919.39)+611886+14286.76</f>
        <v>32901965.57</v>
      </c>
      <c r="G183" s="322">
        <f>((3231579+4596637+3505606)+1568320+1809000)+550000</f>
        <v>15261142</v>
      </c>
      <c r="H183" s="322">
        <f>((((((35600+197918+78510+15030+337600+219800+437423+28830)+70000)+137643)+12809.13)+300000+46750+83490)+8838.62+40499.83+75000+18300+278880)+43920+81885+14286.76</f>
        <v>2563013.34</v>
      </c>
      <c r="I183" s="453"/>
      <c r="J183" s="324">
        <f t="shared" ref="J183:J196" si="182">L183+O183</f>
        <v>8208277.9900000002</v>
      </c>
      <c r="K183" s="453">
        <f>(((0)+26950+100000+1475430)+100000+1132475+15000+215000)+151162.99</f>
        <v>3216017.99</v>
      </c>
      <c r="L183" s="453">
        <f>4992260-24000</f>
        <v>4968260</v>
      </c>
      <c r="M183" s="453">
        <v>1885685</v>
      </c>
      <c r="N183" s="453">
        <f>34805+338560+116750+65690</f>
        <v>555805</v>
      </c>
      <c r="O183" s="450">
        <f>(K183)+24000</f>
        <v>3240017.99</v>
      </c>
      <c r="P183" s="324">
        <f t="shared" ref="P183:P196" si="183">E183+J183</f>
        <v>41110243.560000002</v>
      </c>
      <c r="Q183" s="20"/>
      <c r="R183" s="46"/>
    </row>
    <row r="184" spans="1:18" ht="66.75" customHeight="1" thickTop="1" thickBot="1" x14ac:dyDescent="0.25">
      <c r="A184" s="101" t="s">
        <v>328</v>
      </c>
      <c r="B184" s="101" t="s">
        <v>330</v>
      </c>
      <c r="C184" s="101" t="s">
        <v>191</v>
      </c>
      <c r="D184" s="461" t="s">
        <v>332</v>
      </c>
      <c r="E184" s="324">
        <f t="shared" si="149"/>
        <v>110315481.52</v>
      </c>
      <c r="F184" s="453">
        <f>(((((43653090)+5000000+1800000)+20216750)+15000000+684000+1400000+200000+780000+500000-23999)+10000000+294000+300000)+10702640.52-91000-100000</f>
        <v>110315481.52</v>
      </c>
      <c r="G184" s="132"/>
      <c r="H184" s="132"/>
      <c r="I184" s="132"/>
      <c r="J184" s="324">
        <f t="shared" si="182"/>
        <v>28847035.640000001</v>
      </c>
      <c r="K184" s="453">
        <f>((((24000000)+102600)+23999)+4629436.64)+91000</f>
        <v>28847035.640000001</v>
      </c>
      <c r="L184" s="453"/>
      <c r="M184" s="453"/>
      <c r="N184" s="453"/>
      <c r="O184" s="450">
        <f t="shared" ref="O184:O196" si="184">K184</f>
        <v>28847035.640000001</v>
      </c>
      <c r="P184" s="324">
        <f t="shared" si="183"/>
        <v>139162517.16</v>
      </c>
      <c r="Q184" s="20"/>
      <c r="R184" s="46"/>
    </row>
    <row r="185" spans="1:18" ht="47.25" thickTop="1" thickBot="1" x14ac:dyDescent="0.25">
      <c r="A185" s="308" t="s">
        <v>737</v>
      </c>
      <c r="B185" s="308" t="s">
        <v>738</v>
      </c>
      <c r="C185" s="308"/>
      <c r="D185" s="343" t="s">
        <v>739</v>
      </c>
      <c r="E185" s="324">
        <f>SUM(E186)</f>
        <v>0</v>
      </c>
      <c r="F185" s="324">
        <f t="shared" ref="F185:P185" si="185">SUM(F186)</f>
        <v>0</v>
      </c>
      <c r="G185" s="324">
        <f t="shared" si="185"/>
        <v>0</v>
      </c>
      <c r="H185" s="324">
        <f t="shared" si="185"/>
        <v>0</v>
      </c>
      <c r="I185" s="324">
        <f t="shared" si="185"/>
        <v>0</v>
      </c>
      <c r="J185" s="324">
        <f>SUM(J186)</f>
        <v>33447385.59</v>
      </c>
      <c r="K185" s="324">
        <f t="shared" si="185"/>
        <v>33447385.59</v>
      </c>
      <c r="L185" s="324">
        <f t="shared" si="185"/>
        <v>0</v>
      </c>
      <c r="M185" s="324">
        <f t="shared" si="185"/>
        <v>0</v>
      </c>
      <c r="N185" s="324">
        <f t="shared" si="185"/>
        <v>0</v>
      </c>
      <c r="O185" s="324">
        <f t="shared" si="185"/>
        <v>33447385.59</v>
      </c>
      <c r="P185" s="324">
        <f t="shared" si="185"/>
        <v>33447385.59</v>
      </c>
      <c r="Q185" s="20"/>
      <c r="R185" s="46"/>
    </row>
    <row r="186" spans="1:18" s="33" customFormat="1" ht="48" thickTop="1" thickBot="1" x14ac:dyDescent="0.25">
      <c r="A186" s="325" t="s">
        <v>740</v>
      </c>
      <c r="B186" s="325" t="s">
        <v>741</v>
      </c>
      <c r="C186" s="325"/>
      <c r="D186" s="536" t="s">
        <v>742</v>
      </c>
      <c r="E186" s="321">
        <f>SUM(E187:E188)</f>
        <v>0</v>
      </c>
      <c r="F186" s="321">
        <f>SUM(F187:F188)</f>
        <v>0</v>
      </c>
      <c r="G186" s="321">
        <f>SUM(G187:G188)</f>
        <v>0</v>
      </c>
      <c r="H186" s="321">
        <f>SUM(H187:H188)</f>
        <v>0</v>
      </c>
      <c r="I186" s="321">
        <f>SUM(I187:I188)</f>
        <v>0</v>
      </c>
      <c r="J186" s="321">
        <f t="shared" ref="J186:O186" si="186">SUM(J187:J188)</f>
        <v>33447385.59</v>
      </c>
      <c r="K186" s="321">
        <f t="shared" si="186"/>
        <v>33447385.59</v>
      </c>
      <c r="L186" s="321">
        <f t="shared" si="186"/>
        <v>0</v>
      </c>
      <c r="M186" s="321">
        <f t="shared" si="186"/>
        <v>0</v>
      </c>
      <c r="N186" s="321">
        <f t="shared" si="186"/>
        <v>0</v>
      </c>
      <c r="O186" s="321">
        <f t="shared" si="186"/>
        <v>33447385.59</v>
      </c>
      <c r="P186" s="321">
        <f>SUM(P187:P188)</f>
        <v>33447385.59</v>
      </c>
      <c r="Q186" s="36"/>
      <c r="R186" s="52"/>
    </row>
    <row r="187" spans="1:18" ht="93" thickTop="1" thickBot="1" x14ac:dyDescent="0.25">
      <c r="A187" s="101" t="s">
        <v>367</v>
      </c>
      <c r="B187" s="101" t="s">
        <v>365</v>
      </c>
      <c r="C187" s="101" t="s">
        <v>340</v>
      </c>
      <c r="D187" s="461" t="s">
        <v>366</v>
      </c>
      <c r="E187" s="324">
        <f t="shared" si="149"/>
        <v>0</v>
      </c>
      <c r="F187" s="453"/>
      <c r="G187" s="453"/>
      <c r="H187" s="453"/>
      <c r="I187" s="453"/>
      <c r="J187" s="324">
        <f t="shared" si="182"/>
        <v>26451003.59</v>
      </c>
      <c r="K187" s="453">
        <f>((20000000)+6000000)+451003.59</f>
        <v>26451003.59</v>
      </c>
      <c r="L187" s="453"/>
      <c r="M187" s="453"/>
      <c r="N187" s="453"/>
      <c r="O187" s="450">
        <f t="shared" si="184"/>
        <v>26451003.59</v>
      </c>
      <c r="P187" s="324">
        <f t="shared" si="183"/>
        <v>26451003.59</v>
      </c>
      <c r="Q187" s="20"/>
      <c r="R187" s="46"/>
    </row>
    <row r="188" spans="1:18" ht="197.25" customHeight="1" thickTop="1" thickBot="1" x14ac:dyDescent="0.25">
      <c r="A188" s="101" t="s">
        <v>1057</v>
      </c>
      <c r="B188" s="101" t="s">
        <v>1058</v>
      </c>
      <c r="C188" s="101" t="s">
        <v>340</v>
      </c>
      <c r="D188" s="461" t="s">
        <v>1059</v>
      </c>
      <c r="E188" s="324">
        <f t="shared" si="149"/>
        <v>0</v>
      </c>
      <c r="F188" s="453"/>
      <c r="G188" s="453"/>
      <c r="H188" s="453"/>
      <c r="I188" s="453"/>
      <c r="J188" s="324">
        <f t="shared" si="182"/>
        <v>6996382</v>
      </c>
      <c r="K188" s="453">
        <v>6996382</v>
      </c>
      <c r="L188" s="453"/>
      <c r="M188" s="453"/>
      <c r="N188" s="453"/>
      <c r="O188" s="450">
        <f t="shared" si="184"/>
        <v>6996382</v>
      </c>
      <c r="P188" s="324">
        <f t="shared" si="183"/>
        <v>6996382</v>
      </c>
      <c r="Q188" s="20"/>
      <c r="R188" s="46"/>
    </row>
    <row r="189" spans="1:18" ht="47.25" thickTop="1" thickBot="1" x14ac:dyDescent="0.25">
      <c r="A189" s="308" t="s">
        <v>747</v>
      </c>
      <c r="B189" s="308" t="s">
        <v>744</v>
      </c>
      <c r="C189" s="308"/>
      <c r="D189" s="308" t="s">
        <v>745</v>
      </c>
      <c r="E189" s="324">
        <f>E193+E190</f>
        <v>0</v>
      </c>
      <c r="F189" s="324">
        <f t="shared" ref="F189:P189" si="187">F193+F190</f>
        <v>0</v>
      </c>
      <c r="G189" s="324">
        <f t="shared" si="187"/>
        <v>0</v>
      </c>
      <c r="H189" s="324">
        <f t="shared" si="187"/>
        <v>0</v>
      </c>
      <c r="I189" s="324">
        <f t="shared" si="187"/>
        <v>0</v>
      </c>
      <c r="J189" s="324">
        <f t="shared" si="187"/>
        <v>10003138.550000001</v>
      </c>
      <c r="K189" s="324">
        <f t="shared" si="187"/>
        <v>10003138.550000001</v>
      </c>
      <c r="L189" s="324">
        <f t="shared" si="187"/>
        <v>0</v>
      </c>
      <c r="M189" s="324">
        <f t="shared" si="187"/>
        <v>0</v>
      </c>
      <c r="N189" s="324">
        <f t="shared" si="187"/>
        <v>0</v>
      </c>
      <c r="O189" s="324">
        <f t="shared" si="187"/>
        <v>10003138.550000001</v>
      </c>
      <c r="P189" s="324">
        <f t="shared" si="187"/>
        <v>10003138.550000001</v>
      </c>
      <c r="Q189" s="20"/>
      <c r="R189" s="46"/>
    </row>
    <row r="190" spans="1:18" ht="47.25" thickTop="1" thickBot="1" x14ac:dyDescent="0.25">
      <c r="A190" s="310" t="s">
        <v>921</v>
      </c>
      <c r="B190" s="310" t="s">
        <v>799</v>
      </c>
      <c r="C190" s="310"/>
      <c r="D190" s="310" t="s">
        <v>800</v>
      </c>
      <c r="E190" s="312">
        <f>E191</f>
        <v>0</v>
      </c>
      <c r="F190" s="312">
        <f t="shared" ref="F190:P195" si="188">F191</f>
        <v>0</v>
      </c>
      <c r="G190" s="312">
        <f t="shared" si="188"/>
        <v>0</v>
      </c>
      <c r="H190" s="312">
        <f t="shared" si="188"/>
        <v>0</v>
      </c>
      <c r="I190" s="312">
        <f t="shared" si="188"/>
        <v>0</v>
      </c>
      <c r="J190" s="312">
        <f t="shared" si="188"/>
        <v>3685673.2</v>
      </c>
      <c r="K190" s="312">
        <f t="shared" si="188"/>
        <v>3685673.2</v>
      </c>
      <c r="L190" s="312">
        <f t="shared" si="188"/>
        <v>0</v>
      </c>
      <c r="M190" s="312">
        <f t="shared" si="188"/>
        <v>0</v>
      </c>
      <c r="N190" s="312">
        <f t="shared" si="188"/>
        <v>0</v>
      </c>
      <c r="O190" s="312">
        <f t="shared" si="188"/>
        <v>3685673.2</v>
      </c>
      <c r="P190" s="312">
        <f t="shared" si="188"/>
        <v>3685673.2</v>
      </c>
      <c r="Q190" s="20"/>
      <c r="R190" s="46"/>
    </row>
    <row r="191" spans="1:18" ht="54.75" thickTop="1" thickBot="1" x14ac:dyDescent="0.25">
      <c r="A191" s="325" t="s">
        <v>918</v>
      </c>
      <c r="B191" s="325" t="s">
        <v>817</v>
      </c>
      <c r="C191" s="325"/>
      <c r="D191" s="325" t="s">
        <v>1483</v>
      </c>
      <c r="E191" s="321">
        <f>E192</f>
        <v>0</v>
      </c>
      <c r="F191" s="321">
        <f t="shared" si="188"/>
        <v>0</v>
      </c>
      <c r="G191" s="321">
        <f t="shared" si="188"/>
        <v>0</v>
      </c>
      <c r="H191" s="321">
        <f t="shared" si="188"/>
        <v>0</v>
      </c>
      <c r="I191" s="321">
        <f t="shared" si="188"/>
        <v>0</v>
      </c>
      <c r="J191" s="321">
        <f t="shared" si="188"/>
        <v>3685673.2</v>
      </c>
      <c r="K191" s="321">
        <f t="shared" si="188"/>
        <v>3685673.2</v>
      </c>
      <c r="L191" s="321">
        <f t="shared" si="188"/>
        <v>0</v>
      </c>
      <c r="M191" s="321">
        <f t="shared" si="188"/>
        <v>0</v>
      </c>
      <c r="N191" s="321">
        <f t="shared" si="188"/>
        <v>0</v>
      </c>
      <c r="O191" s="321">
        <f t="shared" si="188"/>
        <v>3685673.2</v>
      </c>
      <c r="P191" s="321">
        <f t="shared" si="188"/>
        <v>3685673.2</v>
      </c>
      <c r="Q191" s="20"/>
      <c r="R191" s="46"/>
    </row>
    <row r="192" spans="1:18" ht="54" thickTop="1" thickBot="1" x14ac:dyDescent="0.25">
      <c r="A192" s="101" t="s">
        <v>919</v>
      </c>
      <c r="B192" s="101" t="s">
        <v>920</v>
      </c>
      <c r="C192" s="101" t="s">
        <v>304</v>
      </c>
      <c r="D192" s="101" t="s">
        <v>1583</v>
      </c>
      <c r="E192" s="324">
        <f t="shared" ref="E192:E194" si="189">F192</f>
        <v>0</v>
      </c>
      <c r="F192" s="453"/>
      <c r="G192" s="453"/>
      <c r="H192" s="453"/>
      <c r="I192" s="453"/>
      <c r="J192" s="324">
        <f>L192+O192</f>
        <v>3685673.2</v>
      </c>
      <c r="K192" s="453">
        <f>(((0)+999655-549655)+98000)+3137673.2</f>
        <v>3685673.2</v>
      </c>
      <c r="L192" s="453"/>
      <c r="M192" s="453"/>
      <c r="N192" s="453"/>
      <c r="O192" s="450">
        <f>K192</f>
        <v>3685673.2</v>
      </c>
      <c r="P192" s="324">
        <f>E192+J192</f>
        <v>3685673.2</v>
      </c>
      <c r="Q192" s="20"/>
      <c r="R192" s="46"/>
    </row>
    <row r="193" spans="1:18" ht="47.25" thickTop="1" thickBot="1" x14ac:dyDescent="0.25">
      <c r="A193" s="310" t="s">
        <v>749</v>
      </c>
      <c r="B193" s="310" t="s">
        <v>687</v>
      </c>
      <c r="C193" s="310"/>
      <c r="D193" s="310" t="s">
        <v>685</v>
      </c>
      <c r="E193" s="312">
        <f>E195+E194</f>
        <v>0</v>
      </c>
      <c r="F193" s="312">
        <f t="shared" ref="F193:I193" si="190">F195+F194</f>
        <v>0</v>
      </c>
      <c r="G193" s="312">
        <f t="shared" si="190"/>
        <v>0</v>
      </c>
      <c r="H193" s="312">
        <f t="shared" si="190"/>
        <v>0</v>
      </c>
      <c r="I193" s="312">
        <f t="shared" si="190"/>
        <v>0</v>
      </c>
      <c r="J193" s="312">
        <f>J195+J194</f>
        <v>6317465.3499999996</v>
      </c>
      <c r="K193" s="312">
        <f t="shared" ref="K193" si="191">K195+K194</f>
        <v>6317465.3499999996</v>
      </c>
      <c r="L193" s="312">
        <f t="shared" ref="L193" si="192">L195+L194</f>
        <v>0</v>
      </c>
      <c r="M193" s="312">
        <f t="shared" ref="M193" si="193">M195+M194</f>
        <v>0</v>
      </c>
      <c r="N193" s="312">
        <f t="shared" ref="N193" si="194">N195+N194</f>
        <v>0</v>
      </c>
      <c r="O193" s="312">
        <f t="shared" ref="O193" si="195">O195+O194</f>
        <v>6317465.3499999996</v>
      </c>
      <c r="P193" s="312">
        <f>P195+P194</f>
        <v>6317465.3499999996</v>
      </c>
      <c r="Q193" s="20"/>
      <c r="R193" s="46"/>
    </row>
    <row r="194" spans="1:18" ht="48" thickTop="1" thickBot="1" x14ac:dyDescent="0.25">
      <c r="A194" s="101" t="s">
        <v>1290</v>
      </c>
      <c r="B194" s="101" t="s">
        <v>212</v>
      </c>
      <c r="C194" s="101" t="s">
        <v>213</v>
      </c>
      <c r="D194" s="101" t="s">
        <v>41</v>
      </c>
      <c r="E194" s="324">
        <f t="shared" si="189"/>
        <v>0</v>
      </c>
      <c r="F194" s="453">
        <v>0</v>
      </c>
      <c r="G194" s="453"/>
      <c r="H194" s="453"/>
      <c r="I194" s="453"/>
      <c r="J194" s="324">
        <f t="shared" ref="J194" si="196">L194+O194</f>
        <v>6317465.3499999996</v>
      </c>
      <c r="K194" s="453">
        <f>((13660)+2000000)+4303805.35</f>
        <v>6317465.3499999996</v>
      </c>
      <c r="L194" s="453"/>
      <c r="M194" s="453"/>
      <c r="N194" s="453"/>
      <c r="O194" s="450">
        <f t="shared" ref="O194" si="197">K194</f>
        <v>6317465.3499999996</v>
      </c>
      <c r="P194" s="324">
        <f t="shared" ref="P194" si="198">E194+J194</f>
        <v>6317465.3499999996</v>
      </c>
      <c r="Q194" s="20"/>
      <c r="R194" s="46"/>
    </row>
    <row r="195" spans="1:18" ht="48" hidden="1" thickTop="1" thickBot="1" x14ac:dyDescent="0.25">
      <c r="A195" s="138" t="s">
        <v>748</v>
      </c>
      <c r="B195" s="138" t="s">
        <v>690</v>
      </c>
      <c r="C195" s="138"/>
      <c r="D195" s="151" t="s">
        <v>688</v>
      </c>
      <c r="E195" s="139">
        <f>E196</f>
        <v>0</v>
      </c>
      <c r="F195" s="139">
        <f t="shared" si="188"/>
        <v>0</v>
      </c>
      <c r="G195" s="139">
        <f t="shared" si="188"/>
        <v>0</v>
      </c>
      <c r="H195" s="139">
        <f t="shared" si="188"/>
        <v>0</v>
      </c>
      <c r="I195" s="139">
        <f t="shared" si="188"/>
        <v>0</v>
      </c>
      <c r="J195" s="139">
        <f t="shared" si="188"/>
        <v>0</v>
      </c>
      <c r="K195" s="139">
        <f t="shared" si="188"/>
        <v>0</v>
      </c>
      <c r="L195" s="139">
        <f t="shared" si="188"/>
        <v>0</v>
      </c>
      <c r="M195" s="139">
        <f t="shared" si="188"/>
        <v>0</v>
      </c>
      <c r="N195" s="139">
        <f t="shared" si="188"/>
        <v>0</v>
      </c>
      <c r="O195" s="139">
        <f t="shared" si="188"/>
        <v>0</v>
      </c>
      <c r="P195" s="139">
        <f t="shared" si="188"/>
        <v>0</v>
      </c>
      <c r="Q195" s="20"/>
      <c r="R195" s="46"/>
    </row>
    <row r="196" spans="1:18" ht="184.5" hidden="1" thickTop="1" thickBot="1" x14ac:dyDescent="0.7">
      <c r="A196" s="744" t="s">
        <v>422</v>
      </c>
      <c r="B196" s="744" t="s">
        <v>338</v>
      </c>
      <c r="C196" s="744" t="s">
        <v>170</v>
      </c>
      <c r="D196" s="153" t="s">
        <v>439</v>
      </c>
      <c r="E196" s="745">
        <f t="shared" si="149"/>
        <v>0</v>
      </c>
      <c r="F196" s="739"/>
      <c r="G196" s="739"/>
      <c r="H196" s="739"/>
      <c r="I196" s="739"/>
      <c r="J196" s="745">
        <f t="shared" si="182"/>
        <v>0</v>
      </c>
      <c r="K196" s="739"/>
      <c r="L196" s="739"/>
      <c r="M196" s="739"/>
      <c r="N196" s="739"/>
      <c r="O196" s="772">
        <f t="shared" si="184"/>
        <v>0</v>
      </c>
      <c r="P196" s="773">
        <f t="shared" si="183"/>
        <v>0</v>
      </c>
      <c r="Q196" s="20"/>
      <c r="R196" s="50"/>
    </row>
    <row r="197" spans="1:18" ht="93" hidden="1" thickTop="1" thickBot="1" x14ac:dyDescent="0.25">
      <c r="A197" s="746"/>
      <c r="B197" s="747"/>
      <c r="C197" s="746"/>
      <c r="D197" s="154" t="s">
        <v>440</v>
      </c>
      <c r="E197" s="746"/>
      <c r="F197" s="756"/>
      <c r="G197" s="756"/>
      <c r="H197" s="756"/>
      <c r="I197" s="756"/>
      <c r="J197" s="746"/>
      <c r="K197" s="746"/>
      <c r="L197" s="756"/>
      <c r="M197" s="756"/>
      <c r="N197" s="756"/>
      <c r="O197" s="792"/>
      <c r="P197" s="793"/>
      <c r="Q197" s="20"/>
      <c r="R197" s="50"/>
    </row>
    <row r="198" spans="1:18" ht="120" customHeight="1" thickTop="1" thickBot="1" x14ac:dyDescent="0.25">
      <c r="A198" s="689">
        <v>1000000</v>
      </c>
      <c r="B198" s="689"/>
      <c r="C198" s="689"/>
      <c r="D198" s="690" t="s">
        <v>24</v>
      </c>
      <c r="E198" s="691">
        <f>E199</f>
        <v>171010135</v>
      </c>
      <c r="F198" s="692">
        <f t="shared" ref="F198:G198" si="199">F199</f>
        <v>171010135</v>
      </c>
      <c r="G198" s="692">
        <f t="shared" si="199"/>
        <v>124260999</v>
      </c>
      <c r="H198" s="692">
        <f>H199</f>
        <v>8158262</v>
      </c>
      <c r="I198" s="692">
        <f>I199</f>
        <v>0</v>
      </c>
      <c r="J198" s="691">
        <f>J199</f>
        <v>12658492</v>
      </c>
      <c r="K198" s="692">
        <f>K199</f>
        <v>1524642</v>
      </c>
      <c r="L198" s="692">
        <f>L199</f>
        <v>10895910</v>
      </c>
      <c r="M198" s="692">
        <f t="shared" ref="M198" si="200">M199</f>
        <v>8032370</v>
      </c>
      <c r="N198" s="692">
        <f>N199</f>
        <v>284620</v>
      </c>
      <c r="O198" s="691">
        <f>O199</f>
        <v>1762582</v>
      </c>
      <c r="P198" s="692">
        <f t="shared" ref="P198" si="201">P199</f>
        <v>183668627</v>
      </c>
      <c r="Q198" s="20"/>
    </row>
    <row r="199" spans="1:18" ht="120" customHeight="1" thickTop="1" thickBot="1" x14ac:dyDescent="0.25">
      <c r="A199" s="693">
        <v>1010000</v>
      </c>
      <c r="B199" s="693"/>
      <c r="C199" s="693"/>
      <c r="D199" s="694" t="s">
        <v>39</v>
      </c>
      <c r="E199" s="695">
        <f>E200+E202+E216+E210</f>
        <v>171010135</v>
      </c>
      <c r="F199" s="695">
        <f>F200+F202+F216+F210</f>
        <v>171010135</v>
      </c>
      <c r="G199" s="695">
        <f>G200+G202+G216+G210</f>
        <v>124260999</v>
      </c>
      <c r="H199" s="695">
        <f>H200+H202+H216+H210</f>
        <v>8158262</v>
      </c>
      <c r="I199" s="695">
        <f>I200+I202+I216+I210</f>
        <v>0</v>
      </c>
      <c r="J199" s="695">
        <f t="shared" ref="J199:J209" si="202">L199+O199</f>
        <v>12658492</v>
      </c>
      <c r="K199" s="695">
        <f>K200+K202+K216+K210</f>
        <v>1524642</v>
      </c>
      <c r="L199" s="695">
        <f>L200+L202+L216+L210</f>
        <v>10895910</v>
      </c>
      <c r="M199" s="695">
        <f>M200+M202+M216+M210</f>
        <v>8032370</v>
      </c>
      <c r="N199" s="695">
        <f>N200+N202+N216+N210</f>
        <v>284620</v>
      </c>
      <c r="O199" s="695">
        <f>O200+O202+O216+O210</f>
        <v>1762582</v>
      </c>
      <c r="P199" s="695">
        <f t="shared" ref="P199:P209" si="203">E199+J199</f>
        <v>183668627</v>
      </c>
      <c r="Q199" s="487" t="b">
        <f>P199=P201+P203+P204+P205+P209+P208+P213+P215</f>
        <v>1</v>
      </c>
      <c r="R199" s="46"/>
    </row>
    <row r="200" spans="1:18" ht="47.25" thickTop="1" thickBot="1" x14ac:dyDescent="0.25">
      <c r="A200" s="308" t="s">
        <v>750</v>
      </c>
      <c r="B200" s="308" t="s">
        <v>704</v>
      </c>
      <c r="C200" s="308"/>
      <c r="D200" s="308" t="s">
        <v>705</v>
      </c>
      <c r="E200" s="324">
        <f>E201</f>
        <v>93962228</v>
      </c>
      <c r="F200" s="324">
        <f t="shared" ref="F200:P200" si="204">F201</f>
        <v>93962228</v>
      </c>
      <c r="G200" s="324">
        <f t="shared" si="204"/>
        <v>72290970</v>
      </c>
      <c r="H200" s="324">
        <f t="shared" si="204"/>
        <v>4617684</v>
      </c>
      <c r="I200" s="324">
        <f t="shared" si="204"/>
        <v>0</v>
      </c>
      <c r="J200" s="324">
        <f t="shared" si="204"/>
        <v>10237010</v>
      </c>
      <c r="K200" s="324">
        <f t="shared" si="204"/>
        <v>322350</v>
      </c>
      <c r="L200" s="324">
        <f t="shared" si="204"/>
        <v>9792720</v>
      </c>
      <c r="M200" s="324">
        <f t="shared" si="204"/>
        <v>7465250</v>
      </c>
      <c r="N200" s="324">
        <f t="shared" si="204"/>
        <v>223920</v>
      </c>
      <c r="O200" s="324">
        <f t="shared" si="204"/>
        <v>444290</v>
      </c>
      <c r="P200" s="324">
        <f t="shared" si="204"/>
        <v>104199238</v>
      </c>
      <c r="Q200" s="47"/>
      <c r="R200" s="46"/>
    </row>
    <row r="201" spans="1:18" ht="48" thickTop="1" thickBot="1" x14ac:dyDescent="0.25">
      <c r="A201" s="101" t="s">
        <v>634</v>
      </c>
      <c r="B201" s="101" t="s">
        <v>635</v>
      </c>
      <c r="C201" s="101" t="s">
        <v>181</v>
      </c>
      <c r="D201" s="101" t="s">
        <v>1103</v>
      </c>
      <c r="E201" s="324">
        <f>F201</f>
        <v>93962228</v>
      </c>
      <c r="F201" s="453">
        <f>(((95874428)+50028)+237772)-1700000-500000</f>
        <v>93962228</v>
      </c>
      <c r="G201" s="453">
        <f>(73990970)-1700000</f>
        <v>72290970</v>
      </c>
      <c r="H201" s="453">
        <f>3898302+36160+523522+130800+28900</f>
        <v>4617684</v>
      </c>
      <c r="I201" s="453"/>
      <c r="J201" s="324">
        <f t="shared" si="202"/>
        <v>10237010</v>
      </c>
      <c r="K201" s="453">
        <f>(0)+322350</f>
        <v>322350</v>
      </c>
      <c r="L201" s="453">
        <f>9914660-121940</f>
        <v>9792720</v>
      </c>
      <c r="M201" s="453">
        <v>7465250</v>
      </c>
      <c r="N201" s="453">
        <v>223920</v>
      </c>
      <c r="O201" s="450">
        <f>(K201+121940)</f>
        <v>444290</v>
      </c>
      <c r="P201" s="324">
        <f t="shared" si="203"/>
        <v>104199238</v>
      </c>
      <c r="Q201" s="20"/>
      <c r="R201" s="46"/>
    </row>
    <row r="202" spans="1:18" s="24" customFormat="1" ht="47.25" thickTop="1" thickBot="1" x14ac:dyDescent="0.25">
      <c r="A202" s="308" t="s">
        <v>751</v>
      </c>
      <c r="B202" s="308" t="s">
        <v>752</v>
      </c>
      <c r="C202" s="308"/>
      <c r="D202" s="308" t="s">
        <v>753</v>
      </c>
      <c r="E202" s="324">
        <f t="shared" ref="E202:P202" si="205">SUM(E203:E209)-E207</f>
        <v>76021057</v>
      </c>
      <c r="F202" s="324">
        <f t="shared" si="205"/>
        <v>76021057</v>
      </c>
      <c r="G202" s="324">
        <f t="shared" si="205"/>
        <v>51970029</v>
      </c>
      <c r="H202" s="324">
        <f t="shared" si="205"/>
        <v>3540578</v>
      </c>
      <c r="I202" s="324">
        <f t="shared" si="205"/>
        <v>0</v>
      </c>
      <c r="J202" s="324">
        <f t="shared" si="205"/>
        <v>1920690</v>
      </c>
      <c r="K202" s="324">
        <f t="shared" si="205"/>
        <v>701500</v>
      </c>
      <c r="L202" s="324">
        <f t="shared" si="205"/>
        <v>1103190</v>
      </c>
      <c r="M202" s="324">
        <f t="shared" si="205"/>
        <v>567120</v>
      </c>
      <c r="N202" s="324">
        <f t="shared" si="205"/>
        <v>60700</v>
      </c>
      <c r="O202" s="324">
        <f t="shared" si="205"/>
        <v>817500</v>
      </c>
      <c r="P202" s="324">
        <f t="shared" si="205"/>
        <v>77941747</v>
      </c>
      <c r="Q202" s="25"/>
      <c r="R202" s="50"/>
    </row>
    <row r="203" spans="1:18" ht="48" thickTop="1" thickBot="1" x14ac:dyDescent="0.25">
      <c r="A203" s="101" t="s">
        <v>172</v>
      </c>
      <c r="B203" s="101" t="s">
        <v>173</v>
      </c>
      <c r="C203" s="101" t="s">
        <v>174</v>
      </c>
      <c r="D203" s="101" t="s">
        <v>175</v>
      </c>
      <c r="E203" s="324">
        <f t="shared" ref="E203:E205" si="206">F203</f>
        <v>18408725</v>
      </c>
      <c r="F203" s="453">
        <f>(((18479775)+81450)+130000+85000+182500)-330000-220000</f>
        <v>18408725</v>
      </c>
      <c r="G203" s="453">
        <f>(13552210)-330000</f>
        <v>13222210</v>
      </c>
      <c r="H203" s="453">
        <f>914400+11100+184288+28000+22100</f>
        <v>1159888</v>
      </c>
      <c r="I203" s="453"/>
      <c r="J203" s="324">
        <f t="shared" si="202"/>
        <v>870500</v>
      </c>
      <c r="K203" s="453">
        <f>(((0)+500000-200000)+135000+167500)+99000</f>
        <v>701500</v>
      </c>
      <c r="L203" s="453">
        <v>169000</v>
      </c>
      <c r="M203" s="453">
        <v>31000</v>
      </c>
      <c r="N203" s="453">
        <v>21000</v>
      </c>
      <c r="O203" s="450">
        <f t="shared" ref="O203:O209" si="207">K203</f>
        <v>701500</v>
      </c>
      <c r="P203" s="324">
        <f t="shared" si="203"/>
        <v>19279225</v>
      </c>
      <c r="Q203" s="20"/>
      <c r="R203" s="46"/>
    </row>
    <row r="204" spans="1:18" ht="48" thickTop="1" thickBot="1" x14ac:dyDescent="0.25">
      <c r="A204" s="101" t="s">
        <v>176</v>
      </c>
      <c r="B204" s="101" t="s">
        <v>177</v>
      </c>
      <c r="C204" s="101" t="s">
        <v>174</v>
      </c>
      <c r="D204" s="101" t="s">
        <v>462</v>
      </c>
      <c r="E204" s="324">
        <f t="shared" si="206"/>
        <v>2896822</v>
      </c>
      <c r="F204" s="453">
        <f>((2847504)+179318)-130000</f>
        <v>2896822</v>
      </c>
      <c r="G204" s="453">
        <f>(1875700)-100000</f>
        <v>1775700</v>
      </c>
      <c r="H204" s="453">
        <f>344000+5350+135610+4400</f>
        <v>489360</v>
      </c>
      <c r="I204" s="453"/>
      <c r="J204" s="324">
        <f t="shared" si="202"/>
        <v>113790</v>
      </c>
      <c r="K204" s="453"/>
      <c r="L204" s="453">
        <v>113790</v>
      </c>
      <c r="M204" s="453">
        <v>17920</v>
      </c>
      <c r="N204" s="453">
        <v>5700</v>
      </c>
      <c r="O204" s="450">
        <f t="shared" si="207"/>
        <v>0</v>
      </c>
      <c r="P204" s="324">
        <f t="shared" si="203"/>
        <v>3010612</v>
      </c>
      <c r="Q204" s="20"/>
      <c r="R204" s="46"/>
    </row>
    <row r="205" spans="1:18" ht="93" thickTop="1" thickBot="1" x14ac:dyDescent="0.25">
      <c r="A205" s="101" t="s">
        <v>178</v>
      </c>
      <c r="B205" s="101" t="s">
        <v>171</v>
      </c>
      <c r="C205" s="101" t="s">
        <v>179</v>
      </c>
      <c r="D205" s="101" t="s">
        <v>180</v>
      </c>
      <c r="E205" s="324">
        <f t="shared" si="206"/>
        <v>21840907</v>
      </c>
      <c r="F205" s="453">
        <f>((21555193)+929343+50000-305629)-388000</f>
        <v>21840907</v>
      </c>
      <c r="G205" s="453">
        <f>(15462100)-320000</f>
        <v>15142100</v>
      </c>
      <c r="H205" s="453">
        <f>982800+12680+678200+90000+41200</f>
        <v>1804880</v>
      </c>
      <c r="I205" s="453"/>
      <c r="J205" s="324">
        <f t="shared" si="202"/>
        <v>762000</v>
      </c>
      <c r="K205" s="453"/>
      <c r="L205" s="453">
        <f>762000-57400</f>
        <v>704600</v>
      </c>
      <c r="M205" s="453">
        <v>506000</v>
      </c>
      <c r="N205" s="453">
        <v>34000</v>
      </c>
      <c r="O205" s="450">
        <f>(K205+57400)</f>
        <v>57400</v>
      </c>
      <c r="P205" s="324">
        <f t="shared" si="203"/>
        <v>22602907</v>
      </c>
      <c r="Q205" s="20"/>
      <c r="R205" s="46"/>
    </row>
    <row r="206" spans="1:18" ht="48" hidden="1" thickTop="1" thickBot="1" x14ac:dyDescent="0.25">
      <c r="A206" s="126" t="s">
        <v>1176</v>
      </c>
      <c r="B206" s="126" t="s">
        <v>1177</v>
      </c>
      <c r="C206" s="126" t="s">
        <v>1179</v>
      </c>
      <c r="D206" s="126" t="s">
        <v>1178</v>
      </c>
      <c r="E206" s="125">
        <f t="shared" ref="E206" si="208">F206</f>
        <v>0</v>
      </c>
      <c r="F206" s="132"/>
      <c r="G206" s="132"/>
      <c r="H206" s="132"/>
      <c r="I206" s="132"/>
      <c r="J206" s="125">
        <f t="shared" ref="J206" si="209">L206+O206</f>
        <v>0</v>
      </c>
      <c r="K206" s="132"/>
      <c r="L206" s="132"/>
      <c r="M206" s="132"/>
      <c r="N206" s="132"/>
      <c r="O206" s="130">
        <f>(K206)</f>
        <v>0</v>
      </c>
      <c r="P206" s="125">
        <f t="shared" ref="P206" si="210">E206+J206</f>
        <v>0</v>
      </c>
      <c r="Q206" s="20"/>
      <c r="R206" s="46"/>
    </row>
    <row r="207" spans="1:18" ht="48" thickTop="1" thickBot="1" x14ac:dyDescent="0.25">
      <c r="A207" s="325" t="s">
        <v>754</v>
      </c>
      <c r="B207" s="325" t="s">
        <v>755</v>
      </c>
      <c r="C207" s="325"/>
      <c r="D207" s="325" t="s">
        <v>756</v>
      </c>
      <c r="E207" s="321">
        <f>SUM(E208:E209)</f>
        <v>32874603</v>
      </c>
      <c r="F207" s="321">
        <f t="shared" ref="F207:P207" si="211">SUM(F208:F209)</f>
        <v>32874603</v>
      </c>
      <c r="G207" s="321">
        <f t="shared" si="211"/>
        <v>21830019</v>
      </c>
      <c r="H207" s="321">
        <f t="shared" si="211"/>
        <v>86450</v>
      </c>
      <c r="I207" s="321">
        <f t="shared" si="211"/>
        <v>0</v>
      </c>
      <c r="J207" s="321">
        <f t="shared" si="211"/>
        <v>174400</v>
      </c>
      <c r="K207" s="321">
        <f t="shared" si="211"/>
        <v>0</v>
      </c>
      <c r="L207" s="321">
        <f t="shared" si="211"/>
        <v>115800</v>
      </c>
      <c r="M207" s="321">
        <f t="shared" si="211"/>
        <v>12200</v>
      </c>
      <c r="N207" s="321">
        <f t="shared" si="211"/>
        <v>0</v>
      </c>
      <c r="O207" s="321">
        <f t="shared" si="211"/>
        <v>58600</v>
      </c>
      <c r="P207" s="321">
        <f t="shared" si="211"/>
        <v>33049003</v>
      </c>
      <c r="Q207" s="20"/>
      <c r="R207" s="46"/>
    </row>
    <row r="208" spans="1:18" ht="48" thickTop="1" thickBot="1" x14ac:dyDescent="0.25">
      <c r="A208" s="101" t="s">
        <v>333</v>
      </c>
      <c r="B208" s="101" t="s">
        <v>334</v>
      </c>
      <c r="C208" s="101" t="s">
        <v>182</v>
      </c>
      <c r="D208" s="101" t="s">
        <v>463</v>
      </c>
      <c r="E208" s="324">
        <f>F208</f>
        <v>28521503</v>
      </c>
      <c r="F208" s="453">
        <f>(29071503)-550000</f>
        <v>28521503</v>
      </c>
      <c r="G208" s="453">
        <f>(22230019)-400000</f>
        <v>21830019</v>
      </c>
      <c r="H208" s="453">
        <f>77900+8250+300</f>
        <v>86450</v>
      </c>
      <c r="I208" s="453"/>
      <c r="J208" s="324">
        <f t="shared" si="202"/>
        <v>174400</v>
      </c>
      <c r="K208" s="453"/>
      <c r="L208" s="453">
        <f>174400-58600</f>
        <v>115800</v>
      </c>
      <c r="M208" s="453">
        <v>12200</v>
      </c>
      <c r="N208" s="453"/>
      <c r="O208" s="450">
        <f>(K208+58600)</f>
        <v>58600</v>
      </c>
      <c r="P208" s="324">
        <f t="shared" si="203"/>
        <v>28695903</v>
      </c>
      <c r="Q208" s="20"/>
      <c r="R208" s="46"/>
    </row>
    <row r="209" spans="1:18" ht="48" thickTop="1" thickBot="1" x14ac:dyDescent="0.25">
      <c r="A209" s="101" t="s">
        <v>335</v>
      </c>
      <c r="B209" s="101" t="s">
        <v>336</v>
      </c>
      <c r="C209" s="101" t="s">
        <v>182</v>
      </c>
      <c r="D209" s="101" t="s">
        <v>464</v>
      </c>
      <c r="E209" s="324">
        <f>F209</f>
        <v>4353100</v>
      </c>
      <c r="F209" s="453">
        <v>4353100</v>
      </c>
      <c r="G209" s="453"/>
      <c r="H209" s="453"/>
      <c r="I209" s="453"/>
      <c r="J209" s="324">
        <f t="shared" si="202"/>
        <v>0</v>
      </c>
      <c r="K209" s="453"/>
      <c r="L209" s="453"/>
      <c r="M209" s="453"/>
      <c r="N209" s="453"/>
      <c r="O209" s="450">
        <f t="shared" si="207"/>
        <v>0</v>
      </c>
      <c r="P209" s="324">
        <f t="shared" si="203"/>
        <v>4353100</v>
      </c>
      <c r="Q209" s="20"/>
      <c r="R209" s="50"/>
    </row>
    <row r="210" spans="1:18" ht="47.25" thickTop="1" thickBot="1" x14ac:dyDescent="0.25">
      <c r="A210" s="308" t="s">
        <v>910</v>
      </c>
      <c r="B210" s="308" t="s">
        <v>744</v>
      </c>
      <c r="C210" s="308"/>
      <c r="D210" s="308" t="s">
        <v>745</v>
      </c>
      <c r="E210" s="324">
        <f>SUM(E211)</f>
        <v>1026850</v>
      </c>
      <c r="F210" s="324">
        <f t="shared" ref="F210:P210" si="212">SUM(F211)</f>
        <v>1026850</v>
      </c>
      <c r="G210" s="324">
        <f t="shared" si="212"/>
        <v>0</v>
      </c>
      <c r="H210" s="324">
        <f t="shared" si="212"/>
        <v>0</v>
      </c>
      <c r="I210" s="324">
        <f t="shared" si="212"/>
        <v>0</v>
      </c>
      <c r="J210" s="324">
        <f t="shared" si="212"/>
        <v>500792</v>
      </c>
      <c r="K210" s="324">
        <f t="shared" si="212"/>
        <v>500792</v>
      </c>
      <c r="L210" s="324">
        <f t="shared" si="212"/>
        <v>0</v>
      </c>
      <c r="M210" s="324">
        <f t="shared" si="212"/>
        <v>0</v>
      </c>
      <c r="N210" s="324">
        <f t="shared" si="212"/>
        <v>0</v>
      </c>
      <c r="O210" s="324">
        <f t="shared" si="212"/>
        <v>500792</v>
      </c>
      <c r="P210" s="324">
        <f t="shared" si="212"/>
        <v>1527642</v>
      </c>
      <c r="Q210" s="20"/>
      <c r="R210" s="50"/>
    </row>
    <row r="211" spans="1:18" ht="47.25" thickTop="1" thickBot="1" x14ac:dyDescent="0.25">
      <c r="A211" s="310" t="s">
        <v>911</v>
      </c>
      <c r="B211" s="310" t="s">
        <v>687</v>
      </c>
      <c r="C211" s="310"/>
      <c r="D211" s="310" t="s">
        <v>685</v>
      </c>
      <c r="E211" s="312">
        <f>E212+E215+E214</f>
        <v>1026850</v>
      </c>
      <c r="F211" s="312">
        <f t="shared" ref="F211:P211" si="213">F212+F215+F214</f>
        <v>1026850</v>
      </c>
      <c r="G211" s="312">
        <f t="shared" si="213"/>
        <v>0</v>
      </c>
      <c r="H211" s="312">
        <f t="shared" si="213"/>
        <v>0</v>
      </c>
      <c r="I211" s="312">
        <f t="shared" si="213"/>
        <v>0</v>
      </c>
      <c r="J211" s="312">
        <f t="shared" si="213"/>
        <v>500792</v>
      </c>
      <c r="K211" s="312">
        <f t="shared" si="213"/>
        <v>500792</v>
      </c>
      <c r="L211" s="312">
        <f t="shared" si="213"/>
        <v>0</v>
      </c>
      <c r="M211" s="312">
        <f t="shared" si="213"/>
        <v>0</v>
      </c>
      <c r="N211" s="312">
        <f t="shared" si="213"/>
        <v>0</v>
      </c>
      <c r="O211" s="312">
        <f t="shared" si="213"/>
        <v>500792</v>
      </c>
      <c r="P211" s="312">
        <f t="shared" si="213"/>
        <v>1527642</v>
      </c>
      <c r="Q211" s="20"/>
      <c r="R211" s="50"/>
    </row>
    <row r="212" spans="1:18" ht="48" thickTop="1" thickBot="1" x14ac:dyDescent="0.25">
      <c r="A212" s="325" t="s">
        <v>1016</v>
      </c>
      <c r="B212" s="325" t="s">
        <v>1017</v>
      </c>
      <c r="C212" s="325"/>
      <c r="D212" s="325" t="s">
        <v>1015</v>
      </c>
      <c r="E212" s="321">
        <f>E213</f>
        <v>1026850</v>
      </c>
      <c r="F212" s="321">
        <f t="shared" ref="F212:P212" si="214">F213</f>
        <v>1026850</v>
      </c>
      <c r="G212" s="321">
        <f t="shared" si="214"/>
        <v>0</v>
      </c>
      <c r="H212" s="321">
        <f t="shared" si="214"/>
        <v>0</v>
      </c>
      <c r="I212" s="321">
        <f t="shared" si="214"/>
        <v>0</v>
      </c>
      <c r="J212" s="321">
        <f t="shared" si="214"/>
        <v>0</v>
      </c>
      <c r="K212" s="321">
        <f t="shared" si="214"/>
        <v>0</v>
      </c>
      <c r="L212" s="321">
        <f t="shared" si="214"/>
        <v>0</v>
      </c>
      <c r="M212" s="321">
        <f t="shared" si="214"/>
        <v>0</v>
      </c>
      <c r="N212" s="321">
        <f t="shared" si="214"/>
        <v>0</v>
      </c>
      <c r="O212" s="321">
        <f t="shared" si="214"/>
        <v>0</v>
      </c>
      <c r="P212" s="321">
        <f t="shared" si="214"/>
        <v>1026850</v>
      </c>
      <c r="Q212" s="20"/>
      <c r="R212" s="50"/>
    </row>
    <row r="213" spans="1:18" ht="48" thickTop="1" thickBot="1" x14ac:dyDescent="0.25">
      <c r="A213" s="101" t="s">
        <v>1019</v>
      </c>
      <c r="B213" s="101" t="s">
        <v>1020</v>
      </c>
      <c r="C213" s="101" t="s">
        <v>213</v>
      </c>
      <c r="D213" s="101" t="s">
        <v>1018</v>
      </c>
      <c r="E213" s="324">
        <f>F213</f>
        <v>1026850</v>
      </c>
      <c r="F213" s="453">
        <v>1026850</v>
      </c>
      <c r="G213" s="453"/>
      <c r="H213" s="453"/>
      <c r="I213" s="453"/>
      <c r="J213" s="324">
        <f>L213+O213</f>
        <v>0</v>
      </c>
      <c r="K213" s="453"/>
      <c r="L213" s="453"/>
      <c r="M213" s="453"/>
      <c r="N213" s="453"/>
      <c r="O213" s="450">
        <f>K213</f>
        <v>0</v>
      </c>
      <c r="P213" s="324">
        <f>E213+J213</f>
        <v>1026850</v>
      </c>
      <c r="Q213" s="20"/>
      <c r="R213" s="50"/>
    </row>
    <row r="214" spans="1:18" ht="48" hidden="1" thickTop="1" thickBot="1" x14ac:dyDescent="0.25">
      <c r="A214" s="126" t="s">
        <v>1247</v>
      </c>
      <c r="B214" s="126" t="s">
        <v>212</v>
      </c>
      <c r="C214" s="126" t="s">
        <v>213</v>
      </c>
      <c r="D214" s="126" t="s">
        <v>41</v>
      </c>
      <c r="E214" s="125">
        <f t="shared" ref="E214" si="215">F214</f>
        <v>0</v>
      </c>
      <c r="F214" s="132"/>
      <c r="G214" s="132"/>
      <c r="H214" s="132"/>
      <c r="I214" s="132"/>
      <c r="J214" s="125">
        <f>L214+O214</f>
        <v>0</v>
      </c>
      <c r="K214" s="132"/>
      <c r="L214" s="132"/>
      <c r="M214" s="132"/>
      <c r="N214" s="132"/>
      <c r="O214" s="130">
        <f>K214</f>
        <v>0</v>
      </c>
      <c r="P214" s="125">
        <f>E214+J214</f>
        <v>0</v>
      </c>
      <c r="Q214" s="20"/>
      <c r="R214" s="50"/>
    </row>
    <row r="215" spans="1:18" ht="48" thickTop="1" thickBot="1" x14ac:dyDescent="0.25">
      <c r="A215" s="101" t="s">
        <v>912</v>
      </c>
      <c r="B215" s="101" t="s">
        <v>197</v>
      </c>
      <c r="C215" s="101" t="s">
        <v>170</v>
      </c>
      <c r="D215" s="101" t="s">
        <v>34</v>
      </c>
      <c r="E215" s="324">
        <f t="shared" ref="E215" si="216">F215</f>
        <v>0</v>
      </c>
      <c r="F215" s="453"/>
      <c r="G215" s="453"/>
      <c r="H215" s="453"/>
      <c r="I215" s="453"/>
      <c r="J215" s="324">
        <f t="shared" ref="J215" si="217">L215+O215</f>
        <v>500792</v>
      </c>
      <c r="K215" s="453">
        <f>(0)+500792</f>
        <v>500792</v>
      </c>
      <c r="L215" s="453"/>
      <c r="M215" s="453"/>
      <c r="N215" s="453"/>
      <c r="O215" s="450">
        <f t="shared" ref="O215" si="218">K215</f>
        <v>500792</v>
      </c>
      <c r="P215" s="324">
        <f t="shared" ref="P215" si="219">E215+J215</f>
        <v>500792</v>
      </c>
      <c r="Q215" s="20"/>
      <c r="R215" s="46"/>
    </row>
    <row r="216" spans="1:18" ht="47.25" hidden="1" thickTop="1" thickBot="1" x14ac:dyDescent="0.25">
      <c r="A216" s="144" t="s">
        <v>757</v>
      </c>
      <c r="B216" s="144" t="s">
        <v>698</v>
      </c>
      <c r="C216" s="144"/>
      <c r="D216" s="144" t="s">
        <v>699</v>
      </c>
      <c r="E216" s="42">
        <f>E217</f>
        <v>0</v>
      </c>
      <c r="F216" s="42">
        <f t="shared" ref="F216:P217" si="220">F217</f>
        <v>0</v>
      </c>
      <c r="G216" s="42">
        <f t="shared" si="220"/>
        <v>0</v>
      </c>
      <c r="H216" s="42">
        <f t="shared" si="220"/>
        <v>0</v>
      </c>
      <c r="I216" s="42">
        <f t="shared" si="220"/>
        <v>0</v>
      </c>
      <c r="J216" s="42">
        <f t="shared" si="220"/>
        <v>0</v>
      </c>
      <c r="K216" s="42">
        <f t="shared" si="220"/>
        <v>0</v>
      </c>
      <c r="L216" s="42">
        <f t="shared" si="220"/>
        <v>0</v>
      </c>
      <c r="M216" s="42">
        <f t="shared" si="220"/>
        <v>0</v>
      </c>
      <c r="N216" s="42">
        <f t="shared" si="220"/>
        <v>0</v>
      </c>
      <c r="O216" s="42">
        <f t="shared" si="220"/>
        <v>0</v>
      </c>
      <c r="P216" s="42">
        <f t="shared" si="220"/>
        <v>0</v>
      </c>
      <c r="Q216" s="20"/>
      <c r="R216" s="50"/>
    </row>
    <row r="217" spans="1:18" ht="91.5" hidden="1" thickTop="1" thickBot="1" x14ac:dyDescent="0.25">
      <c r="A217" s="145" t="s">
        <v>758</v>
      </c>
      <c r="B217" s="145" t="s">
        <v>701</v>
      </c>
      <c r="C217" s="145"/>
      <c r="D217" s="145" t="s">
        <v>702</v>
      </c>
      <c r="E217" s="146">
        <f>E218</f>
        <v>0</v>
      </c>
      <c r="F217" s="146">
        <f t="shared" si="220"/>
        <v>0</v>
      </c>
      <c r="G217" s="146">
        <f t="shared" si="220"/>
        <v>0</v>
      </c>
      <c r="H217" s="146">
        <f t="shared" si="220"/>
        <v>0</v>
      </c>
      <c r="I217" s="146">
        <f t="shared" si="220"/>
        <v>0</v>
      </c>
      <c r="J217" s="146">
        <f t="shared" si="220"/>
        <v>0</v>
      </c>
      <c r="K217" s="146">
        <f t="shared" si="220"/>
        <v>0</v>
      </c>
      <c r="L217" s="146">
        <f t="shared" si="220"/>
        <v>0</v>
      </c>
      <c r="M217" s="146">
        <f t="shared" si="220"/>
        <v>0</v>
      </c>
      <c r="N217" s="146">
        <f t="shared" si="220"/>
        <v>0</v>
      </c>
      <c r="O217" s="146">
        <f t="shared" si="220"/>
        <v>0</v>
      </c>
      <c r="P217" s="146">
        <f t="shared" si="220"/>
        <v>0</v>
      </c>
      <c r="Q217" s="20"/>
      <c r="R217" s="50"/>
    </row>
    <row r="218" spans="1:18" ht="48" hidden="1" thickTop="1" thickBot="1" x14ac:dyDescent="0.25">
      <c r="A218" s="41" t="s">
        <v>585</v>
      </c>
      <c r="B218" s="41" t="s">
        <v>363</v>
      </c>
      <c r="C218" s="41" t="s">
        <v>43</v>
      </c>
      <c r="D218" s="41" t="s">
        <v>364</v>
      </c>
      <c r="E218" s="42">
        <f t="shared" ref="E218" si="221">F218</f>
        <v>0</v>
      </c>
      <c r="F218" s="43">
        <v>0</v>
      </c>
      <c r="G218" s="43"/>
      <c r="H218" s="43"/>
      <c r="I218" s="43"/>
      <c r="J218" s="42">
        <f>L218+O218</f>
        <v>0</v>
      </c>
      <c r="K218" s="43"/>
      <c r="L218" s="43"/>
      <c r="M218" s="43"/>
      <c r="N218" s="43"/>
      <c r="O218" s="44">
        <f>K218</f>
        <v>0</v>
      </c>
      <c r="P218" s="42">
        <f>E218+J218</f>
        <v>0</v>
      </c>
      <c r="Q218" s="20"/>
      <c r="R218" s="50"/>
    </row>
    <row r="219" spans="1:18" ht="120" customHeight="1" thickTop="1" thickBot="1" x14ac:dyDescent="0.25">
      <c r="A219" s="689" t="s">
        <v>22</v>
      </c>
      <c r="B219" s="689"/>
      <c r="C219" s="689"/>
      <c r="D219" s="690" t="s">
        <v>23</v>
      </c>
      <c r="E219" s="691">
        <f>E220</f>
        <v>131028428</v>
      </c>
      <c r="F219" s="692">
        <f t="shared" ref="F219:G219" si="222">F220</f>
        <v>131028428</v>
      </c>
      <c r="G219" s="692">
        <f t="shared" si="222"/>
        <v>52061407</v>
      </c>
      <c r="H219" s="692">
        <f>H220</f>
        <v>4514380</v>
      </c>
      <c r="I219" s="692">
        <f t="shared" ref="I219" si="223">I220</f>
        <v>0</v>
      </c>
      <c r="J219" s="691">
        <f>J220</f>
        <v>5660642</v>
      </c>
      <c r="K219" s="692">
        <f>K220</f>
        <v>3747200</v>
      </c>
      <c r="L219" s="692">
        <f>L220</f>
        <v>1888442</v>
      </c>
      <c r="M219" s="692">
        <f t="shared" ref="M219" si="224">M220</f>
        <v>704165</v>
      </c>
      <c r="N219" s="692">
        <f>N220</f>
        <v>524376</v>
      </c>
      <c r="O219" s="691">
        <f>O220</f>
        <v>3772200</v>
      </c>
      <c r="P219" s="692">
        <f t="shared" ref="P219" si="225">P220</f>
        <v>136689070</v>
      </c>
      <c r="Q219" s="20"/>
    </row>
    <row r="220" spans="1:18" ht="120" customHeight="1" thickTop="1" thickBot="1" x14ac:dyDescent="0.25">
      <c r="A220" s="693" t="s">
        <v>21</v>
      </c>
      <c r="B220" s="693"/>
      <c r="C220" s="693"/>
      <c r="D220" s="694" t="s">
        <v>35</v>
      </c>
      <c r="E220" s="695">
        <f>E221+E227+E242+E245+E252</f>
        <v>131028428</v>
      </c>
      <c r="F220" s="695">
        <f t="shared" ref="F220:I220" si="226">F221+F227+F242+F245+F252</f>
        <v>131028428</v>
      </c>
      <c r="G220" s="695">
        <f t="shared" si="226"/>
        <v>52061407</v>
      </c>
      <c r="H220" s="695">
        <f t="shared" si="226"/>
        <v>4514380</v>
      </c>
      <c r="I220" s="695">
        <f t="shared" si="226"/>
        <v>0</v>
      </c>
      <c r="J220" s="695">
        <f>L220+O220</f>
        <v>5660642</v>
      </c>
      <c r="K220" s="695">
        <f t="shared" ref="K220" si="227">K221+K227+K242+K245+K252</f>
        <v>3747200</v>
      </c>
      <c r="L220" s="695">
        <f t="shared" ref="L220" si="228">L221+L227+L242+L245+L252</f>
        <v>1888442</v>
      </c>
      <c r="M220" s="695">
        <f t="shared" ref="M220" si="229">M221+M227+M242+M245+M252</f>
        <v>704165</v>
      </c>
      <c r="N220" s="695">
        <f t="shared" ref="N220" si="230">N221+N227+N242+N245+N252</f>
        <v>524376</v>
      </c>
      <c r="O220" s="695">
        <f t="shared" ref="O220" si="231">O221+O227+O242+O245+O252</f>
        <v>3772200</v>
      </c>
      <c r="P220" s="695">
        <f>E220+J220</f>
        <v>136689070</v>
      </c>
      <c r="Q220" s="487" t="b">
        <f>P220=P225+P226+P229+P230+P232+P234+P235+P239+P240+P241+P237+P254</f>
        <v>1</v>
      </c>
      <c r="R220" s="46"/>
    </row>
    <row r="221" spans="1:18" ht="47.25" thickTop="1" thickBot="1" x14ac:dyDescent="0.25">
      <c r="A221" s="308" t="s">
        <v>759</v>
      </c>
      <c r="B221" s="308" t="s">
        <v>707</v>
      </c>
      <c r="C221" s="308"/>
      <c r="D221" s="308" t="s">
        <v>708</v>
      </c>
      <c r="E221" s="571">
        <f>SUM(E222:E226)-E222-E224</f>
        <v>13607328</v>
      </c>
      <c r="F221" s="571">
        <f t="shared" ref="F221:P221" si="232">SUM(F222:F226)-F222-F224</f>
        <v>13607328</v>
      </c>
      <c r="G221" s="571">
        <f t="shared" si="232"/>
        <v>5252175</v>
      </c>
      <c r="H221" s="571">
        <f t="shared" si="232"/>
        <v>1022560</v>
      </c>
      <c r="I221" s="571">
        <f t="shared" si="232"/>
        <v>0</v>
      </c>
      <c r="J221" s="571">
        <f t="shared" si="232"/>
        <v>1009419</v>
      </c>
      <c r="K221" s="571">
        <f t="shared" si="232"/>
        <v>588219</v>
      </c>
      <c r="L221" s="571">
        <f t="shared" si="232"/>
        <v>421200</v>
      </c>
      <c r="M221" s="571">
        <f t="shared" si="232"/>
        <v>198800</v>
      </c>
      <c r="N221" s="571">
        <f t="shared" si="232"/>
        <v>152665</v>
      </c>
      <c r="O221" s="571">
        <f t="shared" si="232"/>
        <v>588219</v>
      </c>
      <c r="P221" s="571">
        <f t="shared" si="232"/>
        <v>14616747</v>
      </c>
      <c r="Q221" s="47"/>
      <c r="R221" s="46"/>
    </row>
    <row r="222" spans="1:18" s="33" customFormat="1" ht="48" hidden="1" thickTop="1" thickBot="1" x14ac:dyDescent="0.25">
      <c r="A222" s="325" t="s">
        <v>760</v>
      </c>
      <c r="B222" s="325" t="s">
        <v>761</v>
      </c>
      <c r="C222" s="325"/>
      <c r="D222" s="325" t="s">
        <v>762</v>
      </c>
      <c r="E222" s="572">
        <f>E223</f>
        <v>0</v>
      </c>
      <c r="F222" s="572">
        <f t="shared" ref="F222:P222" si="233">F223</f>
        <v>0</v>
      </c>
      <c r="G222" s="572">
        <f t="shared" si="233"/>
        <v>0</v>
      </c>
      <c r="H222" s="572">
        <f t="shared" si="233"/>
        <v>0</v>
      </c>
      <c r="I222" s="572">
        <f t="shared" si="233"/>
        <v>0</v>
      </c>
      <c r="J222" s="572">
        <f t="shared" si="233"/>
        <v>0</v>
      </c>
      <c r="K222" s="572">
        <f t="shared" si="233"/>
        <v>0</v>
      </c>
      <c r="L222" s="572">
        <f t="shared" si="233"/>
        <v>0</v>
      </c>
      <c r="M222" s="572">
        <f t="shared" si="233"/>
        <v>0</v>
      </c>
      <c r="N222" s="572">
        <f t="shared" si="233"/>
        <v>0</v>
      </c>
      <c r="O222" s="572">
        <f t="shared" si="233"/>
        <v>0</v>
      </c>
      <c r="P222" s="572">
        <f t="shared" si="233"/>
        <v>0</v>
      </c>
      <c r="Q222" s="155"/>
      <c r="R222" s="52"/>
    </row>
    <row r="223" spans="1:18" ht="48" hidden="1" thickTop="1" thickBot="1" x14ac:dyDescent="0.25">
      <c r="A223" s="101" t="s">
        <v>183</v>
      </c>
      <c r="B223" s="101" t="s">
        <v>184</v>
      </c>
      <c r="C223" s="101" t="s">
        <v>185</v>
      </c>
      <c r="D223" s="101" t="s">
        <v>636</v>
      </c>
      <c r="E223" s="309">
        <f t="shared" ref="E223:E240" si="234">F223</f>
        <v>0</v>
      </c>
      <c r="F223" s="322">
        <f>(6040461)-6040461</f>
        <v>0</v>
      </c>
      <c r="G223" s="322">
        <f>(4559615)-4559615</f>
        <v>0</v>
      </c>
      <c r="H223" s="322">
        <f>(96665+5295+31600+3840)-137400</f>
        <v>0</v>
      </c>
      <c r="I223" s="322"/>
      <c r="J223" s="324">
        <f t="shared" ref="J223:J251" si="235">L223+O223</f>
        <v>0</v>
      </c>
      <c r="K223" s="322"/>
      <c r="L223" s="449"/>
      <c r="M223" s="449"/>
      <c r="N223" s="449"/>
      <c r="O223" s="450">
        <f t="shared" ref="O223:O251" si="236">K223</f>
        <v>0</v>
      </c>
      <c r="P223" s="324">
        <f>+J223+E223</f>
        <v>0</v>
      </c>
      <c r="Q223" s="50"/>
      <c r="R223" s="50"/>
    </row>
    <row r="224" spans="1:18" s="33" customFormat="1" ht="93" thickTop="1" thickBot="1" x14ac:dyDescent="0.25">
      <c r="A224" s="325" t="s">
        <v>763</v>
      </c>
      <c r="B224" s="325" t="s">
        <v>764</v>
      </c>
      <c r="C224" s="325"/>
      <c r="D224" s="325" t="s">
        <v>1529</v>
      </c>
      <c r="E224" s="457">
        <f>SUM(E225:E226)</f>
        <v>13607328</v>
      </c>
      <c r="F224" s="457">
        <f t="shared" ref="F224:P224" si="237">SUM(F225:F226)</f>
        <v>13607328</v>
      </c>
      <c r="G224" s="457">
        <f t="shared" si="237"/>
        <v>5252175</v>
      </c>
      <c r="H224" s="457">
        <f t="shared" si="237"/>
        <v>1022560</v>
      </c>
      <c r="I224" s="457">
        <f t="shared" si="237"/>
        <v>0</v>
      </c>
      <c r="J224" s="457">
        <f t="shared" si="237"/>
        <v>1009419</v>
      </c>
      <c r="K224" s="457">
        <f t="shared" si="237"/>
        <v>588219</v>
      </c>
      <c r="L224" s="457">
        <f t="shared" si="237"/>
        <v>421200</v>
      </c>
      <c r="M224" s="457">
        <f t="shared" si="237"/>
        <v>198800</v>
      </c>
      <c r="N224" s="457">
        <f t="shared" si="237"/>
        <v>152665</v>
      </c>
      <c r="O224" s="457">
        <f t="shared" si="237"/>
        <v>588219</v>
      </c>
      <c r="P224" s="457">
        <f t="shared" si="237"/>
        <v>14616747</v>
      </c>
      <c r="Q224" s="51"/>
      <c r="R224" s="51"/>
    </row>
    <row r="225" spans="1:18" ht="48" thickTop="1" thickBot="1" x14ac:dyDescent="0.25">
      <c r="A225" s="101" t="s">
        <v>189</v>
      </c>
      <c r="B225" s="101" t="s">
        <v>190</v>
      </c>
      <c r="C225" s="101" t="s">
        <v>185</v>
      </c>
      <c r="D225" s="101" t="s">
        <v>10</v>
      </c>
      <c r="E225" s="309">
        <f t="shared" si="234"/>
        <v>5976842</v>
      </c>
      <c r="F225" s="322">
        <v>5976842</v>
      </c>
      <c r="G225" s="322">
        <v>3757524</v>
      </c>
      <c r="H225" s="322">
        <f>640500+6906+191040+3080</f>
        <v>841526</v>
      </c>
      <c r="I225" s="322"/>
      <c r="J225" s="324">
        <f t="shared" si="235"/>
        <v>954919</v>
      </c>
      <c r="K225" s="322">
        <f>((0)+400000)+133719</f>
        <v>533719</v>
      </c>
      <c r="L225" s="449">
        <v>421200</v>
      </c>
      <c r="M225" s="449">
        <v>198800</v>
      </c>
      <c r="N225" s="449">
        <v>152665</v>
      </c>
      <c r="O225" s="450">
        <f>K225</f>
        <v>533719</v>
      </c>
      <c r="P225" s="324">
        <f t="shared" ref="P225:P251" si="238">E225+J225</f>
        <v>6931761</v>
      </c>
      <c r="Q225" s="20"/>
      <c r="R225" s="46"/>
    </row>
    <row r="226" spans="1:18" ht="48" thickTop="1" thickBot="1" x14ac:dyDescent="0.25">
      <c r="A226" s="101" t="s">
        <v>351</v>
      </c>
      <c r="B226" s="101" t="s">
        <v>352</v>
      </c>
      <c r="C226" s="101" t="s">
        <v>185</v>
      </c>
      <c r="D226" s="101" t="s">
        <v>353</v>
      </c>
      <c r="E226" s="309">
        <f t="shared" si="234"/>
        <v>7630486</v>
      </c>
      <c r="F226" s="322">
        <f>((((7156877)+140000)+61000)+152609)+10970-10970+120000</f>
        <v>7630486</v>
      </c>
      <c r="G226" s="322">
        <f>((1352349)+50000)+92302</f>
        <v>1494651</v>
      </c>
      <c r="H226" s="322">
        <f>(102138+6560+80906+2400)-10970</f>
        <v>181034</v>
      </c>
      <c r="I226" s="322"/>
      <c r="J226" s="324">
        <f t="shared" si="235"/>
        <v>54500</v>
      </c>
      <c r="K226" s="322">
        <v>54500</v>
      </c>
      <c r="L226" s="449"/>
      <c r="M226" s="449"/>
      <c r="N226" s="449"/>
      <c r="O226" s="450">
        <f t="shared" si="236"/>
        <v>54500</v>
      </c>
      <c r="P226" s="324">
        <f t="shared" si="238"/>
        <v>7684986</v>
      </c>
      <c r="Q226" s="20"/>
      <c r="R226" s="46"/>
    </row>
    <row r="227" spans="1:18" ht="47.25" thickTop="1" thickBot="1" x14ac:dyDescent="0.25">
      <c r="A227" s="308" t="s">
        <v>765</v>
      </c>
      <c r="B227" s="308" t="s">
        <v>766</v>
      </c>
      <c r="C227" s="101"/>
      <c r="D227" s="308" t="s">
        <v>767</v>
      </c>
      <c r="E227" s="309">
        <f t="shared" ref="E227:P227" si="239">SUM(E228:E241)-E228-E231-E233-E238-E236</f>
        <v>117171100</v>
      </c>
      <c r="F227" s="309">
        <f t="shared" si="239"/>
        <v>117171100</v>
      </c>
      <c r="G227" s="309">
        <f t="shared" si="239"/>
        <v>46809232</v>
      </c>
      <c r="H227" s="309">
        <f t="shared" si="239"/>
        <v>3491820</v>
      </c>
      <c r="I227" s="309">
        <f t="shared" si="239"/>
        <v>0</v>
      </c>
      <c r="J227" s="309">
        <f t="shared" si="239"/>
        <v>4651223</v>
      </c>
      <c r="K227" s="309">
        <f t="shared" si="239"/>
        <v>3158981</v>
      </c>
      <c r="L227" s="309">
        <f t="shared" si="239"/>
        <v>1467242</v>
      </c>
      <c r="M227" s="309">
        <f t="shared" si="239"/>
        <v>505365</v>
      </c>
      <c r="N227" s="309">
        <f t="shared" si="239"/>
        <v>371711</v>
      </c>
      <c r="O227" s="309">
        <f t="shared" si="239"/>
        <v>3183981</v>
      </c>
      <c r="P227" s="309">
        <f t="shared" si="239"/>
        <v>121822323</v>
      </c>
      <c r="Q227" s="20"/>
      <c r="R227" s="46"/>
    </row>
    <row r="228" spans="1:18" s="33" customFormat="1" ht="48" thickTop="1" thickBot="1" x14ac:dyDescent="0.25">
      <c r="A228" s="325" t="s">
        <v>768</v>
      </c>
      <c r="B228" s="325" t="s">
        <v>769</v>
      </c>
      <c r="C228" s="325"/>
      <c r="D228" s="325" t="s">
        <v>770</v>
      </c>
      <c r="E228" s="457">
        <f>SUM(E229:E230)</f>
        <v>38112600</v>
      </c>
      <c r="F228" s="457">
        <f t="shared" ref="F228:P228" si="240">SUM(F229:F230)</f>
        <v>38112600</v>
      </c>
      <c r="G228" s="457">
        <f t="shared" si="240"/>
        <v>0</v>
      </c>
      <c r="H228" s="457">
        <f t="shared" si="240"/>
        <v>0</v>
      </c>
      <c r="I228" s="457">
        <f t="shared" si="240"/>
        <v>0</v>
      </c>
      <c r="J228" s="457">
        <f t="shared" si="240"/>
        <v>0</v>
      </c>
      <c r="K228" s="457">
        <f t="shared" si="240"/>
        <v>0</v>
      </c>
      <c r="L228" s="457">
        <f t="shared" si="240"/>
        <v>0</v>
      </c>
      <c r="M228" s="457">
        <f t="shared" si="240"/>
        <v>0</v>
      </c>
      <c r="N228" s="457">
        <f t="shared" si="240"/>
        <v>0</v>
      </c>
      <c r="O228" s="457">
        <f t="shared" si="240"/>
        <v>0</v>
      </c>
      <c r="P228" s="457">
        <f t="shared" si="240"/>
        <v>38112600</v>
      </c>
      <c r="Q228" s="36"/>
      <c r="R228" s="52"/>
    </row>
    <row r="229" spans="1:18" ht="93" thickTop="1" thickBot="1" x14ac:dyDescent="0.25">
      <c r="A229" s="101" t="s">
        <v>44</v>
      </c>
      <c r="B229" s="101" t="s">
        <v>186</v>
      </c>
      <c r="C229" s="101" t="s">
        <v>195</v>
      </c>
      <c r="D229" s="101" t="s">
        <v>45</v>
      </c>
      <c r="E229" s="309">
        <f t="shared" si="234"/>
        <v>33412777</v>
      </c>
      <c r="F229" s="322">
        <f>((((27000000)+2300000)+2100000)+1000000+2000000)-987223</f>
        <v>33412777</v>
      </c>
      <c r="G229" s="453"/>
      <c r="H229" s="453"/>
      <c r="I229" s="453"/>
      <c r="J229" s="324">
        <f t="shared" si="235"/>
        <v>0</v>
      </c>
      <c r="K229" s="453"/>
      <c r="L229" s="453"/>
      <c r="M229" s="453"/>
      <c r="N229" s="453"/>
      <c r="O229" s="450">
        <f t="shared" si="236"/>
        <v>0</v>
      </c>
      <c r="P229" s="324">
        <f t="shared" si="238"/>
        <v>33412777</v>
      </c>
      <c r="Q229" s="20"/>
      <c r="R229" s="46"/>
    </row>
    <row r="230" spans="1:18" ht="93" thickTop="1" thickBot="1" x14ac:dyDescent="0.25">
      <c r="A230" s="101" t="s">
        <v>46</v>
      </c>
      <c r="B230" s="101" t="s">
        <v>187</v>
      </c>
      <c r="C230" s="101" t="s">
        <v>195</v>
      </c>
      <c r="D230" s="101" t="s">
        <v>4</v>
      </c>
      <c r="E230" s="309">
        <f t="shared" si="234"/>
        <v>4699823</v>
      </c>
      <c r="F230" s="322">
        <f>(((3399823)+450000)+50000)+800000</f>
        <v>4699823</v>
      </c>
      <c r="G230" s="453"/>
      <c r="H230" s="453"/>
      <c r="I230" s="453"/>
      <c r="J230" s="324">
        <f t="shared" si="235"/>
        <v>0</v>
      </c>
      <c r="K230" s="453"/>
      <c r="L230" s="453"/>
      <c r="M230" s="453"/>
      <c r="N230" s="453"/>
      <c r="O230" s="450">
        <f t="shared" si="236"/>
        <v>0</v>
      </c>
      <c r="P230" s="324">
        <f t="shared" si="238"/>
        <v>4699823</v>
      </c>
      <c r="Q230" s="20"/>
      <c r="R230" s="46"/>
    </row>
    <row r="231" spans="1:18" s="33" customFormat="1" ht="93" thickTop="1" thickBot="1" x14ac:dyDescent="0.25">
      <c r="A231" s="325" t="s">
        <v>771</v>
      </c>
      <c r="B231" s="325" t="s">
        <v>772</v>
      </c>
      <c r="C231" s="325"/>
      <c r="D231" s="325" t="s">
        <v>773</v>
      </c>
      <c r="E231" s="457">
        <f>E232</f>
        <v>41300</v>
      </c>
      <c r="F231" s="457">
        <f t="shared" ref="F231:P231" si="241">F232</f>
        <v>41300</v>
      </c>
      <c r="G231" s="457">
        <f t="shared" si="241"/>
        <v>0</v>
      </c>
      <c r="H231" s="457">
        <f t="shared" si="241"/>
        <v>0</v>
      </c>
      <c r="I231" s="457">
        <f t="shared" si="241"/>
        <v>0</v>
      </c>
      <c r="J231" s="457">
        <f t="shared" si="241"/>
        <v>0</v>
      </c>
      <c r="K231" s="457">
        <f t="shared" si="241"/>
        <v>0</v>
      </c>
      <c r="L231" s="457">
        <f t="shared" si="241"/>
        <v>0</v>
      </c>
      <c r="M231" s="457">
        <f t="shared" si="241"/>
        <v>0</v>
      </c>
      <c r="N231" s="457">
        <f t="shared" si="241"/>
        <v>0</v>
      </c>
      <c r="O231" s="457">
        <f t="shared" si="241"/>
        <v>0</v>
      </c>
      <c r="P231" s="457">
        <f t="shared" si="241"/>
        <v>41300</v>
      </c>
      <c r="Q231" s="36"/>
      <c r="R231" s="53"/>
    </row>
    <row r="232" spans="1:18" ht="93" thickTop="1" thickBot="1" x14ac:dyDescent="0.25">
      <c r="A232" s="101" t="s">
        <v>47</v>
      </c>
      <c r="B232" s="101" t="s">
        <v>188</v>
      </c>
      <c r="C232" s="101" t="s">
        <v>195</v>
      </c>
      <c r="D232" s="101" t="s">
        <v>349</v>
      </c>
      <c r="E232" s="309">
        <f>F232</f>
        <v>41300</v>
      </c>
      <c r="F232" s="322">
        <v>41300</v>
      </c>
      <c r="G232" s="322"/>
      <c r="H232" s="322"/>
      <c r="I232" s="453"/>
      <c r="J232" s="324">
        <f t="shared" si="235"/>
        <v>0</v>
      </c>
      <c r="K232" s="453"/>
      <c r="L232" s="322"/>
      <c r="M232" s="322"/>
      <c r="N232" s="322"/>
      <c r="O232" s="450">
        <f t="shared" si="236"/>
        <v>0</v>
      </c>
      <c r="P232" s="324">
        <f t="shared" si="238"/>
        <v>41300</v>
      </c>
      <c r="Q232" s="20"/>
      <c r="R232" s="46"/>
    </row>
    <row r="233" spans="1:18" ht="48" thickTop="1" thickBot="1" x14ac:dyDescent="0.25">
      <c r="A233" s="325" t="s">
        <v>774</v>
      </c>
      <c r="B233" s="325" t="s">
        <v>775</v>
      </c>
      <c r="C233" s="325"/>
      <c r="D233" s="325" t="s">
        <v>776</v>
      </c>
      <c r="E233" s="457">
        <f>SUM(E234:E235)</f>
        <v>71723030</v>
      </c>
      <c r="F233" s="457">
        <f t="shared" ref="F233:P233" si="242">SUM(F234:F235)</f>
        <v>71723030</v>
      </c>
      <c r="G233" s="457">
        <f t="shared" si="242"/>
        <v>45291127</v>
      </c>
      <c r="H233" s="457">
        <f t="shared" si="242"/>
        <v>3491820</v>
      </c>
      <c r="I233" s="457">
        <f t="shared" si="242"/>
        <v>0</v>
      </c>
      <c r="J233" s="457">
        <f t="shared" si="242"/>
        <v>4601223</v>
      </c>
      <c r="K233" s="457">
        <f t="shared" si="242"/>
        <v>3158981</v>
      </c>
      <c r="L233" s="457">
        <f t="shared" si="242"/>
        <v>1417242</v>
      </c>
      <c r="M233" s="457">
        <f t="shared" si="242"/>
        <v>505365</v>
      </c>
      <c r="N233" s="457">
        <f t="shared" si="242"/>
        <v>371711</v>
      </c>
      <c r="O233" s="457">
        <f t="shared" si="242"/>
        <v>3183981</v>
      </c>
      <c r="P233" s="457">
        <f t="shared" si="242"/>
        <v>76324253</v>
      </c>
      <c r="Q233" s="20"/>
      <c r="R233" s="46"/>
    </row>
    <row r="234" spans="1:18" ht="93" thickTop="1" thickBot="1" x14ac:dyDescent="0.25">
      <c r="A234" s="101" t="s">
        <v>28</v>
      </c>
      <c r="B234" s="101" t="s">
        <v>192</v>
      </c>
      <c r="C234" s="101" t="s">
        <v>195</v>
      </c>
      <c r="D234" s="101" t="s">
        <v>48</v>
      </c>
      <c r="E234" s="309">
        <f t="shared" si="234"/>
        <v>64761339</v>
      </c>
      <c r="F234" s="322">
        <f>(((((63565171)+70460)+97000+116000+298907+59902)+236600+300000+199426+50000+20000+20000+50000)+100000+32920-250000-260000)+37923+34886+17030-34886</f>
        <v>64761339</v>
      </c>
      <c r="G234" s="322">
        <f>(13791707+13494017+12637962+5617441)-250000</f>
        <v>45291127</v>
      </c>
      <c r="H234" s="322">
        <f>((582200+114491+553286+67934+483136+25997+376551+57199+5016+21100+12432+180616+368000+5930+382500+11712+147504+59200+5076)-55983)+145479-19450-33506-4600</f>
        <v>3491820</v>
      </c>
      <c r="I234" s="322"/>
      <c r="J234" s="324">
        <f t="shared" si="235"/>
        <v>4601223</v>
      </c>
      <c r="K234" s="322">
        <f>(((((1000000)+71064)+75200+1671946)+54999+89002)+169000)+27770</f>
        <v>3158981</v>
      </c>
      <c r="L234" s="322">
        <f>1442242-25000</f>
        <v>1417242</v>
      </c>
      <c r="M234" s="322">
        <v>505365</v>
      </c>
      <c r="N234" s="322">
        <v>371711</v>
      </c>
      <c r="O234" s="450">
        <f>(K234+25000)</f>
        <v>3183981</v>
      </c>
      <c r="P234" s="324">
        <f t="shared" si="238"/>
        <v>69362562</v>
      </c>
      <c r="Q234" s="20"/>
      <c r="R234" s="46"/>
    </row>
    <row r="235" spans="1:18" ht="93" thickTop="1" thickBot="1" x14ac:dyDescent="0.25">
      <c r="A235" s="101" t="s">
        <v>29</v>
      </c>
      <c r="B235" s="101" t="s">
        <v>193</v>
      </c>
      <c r="C235" s="101" t="s">
        <v>195</v>
      </c>
      <c r="D235" s="101" t="s">
        <v>49</v>
      </c>
      <c r="E235" s="309">
        <f t="shared" si="234"/>
        <v>6961691</v>
      </c>
      <c r="F235" s="322">
        <v>6961691</v>
      </c>
      <c r="G235" s="322"/>
      <c r="H235" s="322"/>
      <c r="I235" s="322"/>
      <c r="J235" s="324">
        <f t="shared" si="235"/>
        <v>0</v>
      </c>
      <c r="K235" s="322">
        <v>0</v>
      </c>
      <c r="L235" s="322"/>
      <c r="M235" s="322"/>
      <c r="N235" s="322"/>
      <c r="O235" s="450">
        <f t="shared" si="236"/>
        <v>0</v>
      </c>
      <c r="P235" s="324">
        <f t="shared" si="238"/>
        <v>6961691</v>
      </c>
      <c r="Q235" s="20"/>
      <c r="R235" s="46"/>
    </row>
    <row r="236" spans="1:18" ht="69.75" customHeight="1" thickTop="1" thickBot="1" x14ac:dyDescent="0.25">
      <c r="A236" s="573" t="s">
        <v>1358</v>
      </c>
      <c r="B236" s="325" t="s">
        <v>812</v>
      </c>
      <c r="C236" s="325"/>
      <c r="D236" s="325" t="s">
        <v>813</v>
      </c>
      <c r="E236" s="457">
        <f>E237</f>
        <v>93550</v>
      </c>
      <c r="F236" s="457">
        <f t="shared" ref="F236:P236" si="243">F237</f>
        <v>93550</v>
      </c>
      <c r="G236" s="457">
        <f t="shared" si="243"/>
        <v>76680</v>
      </c>
      <c r="H236" s="457">
        <f t="shared" si="243"/>
        <v>0</v>
      </c>
      <c r="I236" s="457">
        <f t="shared" si="243"/>
        <v>0</v>
      </c>
      <c r="J236" s="457">
        <f t="shared" si="243"/>
        <v>0</v>
      </c>
      <c r="K236" s="457">
        <f t="shared" si="243"/>
        <v>0</v>
      </c>
      <c r="L236" s="457">
        <f t="shared" si="243"/>
        <v>0</v>
      </c>
      <c r="M236" s="457">
        <f t="shared" si="243"/>
        <v>0</v>
      </c>
      <c r="N236" s="457">
        <f t="shared" si="243"/>
        <v>0</v>
      </c>
      <c r="O236" s="457">
        <f t="shared" si="243"/>
        <v>0</v>
      </c>
      <c r="P236" s="457">
        <f t="shared" si="243"/>
        <v>93550</v>
      </c>
      <c r="Q236" s="20"/>
      <c r="R236" s="46"/>
    </row>
    <row r="237" spans="1:18" ht="93" thickTop="1" thickBot="1" x14ac:dyDescent="0.25">
      <c r="A237" s="101" t="s">
        <v>1359</v>
      </c>
      <c r="B237" s="101" t="s">
        <v>1360</v>
      </c>
      <c r="C237" s="101" t="s">
        <v>195</v>
      </c>
      <c r="D237" s="101" t="s">
        <v>1361</v>
      </c>
      <c r="E237" s="309">
        <f t="shared" ref="E237" si="244">F237</f>
        <v>93550</v>
      </c>
      <c r="F237" s="322">
        <v>93550</v>
      </c>
      <c r="G237" s="322">
        <v>76680</v>
      </c>
      <c r="H237" s="322"/>
      <c r="I237" s="322"/>
      <c r="J237" s="324">
        <f t="shared" ref="J237" si="245">L237+O237</f>
        <v>0</v>
      </c>
      <c r="K237" s="322">
        <v>0</v>
      </c>
      <c r="L237" s="322"/>
      <c r="M237" s="322"/>
      <c r="N237" s="322"/>
      <c r="O237" s="450">
        <f t="shared" ref="O237" si="246">K237</f>
        <v>0</v>
      </c>
      <c r="P237" s="324">
        <f t="shared" ref="P237" si="247">E237+J237</f>
        <v>93550</v>
      </c>
      <c r="Q237" s="20"/>
      <c r="R237" s="46"/>
    </row>
    <row r="238" spans="1:18" ht="48" thickTop="1" thickBot="1" x14ac:dyDescent="0.25">
      <c r="A238" s="573" t="s">
        <v>777</v>
      </c>
      <c r="B238" s="325" t="s">
        <v>778</v>
      </c>
      <c r="C238" s="325"/>
      <c r="D238" s="325" t="s">
        <v>779</v>
      </c>
      <c r="E238" s="457">
        <f>SUM(E239:E241)</f>
        <v>7200620</v>
      </c>
      <c r="F238" s="457">
        <f t="shared" ref="F238:P238" si="248">SUM(F239:F241)</f>
        <v>7200620</v>
      </c>
      <c r="G238" s="457">
        <f t="shared" si="248"/>
        <v>1441425</v>
      </c>
      <c r="H238" s="457">
        <f t="shared" si="248"/>
        <v>0</v>
      </c>
      <c r="I238" s="457">
        <f t="shared" si="248"/>
        <v>0</v>
      </c>
      <c r="J238" s="457">
        <f t="shared" si="248"/>
        <v>50000</v>
      </c>
      <c r="K238" s="457">
        <f t="shared" si="248"/>
        <v>0</v>
      </c>
      <c r="L238" s="457">
        <f t="shared" si="248"/>
        <v>50000</v>
      </c>
      <c r="M238" s="457">
        <f t="shared" si="248"/>
        <v>0</v>
      </c>
      <c r="N238" s="457">
        <f t="shared" si="248"/>
        <v>0</v>
      </c>
      <c r="O238" s="457">
        <f t="shared" si="248"/>
        <v>0</v>
      </c>
      <c r="P238" s="457">
        <f t="shared" si="248"/>
        <v>7250620</v>
      </c>
      <c r="Q238" s="20"/>
      <c r="R238" s="46"/>
    </row>
    <row r="239" spans="1:18" ht="138.75" thickTop="1" thickBot="1" x14ac:dyDescent="0.25">
      <c r="A239" s="574" t="s">
        <v>30</v>
      </c>
      <c r="B239" s="574" t="s">
        <v>194</v>
      </c>
      <c r="C239" s="574" t="s">
        <v>195</v>
      </c>
      <c r="D239" s="101" t="s">
        <v>31</v>
      </c>
      <c r="E239" s="309">
        <f t="shared" si="234"/>
        <v>775354</v>
      </c>
      <c r="F239" s="322">
        <f>(625354)+150000</f>
        <v>775354</v>
      </c>
      <c r="G239" s="453"/>
      <c r="H239" s="453"/>
      <c r="I239" s="453"/>
      <c r="J239" s="324">
        <f t="shared" si="235"/>
        <v>0</v>
      </c>
      <c r="K239" s="453"/>
      <c r="L239" s="453"/>
      <c r="M239" s="453"/>
      <c r="N239" s="453"/>
      <c r="O239" s="450">
        <f t="shared" si="236"/>
        <v>0</v>
      </c>
      <c r="P239" s="324">
        <f t="shared" si="238"/>
        <v>775354</v>
      </c>
      <c r="Q239" s="20"/>
      <c r="R239" s="46"/>
    </row>
    <row r="240" spans="1:18" ht="93" thickTop="1" thickBot="1" x14ac:dyDescent="0.25">
      <c r="A240" s="574" t="s">
        <v>511</v>
      </c>
      <c r="B240" s="574" t="s">
        <v>509</v>
      </c>
      <c r="C240" s="574" t="s">
        <v>195</v>
      </c>
      <c r="D240" s="101" t="s">
        <v>510</v>
      </c>
      <c r="E240" s="309">
        <f t="shared" si="234"/>
        <v>4276585</v>
      </c>
      <c r="F240" s="322">
        <f>((((5242225)-60000)-31140)-800000)-74500</f>
        <v>4276585</v>
      </c>
      <c r="G240" s="453"/>
      <c r="H240" s="453"/>
      <c r="I240" s="453"/>
      <c r="J240" s="324">
        <f t="shared" si="235"/>
        <v>0</v>
      </c>
      <c r="K240" s="453"/>
      <c r="L240" s="453"/>
      <c r="M240" s="453"/>
      <c r="N240" s="453"/>
      <c r="O240" s="450">
        <f t="shared" si="236"/>
        <v>0</v>
      </c>
      <c r="P240" s="324">
        <f t="shared" si="238"/>
        <v>4276585</v>
      </c>
      <c r="Q240" s="20"/>
      <c r="R240" s="46"/>
    </row>
    <row r="241" spans="1:18" ht="73.5" customHeight="1" thickTop="1" thickBot="1" x14ac:dyDescent="0.25">
      <c r="A241" s="574" t="s">
        <v>32</v>
      </c>
      <c r="B241" s="574" t="s">
        <v>196</v>
      </c>
      <c r="C241" s="574" t="s">
        <v>195</v>
      </c>
      <c r="D241" s="101" t="s">
        <v>33</v>
      </c>
      <c r="E241" s="309">
        <f>F241</f>
        <v>2148681</v>
      </c>
      <c r="F241" s="322">
        <f>((2113041)+31140)+4500</f>
        <v>2148681</v>
      </c>
      <c r="G241" s="453">
        <v>1441425</v>
      </c>
      <c r="H241" s="453"/>
      <c r="I241" s="453"/>
      <c r="J241" s="324">
        <f t="shared" si="235"/>
        <v>50000</v>
      </c>
      <c r="K241" s="453"/>
      <c r="L241" s="453">
        <v>50000</v>
      </c>
      <c r="M241" s="453"/>
      <c r="N241" s="453"/>
      <c r="O241" s="450">
        <f t="shared" si="236"/>
        <v>0</v>
      </c>
      <c r="P241" s="324">
        <f t="shared" si="238"/>
        <v>2198681</v>
      </c>
      <c r="Q241" s="20"/>
      <c r="R241" s="46"/>
    </row>
    <row r="242" spans="1:18" ht="47.25" hidden="1" thickTop="1" thickBot="1" x14ac:dyDescent="0.25">
      <c r="A242" s="123" t="s">
        <v>780</v>
      </c>
      <c r="B242" s="123" t="s">
        <v>738</v>
      </c>
      <c r="C242" s="123"/>
      <c r="D242" s="400" t="s">
        <v>739</v>
      </c>
      <c r="E242" s="150">
        <f>E243</f>
        <v>0</v>
      </c>
      <c r="F242" s="150">
        <f t="shared" ref="F242:P243" si="249">F243</f>
        <v>0</v>
      </c>
      <c r="G242" s="150">
        <f t="shared" si="249"/>
        <v>0</v>
      </c>
      <c r="H242" s="150">
        <f t="shared" si="249"/>
        <v>0</v>
      </c>
      <c r="I242" s="150">
        <f t="shared" si="249"/>
        <v>0</v>
      </c>
      <c r="J242" s="150">
        <f t="shared" si="249"/>
        <v>0</v>
      </c>
      <c r="K242" s="150">
        <f t="shared" si="249"/>
        <v>0</v>
      </c>
      <c r="L242" s="150">
        <f t="shared" si="249"/>
        <v>0</v>
      </c>
      <c r="M242" s="150">
        <f t="shared" si="249"/>
        <v>0</v>
      </c>
      <c r="N242" s="150">
        <f t="shared" si="249"/>
        <v>0</v>
      </c>
      <c r="O242" s="150">
        <f t="shared" si="249"/>
        <v>0</v>
      </c>
      <c r="P242" s="150">
        <f t="shared" si="249"/>
        <v>0</v>
      </c>
      <c r="Q242" s="20"/>
      <c r="R242" s="46"/>
    </row>
    <row r="243" spans="1:18" ht="48" hidden="1" thickTop="1" thickBot="1" x14ac:dyDescent="0.25">
      <c r="A243" s="401" t="s">
        <v>781</v>
      </c>
      <c r="B243" s="401" t="s">
        <v>741</v>
      </c>
      <c r="C243" s="401"/>
      <c r="D243" s="138" t="s">
        <v>742</v>
      </c>
      <c r="E243" s="156">
        <f>E244</f>
        <v>0</v>
      </c>
      <c r="F243" s="156">
        <f t="shared" si="249"/>
        <v>0</v>
      </c>
      <c r="G243" s="156">
        <f t="shared" si="249"/>
        <v>0</v>
      </c>
      <c r="H243" s="156">
        <f t="shared" si="249"/>
        <v>0</v>
      </c>
      <c r="I243" s="156">
        <f t="shared" si="249"/>
        <v>0</v>
      </c>
      <c r="J243" s="156">
        <f t="shared" si="249"/>
        <v>0</v>
      </c>
      <c r="K243" s="156">
        <f t="shared" si="249"/>
        <v>0</v>
      </c>
      <c r="L243" s="156">
        <f t="shared" si="249"/>
        <v>0</v>
      </c>
      <c r="M243" s="156">
        <f t="shared" si="249"/>
        <v>0</v>
      </c>
      <c r="N243" s="156">
        <f t="shared" si="249"/>
        <v>0</v>
      </c>
      <c r="O243" s="156">
        <f t="shared" si="249"/>
        <v>0</v>
      </c>
      <c r="P243" s="156">
        <f t="shared" si="249"/>
        <v>0</v>
      </c>
      <c r="Q243" s="20"/>
      <c r="R243" s="46"/>
    </row>
    <row r="244" spans="1:18" ht="138.75" hidden="1" thickTop="1" thickBot="1" x14ac:dyDescent="0.25">
      <c r="A244" s="402" t="s">
        <v>342</v>
      </c>
      <c r="B244" s="402" t="s">
        <v>341</v>
      </c>
      <c r="C244" s="402" t="s">
        <v>340</v>
      </c>
      <c r="D244" s="126" t="s">
        <v>637</v>
      </c>
      <c r="E244" s="150">
        <f>F244</f>
        <v>0</v>
      </c>
      <c r="F244" s="127"/>
      <c r="G244" s="132"/>
      <c r="H244" s="132"/>
      <c r="I244" s="132"/>
      <c r="J244" s="125">
        <f t="shared" si="235"/>
        <v>0</v>
      </c>
      <c r="K244" s="132"/>
      <c r="L244" s="132"/>
      <c r="M244" s="132"/>
      <c r="N244" s="132"/>
      <c r="O244" s="130">
        <f t="shared" si="236"/>
        <v>0</v>
      </c>
      <c r="P244" s="125">
        <f t="shared" si="238"/>
        <v>0</v>
      </c>
      <c r="Q244" s="20"/>
      <c r="R244" s="50"/>
    </row>
    <row r="245" spans="1:18" ht="47.25" hidden="1" thickTop="1" thickBot="1" x14ac:dyDescent="0.25">
      <c r="A245" s="123" t="s">
        <v>782</v>
      </c>
      <c r="B245" s="123" t="s">
        <v>744</v>
      </c>
      <c r="C245" s="123"/>
      <c r="D245" s="123" t="s">
        <v>745</v>
      </c>
      <c r="E245" s="150">
        <f>E249+E246</f>
        <v>0</v>
      </c>
      <c r="F245" s="150">
        <f t="shared" ref="F245:P245" si="250">F249+F246</f>
        <v>0</v>
      </c>
      <c r="G245" s="150">
        <f t="shared" si="250"/>
        <v>0</v>
      </c>
      <c r="H245" s="150">
        <f t="shared" si="250"/>
        <v>0</v>
      </c>
      <c r="I245" s="150">
        <f t="shared" si="250"/>
        <v>0</v>
      </c>
      <c r="J245" s="150">
        <f t="shared" si="250"/>
        <v>0</v>
      </c>
      <c r="K245" s="150">
        <f t="shared" si="250"/>
        <v>0</v>
      </c>
      <c r="L245" s="150">
        <f t="shared" si="250"/>
        <v>0</v>
      </c>
      <c r="M245" s="150">
        <f t="shared" si="250"/>
        <v>0</v>
      </c>
      <c r="N245" s="150">
        <f t="shared" si="250"/>
        <v>0</v>
      </c>
      <c r="O245" s="150">
        <f t="shared" si="250"/>
        <v>0</v>
      </c>
      <c r="P245" s="150">
        <f t="shared" si="250"/>
        <v>0</v>
      </c>
      <c r="Q245" s="20"/>
      <c r="R245" s="50"/>
    </row>
    <row r="246" spans="1:18" ht="47.25" hidden="1" thickTop="1" thickBot="1" x14ac:dyDescent="0.25">
      <c r="A246" s="134" t="s">
        <v>1082</v>
      </c>
      <c r="B246" s="134" t="s">
        <v>799</v>
      </c>
      <c r="C246" s="134"/>
      <c r="D246" s="134" t="s">
        <v>800</v>
      </c>
      <c r="E246" s="135">
        <f>E247</f>
        <v>0</v>
      </c>
      <c r="F246" s="135">
        <f t="shared" ref="F246:P247" si="251">F247</f>
        <v>0</v>
      </c>
      <c r="G246" s="135">
        <f t="shared" si="251"/>
        <v>0</v>
      </c>
      <c r="H246" s="135">
        <f t="shared" si="251"/>
        <v>0</v>
      </c>
      <c r="I246" s="135">
        <f t="shared" si="251"/>
        <v>0</v>
      </c>
      <c r="J246" s="135">
        <f t="shared" si="251"/>
        <v>0</v>
      </c>
      <c r="K246" s="135">
        <f t="shared" si="251"/>
        <v>0</v>
      </c>
      <c r="L246" s="135">
        <f t="shared" si="251"/>
        <v>0</v>
      </c>
      <c r="M246" s="135">
        <f t="shared" si="251"/>
        <v>0</v>
      </c>
      <c r="N246" s="135">
        <f t="shared" si="251"/>
        <v>0</v>
      </c>
      <c r="O246" s="135">
        <f t="shared" si="251"/>
        <v>0</v>
      </c>
      <c r="P246" s="135">
        <f t="shared" si="251"/>
        <v>0</v>
      </c>
      <c r="Q246" s="20"/>
      <c r="R246" s="50"/>
    </row>
    <row r="247" spans="1:18" ht="54" hidden="1" thickTop="1" thickBot="1" x14ac:dyDescent="0.25">
      <c r="A247" s="138" t="s">
        <v>1083</v>
      </c>
      <c r="B247" s="138" t="s">
        <v>817</v>
      </c>
      <c r="C247" s="138"/>
      <c r="D247" s="138" t="s">
        <v>1468</v>
      </c>
      <c r="E247" s="139">
        <f>E248</f>
        <v>0</v>
      </c>
      <c r="F247" s="139">
        <f t="shared" si="251"/>
        <v>0</v>
      </c>
      <c r="G247" s="139">
        <f t="shared" si="251"/>
        <v>0</v>
      </c>
      <c r="H247" s="139">
        <f t="shared" si="251"/>
        <v>0</v>
      </c>
      <c r="I247" s="139">
        <f t="shared" si="251"/>
        <v>0</v>
      </c>
      <c r="J247" s="139">
        <f t="shared" si="251"/>
        <v>0</v>
      </c>
      <c r="K247" s="139">
        <f t="shared" si="251"/>
        <v>0</v>
      </c>
      <c r="L247" s="139">
        <f t="shared" si="251"/>
        <v>0</v>
      </c>
      <c r="M247" s="139">
        <f t="shared" si="251"/>
        <v>0</v>
      </c>
      <c r="N247" s="139">
        <f t="shared" si="251"/>
        <v>0</v>
      </c>
      <c r="O247" s="139">
        <f t="shared" si="251"/>
        <v>0</v>
      </c>
      <c r="P247" s="139">
        <f t="shared" si="251"/>
        <v>0</v>
      </c>
      <c r="Q247" s="20"/>
      <c r="R247" s="50"/>
    </row>
    <row r="248" spans="1:18" ht="54" hidden="1" thickTop="1" thickBot="1" x14ac:dyDescent="0.25">
      <c r="A248" s="126" t="s">
        <v>1084</v>
      </c>
      <c r="B248" s="126" t="s">
        <v>313</v>
      </c>
      <c r="C248" s="126" t="s">
        <v>304</v>
      </c>
      <c r="D248" s="126" t="s">
        <v>1219</v>
      </c>
      <c r="E248" s="125">
        <f t="shared" ref="E248" si="252">F248</f>
        <v>0</v>
      </c>
      <c r="F248" s="132"/>
      <c r="G248" s="132"/>
      <c r="H248" s="132"/>
      <c r="I248" s="132"/>
      <c r="J248" s="125">
        <f t="shared" ref="J248" si="253">L248+O248</f>
        <v>0</v>
      </c>
      <c r="K248" s="132">
        <f>49500-49500</f>
        <v>0</v>
      </c>
      <c r="L248" s="132"/>
      <c r="M248" s="132"/>
      <c r="N248" s="132"/>
      <c r="O248" s="130">
        <f t="shared" ref="O248" si="254">K248</f>
        <v>0</v>
      </c>
      <c r="P248" s="125">
        <f>E248+J248</f>
        <v>0</v>
      </c>
      <c r="Q248" s="20"/>
      <c r="R248" s="50"/>
    </row>
    <row r="249" spans="1:18" ht="47.25" hidden="1" thickTop="1" thickBot="1" x14ac:dyDescent="0.25">
      <c r="A249" s="134" t="s">
        <v>783</v>
      </c>
      <c r="B249" s="134" t="s">
        <v>687</v>
      </c>
      <c r="C249" s="134"/>
      <c r="D249" s="134" t="s">
        <v>685</v>
      </c>
      <c r="E249" s="157">
        <f>E251+E250</f>
        <v>0</v>
      </c>
      <c r="F249" s="157">
        <f t="shared" ref="F249:H249" si="255">F251+F250</f>
        <v>0</v>
      </c>
      <c r="G249" s="157">
        <f t="shared" si="255"/>
        <v>0</v>
      </c>
      <c r="H249" s="157">
        <f t="shared" si="255"/>
        <v>0</v>
      </c>
      <c r="I249" s="157">
        <f>I251+I250</f>
        <v>0</v>
      </c>
      <c r="J249" s="157">
        <f>J251+J250</f>
        <v>0</v>
      </c>
      <c r="K249" s="157">
        <f>K251+K250</f>
        <v>0</v>
      </c>
      <c r="L249" s="157">
        <f t="shared" ref="L249:O249" si="256">L251+L250</f>
        <v>0</v>
      </c>
      <c r="M249" s="157">
        <f t="shared" si="256"/>
        <v>0</v>
      </c>
      <c r="N249" s="157">
        <f t="shared" si="256"/>
        <v>0</v>
      </c>
      <c r="O249" s="157">
        <f t="shared" si="256"/>
        <v>0</v>
      </c>
      <c r="P249" s="157">
        <f>P251+P250</f>
        <v>0</v>
      </c>
      <c r="Q249" s="20"/>
      <c r="R249" s="50"/>
    </row>
    <row r="250" spans="1:18" ht="48" hidden="1" thickTop="1" thickBot="1" x14ac:dyDescent="0.25">
      <c r="A250" s="402" t="s">
        <v>1316</v>
      </c>
      <c r="B250" s="402" t="s">
        <v>212</v>
      </c>
      <c r="C250" s="402"/>
      <c r="D250" s="126" t="s">
        <v>41</v>
      </c>
      <c r="E250" s="150">
        <f>F250</f>
        <v>0</v>
      </c>
      <c r="F250" s="127"/>
      <c r="G250" s="132"/>
      <c r="H250" s="132"/>
      <c r="I250" s="132"/>
      <c r="J250" s="125">
        <f t="shared" ref="J250" si="257">L250+O250</f>
        <v>0</v>
      </c>
      <c r="K250" s="132"/>
      <c r="L250" s="132"/>
      <c r="M250" s="132"/>
      <c r="N250" s="132"/>
      <c r="O250" s="130">
        <f t="shared" ref="O250" si="258">K250</f>
        <v>0</v>
      </c>
      <c r="P250" s="125">
        <f t="shared" ref="P250" si="259">E250+J250</f>
        <v>0</v>
      </c>
      <c r="Q250" s="20"/>
      <c r="R250" s="50"/>
    </row>
    <row r="251" spans="1:18" ht="48" hidden="1" thickTop="1" thickBot="1" x14ac:dyDescent="0.25">
      <c r="A251" s="126" t="s">
        <v>605</v>
      </c>
      <c r="B251" s="126" t="s">
        <v>197</v>
      </c>
      <c r="C251" s="126" t="s">
        <v>170</v>
      </c>
      <c r="D251" s="126" t="s">
        <v>34</v>
      </c>
      <c r="E251" s="125">
        <f t="shared" ref="E251" si="260">F251</f>
        <v>0</v>
      </c>
      <c r="F251" s="132"/>
      <c r="G251" s="132"/>
      <c r="H251" s="132"/>
      <c r="I251" s="132"/>
      <c r="J251" s="125">
        <f t="shared" si="235"/>
        <v>0</v>
      </c>
      <c r="K251" s="132"/>
      <c r="L251" s="132"/>
      <c r="M251" s="132"/>
      <c r="N251" s="132"/>
      <c r="O251" s="130">
        <f t="shared" si="236"/>
        <v>0</v>
      </c>
      <c r="P251" s="125">
        <f t="shared" si="238"/>
        <v>0</v>
      </c>
      <c r="Q251" s="20"/>
      <c r="R251" s="46"/>
    </row>
    <row r="252" spans="1:18" ht="47.25" thickTop="1" thickBot="1" x14ac:dyDescent="0.25">
      <c r="A252" s="308" t="s">
        <v>1090</v>
      </c>
      <c r="B252" s="308" t="s">
        <v>698</v>
      </c>
      <c r="C252" s="308"/>
      <c r="D252" s="308" t="s">
        <v>699</v>
      </c>
      <c r="E252" s="324">
        <f>E253</f>
        <v>250000</v>
      </c>
      <c r="F252" s="324">
        <f t="shared" ref="F252:P253" si="261">F253</f>
        <v>250000</v>
      </c>
      <c r="G252" s="324">
        <f t="shared" si="261"/>
        <v>0</v>
      </c>
      <c r="H252" s="324">
        <f t="shared" si="261"/>
        <v>0</v>
      </c>
      <c r="I252" s="324">
        <f t="shared" si="261"/>
        <v>0</v>
      </c>
      <c r="J252" s="324">
        <f t="shared" si="261"/>
        <v>0</v>
      </c>
      <c r="K252" s="324">
        <f t="shared" si="261"/>
        <v>0</v>
      </c>
      <c r="L252" s="324">
        <f t="shared" si="261"/>
        <v>0</v>
      </c>
      <c r="M252" s="324">
        <f t="shared" si="261"/>
        <v>0</v>
      </c>
      <c r="N252" s="324">
        <f t="shared" si="261"/>
        <v>0</v>
      </c>
      <c r="O252" s="324">
        <f t="shared" si="261"/>
        <v>0</v>
      </c>
      <c r="P252" s="324">
        <f t="shared" si="261"/>
        <v>250000</v>
      </c>
      <c r="Q252" s="20"/>
      <c r="R252" s="46"/>
    </row>
    <row r="253" spans="1:18" ht="91.5" thickTop="1" thickBot="1" x14ac:dyDescent="0.25">
      <c r="A253" s="310" t="s">
        <v>1091</v>
      </c>
      <c r="B253" s="310" t="s">
        <v>701</v>
      </c>
      <c r="C253" s="310"/>
      <c r="D253" s="310" t="s">
        <v>702</v>
      </c>
      <c r="E253" s="312">
        <f>E254</f>
        <v>250000</v>
      </c>
      <c r="F253" s="312">
        <f t="shared" si="261"/>
        <v>250000</v>
      </c>
      <c r="G253" s="312">
        <f t="shared" si="261"/>
        <v>0</v>
      </c>
      <c r="H253" s="312">
        <f t="shared" si="261"/>
        <v>0</v>
      </c>
      <c r="I253" s="312">
        <f t="shared" si="261"/>
        <v>0</v>
      </c>
      <c r="J253" s="312">
        <f t="shared" si="261"/>
        <v>0</v>
      </c>
      <c r="K253" s="312">
        <f t="shared" si="261"/>
        <v>0</v>
      </c>
      <c r="L253" s="312">
        <f t="shared" si="261"/>
        <v>0</v>
      </c>
      <c r="M253" s="312">
        <f t="shared" si="261"/>
        <v>0</v>
      </c>
      <c r="N253" s="312">
        <f t="shared" si="261"/>
        <v>0</v>
      </c>
      <c r="O253" s="312">
        <f t="shared" si="261"/>
        <v>0</v>
      </c>
      <c r="P253" s="312">
        <f t="shared" si="261"/>
        <v>250000</v>
      </c>
      <c r="Q253" s="20"/>
      <c r="R253" s="46"/>
    </row>
    <row r="254" spans="1:18" ht="48" thickTop="1" thickBot="1" x14ac:dyDescent="0.25">
      <c r="A254" s="101" t="s">
        <v>1092</v>
      </c>
      <c r="B254" s="101" t="s">
        <v>363</v>
      </c>
      <c r="C254" s="101" t="s">
        <v>43</v>
      </c>
      <c r="D254" s="101" t="s">
        <v>364</v>
      </c>
      <c r="E254" s="324">
        <f t="shared" ref="E254" si="262">F254</f>
        <v>250000</v>
      </c>
      <c r="F254" s="453">
        <v>250000</v>
      </c>
      <c r="G254" s="453"/>
      <c r="H254" s="453"/>
      <c r="I254" s="453"/>
      <c r="J254" s="324">
        <f>L254+O254</f>
        <v>0</v>
      </c>
      <c r="K254" s="453">
        <v>0</v>
      </c>
      <c r="L254" s="453"/>
      <c r="M254" s="453"/>
      <c r="N254" s="453"/>
      <c r="O254" s="450">
        <f>K254</f>
        <v>0</v>
      </c>
      <c r="P254" s="324">
        <f>E254+J254</f>
        <v>250000</v>
      </c>
      <c r="Q254" s="20"/>
      <c r="R254" s="46"/>
    </row>
    <row r="255" spans="1:18" ht="120" customHeight="1" thickTop="1" thickBot="1" x14ac:dyDescent="0.25">
      <c r="A255" s="689" t="s">
        <v>158</v>
      </c>
      <c r="B255" s="689"/>
      <c r="C255" s="689"/>
      <c r="D255" s="690" t="s">
        <v>560</v>
      </c>
      <c r="E255" s="691">
        <f>E256</f>
        <v>44712006.979999997</v>
      </c>
      <c r="F255" s="692">
        <f t="shared" ref="F255:G255" si="263">F256</f>
        <v>44712006.979999997</v>
      </c>
      <c r="G255" s="692">
        <f t="shared" si="263"/>
        <v>7111632</v>
      </c>
      <c r="H255" s="692">
        <f>H256</f>
        <v>383100</v>
      </c>
      <c r="I255" s="692">
        <f t="shared" ref="I255" si="264">I256</f>
        <v>0</v>
      </c>
      <c r="J255" s="691">
        <f>J256</f>
        <v>12934286.15</v>
      </c>
      <c r="K255" s="692">
        <f>K256</f>
        <v>12934286.15</v>
      </c>
      <c r="L255" s="692">
        <f>L256</f>
        <v>0</v>
      </c>
      <c r="M255" s="692">
        <f t="shared" ref="M255" si="265">M256</f>
        <v>0</v>
      </c>
      <c r="N255" s="692">
        <f>N256</f>
        <v>0</v>
      </c>
      <c r="O255" s="691">
        <f>O256</f>
        <v>12934286.15</v>
      </c>
      <c r="P255" s="692">
        <f>P256</f>
        <v>57646293.129999995</v>
      </c>
      <c r="Q255" s="20"/>
      <c r="R255" s="50"/>
    </row>
    <row r="256" spans="1:18" ht="120" customHeight="1" thickTop="1" thickBot="1" x14ac:dyDescent="0.25">
      <c r="A256" s="693" t="s">
        <v>159</v>
      </c>
      <c r="B256" s="693"/>
      <c r="C256" s="693"/>
      <c r="D256" s="694" t="s">
        <v>561</v>
      </c>
      <c r="E256" s="695">
        <f>E257+E261+E270+E279</f>
        <v>44712006.979999997</v>
      </c>
      <c r="F256" s="695">
        <f>F257+F261+F270+F279</f>
        <v>44712006.979999997</v>
      </c>
      <c r="G256" s="695">
        <f>G257+G261+G270+G279</f>
        <v>7111632</v>
      </c>
      <c r="H256" s="695">
        <f>H257+H261+H270+H279</f>
        <v>383100</v>
      </c>
      <c r="I256" s="695">
        <f>I257+I261+I270+I279</f>
        <v>0</v>
      </c>
      <c r="J256" s="695">
        <f t="shared" ref="J256:J277" si="266">L256+O256</f>
        <v>12934286.15</v>
      </c>
      <c r="K256" s="695">
        <f>K257+K261+K270+K279</f>
        <v>12934286.15</v>
      </c>
      <c r="L256" s="695">
        <f>L257+L261+L270+L279</f>
        <v>0</v>
      </c>
      <c r="M256" s="695">
        <f>M257+M261+M270+M279</f>
        <v>0</v>
      </c>
      <c r="N256" s="695">
        <f>N257+N261+N270+N279</f>
        <v>0</v>
      </c>
      <c r="O256" s="695">
        <f>O257+O261+O270+O279</f>
        <v>12934286.15</v>
      </c>
      <c r="P256" s="695">
        <f>E256+J256</f>
        <v>57646293.129999995</v>
      </c>
      <c r="Q256" s="487" t="b">
        <f>P256=P258+P263+P265+P267+P268+P269+P272+P274+P275+P281+P264</f>
        <v>1</v>
      </c>
      <c r="R256" s="54"/>
    </row>
    <row r="257" spans="1:18" ht="47.25" thickTop="1" thickBot="1" x14ac:dyDescent="0.25">
      <c r="A257" s="308" t="s">
        <v>784</v>
      </c>
      <c r="B257" s="308" t="s">
        <v>680</v>
      </c>
      <c r="C257" s="308"/>
      <c r="D257" s="308" t="s">
        <v>681</v>
      </c>
      <c r="E257" s="324">
        <f>SUM(E258:E260)</f>
        <v>9648153</v>
      </c>
      <c r="F257" s="324">
        <f t="shared" ref="F257:N257" si="267">SUM(F258:F260)</f>
        <v>9648153</v>
      </c>
      <c r="G257" s="324">
        <f t="shared" si="267"/>
        <v>7111632</v>
      </c>
      <c r="H257" s="324">
        <f t="shared" si="267"/>
        <v>383100</v>
      </c>
      <c r="I257" s="324">
        <f t="shared" si="267"/>
        <v>0</v>
      </c>
      <c r="J257" s="324">
        <f t="shared" si="267"/>
        <v>0</v>
      </c>
      <c r="K257" s="324">
        <f t="shared" si="267"/>
        <v>0</v>
      </c>
      <c r="L257" s="324">
        <f t="shared" si="267"/>
        <v>0</v>
      </c>
      <c r="M257" s="324">
        <f t="shared" si="267"/>
        <v>0</v>
      </c>
      <c r="N257" s="324">
        <f t="shared" si="267"/>
        <v>0</v>
      </c>
      <c r="O257" s="324">
        <f>SUM(O258:O260)</f>
        <v>0</v>
      </c>
      <c r="P257" s="324">
        <f>SUM(P258:P260)</f>
        <v>9648153</v>
      </c>
      <c r="Q257" s="47"/>
      <c r="R257" s="54"/>
    </row>
    <row r="258" spans="1:18" ht="93" thickTop="1" thickBot="1" x14ac:dyDescent="0.25">
      <c r="A258" s="101" t="s">
        <v>420</v>
      </c>
      <c r="B258" s="101" t="s">
        <v>236</v>
      </c>
      <c r="C258" s="101" t="s">
        <v>234</v>
      </c>
      <c r="D258" s="101" t="s">
        <v>235</v>
      </c>
      <c r="E258" s="309">
        <f>F258</f>
        <v>9648153</v>
      </c>
      <c r="F258" s="322">
        <f>(9067321)+580832</f>
        <v>9648153</v>
      </c>
      <c r="G258" s="322">
        <f>(6530800)+580832</f>
        <v>7111632</v>
      </c>
      <c r="H258" s="322">
        <f>(510883)-127783</f>
        <v>383100</v>
      </c>
      <c r="I258" s="322"/>
      <c r="J258" s="324">
        <f t="shared" si="266"/>
        <v>0</v>
      </c>
      <c r="K258" s="322">
        <v>0</v>
      </c>
      <c r="L258" s="449"/>
      <c r="M258" s="449"/>
      <c r="N258" s="449"/>
      <c r="O258" s="450">
        <f t="shared" ref="O258:O274" si="268">K258</f>
        <v>0</v>
      </c>
      <c r="P258" s="324">
        <f t="shared" ref="P258:P266" si="269">+J258+E258</f>
        <v>9648153</v>
      </c>
      <c r="Q258" s="20"/>
      <c r="R258" s="54"/>
    </row>
    <row r="259" spans="1:18" ht="93" hidden="1" thickTop="1" thickBot="1" x14ac:dyDescent="0.25">
      <c r="A259" s="126" t="s">
        <v>625</v>
      </c>
      <c r="B259" s="126" t="s">
        <v>362</v>
      </c>
      <c r="C259" s="126" t="s">
        <v>623</v>
      </c>
      <c r="D259" s="126" t="s">
        <v>624</v>
      </c>
      <c r="E259" s="125">
        <f t="shared" ref="E259:E260" si="270">F259</f>
        <v>0</v>
      </c>
      <c r="F259" s="127">
        <v>0</v>
      </c>
      <c r="G259" s="127"/>
      <c r="H259" s="127"/>
      <c r="I259" s="127"/>
      <c r="J259" s="125">
        <f t="shared" si="266"/>
        <v>0</v>
      </c>
      <c r="K259" s="127"/>
      <c r="L259" s="128"/>
      <c r="M259" s="129"/>
      <c r="N259" s="129"/>
      <c r="O259" s="130">
        <f t="shared" si="268"/>
        <v>0</v>
      </c>
      <c r="P259" s="125">
        <f>+J259+E259</f>
        <v>0</v>
      </c>
      <c r="Q259" s="20"/>
      <c r="R259" s="54"/>
    </row>
    <row r="260" spans="1:18" ht="48" hidden="1" thickTop="1" thickBot="1" x14ac:dyDescent="0.25">
      <c r="A260" s="126" t="s">
        <v>1125</v>
      </c>
      <c r="B260" s="126" t="s">
        <v>43</v>
      </c>
      <c r="C260" s="126" t="s">
        <v>42</v>
      </c>
      <c r="D260" s="126" t="s">
        <v>248</v>
      </c>
      <c r="E260" s="125">
        <f t="shared" si="270"/>
        <v>0</v>
      </c>
      <c r="F260" s="127"/>
      <c r="G260" s="127"/>
      <c r="H260" s="127"/>
      <c r="I260" s="127"/>
      <c r="J260" s="125">
        <f t="shared" si="266"/>
        <v>0</v>
      </c>
      <c r="K260" s="127"/>
      <c r="L260" s="128"/>
      <c r="M260" s="129"/>
      <c r="N260" s="129"/>
      <c r="O260" s="130"/>
      <c r="P260" s="125">
        <f>+J260+E260</f>
        <v>0</v>
      </c>
      <c r="Q260" s="20"/>
      <c r="R260" s="54"/>
    </row>
    <row r="261" spans="1:18" ht="47.25" thickTop="1" thickBot="1" x14ac:dyDescent="0.25">
      <c r="A261" s="308" t="s">
        <v>785</v>
      </c>
      <c r="B261" s="308" t="s">
        <v>738</v>
      </c>
      <c r="C261" s="308"/>
      <c r="D261" s="343" t="s">
        <v>739</v>
      </c>
      <c r="E261" s="324">
        <f>SUM(E262:E269)-E262</f>
        <v>27962113.979999997</v>
      </c>
      <c r="F261" s="324">
        <f t="shared" ref="F261:P261" si="271">SUM(F262:F269)-F262</f>
        <v>27962113.979999997</v>
      </c>
      <c r="G261" s="324">
        <f t="shared" si="271"/>
        <v>0</v>
      </c>
      <c r="H261" s="324">
        <f t="shared" si="271"/>
        <v>0</v>
      </c>
      <c r="I261" s="324">
        <f t="shared" si="271"/>
        <v>0</v>
      </c>
      <c r="J261" s="324">
        <f>SUM(J262:J269)-J262</f>
        <v>10083813</v>
      </c>
      <c r="K261" s="324">
        <f t="shared" si="271"/>
        <v>10083813</v>
      </c>
      <c r="L261" s="324">
        <f t="shared" si="271"/>
        <v>0</v>
      </c>
      <c r="M261" s="324">
        <f t="shared" si="271"/>
        <v>0</v>
      </c>
      <c r="N261" s="324">
        <f t="shared" si="271"/>
        <v>0</v>
      </c>
      <c r="O261" s="324">
        <f t="shared" si="271"/>
        <v>10083813</v>
      </c>
      <c r="P261" s="324">
        <f t="shared" si="271"/>
        <v>38045926.979999997</v>
      </c>
      <c r="Q261" s="20"/>
      <c r="R261" s="54"/>
    </row>
    <row r="262" spans="1:18" s="33" customFormat="1" ht="93" thickTop="1" thickBot="1" x14ac:dyDescent="0.25">
      <c r="A262" s="325" t="s">
        <v>786</v>
      </c>
      <c r="B262" s="325" t="s">
        <v>787</v>
      </c>
      <c r="C262" s="325"/>
      <c r="D262" s="325" t="s">
        <v>788</v>
      </c>
      <c r="E262" s="321">
        <f>SUM(E263:E266)</f>
        <v>8972800</v>
      </c>
      <c r="F262" s="321">
        <f t="shared" ref="F262:P262" si="272">SUM(F263:F266)</f>
        <v>8972800</v>
      </c>
      <c r="G262" s="321">
        <f t="shared" si="272"/>
        <v>0</v>
      </c>
      <c r="H262" s="321">
        <f t="shared" si="272"/>
        <v>0</v>
      </c>
      <c r="I262" s="321">
        <f t="shared" si="272"/>
        <v>0</v>
      </c>
      <c r="J262" s="321">
        <f t="shared" si="272"/>
        <v>9813813</v>
      </c>
      <c r="K262" s="321">
        <f t="shared" si="272"/>
        <v>9813813</v>
      </c>
      <c r="L262" s="321">
        <f t="shared" si="272"/>
        <v>0</v>
      </c>
      <c r="M262" s="321">
        <f t="shared" si="272"/>
        <v>0</v>
      </c>
      <c r="N262" s="321">
        <f t="shared" si="272"/>
        <v>0</v>
      </c>
      <c r="O262" s="321">
        <f t="shared" si="272"/>
        <v>9813813</v>
      </c>
      <c r="P262" s="321">
        <f t="shared" si="272"/>
        <v>18786613</v>
      </c>
      <c r="Q262" s="36"/>
      <c r="R262" s="54"/>
    </row>
    <row r="263" spans="1:18" ht="48" thickTop="1" thickBot="1" x14ac:dyDescent="0.25">
      <c r="A263" s="101" t="s">
        <v>280</v>
      </c>
      <c r="B263" s="101" t="s">
        <v>281</v>
      </c>
      <c r="C263" s="101" t="s">
        <v>340</v>
      </c>
      <c r="D263" s="101" t="s">
        <v>282</v>
      </c>
      <c r="E263" s="309">
        <f>F263</f>
        <v>8853600</v>
      </c>
      <c r="F263" s="322">
        <f>(((((3162200)+110000)+3431400)+1800000)+50000)+300000</f>
        <v>8853600</v>
      </c>
      <c r="G263" s="322"/>
      <c r="H263" s="322"/>
      <c r="I263" s="322"/>
      <c r="J263" s="324">
        <f t="shared" si="266"/>
        <v>3613813</v>
      </c>
      <c r="K263" s="322">
        <f>(((200000)+1134400)+2479413)-200000</f>
        <v>3613813</v>
      </c>
      <c r="L263" s="449"/>
      <c r="M263" s="449"/>
      <c r="N263" s="449"/>
      <c r="O263" s="450">
        <f t="shared" si="268"/>
        <v>3613813</v>
      </c>
      <c r="P263" s="324">
        <f t="shared" si="269"/>
        <v>12467413</v>
      </c>
      <c r="Q263" s="20"/>
      <c r="R263" s="54"/>
    </row>
    <row r="264" spans="1:18" ht="48" thickTop="1" thickBot="1" x14ac:dyDescent="0.25">
      <c r="A264" s="101" t="s">
        <v>1614</v>
      </c>
      <c r="B264" s="101" t="s">
        <v>286</v>
      </c>
      <c r="C264" s="101" t="s">
        <v>283</v>
      </c>
      <c r="D264" s="101" t="s">
        <v>287</v>
      </c>
      <c r="E264" s="309">
        <f>F264</f>
        <v>119200</v>
      </c>
      <c r="F264" s="322">
        <v>119200</v>
      </c>
      <c r="G264" s="322"/>
      <c r="H264" s="322"/>
      <c r="I264" s="322"/>
      <c r="J264" s="324">
        <f t="shared" ref="J264" si="273">L264+O264</f>
        <v>0</v>
      </c>
      <c r="K264" s="322"/>
      <c r="L264" s="449"/>
      <c r="M264" s="449"/>
      <c r="N264" s="449"/>
      <c r="O264" s="450">
        <f t="shared" ref="O264" si="274">K264</f>
        <v>0</v>
      </c>
      <c r="P264" s="324">
        <f t="shared" ref="P264" si="275">+J264+E264</f>
        <v>119200</v>
      </c>
      <c r="Q264" s="20"/>
      <c r="R264" s="54"/>
    </row>
    <row r="265" spans="1:18" ht="48" thickTop="1" thickBot="1" x14ac:dyDescent="0.25">
      <c r="A265" s="101" t="s">
        <v>301</v>
      </c>
      <c r="B265" s="101" t="s">
        <v>302</v>
      </c>
      <c r="C265" s="101" t="s">
        <v>283</v>
      </c>
      <c r="D265" s="101" t="s">
        <v>303</v>
      </c>
      <c r="E265" s="309">
        <f t="shared" ref="E265:E277" si="276">F265</f>
        <v>0</v>
      </c>
      <c r="F265" s="322"/>
      <c r="G265" s="322"/>
      <c r="H265" s="322"/>
      <c r="I265" s="322"/>
      <c r="J265" s="324">
        <f t="shared" si="266"/>
        <v>6200000</v>
      </c>
      <c r="K265" s="322">
        <f>((((2000000)+2000000)+1000000)+500000)+700000</f>
        <v>6200000</v>
      </c>
      <c r="L265" s="449"/>
      <c r="M265" s="449"/>
      <c r="N265" s="449"/>
      <c r="O265" s="450">
        <f t="shared" si="268"/>
        <v>6200000</v>
      </c>
      <c r="P265" s="324">
        <f t="shared" si="269"/>
        <v>6200000</v>
      </c>
      <c r="Q265" s="20"/>
      <c r="R265" s="54"/>
    </row>
    <row r="266" spans="1:18" ht="93" hidden="1" thickTop="1" thickBot="1" x14ac:dyDescent="0.25">
      <c r="A266" s="126" t="s">
        <v>284</v>
      </c>
      <c r="B266" s="126" t="s">
        <v>285</v>
      </c>
      <c r="C266" s="126" t="s">
        <v>283</v>
      </c>
      <c r="D266" s="126" t="s">
        <v>465</v>
      </c>
      <c r="E266" s="150">
        <f t="shared" si="276"/>
        <v>0</v>
      </c>
      <c r="F266" s="127">
        <f>(((16700000-15000000)-1000000)-700000)+2500000-2500000</f>
        <v>0</v>
      </c>
      <c r="G266" s="127"/>
      <c r="H266" s="127"/>
      <c r="I266" s="127"/>
      <c r="J266" s="125">
        <f t="shared" si="266"/>
        <v>0</v>
      </c>
      <c r="K266" s="127">
        <v>0</v>
      </c>
      <c r="L266" s="128"/>
      <c r="M266" s="128"/>
      <c r="N266" s="128"/>
      <c r="O266" s="130">
        <f t="shared" si="268"/>
        <v>0</v>
      </c>
      <c r="P266" s="125">
        <f t="shared" si="269"/>
        <v>0</v>
      </c>
      <c r="Q266" s="20"/>
      <c r="R266" s="54"/>
    </row>
    <row r="267" spans="1:18" ht="93" thickTop="1" thickBot="1" x14ac:dyDescent="0.25">
      <c r="A267" s="101" t="s">
        <v>924</v>
      </c>
      <c r="B267" s="101" t="s">
        <v>297</v>
      </c>
      <c r="C267" s="101" t="s">
        <v>283</v>
      </c>
      <c r="D267" s="101" t="s">
        <v>298</v>
      </c>
      <c r="E267" s="309">
        <f t="shared" ref="E267" si="277">F267</f>
        <v>7402513</v>
      </c>
      <c r="F267" s="322">
        <f>(((5500000)+420000+420000)-21000)+1083513</f>
        <v>7402513</v>
      </c>
      <c r="G267" s="322"/>
      <c r="H267" s="322"/>
      <c r="I267" s="322"/>
      <c r="J267" s="324">
        <f t="shared" ref="J267" si="278">L267+O267</f>
        <v>0</v>
      </c>
      <c r="K267" s="322"/>
      <c r="L267" s="449"/>
      <c r="M267" s="449"/>
      <c r="N267" s="449"/>
      <c r="O267" s="450">
        <f t="shared" ref="O267" si="279">K267</f>
        <v>0</v>
      </c>
      <c r="P267" s="324">
        <f t="shared" ref="P267" si="280">+J267+E267</f>
        <v>7402513</v>
      </c>
      <c r="Q267" s="20"/>
      <c r="R267" s="54"/>
    </row>
    <row r="268" spans="1:18" ht="48" thickTop="1" thickBot="1" x14ac:dyDescent="0.25">
      <c r="A268" s="101" t="s">
        <v>288</v>
      </c>
      <c r="B268" s="101" t="s">
        <v>289</v>
      </c>
      <c r="C268" s="101" t="s">
        <v>283</v>
      </c>
      <c r="D268" s="101" t="s">
        <v>290</v>
      </c>
      <c r="E268" s="309">
        <f t="shared" si="276"/>
        <v>7477000</v>
      </c>
      <c r="F268" s="322">
        <f>((5000000)+3000000)-523000</f>
        <v>7477000</v>
      </c>
      <c r="G268" s="322"/>
      <c r="H268" s="322"/>
      <c r="I268" s="322"/>
      <c r="J268" s="324">
        <f t="shared" si="266"/>
        <v>270000</v>
      </c>
      <c r="K268" s="453">
        <f>(0)+270000</f>
        <v>270000</v>
      </c>
      <c r="L268" s="322"/>
      <c r="M268" s="322"/>
      <c r="N268" s="322"/>
      <c r="O268" s="450">
        <f t="shared" si="268"/>
        <v>270000</v>
      </c>
      <c r="P268" s="324">
        <f t="shared" ref="P268" si="281">E268+J268</f>
        <v>7747000</v>
      </c>
      <c r="Q268" s="20"/>
      <c r="R268" s="50"/>
    </row>
    <row r="269" spans="1:18" ht="72.75" customHeight="1" thickTop="1" thickBot="1" x14ac:dyDescent="0.25">
      <c r="A269" s="101" t="s">
        <v>1243</v>
      </c>
      <c r="B269" s="101" t="s">
        <v>1131</v>
      </c>
      <c r="C269" s="101" t="s">
        <v>1132</v>
      </c>
      <c r="D269" s="101" t="s">
        <v>1129</v>
      </c>
      <c r="E269" s="309">
        <f t="shared" ref="E269" si="282">F269</f>
        <v>4109800.98</v>
      </c>
      <c r="F269" s="322">
        <f>((2049000)-25504.02+1500000)+586305</f>
        <v>4109800.98</v>
      </c>
      <c r="G269" s="322"/>
      <c r="H269" s="322"/>
      <c r="I269" s="322"/>
      <c r="J269" s="324">
        <f t="shared" ref="J269" si="283">L269+O269</f>
        <v>0</v>
      </c>
      <c r="K269" s="453"/>
      <c r="L269" s="322"/>
      <c r="M269" s="322"/>
      <c r="N269" s="322"/>
      <c r="O269" s="450">
        <f t="shared" ref="O269" si="284">K269</f>
        <v>0</v>
      </c>
      <c r="P269" s="324">
        <f t="shared" ref="P269" si="285">E269+J269</f>
        <v>4109800.98</v>
      </c>
      <c r="Q269" s="20"/>
      <c r="R269" s="50"/>
    </row>
    <row r="270" spans="1:18" ht="47.25" thickTop="1" thickBot="1" x14ac:dyDescent="0.25">
      <c r="A270" s="308" t="s">
        <v>789</v>
      </c>
      <c r="B270" s="308" t="s">
        <v>744</v>
      </c>
      <c r="C270" s="308"/>
      <c r="D270" s="308" t="s">
        <v>790</v>
      </c>
      <c r="E270" s="309">
        <f>E273+E271</f>
        <v>4174517</v>
      </c>
      <c r="F270" s="309">
        <f t="shared" ref="F270:P270" si="286">F273+F271</f>
        <v>4174517</v>
      </c>
      <c r="G270" s="309">
        <f t="shared" si="286"/>
        <v>0</v>
      </c>
      <c r="H270" s="309">
        <f t="shared" si="286"/>
        <v>0</v>
      </c>
      <c r="I270" s="309">
        <f t="shared" si="286"/>
        <v>0</v>
      </c>
      <c r="J270" s="309">
        <f t="shared" si="286"/>
        <v>2850473.15</v>
      </c>
      <c r="K270" s="309">
        <f t="shared" si="286"/>
        <v>2850473.15</v>
      </c>
      <c r="L270" s="309">
        <f t="shared" si="286"/>
        <v>0</v>
      </c>
      <c r="M270" s="309">
        <f t="shared" si="286"/>
        <v>0</v>
      </c>
      <c r="N270" s="309">
        <f t="shared" si="286"/>
        <v>0</v>
      </c>
      <c r="O270" s="309">
        <f t="shared" si="286"/>
        <v>2850473.15</v>
      </c>
      <c r="P270" s="309">
        <f t="shared" si="286"/>
        <v>7024990.1500000004</v>
      </c>
      <c r="Q270" s="20"/>
      <c r="R270" s="50"/>
    </row>
    <row r="271" spans="1:18" ht="47.25" thickTop="1" thickBot="1" x14ac:dyDescent="0.25">
      <c r="A271" s="310" t="s">
        <v>1127</v>
      </c>
      <c r="B271" s="310" t="s">
        <v>799</v>
      </c>
      <c r="C271" s="310"/>
      <c r="D271" s="310" t="s">
        <v>800</v>
      </c>
      <c r="E271" s="311">
        <f>E272</f>
        <v>0</v>
      </c>
      <c r="F271" s="311">
        <f t="shared" ref="F271:P271" si="287">F272</f>
        <v>0</v>
      </c>
      <c r="G271" s="311">
        <f t="shared" si="287"/>
        <v>0</v>
      </c>
      <c r="H271" s="311">
        <f t="shared" si="287"/>
        <v>0</v>
      </c>
      <c r="I271" s="311">
        <f t="shared" si="287"/>
        <v>0</v>
      </c>
      <c r="J271" s="311">
        <f t="shared" si="287"/>
        <v>1300000</v>
      </c>
      <c r="K271" s="311">
        <f t="shared" si="287"/>
        <v>1300000</v>
      </c>
      <c r="L271" s="311">
        <f t="shared" si="287"/>
        <v>0</v>
      </c>
      <c r="M271" s="311">
        <f t="shared" si="287"/>
        <v>0</v>
      </c>
      <c r="N271" s="311">
        <f t="shared" si="287"/>
        <v>0</v>
      </c>
      <c r="O271" s="311">
        <f t="shared" si="287"/>
        <v>1300000</v>
      </c>
      <c r="P271" s="311">
        <f t="shared" si="287"/>
        <v>1300000</v>
      </c>
      <c r="Q271" s="20"/>
      <c r="R271" s="50"/>
    </row>
    <row r="272" spans="1:18" ht="54" thickTop="1" thickBot="1" x14ac:dyDescent="0.25">
      <c r="A272" s="101" t="s">
        <v>1128</v>
      </c>
      <c r="B272" s="101" t="s">
        <v>305</v>
      </c>
      <c r="C272" s="101" t="s">
        <v>304</v>
      </c>
      <c r="D272" s="101" t="s">
        <v>1477</v>
      </c>
      <c r="E272" s="309">
        <f t="shared" ref="E272" si="288">F272</f>
        <v>0</v>
      </c>
      <c r="F272" s="322"/>
      <c r="G272" s="322"/>
      <c r="H272" s="322"/>
      <c r="I272" s="322"/>
      <c r="J272" s="324">
        <f>L272+O272</f>
        <v>1300000</v>
      </c>
      <c r="K272" s="453">
        <f>((300000)+700000)+300000</f>
        <v>1300000</v>
      </c>
      <c r="L272" s="322"/>
      <c r="M272" s="322"/>
      <c r="N272" s="322"/>
      <c r="O272" s="450">
        <f>K272</f>
        <v>1300000</v>
      </c>
      <c r="P272" s="324">
        <f t="shared" ref="P272" si="289">E272+J272</f>
        <v>1300000</v>
      </c>
      <c r="Q272" s="20"/>
      <c r="R272" s="50"/>
    </row>
    <row r="273" spans="1:18" ht="47.25" thickTop="1" thickBot="1" x14ac:dyDescent="0.25">
      <c r="A273" s="310" t="s">
        <v>791</v>
      </c>
      <c r="B273" s="310" t="s">
        <v>687</v>
      </c>
      <c r="C273" s="310"/>
      <c r="D273" s="310" t="s">
        <v>685</v>
      </c>
      <c r="E273" s="311">
        <f>E274+E276+E275</f>
        <v>4174517</v>
      </c>
      <c r="F273" s="311">
        <f t="shared" ref="F273:P273" si="290">F274+F276+F275</f>
        <v>4174517</v>
      </c>
      <c r="G273" s="311">
        <f t="shared" si="290"/>
        <v>0</v>
      </c>
      <c r="H273" s="311">
        <f t="shared" si="290"/>
        <v>0</v>
      </c>
      <c r="I273" s="311">
        <f t="shared" si="290"/>
        <v>0</v>
      </c>
      <c r="J273" s="311">
        <f>J274+J276+J275</f>
        <v>1550473.15</v>
      </c>
      <c r="K273" s="311">
        <f t="shared" si="290"/>
        <v>1550473.15</v>
      </c>
      <c r="L273" s="311">
        <f t="shared" si="290"/>
        <v>0</v>
      </c>
      <c r="M273" s="311">
        <f t="shared" si="290"/>
        <v>0</v>
      </c>
      <c r="N273" s="311">
        <f t="shared" si="290"/>
        <v>0</v>
      </c>
      <c r="O273" s="311">
        <f t="shared" si="290"/>
        <v>1550473.15</v>
      </c>
      <c r="P273" s="311">
        <f t="shared" si="290"/>
        <v>5724990.1500000004</v>
      </c>
      <c r="Q273" s="20"/>
      <c r="R273" s="50"/>
    </row>
    <row r="274" spans="1:18" ht="48" thickTop="1" thickBot="1" x14ac:dyDescent="0.25">
      <c r="A274" s="101" t="s">
        <v>296</v>
      </c>
      <c r="B274" s="101" t="s">
        <v>212</v>
      </c>
      <c r="C274" s="101" t="s">
        <v>213</v>
      </c>
      <c r="D274" s="101" t="s">
        <v>41</v>
      </c>
      <c r="E274" s="309">
        <f t="shared" si="276"/>
        <v>4174517</v>
      </c>
      <c r="F274" s="322">
        <f>((((2000000)+1674517)+1000000)+500000-700000)-300000</f>
        <v>4174517</v>
      </c>
      <c r="G274" s="322"/>
      <c r="H274" s="322"/>
      <c r="I274" s="322"/>
      <c r="J274" s="324">
        <f t="shared" si="266"/>
        <v>0</v>
      </c>
      <c r="K274" s="453"/>
      <c r="L274" s="322"/>
      <c r="M274" s="322"/>
      <c r="N274" s="322"/>
      <c r="O274" s="450">
        <f t="shared" si="268"/>
        <v>0</v>
      </c>
      <c r="P274" s="324">
        <f>E274+J274</f>
        <v>4174517</v>
      </c>
      <c r="Q274" s="20"/>
      <c r="R274" s="54"/>
    </row>
    <row r="275" spans="1:18" ht="48" thickTop="1" thickBot="1" x14ac:dyDescent="0.25">
      <c r="A275" s="101" t="s">
        <v>913</v>
      </c>
      <c r="B275" s="101" t="s">
        <v>197</v>
      </c>
      <c r="C275" s="101" t="s">
        <v>170</v>
      </c>
      <c r="D275" s="101" t="s">
        <v>34</v>
      </c>
      <c r="E275" s="309">
        <f t="shared" ref="E275" si="291">F275</f>
        <v>0</v>
      </c>
      <c r="F275" s="322"/>
      <c r="G275" s="322"/>
      <c r="H275" s="322"/>
      <c r="I275" s="322"/>
      <c r="J275" s="324">
        <f t="shared" ref="J275" si="292">L275+O275</f>
        <v>1550473.15</v>
      </c>
      <c r="K275" s="453">
        <f>((300000)+1300000)-49526.85</f>
        <v>1550473.15</v>
      </c>
      <c r="L275" s="322"/>
      <c r="M275" s="322"/>
      <c r="N275" s="322"/>
      <c r="O275" s="450">
        <f t="shared" ref="O275" si="293">K275</f>
        <v>1550473.15</v>
      </c>
      <c r="P275" s="324">
        <f>E275+J275</f>
        <v>1550473.15</v>
      </c>
      <c r="Q275" s="20"/>
      <c r="R275" s="54"/>
    </row>
    <row r="276" spans="1:18" ht="48" hidden="1" thickTop="1" thickBot="1" x14ac:dyDescent="0.25">
      <c r="A276" s="138" t="s">
        <v>792</v>
      </c>
      <c r="B276" s="138" t="s">
        <v>690</v>
      </c>
      <c r="C276" s="138"/>
      <c r="D276" s="138" t="s">
        <v>793</v>
      </c>
      <c r="E276" s="156">
        <f>E277</f>
        <v>0</v>
      </c>
      <c r="F276" s="156">
        <f t="shared" ref="F276:P276" si="294">F277</f>
        <v>0</v>
      </c>
      <c r="G276" s="156">
        <f t="shared" si="294"/>
        <v>0</v>
      </c>
      <c r="H276" s="156">
        <f t="shared" si="294"/>
        <v>0</v>
      </c>
      <c r="I276" s="156">
        <f t="shared" si="294"/>
        <v>0</v>
      </c>
      <c r="J276" s="156">
        <f t="shared" si="294"/>
        <v>0</v>
      </c>
      <c r="K276" s="156">
        <f t="shared" si="294"/>
        <v>0</v>
      </c>
      <c r="L276" s="156">
        <f t="shared" si="294"/>
        <v>0</v>
      </c>
      <c r="M276" s="156">
        <f t="shared" si="294"/>
        <v>0</v>
      </c>
      <c r="N276" s="156">
        <f t="shared" si="294"/>
        <v>0</v>
      </c>
      <c r="O276" s="156">
        <f t="shared" si="294"/>
        <v>0</v>
      </c>
      <c r="P276" s="156">
        <f t="shared" si="294"/>
        <v>0</v>
      </c>
      <c r="Q276" s="20"/>
      <c r="R276" s="50"/>
    </row>
    <row r="277" spans="1:18" ht="214.5" hidden="1" customHeight="1" thickTop="1" thickBot="1" x14ac:dyDescent="0.7">
      <c r="A277" s="744" t="s">
        <v>423</v>
      </c>
      <c r="B277" s="744" t="s">
        <v>338</v>
      </c>
      <c r="C277" s="744" t="s">
        <v>170</v>
      </c>
      <c r="D277" s="153" t="s">
        <v>439</v>
      </c>
      <c r="E277" s="745">
        <f t="shared" si="276"/>
        <v>0</v>
      </c>
      <c r="F277" s="739"/>
      <c r="G277" s="739"/>
      <c r="H277" s="739"/>
      <c r="I277" s="739"/>
      <c r="J277" s="745">
        <f t="shared" si="266"/>
        <v>0</v>
      </c>
      <c r="K277" s="739"/>
      <c r="L277" s="739">
        <v>0</v>
      </c>
      <c r="M277" s="739"/>
      <c r="N277" s="739"/>
      <c r="O277" s="772">
        <f>((K277+884000)-450000)-434000</f>
        <v>0</v>
      </c>
      <c r="P277" s="773">
        <f>E277+J277</f>
        <v>0</v>
      </c>
      <c r="Q277" s="20"/>
      <c r="R277" s="50"/>
    </row>
    <row r="278" spans="1:18" ht="93" hidden="1" thickTop="1" thickBot="1" x14ac:dyDescent="0.25">
      <c r="A278" s="744"/>
      <c r="B278" s="744"/>
      <c r="C278" s="744"/>
      <c r="D278" s="154" t="s">
        <v>440</v>
      </c>
      <c r="E278" s="745"/>
      <c r="F278" s="739"/>
      <c r="G278" s="739"/>
      <c r="H278" s="739"/>
      <c r="I278" s="739"/>
      <c r="J278" s="745"/>
      <c r="K278" s="739"/>
      <c r="L278" s="739"/>
      <c r="M278" s="739"/>
      <c r="N278" s="739"/>
      <c r="O278" s="772"/>
      <c r="P278" s="773"/>
      <c r="Q278" s="20"/>
      <c r="R278" s="50"/>
    </row>
    <row r="279" spans="1:18" ht="47.25" thickTop="1" thickBot="1" x14ac:dyDescent="0.25">
      <c r="A279" s="308" t="s">
        <v>1212</v>
      </c>
      <c r="B279" s="308" t="s">
        <v>692</v>
      </c>
      <c r="C279" s="308"/>
      <c r="D279" s="308" t="s">
        <v>693</v>
      </c>
      <c r="E279" s="324">
        <f>E282+E280</f>
        <v>2927223</v>
      </c>
      <c r="F279" s="324">
        <f t="shared" ref="F279:I279" si="295">F282+F280</f>
        <v>2927223</v>
      </c>
      <c r="G279" s="324">
        <f t="shared" si="295"/>
        <v>0</v>
      </c>
      <c r="H279" s="324">
        <f t="shared" si="295"/>
        <v>0</v>
      </c>
      <c r="I279" s="324">
        <f t="shared" si="295"/>
        <v>0</v>
      </c>
      <c r="J279" s="324">
        <f>J282+J280</f>
        <v>0</v>
      </c>
      <c r="K279" s="324">
        <f t="shared" ref="K279:N279" si="296">K282+K280</f>
        <v>0</v>
      </c>
      <c r="L279" s="324">
        <f t="shared" si="296"/>
        <v>0</v>
      </c>
      <c r="M279" s="324">
        <f t="shared" si="296"/>
        <v>0</v>
      </c>
      <c r="N279" s="324">
        <f t="shared" si="296"/>
        <v>0</v>
      </c>
      <c r="O279" s="324">
        <f>O282+O280</f>
        <v>0</v>
      </c>
      <c r="P279" s="324">
        <f>P282+P280</f>
        <v>2927223</v>
      </c>
      <c r="Q279" s="20"/>
      <c r="R279" s="50"/>
    </row>
    <row r="280" spans="1:18" ht="47.25" thickTop="1" thickBot="1" x14ac:dyDescent="0.25">
      <c r="A280" s="310" t="s">
        <v>1475</v>
      </c>
      <c r="B280" s="310" t="s">
        <v>808</v>
      </c>
      <c r="C280" s="310"/>
      <c r="D280" s="352" t="s">
        <v>1262</v>
      </c>
      <c r="E280" s="312">
        <f>SUM(E281:E283)</f>
        <v>2927223</v>
      </c>
      <c r="F280" s="312">
        <f t="shared" ref="F280:P280" si="297">SUM(F281:F283)</f>
        <v>2927223</v>
      </c>
      <c r="G280" s="312">
        <f t="shared" si="297"/>
        <v>0</v>
      </c>
      <c r="H280" s="312">
        <f t="shared" si="297"/>
        <v>0</v>
      </c>
      <c r="I280" s="312">
        <f t="shared" si="297"/>
        <v>0</v>
      </c>
      <c r="J280" s="312">
        <f t="shared" si="297"/>
        <v>0</v>
      </c>
      <c r="K280" s="312">
        <f t="shared" si="297"/>
        <v>0</v>
      </c>
      <c r="L280" s="312">
        <f t="shared" si="297"/>
        <v>0</v>
      </c>
      <c r="M280" s="312">
        <f t="shared" si="297"/>
        <v>0</v>
      </c>
      <c r="N280" s="312">
        <f t="shared" si="297"/>
        <v>0</v>
      </c>
      <c r="O280" s="312">
        <f t="shared" si="297"/>
        <v>0</v>
      </c>
      <c r="P280" s="312">
        <f t="shared" si="297"/>
        <v>2927223</v>
      </c>
      <c r="Q280" s="20"/>
      <c r="R280" s="50"/>
    </row>
    <row r="281" spans="1:18" ht="93" thickTop="1" thickBot="1" x14ac:dyDescent="0.25">
      <c r="A281" s="101" t="s">
        <v>1476</v>
      </c>
      <c r="B281" s="101" t="s">
        <v>517</v>
      </c>
      <c r="C281" s="101" t="s">
        <v>251</v>
      </c>
      <c r="D281" s="101" t="s">
        <v>518</v>
      </c>
      <c r="E281" s="309">
        <f>F281</f>
        <v>2927223</v>
      </c>
      <c r="F281" s="322">
        <f>((2812463)+37273)+77487</f>
        <v>2927223</v>
      </c>
      <c r="G281" s="322"/>
      <c r="H281" s="322"/>
      <c r="I281" s="322"/>
      <c r="J281" s="324">
        <f>L281+O281</f>
        <v>0</v>
      </c>
      <c r="K281" s="453"/>
      <c r="L281" s="322"/>
      <c r="M281" s="322"/>
      <c r="N281" s="322"/>
      <c r="O281" s="450">
        <f>K281</f>
        <v>0</v>
      </c>
      <c r="P281" s="324">
        <f>E281+J281</f>
        <v>2927223</v>
      </c>
      <c r="Q281" s="20"/>
      <c r="R281" s="50"/>
    </row>
    <row r="282" spans="1:18" ht="47.25" hidden="1" thickTop="1" thickBot="1" x14ac:dyDescent="0.25">
      <c r="A282" s="134" t="s">
        <v>1213</v>
      </c>
      <c r="B282" s="134" t="s">
        <v>1168</v>
      </c>
      <c r="C282" s="134"/>
      <c r="D282" s="134" t="s">
        <v>1166</v>
      </c>
      <c r="E282" s="135">
        <f t="shared" ref="E282:P282" si="298">SUM(E283:E283)</f>
        <v>0</v>
      </c>
      <c r="F282" s="135">
        <f t="shared" si="298"/>
        <v>0</v>
      </c>
      <c r="G282" s="135">
        <f t="shared" si="298"/>
        <v>0</v>
      </c>
      <c r="H282" s="135">
        <f t="shared" si="298"/>
        <v>0</v>
      </c>
      <c r="I282" s="135">
        <f t="shared" si="298"/>
        <v>0</v>
      </c>
      <c r="J282" s="135">
        <f t="shared" si="298"/>
        <v>0</v>
      </c>
      <c r="K282" s="135">
        <f t="shared" si="298"/>
        <v>0</v>
      </c>
      <c r="L282" s="135">
        <f t="shared" si="298"/>
        <v>0</v>
      </c>
      <c r="M282" s="135">
        <f t="shared" si="298"/>
        <v>0</v>
      </c>
      <c r="N282" s="135">
        <f t="shared" si="298"/>
        <v>0</v>
      </c>
      <c r="O282" s="135">
        <f t="shared" si="298"/>
        <v>0</v>
      </c>
      <c r="P282" s="135">
        <f t="shared" si="298"/>
        <v>0</v>
      </c>
      <c r="Q282" s="20"/>
      <c r="R282" s="50"/>
    </row>
    <row r="283" spans="1:18" ht="48" hidden="1" thickTop="1" thickBot="1" x14ac:dyDescent="0.25">
      <c r="A283" s="126" t="s">
        <v>1214</v>
      </c>
      <c r="B283" s="126" t="s">
        <v>1195</v>
      </c>
      <c r="C283" s="126" t="s">
        <v>1170</v>
      </c>
      <c r="D283" s="126" t="s">
        <v>1196</v>
      </c>
      <c r="E283" s="125">
        <f>F283</f>
        <v>0</v>
      </c>
      <c r="F283" s="132"/>
      <c r="G283" s="132"/>
      <c r="H283" s="132"/>
      <c r="I283" s="132"/>
      <c r="J283" s="125">
        <f>L283+O283</f>
        <v>0</v>
      </c>
      <c r="K283" s="132"/>
      <c r="L283" s="132"/>
      <c r="M283" s="132"/>
      <c r="N283" s="132"/>
      <c r="O283" s="130">
        <f>K283</f>
        <v>0</v>
      </c>
      <c r="P283" s="125">
        <f>E283+J283</f>
        <v>0</v>
      </c>
      <c r="Q283" s="20"/>
      <c r="R283" s="50"/>
    </row>
    <row r="284" spans="1:18" ht="120" customHeight="1" thickTop="1" thickBot="1" x14ac:dyDescent="0.25">
      <c r="A284" s="689" t="s">
        <v>539</v>
      </c>
      <c r="B284" s="689"/>
      <c r="C284" s="689"/>
      <c r="D284" s="690" t="s">
        <v>558</v>
      </c>
      <c r="E284" s="691">
        <f>E285</f>
        <v>478027065.85000002</v>
      </c>
      <c r="F284" s="692">
        <f t="shared" ref="F284:G284" si="299">F285</f>
        <v>478027065.85000002</v>
      </c>
      <c r="G284" s="692">
        <f t="shared" si="299"/>
        <v>8913244</v>
      </c>
      <c r="H284" s="692">
        <f>H285</f>
        <v>239084</v>
      </c>
      <c r="I284" s="692">
        <f t="shared" ref="I284" si="300">I285</f>
        <v>0</v>
      </c>
      <c r="J284" s="691">
        <f>J285</f>
        <v>34538420.350000001</v>
      </c>
      <c r="K284" s="692">
        <f>K285</f>
        <v>34538420.350000001</v>
      </c>
      <c r="L284" s="692">
        <f>L285</f>
        <v>0</v>
      </c>
      <c r="M284" s="692">
        <f t="shared" ref="M284" si="301">M285</f>
        <v>0</v>
      </c>
      <c r="N284" s="692">
        <f>N285</f>
        <v>0</v>
      </c>
      <c r="O284" s="691">
        <f>O285</f>
        <v>34538420.350000001</v>
      </c>
      <c r="P284" s="692">
        <f>P285</f>
        <v>512565486.20000005</v>
      </c>
      <c r="Q284" s="20"/>
      <c r="R284" s="50"/>
    </row>
    <row r="285" spans="1:18" ht="120" customHeight="1" thickTop="1" thickBot="1" x14ac:dyDescent="0.25">
      <c r="A285" s="693" t="s">
        <v>540</v>
      </c>
      <c r="B285" s="693"/>
      <c r="C285" s="693"/>
      <c r="D285" s="694" t="s">
        <v>559</v>
      </c>
      <c r="E285" s="695">
        <f>E286+E290+E298+E311+E316</f>
        <v>478027065.85000002</v>
      </c>
      <c r="F285" s="695">
        <f>F286+F290+F298+F311+F316</f>
        <v>478027065.85000002</v>
      </c>
      <c r="G285" s="695">
        <f>G286+G290+G298+G311+G316</f>
        <v>8913244</v>
      </c>
      <c r="H285" s="695">
        <f>H286+H290+H298+H311+H316</f>
        <v>239084</v>
      </c>
      <c r="I285" s="695">
        <f>I286+I290+I298+I311+I316</f>
        <v>0</v>
      </c>
      <c r="J285" s="695">
        <f t="shared" ref="J285:J308" si="302">L285+O285</f>
        <v>34538420.350000001</v>
      </c>
      <c r="K285" s="695">
        <f>K286+K290+K298+K311+K316</f>
        <v>34538420.350000001</v>
      </c>
      <c r="L285" s="695">
        <f>L286+L290+L298+L311+L316</f>
        <v>0</v>
      </c>
      <c r="M285" s="695">
        <f>M286+M290+M298+M311+M316</f>
        <v>0</v>
      </c>
      <c r="N285" s="695">
        <f>N286+N290+N298+N311+N316</f>
        <v>0</v>
      </c>
      <c r="O285" s="695">
        <f>O286+O290+O298+O311+O316</f>
        <v>34538420.350000001</v>
      </c>
      <c r="P285" s="695">
        <f>E285+J285</f>
        <v>512565486.20000005</v>
      </c>
      <c r="Q285" s="487" t="b">
        <f>P285=P287+P292+P293+P295+P296+P297+P300+P303+P305+P306+P313+P314+P318</f>
        <v>1</v>
      </c>
      <c r="R285" s="45"/>
    </row>
    <row r="286" spans="1:18" ht="47.25" thickTop="1" thickBot="1" x14ac:dyDescent="0.25">
      <c r="A286" s="308" t="s">
        <v>794</v>
      </c>
      <c r="B286" s="308" t="s">
        <v>680</v>
      </c>
      <c r="C286" s="308"/>
      <c r="D286" s="308" t="s">
        <v>681</v>
      </c>
      <c r="E286" s="324">
        <f>SUM(E287:E289)</f>
        <v>9076158</v>
      </c>
      <c r="F286" s="324">
        <f t="shared" ref="F286:P286" si="303">SUM(F287:F289)</f>
        <v>9076158</v>
      </c>
      <c r="G286" s="324">
        <f t="shared" si="303"/>
        <v>6902509</v>
      </c>
      <c r="H286" s="324">
        <f t="shared" si="303"/>
        <v>180204</v>
      </c>
      <c r="I286" s="324">
        <f t="shared" si="303"/>
        <v>0</v>
      </c>
      <c r="J286" s="324">
        <f t="shared" si="303"/>
        <v>39000</v>
      </c>
      <c r="K286" s="324">
        <f t="shared" si="303"/>
        <v>39000</v>
      </c>
      <c r="L286" s="324">
        <f t="shared" si="303"/>
        <v>0</v>
      </c>
      <c r="M286" s="324">
        <f t="shared" si="303"/>
        <v>0</v>
      </c>
      <c r="N286" s="324">
        <f t="shared" si="303"/>
        <v>0</v>
      </c>
      <c r="O286" s="324">
        <f t="shared" si="303"/>
        <v>39000</v>
      </c>
      <c r="P286" s="324">
        <f t="shared" si="303"/>
        <v>9115158</v>
      </c>
      <c r="Q286" s="47"/>
      <c r="R286" s="45"/>
    </row>
    <row r="287" spans="1:18" ht="93" thickTop="1" thickBot="1" x14ac:dyDescent="0.25">
      <c r="A287" s="101" t="s">
        <v>541</v>
      </c>
      <c r="B287" s="101" t="s">
        <v>236</v>
      </c>
      <c r="C287" s="101" t="s">
        <v>234</v>
      </c>
      <c r="D287" s="101" t="s">
        <v>235</v>
      </c>
      <c r="E287" s="309">
        <f>F287</f>
        <v>9076158</v>
      </c>
      <c r="F287" s="322">
        <f>(8901631)+174527</f>
        <v>9076158</v>
      </c>
      <c r="G287" s="322">
        <f>(6736115)+166394</f>
        <v>6902509</v>
      </c>
      <c r="H287" s="322">
        <v>180204</v>
      </c>
      <c r="I287" s="322"/>
      <c r="J287" s="324">
        <f t="shared" si="302"/>
        <v>39000</v>
      </c>
      <c r="K287" s="322">
        <v>39000</v>
      </c>
      <c r="L287" s="449"/>
      <c r="M287" s="449"/>
      <c r="N287" s="449"/>
      <c r="O287" s="450">
        <f t="shared" ref="O287:O306" si="304">K287</f>
        <v>39000</v>
      </c>
      <c r="P287" s="324">
        <f t="shared" ref="P287:P293" si="305">+J287+E287</f>
        <v>9115158</v>
      </c>
      <c r="Q287" s="20"/>
      <c r="R287" s="45"/>
    </row>
    <row r="288" spans="1:18" ht="93" hidden="1" thickTop="1" thickBot="1" x14ac:dyDescent="0.25">
      <c r="A288" s="126" t="s">
        <v>627</v>
      </c>
      <c r="B288" s="126" t="s">
        <v>362</v>
      </c>
      <c r="C288" s="126" t="s">
        <v>623</v>
      </c>
      <c r="D288" s="126" t="s">
        <v>624</v>
      </c>
      <c r="E288" s="150">
        <f>F288</f>
        <v>0</v>
      </c>
      <c r="F288" s="127"/>
      <c r="G288" s="127"/>
      <c r="H288" s="127"/>
      <c r="I288" s="127"/>
      <c r="J288" s="125">
        <f t="shared" ref="J288" si="306">L288+O288</f>
        <v>0</v>
      </c>
      <c r="K288" s="127"/>
      <c r="L288" s="128"/>
      <c r="M288" s="128"/>
      <c r="N288" s="128"/>
      <c r="O288" s="130">
        <f t="shared" ref="O288" si="307">K288</f>
        <v>0</v>
      </c>
      <c r="P288" s="125">
        <f t="shared" ref="P288" si="308">+J288+E288</f>
        <v>0</v>
      </c>
      <c r="Q288" s="20"/>
      <c r="R288" s="45"/>
    </row>
    <row r="289" spans="1:18" ht="48" hidden="1" thickTop="1" thickBot="1" x14ac:dyDescent="0.25">
      <c r="A289" s="126" t="s">
        <v>542</v>
      </c>
      <c r="B289" s="126" t="s">
        <v>43</v>
      </c>
      <c r="C289" s="126" t="s">
        <v>42</v>
      </c>
      <c r="D289" s="126" t="s">
        <v>248</v>
      </c>
      <c r="E289" s="150">
        <f>F289</f>
        <v>0</v>
      </c>
      <c r="F289" s="127">
        <v>0</v>
      </c>
      <c r="G289" s="127"/>
      <c r="H289" s="127"/>
      <c r="I289" s="127"/>
      <c r="J289" s="125">
        <f t="shared" si="302"/>
        <v>0</v>
      </c>
      <c r="K289" s="127"/>
      <c r="L289" s="128"/>
      <c r="M289" s="128"/>
      <c r="N289" s="128"/>
      <c r="O289" s="130">
        <f t="shared" si="304"/>
        <v>0</v>
      </c>
      <c r="P289" s="125">
        <f t="shared" si="305"/>
        <v>0</v>
      </c>
      <c r="Q289" s="20"/>
      <c r="R289" s="50"/>
    </row>
    <row r="290" spans="1:18" ht="47.25" thickTop="1" thickBot="1" x14ac:dyDescent="0.25">
      <c r="A290" s="308" t="s">
        <v>795</v>
      </c>
      <c r="B290" s="308" t="s">
        <v>738</v>
      </c>
      <c r="C290" s="308"/>
      <c r="D290" s="343" t="s">
        <v>739</v>
      </c>
      <c r="E290" s="309">
        <f>SUM(E291:E297)-E291</f>
        <v>463571517.85000002</v>
      </c>
      <c r="F290" s="309">
        <f t="shared" ref="F290:P290" si="309">SUM(F291:F297)-F291</f>
        <v>463571517.85000002</v>
      </c>
      <c r="G290" s="309">
        <f t="shared" si="309"/>
        <v>0</v>
      </c>
      <c r="H290" s="309">
        <f t="shared" si="309"/>
        <v>5000</v>
      </c>
      <c r="I290" s="309">
        <f t="shared" si="309"/>
        <v>0</v>
      </c>
      <c r="J290" s="309">
        <f t="shared" si="309"/>
        <v>953993</v>
      </c>
      <c r="K290" s="309">
        <f t="shared" si="309"/>
        <v>953993</v>
      </c>
      <c r="L290" s="309">
        <f t="shared" si="309"/>
        <v>0</v>
      </c>
      <c r="M290" s="309">
        <f t="shared" si="309"/>
        <v>0</v>
      </c>
      <c r="N290" s="309">
        <f t="shared" si="309"/>
        <v>0</v>
      </c>
      <c r="O290" s="309">
        <f t="shared" si="309"/>
        <v>953993</v>
      </c>
      <c r="P290" s="309">
        <f t="shared" si="309"/>
        <v>464525510.85000002</v>
      </c>
      <c r="Q290" s="20"/>
      <c r="R290" s="50"/>
    </row>
    <row r="291" spans="1:18" ht="93" thickTop="1" thickBot="1" x14ac:dyDescent="0.25">
      <c r="A291" s="325" t="s">
        <v>796</v>
      </c>
      <c r="B291" s="325" t="s">
        <v>787</v>
      </c>
      <c r="C291" s="325"/>
      <c r="D291" s="325" t="s">
        <v>788</v>
      </c>
      <c r="E291" s="457">
        <f>SUM(E292:E294)</f>
        <v>143550000</v>
      </c>
      <c r="F291" s="457">
        <f t="shared" ref="F291:P291" si="310">SUM(F292:F294)</f>
        <v>143550000</v>
      </c>
      <c r="G291" s="457">
        <f t="shared" si="310"/>
        <v>0</v>
      </c>
      <c r="H291" s="457">
        <f t="shared" si="310"/>
        <v>0</v>
      </c>
      <c r="I291" s="457">
        <f t="shared" si="310"/>
        <v>0</v>
      </c>
      <c r="J291" s="457">
        <f t="shared" si="310"/>
        <v>953993</v>
      </c>
      <c r="K291" s="457">
        <f t="shared" si="310"/>
        <v>953993</v>
      </c>
      <c r="L291" s="457">
        <f t="shared" si="310"/>
        <v>0</v>
      </c>
      <c r="M291" s="457">
        <f t="shared" si="310"/>
        <v>0</v>
      </c>
      <c r="N291" s="457">
        <f t="shared" si="310"/>
        <v>0</v>
      </c>
      <c r="O291" s="457">
        <f t="shared" si="310"/>
        <v>953993</v>
      </c>
      <c r="P291" s="457">
        <f t="shared" si="310"/>
        <v>144503993</v>
      </c>
      <c r="Q291" s="20"/>
      <c r="R291" s="50"/>
    </row>
    <row r="292" spans="1:18" ht="93" thickTop="1" thickBot="1" x14ac:dyDescent="0.25">
      <c r="A292" s="101" t="s">
        <v>543</v>
      </c>
      <c r="B292" s="101" t="s">
        <v>376</v>
      </c>
      <c r="C292" s="101" t="s">
        <v>283</v>
      </c>
      <c r="D292" s="101" t="s">
        <v>377</v>
      </c>
      <c r="E292" s="309">
        <f t="shared" ref="E292:E306" si="311">F292</f>
        <v>90000000</v>
      </c>
      <c r="F292" s="322">
        <f>(((((20000000)+20000000)+10000000)+10000000)+10000000+5000000)+15000000</f>
        <v>90000000</v>
      </c>
      <c r="G292" s="322"/>
      <c r="H292" s="322"/>
      <c r="I292" s="322"/>
      <c r="J292" s="324">
        <f t="shared" si="302"/>
        <v>0</v>
      </c>
      <c r="K292" s="322"/>
      <c r="L292" s="449"/>
      <c r="M292" s="449"/>
      <c r="N292" s="449"/>
      <c r="O292" s="450">
        <f t="shared" si="304"/>
        <v>0</v>
      </c>
      <c r="P292" s="324">
        <f t="shared" si="305"/>
        <v>90000000</v>
      </c>
      <c r="Q292" s="20"/>
      <c r="R292" s="50"/>
    </row>
    <row r="293" spans="1:18" ht="48" thickTop="1" thickBot="1" x14ac:dyDescent="0.25">
      <c r="A293" s="101" t="s">
        <v>544</v>
      </c>
      <c r="B293" s="101" t="s">
        <v>286</v>
      </c>
      <c r="C293" s="101" t="s">
        <v>283</v>
      </c>
      <c r="D293" s="101" t="s">
        <v>287</v>
      </c>
      <c r="E293" s="309">
        <f t="shared" si="311"/>
        <v>53550000</v>
      </c>
      <c r="F293" s="322">
        <f>((((10550000)+15000000)+15000000)+10000000)+3000000</f>
        <v>53550000</v>
      </c>
      <c r="G293" s="127"/>
      <c r="H293" s="127"/>
      <c r="I293" s="127"/>
      <c r="J293" s="324">
        <f t="shared" si="302"/>
        <v>953993</v>
      </c>
      <c r="K293" s="322">
        <f>(185707)+768286</f>
        <v>953993</v>
      </c>
      <c r="L293" s="449"/>
      <c r="M293" s="449"/>
      <c r="N293" s="449"/>
      <c r="O293" s="450">
        <f t="shared" si="304"/>
        <v>953993</v>
      </c>
      <c r="P293" s="324">
        <f t="shared" si="305"/>
        <v>54503993</v>
      </c>
      <c r="Q293" s="20"/>
      <c r="R293" s="50"/>
    </row>
    <row r="294" spans="1:18" ht="93" hidden="1" thickTop="1" thickBot="1" x14ac:dyDescent="0.25">
      <c r="A294" s="126" t="s">
        <v>1390</v>
      </c>
      <c r="B294" s="126" t="s">
        <v>1391</v>
      </c>
      <c r="C294" s="126" t="s">
        <v>283</v>
      </c>
      <c r="D294" s="126" t="s">
        <v>1392</v>
      </c>
      <c r="E294" s="150">
        <f t="shared" ref="E294" si="312">F294</f>
        <v>0</v>
      </c>
      <c r="F294" s="127">
        <v>0</v>
      </c>
      <c r="G294" s="127"/>
      <c r="H294" s="127"/>
      <c r="I294" s="127"/>
      <c r="J294" s="324">
        <f t="shared" ref="J294" si="313">L294+O294</f>
        <v>0</v>
      </c>
      <c r="K294" s="322"/>
      <c r="L294" s="449"/>
      <c r="M294" s="449"/>
      <c r="N294" s="449"/>
      <c r="O294" s="450">
        <f t="shared" ref="O294" si="314">K294</f>
        <v>0</v>
      </c>
      <c r="P294" s="324">
        <f t="shared" ref="P294" si="315">+J294+E294</f>
        <v>0</v>
      </c>
      <c r="Q294" s="20"/>
      <c r="R294" s="50"/>
    </row>
    <row r="295" spans="1:18" ht="93" thickTop="1" thickBot="1" x14ac:dyDescent="0.25">
      <c r="A295" s="101" t="s">
        <v>545</v>
      </c>
      <c r="B295" s="101" t="s">
        <v>297</v>
      </c>
      <c r="C295" s="101" t="s">
        <v>283</v>
      </c>
      <c r="D295" s="101" t="s">
        <v>298</v>
      </c>
      <c r="E295" s="309">
        <f t="shared" si="311"/>
        <v>7344818.8499999996</v>
      </c>
      <c r="F295" s="322">
        <f>((((700000)+650000)+1987600)+200000+7205100)-3397881.15</f>
        <v>7344818.8499999996</v>
      </c>
      <c r="G295" s="127"/>
      <c r="H295" s="127"/>
      <c r="I295" s="127"/>
      <c r="J295" s="324">
        <f t="shared" si="302"/>
        <v>0</v>
      </c>
      <c r="K295" s="453"/>
      <c r="L295" s="322"/>
      <c r="M295" s="322"/>
      <c r="N295" s="322"/>
      <c r="O295" s="450">
        <f t="shared" si="304"/>
        <v>0</v>
      </c>
      <c r="P295" s="324">
        <f t="shared" ref="P295:P300" si="316">E295+J295</f>
        <v>7344818.8499999996</v>
      </c>
      <c r="Q295" s="20"/>
      <c r="R295" s="50"/>
    </row>
    <row r="296" spans="1:18" ht="48" thickTop="1" thickBot="1" x14ac:dyDescent="0.25">
      <c r="A296" s="101" t="s">
        <v>546</v>
      </c>
      <c r="B296" s="101" t="s">
        <v>289</v>
      </c>
      <c r="C296" s="101" t="s">
        <v>283</v>
      </c>
      <c r="D296" s="101" t="s">
        <v>290</v>
      </c>
      <c r="E296" s="309">
        <f t="shared" si="311"/>
        <v>312417899</v>
      </c>
      <c r="F296" s="322">
        <f>(((((273808011-650000-8450000)+25359960)+18495178-2000000)+2050000)+1253238)+2551512</f>
        <v>312417899</v>
      </c>
      <c r="G296" s="127"/>
      <c r="H296" s="322">
        <v>5000</v>
      </c>
      <c r="I296" s="127"/>
      <c r="J296" s="324">
        <f t="shared" si="302"/>
        <v>0</v>
      </c>
      <c r="K296" s="453">
        <v>0</v>
      </c>
      <c r="L296" s="322"/>
      <c r="M296" s="322"/>
      <c r="N296" s="322"/>
      <c r="O296" s="450">
        <f t="shared" si="304"/>
        <v>0</v>
      </c>
      <c r="P296" s="324">
        <f t="shared" si="316"/>
        <v>312417899</v>
      </c>
      <c r="Q296" s="20"/>
      <c r="R296" s="45"/>
    </row>
    <row r="297" spans="1:18" ht="48" thickTop="1" thickBot="1" x14ac:dyDescent="0.25">
      <c r="A297" s="101" t="s">
        <v>1130</v>
      </c>
      <c r="B297" s="101" t="s">
        <v>1131</v>
      </c>
      <c r="C297" s="101" t="s">
        <v>1132</v>
      </c>
      <c r="D297" s="101" t="s">
        <v>1129</v>
      </c>
      <c r="E297" s="309">
        <f t="shared" si="311"/>
        <v>258800</v>
      </c>
      <c r="F297" s="322">
        <v>258800</v>
      </c>
      <c r="G297" s="322"/>
      <c r="H297" s="322"/>
      <c r="I297" s="322"/>
      <c r="J297" s="324">
        <f t="shared" si="302"/>
        <v>0</v>
      </c>
      <c r="K297" s="453"/>
      <c r="L297" s="322"/>
      <c r="M297" s="322"/>
      <c r="N297" s="322"/>
      <c r="O297" s="450">
        <f t="shared" si="304"/>
        <v>0</v>
      </c>
      <c r="P297" s="324">
        <f t="shared" si="316"/>
        <v>258800</v>
      </c>
      <c r="Q297" s="20"/>
      <c r="R297" s="45"/>
    </row>
    <row r="298" spans="1:18" ht="47.25" thickTop="1" thickBot="1" x14ac:dyDescent="0.25">
      <c r="A298" s="308" t="s">
        <v>797</v>
      </c>
      <c r="B298" s="308" t="s">
        <v>744</v>
      </c>
      <c r="C298" s="308"/>
      <c r="D298" s="308" t="s">
        <v>745</v>
      </c>
      <c r="E298" s="309">
        <f>E299+E301+E304</f>
        <v>0</v>
      </c>
      <c r="F298" s="309">
        <f t="shared" ref="F298:P298" si="317">F299+F301+F304</f>
        <v>0</v>
      </c>
      <c r="G298" s="309">
        <f t="shared" si="317"/>
        <v>0</v>
      </c>
      <c r="H298" s="309">
        <f t="shared" si="317"/>
        <v>0</v>
      </c>
      <c r="I298" s="309">
        <f t="shared" si="317"/>
        <v>0</v>
      </c>
      <c r="J298" s="309">
        <f>J299+J301+J304</f>
        <v>33545427.350000001</v>
      </c>
      <c r="K298" s="309">
        <f t="shared" si="317"/>
        <v>33545427.350000001</v>
      </c>
      <c r="L298" s="309">
        <f t="shared" si="317"/>
        <v>0</v>
      </c>
      <c r="M298" s="309">
        <f t="shared" si="317"/>
        <v>0</v>
      </c>
      <c r="N298" s="309">
        <f t="shared" si="317"/>
        <v>0</v>
      </c>
      <c r="O298" s="309">
        <f t="shared" si="317"/>
        <v>33545427.350000001</v>
      </c>
      <c r="P298" s="309">
        <f t="shared" si="317"/>
        <v>33545427.350000001</v>
      </c>
      <c r="Q298" s="20"/>
      <c r="R298" s="50"/>
    </row>
    <row r="299" spans="1:18" ht="47.25" thickTop="1" thickBot="1" x14ac:dyDescent="0.25">
      <c r="A299" s="310" t="s">
        <v>798</v>
      </c>
      <c r="B299" s="310" t="s">
        <v>799</v>
      </c>
      <c r="C299" s="310"/>
      <c r="D299" s="310" t="s">
        <v>800</v>
      </c>
      <c r="E299" s="311">
        <f>E300</f>
        <v>0</v>
      </c>
      <c r="F299" s="311">
        <f t="shared" ref="F299:P299" si="318">F300</f>
        <v>0</v>
      </c>
      <c r="G299" s="311">
        <f t="shared" si="318"/>
        <v>0</v>
      </c>
      <c r="H299" s="311">
        <f t="shared" si="318"/>
        <v>0</v>
      </c>
      <c r="I299" s="311">
        <f t="shared" si="318"/>
        <v>0</v>
      </c>
      <c r="J299" s="311">
        <f t="shared" si="318"/>
        <v>2351756</v>
      </c>
      <c r="K299" s="311">
        <f t="shared" si="318"/>
        <v>2351756</v>
      </c>
      <c r="L299" s="311">
        <f t="shared" si="318"/>
        <v>0</v>
      </c>
      <c r="M299" s="311">
        <f t="shared" si="318"/>
        <v>0</v>
      </c>
      <c r="N299" s="311">
        <f t="shared" si="318"/>
        <v>0</v>
      </c>
      <c r="O299" s="311">
        <f t="shared" si="318"/>
        <v>2351756</v>
      </c>
      <c r="P299" s="311">
        <f t="shared" si="318"/>
        <v>2351756</v>
      </c>
      <c r="Q299" s="20"/>
      <c r="R299" s="50"/>
    </row>
    <row r="300" spans="1:18" ht="54" thickTop="1" thickBot="1" x14ac:dyDescent="0.25">
      <c r="A300" s="101" t="s">
        <v>547</v>
      </c>
      <c r="B300" s="101" t="s">
        <v>305</v>
      </c>
      <c r="C300" s="101" t="s">
        <v>304</v>
      </c>
      <c r="D300" s="101" t="s">
        <v>1477</v>
      </c>
      <c r="E300" s="309">
        <f t="shared" si="311"/>
        <v>0</v>
      </c>
      <c r="F300" s="322"/>
      <c r="G300" s="322"/>
      <c r="H300" s="322"/>
      <c r="I300" s="322"/>
      <c r="J300" s="324">
        <f>L300+O300</f>
        <v>2351756</v>
      </c>
      <c r="K300" s="453">
        <f>(((131720)-131720)+1200000)+1151756</f>
        <v>2351756</v>
      </c>
      <c r="L300" s="322"/>
      <c r="M300" s="322"/>
      <c r="N300" s="322"/>
      <c r="O300" s="450">
        <f>K300</f>
        <v>2351756</v>
      </c>
      <c r="P300" s="324">
        <f t="shared" si="316"/>
        <v>2351756</v>
      </c>
      <c r="Q300" s="20"/>
      <c r="R300" s="45"/>
    </row>
    <row r="301" spans="1:18" ht="47.25" thickTop="1" thickBot="1" x14ac:dyDescent="0.25">
      <c r="A301" s="310" t="s">
        <v>801</v>
      </c>
      <c r="B301" s="310" t="s">
        <v>802</v>
      </c>
      <c r="C301" s="310"/>
      <c r="D301" s="310" t="s">
        <v>803</v>
      </c>
      <c r="E301" s="311">
        <f t="shared" ref="E301:P302" si="319">E302</f>
        <v>0</v>
      </c>
      <c r="F301" s="311">
        <f t="shared" si="319"/>
        <v>0</v>
      </c>
      <c r="G301" s="311">
        <f t="shared" si="319"/>
        <v>0</v>
      </c>
      <c r="H301" s="311">
        <f t="shared" si="319"/>
        <v>0</v>
      </c>
      <c r="I301" s="311">
        <f t="shared" si="319"/>
        <v>0</v>
      </c>
      <c r="J301" s="311">
        <f t="shared" si="319"/>
        <v>3278514</v>
      </c>
      <c r="K301" s="311">
        <f t="shared" si="319"/>
        <v>3278514</v>
      </c>
      <c r="L301" s="311">
        <f t="shared" si="319"/>
        <v>0</v>
      </c>
      <c r="M301" s="311">
        <f t="shared" si="319"/>
        <v>0</v>
      </c>
      <c r="N301" s="311">
        <f t="shared" si="319"/>
        <v>0</v>
      </c>
      <c r="O301" s="311">
        <f t="shared" si="319"/>
        <v>3278514</v>
      </c>
      <c r="P301" s="311">
        <f t="shared" si="319"/>
        <v>3278514</v>
      </c>
      <c r="Q301" s="20"/>
      <c r="R301" s="50"/>
    </row>
    <row r="302" spans="1:18" ht="93" thickTop="1" thickBot="1" x14ac:dyDescent="0.25">
      <c r="A302" s="101" t="s">
        <v>952</v>
      </c>
      <c r="B302" s="325" t="s">
        <v>953</v>
      </c>
      <c r="C302" s="310"/>
      <c r="D302" s="325" t="s">
        <v>954</v>
      </c>
      <c r="E302" s="457">
        <f t="shared" si="319"/>
        <v>0</v>
      </c>
      <c r="F302" s="457">
        <f t="shared" si="319"/>
        <v>0</v>
      </c>
      <c r="G302" s="457">
        <f t="shared" si="319"/>
        <v>0</v>
      </c>
      <c r="H302" s="457">
        <f t="shared" si="319"/>
        <v>0</v>
      </c>
      <c r="I302" s="457">
        <f t="shared" si="319"/>
        <v>0</v>
      </c>
      <c r="J302" s="457">
        <f t="shared" si="319"/>
        <v>3278514</v>
      </c>
      <c r="K302" s="457">
        <f t="shared" si="319"/>
        <v>3278514</v>
      </c>
      <c r="L302" s="457">
        <f t="shared" si="319"/>
        <v>0</v>
      </c>
      <c r="M302" s="457">
        <f t="shared" si="319"/>
        <v>0</v>
      </c>
      <c r="N302" s="457">
        <f t="shared" si="319"/>
        <v>0</v>
      </c>
      <c r="O302" s="457">
        <f t="shared" si="319"/>
        <v>3278514</v>
      </c>
      <c r="P302" s="457">
        <f t="shared" si="319"/>
        <v>3278514</v>
      </c>
      <c r="Q302" s="20"/>
      <c r="R302" s="50"/>
    </row>
    <row r="303" spans="1:18" ht="93" thickTop="1" thickBot="1" x14ac:dyDescent="0.25">
      <c r="A303" s="101" t="s">
        <v>548</v>
      </c>
      <c r="B303" s="101" t="s">
        <v>293</v>
      </c>
      <c r="C303" s="101" t="s">
        <v>295</v>
      </c>
      <c r="D303" s="101" t="s">
        <v>294</v>
      </c>
      <c r="E303" s="309">
        <f t="shared" si="311"/>
        <v>0</v>
      </c>
      <c r="F303" s="322">
        <f>(18000000-3000000-3000000)-12000000</f>
        <v>0</v>
      </c>
      <c r="G303" s="322"/>
      <c r="H303" s="322"/>
      <c r="I303" s="322"/>
      <c r="J303" s="324">
        <f t="shared" si="302"/>
        <v>3278514</v>
      </c>
      <c r="K303" s="322">
        <f>((((2000000)+935752)+10000000)+384762)-10042000</f>
        <v>3278514</v>
      </c>
      <c r="L303" s="449"/>
      <c r="M303" s="449"/>
      <c r="N303" s="449"/>
      <c r="O303" s="450">
        <f>K303</f>
        <v>3278514</v>
      </c>
      <c r="P303" s="324">
        <f>+J303+E303</f>
        <v>3278514</v>
      </c>
      <c r="Q303" s="20"/>
      <c r="R303" s="45"/>
    </row>
    <row r="304" spans="1:18" ht="47.25" thickTop="1" thickBot="1" x14ac:dyDescent="0.25">
      <c r="A304" s="310" t="s">
        <v>804</v>
      </c>
      <c r="B304" s="310" t="s">
        <v>687</v>
      </c>
      <c r="C304" s="310"/>
      <c r="D304" s="310" t="s">
        <v>685</v>
      </c>
      <c r="E304" s="311">
        <f>SUM(E305:E310)-E307</f>
        <v>0</v>
      </c>
      <c r="F304" s="311">
        <f t="shared" ref="F304:P304" si="320">SUM(F305:F310)-F307</f>
        <v>0</v>
      </c>
      <c r="G304" s="311">
        <f t="shared" si="320"/>
        <v>0</v>
      </c>
      <c r="H304" s="311">
        <f t="shared" si="320"/>
        <v>0</v>
      </c>
      <c r="I304" s="311">
        <f t="shared" si="320"/>
        <v>0</v>
      </c>
      <c r="J304" s="311">
        <f t="shared" si="320"/>
        <v>27915157.350000001</v>
      </c>
      <c r="K304" s="311">
        <f t="shared" si="320"/>
        <v>27915157.350000001</v>
      </c>
      <c r="L304" s="311">
        <f t="shared" si="320"/>
        <v>0</v>
      </c>
      <c r="M304" s="311">
        <f t="shared" si="320"/>
        <v>0</v>
      </c>
      <c r="N304" s="311">
        <f t="shared" si="320"/>
        <v>0</v>
      </c>
      <c r="O304" s="311">
        <f t="shared" si="320"/>
        <v>27915157.350000001</v>
      </c>
      <c r="P304" s="311">
        <f t="shared" si="320"/>
        <v>27915157.350000001</v>
      </c>
      <c r="Q304" s="20"/>
      <c r="R304" s="45"/>
    </row>
    <row r="305" spans="1:18" ht="48" thickTop="1" thickBot="1" x14ac:dyDescent="0.25">
      <c r="A305" s="101" t="s">
        <v>549</v>
      </c>
      <c r="B305" s="101" t="s">
        <v>212</v>
      </c>
      <c r="C305" s="101" t="s">
        <v>213</v>
      </c>
      <c r="D305" s="101" t="s">
        <v>41</v>
      </c>
      <c r="E305" s="309">
        <f t="shared" si="311"/>
        <v>0</v>
      </c>
      <c r="F305" s="322"/>
      <c r="G305" s="322"/>
      <c r="H305" s="322"/>
      <c r="I305" s="322"/>
      <c r="J305" s="324">
        <f t="shared" si="302"/>
        <v>15280170.35</v>
      </c>
      <c r="K305" s="453">
        <f>(((9760000)+5803884)+344886.99)-628600.64</f>
        <v>15280170.35</v>
      </c>
      <c r="L305" s="322"/>
      <c r="M305" s="322"/>
      <c r="N305" s="322"/>
      <c r="O305" s="450">
        <f t="shared" si="304"/>
        <v>15280170.35</v>
      </c>
      <c r="P305" s="324">
        <f>E305+J305</f>
        <v>15280170.35</v>
      </c>
      <c r="Q305" s="20"/>
      <c r="R305" s="45"/>
    </row>
    <row r="306" spans="1:18" ht="48" thickTop="1" thickBot="1" x14ac:dyDescent="0.25">
      <c r="A306" s="101" t="s">
        <v>550</v>
      </c>
      <c r="B306" s="101" t="s">
        <v>197</v>
      </c>
      <c r="C306" s="101" t="s">
        <v>170</v>
      </c>
      <c r="D306" s="101" t="s">
        <v>34</v>
      </c>
      <c r="E306" s="309">
        <f t="shared" si="311"/>
        <v>0</v>
      </c>
      <c r="F306" s="322"/>
      <c r="G306" s="322"/>
      <c r="H306" s="322"/>
      <c r="I306" s="322"/>
      <c r="J306" s="324">
        <f t="shared" si="302"/>
        <v>12634987</v>
      </c>
      <c r="K306" s="453">
        <f>(((((96120)+6291666)+4438322-807578)+200000)+384363)+2032094</f>
        <v>12634987</v>
      </c>
      <c r="L306" s="322"/>
      <c r="M306" s="322"/>
      <c r="N306" s="322"/>
      <c r="O306" s="450">
        <f t="shared" si="304"/>
        <v>12634987</v>
      </c>
      <c r="P306" s="324">
        <f>E306+J306</f>
        <v>12634987</v>
      </c>
      <c r="Q306" s="20"/>
      <c r="R306" s="45"/>
    </row>
    <row r="307" spans="1:18" ht="48" hidden="1" thickTop="1" thickBot="1" x14ac:dyDescent="0.25">
      <c r="A307" s="325" t="s">
        <v>805</v>
      </c>
      <c r="B307" s="325" t="s">
        <v>690</v>
      </c>
      <c r="C307" s="138"/>
      <c r="D307" s="138" t="s">
        <v>793</v>
      </c>
      <c r="E307" s="156">
        <f t="shared" ref="E307:P307" si="321">E308+E310</f>
        <v>0</v>
      </c>
      <c r="F307" s="156">
        <f t="shared" si="321"/>
        <v>0</v>
      </c>
      <c r="G307" s="156">
        <f t="shared" si="321"/>
        <v>0</v>
      </c>
      <c r="H307" s="156">
        <f t="shared" si="321"/>
        <v>0</v>
      </c>
      <c r="I307" s="156">
        <f t="shared" si="321"/>
        <v>0</v>
      </c>
      <c r="J307" s="156">
        <f t="shared" si="321"/>
        <v>0</v>
      </c>
      <c r="K307" s="156">
        <f t="shared" si="321"/>
        <v>0</v>
      </c>
      <c r="L307" s="156">
        <f t="shared" si="321"/>
        <v>0</v>
      </c>
      <c r="M307" s="156">
        <f t="shared" si="321"/>
        <v>0</v>
      </c>
      <c r="N307" s="156">
        <f t="shared" si="321"/>
        <v>0</v>
      </c>
      <c r="O307" s="156">
        <f t="shared" si="321"/>
        <v>0</v>
      </c>
      <c r="P307" s="156">
        <f t="shared" si="321"/>
        <v>0</v>
      </c>
      <c r="Q307" s="20"/>
      <c r="R307" s="50"/>
    </row>
    <row r="308" spans="1:18" ht="211.7" hidden="1" customHeight="1" thickTop="1" thickBot="1" x14ac:dyDescent="0.7">
      <c r="A308" s="732" t="s">
        <v>551</v>
      </c>
      <c r="B308" s="732" t="s">
        <v>338</v>
      </c>
      <c r="C308" s="744" t="s">
        <v>170</v>
      </c>
      <c r="D308" s="153" t="s">
        <v>439</v>
      </c>
      <c r="E308" s="745"/>
      <c r="F308" s="739"/>
      <c r="G308" s="739"/>
      <c r="H308" s="739"/>
      <c r="I308" s="739"/>
      <c r="J308" s="745">
        <f t="shared" si="302"/>
        <v>0</v>
      </c>
      <c r="K308" s="739"/>
      <c r="L308" s="739">
        <v>0</v>
      </c>
      <c r="M308" s="739"/>
      <c r="N308" s="739"/>
      <c r="O308" s="772"/>
      <c r="P308" s="773">
        <f>E308+J308</f>
        <v>0</v>
      </c>
      <c r="Q308" s="20"/>
      <c r="R308" s="50"/>
    </row>
    <row r="309" spans="1:18" ht="130.69999999999999" hidden="1" customHeight="1" thickTop="1" thickBot="1" x14ac:dyDescent="0.25">
      <c r="A309" s="732"/>
      <c r="B309" s="732"/>
      <c r="C309" s="744"/>
      <c r="D309" s="154" t="s">
        <v>440</v>
      </c>
      <c r="E309" s="745"/>
      <c r="F309" s="739"/>
      <c r="G309" s="739"/>
      <c r="H309" s="739"/>
      <c r="I309" s="739"/>
      <c r="J309" s="745"/>
      <c r="K309" s="739"/>
      <c r="L309" s="739"/>
      <c r="M309" s="739"/>
      <c r="N309" s="739"/>
      <c r="O309" s="772"/>
      <c r="P309" s="773"/>
      <c r="Q309" s="20"/>
      <c r="R309" s="50"/>
    </row>
    <row r="310" spans="1:18" ht="39" hidden="1" customHeight="1" thickTop="1" thickBot="1" x14ac:dyDescent="0.25">
      <c r="A310" s="101" t="s">
        <v>1165</v>
      </c>
      <c r="B310" s="101" t="s">
        <v>257</v>
      </c>
      <c r="C310" s="126" t="s">
        <v>170</v>
      </c>
      <c r="D310" s="154" t="s">
        <v>255</v>
      </c>
      <c r="E310" s="150">
        <f t="shared" ref="E310" si="322">F310</f>
        <v>0</v>
      </c>
      <c r="F310" s="127"/>
      <c r="G310" s="127"/>
      <c r="H310" s="127"/>
      <c r="I310" s="127"/>
      <c r="J310" s="125">
        <f t="shared" ref="J310" si="323">L310+O310</f>
        <v>0</v>
      </c>
      <c r="K310" s="132"/>
      <c r="L310" s="127"/>
      <c r="M310" s="127"/>
      <c r="N310" s="127"/>
      <c r="O310" s="130">
        <f t="shared" ref="O310" si="324">K310</f>
        <v>0</v>
      </c>
      <c r="P310" s="125">
        <f>E310+J310</f>
        <v>0</v>
      </c>
      <c r="Q310" s="20"/>
      <c r="R310" s="50"/>
    </row>
    <row r="311" spans="1:18" ht="47.25" thickTop="1" thickBot="1" x14ac:dyDescent="0.25">
      <c r="A311" s="308" t="s">
        <v>806</v>
      </c>
      <c r="B311" s="308" t="s">
        <v>692</v>
      </c>
      <c r="C311" s="308"/>
      <c r="D311" s="462" t="s">
        <v>693</v>
      </c>
      <c r="E311" s="324">
        <f>E312</f>
        <v>4729390</v>
      </c>
      <c r="F311" s="324">
        <f t="shared" ref="F311:P311" si="325">F312</f>
        <v>4729390</v>
      </c>
      <c r="G311" s="324">
        <f t="shared" si="325"/>
        <v>2010735</v>
      </c>
      <c r="H311" s="324">
        <f t="shared" si="325"/>
        <v>53880</v>
      </c>
      <c r="I311" s="324">
        <f t="shared" si="325"/>
        <v>0</v>
      </c>
      <c r="J311" s="324">
        <f t="shared" si="325"/>
        <v>0</v>
      </c>
      <c r="K311" s="324">
        <f t="shared" si="325"/>
        <v>0</v>
      </c>
      <c r="L311" s="324">
        <f t="shared" si="325"/>
        <v>0</v>
      </c>
      <c r="M311" s="324">
        <f t="shared" si="325"/>
        <v>0</v>
      </c>
      <c r="N311" s="324">
        <f t="shared" si="325"/>
        <v>0</v>
      </c>
      <c r="O311" s="324">
        <f t="shared" si="325"/>
        <v>0</v>
      </c>
      <c r="P311" s="324">
        <f t="shared" si="325"/>
        <v>4729390</v>
      </c>
      <c r="Q311" s="20"/>
      <c r="R311" s="50"/>
    </row>
    <row r="312" spans="1:18" ht="47.25" thickTop="1" thickBot="1" x14ac:dyDescent="0.25">
      <c r="A312" s="310" t="s">
        <v>807</v>
      </c>
      <c r="B312" s="310" t="s">
        <v>808</v>
      </c>
      <c r="C312" s="310"/>
      <c r="D312" s="352" t="s">
        <v>1262</v>
      </c>
      <c r="E312" s="312">
        <f>SUM(E313:E315)</f>
        <v>4729390</v>
      </c>
      <c r="F312" s="312">
        <f t="shared" ref="F312:P312" si="326">SUM(F313:F315)</f>
        <v>4729390</v>
      </c>
      <c r="G312" s="312">
        <f t="shared" si="326"/>
        <v>2010735</v>
      </c>
      <c r="H312" s="312">
        <f t="shared" si="326"/>
        <v>53880</v>
      </c>
      <c r="I312" s="312">
        <f t="shared" si="326"/>
        <v>0</v>
      </c>
      <c r="J312" s="312">
        <f t="shared" si="326"/>
        <v>0</v>
      </c>
      <c r="K312" s="312">
        <f t="shared" si="326"/>
        <v>0</v>
      </c>
      <c r="L312" s="312">
        <f t="shared" si="326"/>
        <v>0</v>
      </c>
      <c r="M312" s="312">
        <f t="shared" si="326"/>
        <v>0</v>
      </c>
      <c r="N312" s="312">
        <f t="shared" si="326"/>
        <v>0</v>
      </c>
      <c r="O312" s="312">
        <f t="shared" si="326"/>
        <v>0</v>
      </c>
      <c r="P312" s="312">
        <f t="shared" si="326"/>
        <v>4729390</v>
      </c>
      <c r="Q312" s="20"/>
      <c r="R312" s="50"/>
    </row>
    <row r="313" spans="1:18" ht="93" thickTop="1" thickBot="1" x14ac:dyDescent="0.25">
      <c r="A313" s="101" t="s">
        <v>552</v>
      </c>
      <c r="B313" s="101" t="s">
        <v>517</v>
      </c>
      <c r="C313" s="101" t="s">
        <v>251</v>
      </c>
      <c r="D313" s="101" t="s">
        <v>518</v>
      </c>
      <c r="E313" s="309">
        <f>F313</f>
        <v>2200000</v>
      </c>
      <c r="F313" s="322">
        <f>(2000000)+200000</f>
        <v>2200000</v>
      </c>
      <c r="G313" s="322"/>
      <c r="H313" s="322"/>
      <c r="I313" s="322"/>
      <c r="J313" s="324">
        <f>L313+O313</f>
        <v>0</v>
      </c>
      <c r="K313" s="453">
        <v>0</v>
      </c>
      <c r="L313" s="322"/>
      <c r="M313" s="322"/>
      <c r="N313" s="322"/>
      <c r="O313" s="450">
        <f>K313</f>
        <v>0</v>
      </c>
      <c r="P313" s="324">
        <f>E313+J313</f>
        <v>2200000</v>
      </c>
      <c r="Q313" s="20"/>
      <c r="R313" s="50"/>
    </row>
    <row r="314" spans="1:18" ht="48" thickTop="1" thickBot="1" x14ac:dyDescent="0.25">
      <c r="A314" s="101" t="s">
        <v>553</v>
      </c>
      <c r="B314" s="101" t="s">
        <v>250</v>
      </c>
      <c r="C314" s="101" t="s">
        <v>251</v>
      </c>
      <c r="D314" s="101" t="s">
        <v>249</v>
      </c>
      <c r="E314" s="309">
        <f t="shared" ref="E314:E315" si="327">F314</f>
        <v>2529390</v>
      </c>
      <c r="F314" s="322">
        <f>(2515145)+14245</f>
        <v>2529390</v>
      </c>
      <c r="G314" s="322">
        <f>(1953964)+56771</f>
        <v>2010735</v>
      </c>
      <c r="H314" s="322">
        <f>2500+35000+16380</f>
        <v>53880</v>
      </c>
      <c r="I314" s="322"/>
      <c r="J314" s="324">
        <f>L314+O314</f>
        <v>0</v>
      </c>
      <c r="K314" s="453">
        <v>0</v>
      </c>
      <c r="L314" s="322"/>
      <c r="M314" s="322"/>
      <c r="N314" s="322"/>
      <c r="O314" s="450">
        <f>K314</f>
        <v>0</v>
      </c>
      <c r="P314" s="324">
        <f>E314+J314</f>
        <v>2529390</v>
      </c>
      <c r="Q314" s="20"/>
      <c r="R314" s="46"/>
    </row>
    <row r="315" spans="1:18" ht="48" hidden="1" thickTop="1" thickBot="1" x14ac:dyDescent="0.25">
      <c r="A315" s="41" t="s">
        <v>554</v>
      </c>
      <c r="B315" s="41" t="s">
        <v>555</v>
      </c>
      <c r="C315" s="41" t="s">
        <v>251</v>
      </c>
      <c r="D315" s="41" t="s">
        <v>556</v>
      </c>
      <c r="E315" s="158">
        <f t="shared" si="327"/>
        <v>0</v>
      </c>
      <c r="F315" s="159">
        <f>(1219000)-1219000</f>
        <v>0</v>
      </c>
      <c r="G315" s="159">
        <f>(354000+540000)-894000</f>
        <v>0</v>
      </c>
      <c r="H315" s="159">
        <f>(6000+3000)-9000</f>
        <v>0</v>
      </c>
      <c r="I315" s="159"/>
      <c r="J315" s="42">
        <f>L315+O315</f>
        <v>0</v>
      </c>
      <c r="K315" s="43"/>
      <c r="L315" s="159"/>
      <c r="M315" s="159"/>
      <c r="N315" s="159"/>
      <c r="O315" s="44">
        <f>K315</f>
        <v>0</v>
      </c>
      <c r="P315" s="42">
        <f>E315+J315</f>
        <v>0</v>
      </c>
      <c r="Q315" s="20"/>
      <c r="R315" s="50"/>
    </row>
    <row r="316" spans="1:18" ht="47.25" thickTop="1" thickBot="1" x14ac:dyDescent="0.25">
      <c r="A316" s="308" t="s">
        <v>1461</v>
      </c>
      <c r="B316" s="308" t="s">
        <v>698</v>
      </c>
      <c r="C316" s="308"/>
      <c r="D316" s="308" t="s">
        <v>699</v>
      </c>
      <c r="E316" s="324">
        <f>E317</f>
        <v>650000</v>
      </c>
      <c r="F316" s="324">
        <f t="shared" ref="F316:P317" si="328">F317</f>
        <v>650000</v>
      </c>
      <c r="G316" s="324">
        <f t="shared" si="328"/>
        <v>0</v>
      </c>
      <c r="H316" s="324">
        <f t="shared" si="328"/>
        <v>0</v>
      </c>
      <c r="I316" s="324">
        <f t="shared" si="328"/>
        <v>0</v>
      </c>
      <c r="J316" s="324">
        <f t="shared" si="328"/>
        <v>0</v>
      </c>
      <c r="K316" s="324">
        <f t="shared" si="328"/>
        <v>0</v>
      </c>
      <c r="L316" s="324">
        <f t="shared" si="328"/>
        <v>0</v>
      </c>
      <c r="M316" s="324">
        <f t="shared" si="328"/>
        <v>0</v>
      </c>
      <c r="N316" s="324">
        <f t="shared" si="328"/>
        <v>0</v>
      </c>
      <c r="O316" s="324">
        <f t="shared" si="328"/>
        <v>0</v>
      </c>
      <c r="P316" s="324">
        <f t="shared" si="328"/>
        <v>650000</v>
      </c>
      <c r="Q316" s="20"/>
      <c r="R316" s="50"/>
    </row>
    <row r="317" spans="1:18" ht="91.5" thickTop="1" thickBot="1" x14ac:dyDescent="0.25">
      <c r="A317" s="310" t="s">
        <v>1462</v>
      </c>
      <c r="B317" s="310" t="s">
        <v>701</v>
      </c>
      <c r="C317" s="310"/>
      <c r="D317" s="310" t="s">
        <v>702</v>
      </c>
      <c r="E317" s="312">
        <f>E318</f>
        <v>650000</v>
      </c>
      <c r="F317" s="312">
        <f t="shared" si="328"/>
        <v>650000</v>
      </c>
      <c r="G317" s="312">
        <f t="shared" si="328"/>
        <v>0</v>
      </c>
      <c r="H317" s="312">
        <f t="shared" si="328"/>
        <v>0</v>
      </c>
      <c r="I317" s="312">
        <f t="shared" si="328"/>
        <v>0</v>
      </c>
      <c r="J317" s="312">
        <f t="shared" si="328"/>
        <v>0</v>
      </c>
      <c r="K317" s="312">
        <f t="shared" si="328"/>
        <v>0</v>
      </c>
      <c r="L317" s="312">
        <f t="shared" si="328"/>
        <v>0</v>
      </c>
      <c r="M317" s="312">
        <f t="shared" si="328"/>
        <v>0</v>
      </c>
      <c r="N317" s="312">
        <f t="shared" si="328"/>
        <v>0</v>
      </c>
      <c r="O317" s="312">
        <f t="shared" si="328"/>
        <v>0</v>
      </c>
      <c r="P317" s="312">
        <f t="shared" si="328"/>
        <v>650000</v>
      </c>
      <c r="Q317" s="20"/>
      <c r="R317" s="50"/>
    </row>
    <row r="318" spans="1:18" ht="48" thickTop="1" thickBot="1" x14ac:dyDescent="0.25">
      <c r="A318" s="101" t="s">
        <v>1463</v>
      </c>
      <c r="B318" s="101" t="s">
        <v>363</v>
      </c>
      <c r="C318" s="101" t="s">
        <v>43</v>
      </c>
      <c r="D318" s="101" t="s">
        <v>364</v>
      </c>
      <c r="E318" s="324">
        <f t="shared" ref="E318" si="329">F318</f>
        <v>650000</v>
      </c>
      <c r="F318" s="453">
        <f>(150000)+300000+200000</f>
        <v>650000</v>
      </c>
      <c r="G318" s="453"/>
      <c r="H318" s="453"/>
      <c r="I318" s="453"/>
      <c r="J318" s="324">
        <f>L318+O318</f>
        <v>0</v>
      </c>
      <c r="K318" s="453">
        <v>0</v>
      </c>
      <c r="L318" s="453"/>
      <c r="M318" s="453"/>
      <c r="N318" s="453"/>
      <c r="O318" s="450">
        <f>K318</f>
        <v>0</v>
      </c>
      <c r="P318" s="324">
        <f>E318+J318</f>
        <v>650000</v>
      </c>
      <c r="Q318" s="20"/>
      <c r="R318" s="50"/>
    </row>
    <row r="319" spans="1:18" ht="120" customHeight="1" thickTop="1" thickBot="1" x14ac:dyDescent="0.25">
      <c r="A319" s="689" t="s">
        <v>25</v>
      </c>
      <c r="B319" s="689"/>
      <c r="C319" s="689"/>
      <c r="D319" s="690" t="s">
        <v>1327</v>
      </c>
      <c r="E319" s="691">
        <f>E320</f>
        <v>3960365</v>
      </c>
      <c r="F319" s="692">
        <f t="shared" ref="F319:G319" si="330">F320</f>
        <v>3960365</v>
      </c>
      <c r="G319" s="692">
        <f t="shared" si="330"/>
        <v>2933445</v>
      </c>
      <c r="H319" s="692">
        <f>H320</f>
        <v>129800</v>
      </c>
      <c r="I319" s="692">
        <f t="shared" ref="I319" si="331">I320</f>
        <v>0</v>
      </c>
      <c r="J319" s="691">
        <f>J320</f>
        <v>101059898.40000001</v>
      </c>
      <c r="K319" s="692">
        <f>K320</f>
        <v>101059898.40000001</v>
      </c>
      <c r="L319" s="692">
        <f>L320</f>
        <v>0</v>
      </c>
      <c r="M319" s="692">
        <f t="shared" ref="M319" si="332">M320</f>
        <v>0</v>
      </c>
      <c r="N319" s="692">
        <f>N320</f>
        <v>0</v>
      </c>
      <c r="O319" s="691">
        <f>O320</f>
        <v>101059898.40000001</v>
      </c>
      <c r="P319" s="692">
        <f t="shared" ref="P319" si="333">P320</f>
        <v>105020263.40000001</v>
      </c>
      <c r="Q319" s="20"/>
    </row>
    <row r="320" spans="1:18" ht="120" customHeight="1" thickTop="1" thickBot="1" x14ac:dyDescent="0.25">
      <c r="A320" s="693" t="s">
        <v>26</v>
      </c>
      <c r="B320" s="693"/>
      <c r="C320" s="693"/>
      <c r="D320" s="694" t="s">
        <v>887</v>
      </c>
      <c r="E320" s="695">
        <f>E321+E327+E330+E325</f>
        <v>3960365</v>
      </c>
      <c r="F320" s="695">
        <f>F321+F327+F330+F325</f>
        <v>3960365</v>
      </c>
      <c r="G320" s="695">
        <f>G321+G327+G330+G325</f>
        <v>2933445</v>
      </c>
      <c r="H320" s="695">
        <f>H321+H327+H330+H325</f>
        <v>129800</v>
      </c>
      <c r="I320" s="695">
        <f>I321+I327+I330+I325</f>
        <v>0</v>
      </c>
      <c r="J320" s="695">
        <f>L320+O320</f>
        <v>101059898.40000001</v>
      </c>
      <c r="K320" s="695">
        <f>K321+K327+K330+K325</f>
        <v>101059898.40000001</v>
      </c>
      <c r="L320" s="695">
        <f>L321+L327+L330+L325</f>
        <v>0</v>
      </c>
      <c r="M320" s="695">
        <f>M321+M327+M330+M325</f>
        <v>0</v>
      </c>
      <c r="N320" s="695">
        <f>N321+N327+N330+N325</f>
        <v>0</v>
      </c>
      <c r="O320" s="695">
        <f>O321+O327+O330+O325</f>
        <v>101059898.40000001</v>
      </c>
      <c r="P320" s="695">
        <f>E320+J320</f>
        <v>105020263.40000001</v>
      </c>
      <c r="Q320" s="487" t="b">
        <f>P320=P322+P334+P337+P326</f>
        <v>0</v>
      </c>
      <c r="R320" s="46"/>
    </row>
    <row r="321" spans="1:18" ht="47.25" thickTop="1" thickBot="1" x14ac:dyDescent="0.25">
      <c r="A321" s="308" t="s">
        <v>809</v>
      </c>
      <c r="B321" s="308" t="s">
        <v>680</v>
      </c>
      <c r="C321" s="308"/>
      <c r="D321" s="308" t="s">
        <v>681</v>
      </c>
      <c r="E321" s="324">
        <f t="shared" ref="E321:P321" si="334">SUM(E322:E324)</f>
        <v>3960365</v>
      </c>
      <c r="F321" s="324">
        <f t="shared" si="334"/>
        <v>3960365</v>
      </c>
      <c r="G321" s="324">
        <f t="shared" si="334"/>
        <v>2933445</v>
      </c>
      <c r="H321" s="324">
        <f t="shared" si="334"/>
        <v>129800</v>
      </c>
      <c r="I321" s="324">
        <f t="shared" si="334"/>
        <v>0</v>
      </c>
      <c r="J321" s="324">
        <f t="shared" si="334"/>
        <v>0</v>
      </c>
      <c r="K321" s="324">
        <f t="shared" si="334"/>
        <v>0</v>
      </c>
      <c r="L321" s="324">
        <f t="shared" si="334"/>
        <v>0</v>
      </c>
      <c r="M321" s="324">
        <f t="shared" si="334"/>
        <v>0</v>
      </c>
      <c r="N321" s="324">
        <f t="shared" si="334"/>
        <v>0</v>
      </c>
      <c r="O321" s="324">
        <f t="shared" si="334"/>
        <v>0</v>
      </c>
      <c r="P321" s="324">
        <f t="shared" si="334"/>
        <v>3960365</v>
      </c>
      <c r="Q321" s="47"/>
      <c r="R321" s="46"/>
    </row>
    <row r="322" spans="1:18" ht="93" thickTop="1" thickBot="1" x14ac:dyDescent="0.25">
      <c r="A322" s="101" t="s">
        <v>416</v>
      </c>
      <c r="B322" s="101" t="s">
        <v>236</v>
      </c>
      <c r="C322" s="101" t="s">
        <v>234</v>
      </c>
      <c r="D322" s="101" t="s">
        <v>235</v>
      </c>
      <c r="E322" s="324">
        <f>F322</f>
        <v>3960365</v>
      </c>
      <c r="F322" s="453">
        <f>(3767165)+193200</f>
        <v>3960365</v>
      </c>
      <c r="G322" s="453">
        <f>(2744545)+188900</f>
        <v>2933445</v>
      </c>
      <c r="H322" s="453">
        <v>129800</v>
      </c>
      <c r="I322" s="453"/>
      <c r="J322" s="324">
        <f t="shared" ref="J322:J338" si="335">L322+O322</f>
        <v>0</v>
      </c>
      <c r="K322" s="453"/>
      <c r="L322" s="453"/>
      <c r="M322" s="453"/>
      <c r="N322" s="453"/>
      <c r="O322" s="450">
        <f>K322</f>
        <v>0</v>
      </c>
      <c r="P322" s="324">
        <f t="shared" ref="P322:P338" si="336">E322+J322</f>
        <v>3960365</v>
      </c>
      <c r="Q322" s="47"/>
      <c r="R322" s="50"/>
    </row>
    <row r="323" spans="1:18" ht="93" hidden="1" thickTop="1" thickBot="1" x14ac:dyDescent="0.25">
      <c r="A323" s="126" t="s">
        <v>628</v>
      </c>
      <c r="B323" s="126" t="s">
        <v>362</v>
      </c>
      <c r="C323" s="126" t="s">
        <v>623</v>
      </c>
      <c r="D323" s="126" t="s">
        <v>624</v>
      </c>
      <c r="E323" s="150">
        <f>F323</f>
        <v>0</v>
      </c>
      <c r="F323" s="127">
        <v>0</v>
      </c>
      <c r="G323" s="127"/>
      <c r="H323" s="127"/>
      <c r="I323" s="127"/>
      <c r="J323" s="125">
        <f t="shared" si="335"/>
        <v>0</v>
      </c>
      <c r="K323" s="127"/>
      <c r="L323" s="128"/>
      <c r="M323" s="128"/>
      <c r="N323" s="128"/>
      <c r="O323" s="130">
        <f t="shared" ref="O323" si="337">K323</f>
        <v>0</v>
      </c>
      <c r="P323" s="125">
        <f t="shared" ref="P323" si="338">+J323+E323</f>
        <v>0</v>
      </c>
      <c r="Q323" s="47"/>
      <c r="R323" s="50"/>
    </row>
    <row r="324" spans="1:18" ht="48" hidden="1" thickTop="1" thickBot="1" x14ac:dyDescent="0.25">
      <c r="A324" s="126" t="s">
        <v>923</v>
      </c>
      <c r="B324" s="126" t="s">
        <v>43</v>
      </c>
      <c r="C324" s="126" t="s">
        <v>42</v>
      </c>
      <c r="D324" s="126" t="s">
        <v>248</v>
      </c>
      <c r="E324" s="125">
        <f>F324</f>
        <v>0</v>
      </c>
      <c r="F324" s="132">
        <v>0</v>
      </c>
      <c r="G324" s="132"/>
      <c r="H324" s="132"/>
      <c r="I324" s="132"/>
      <c r="J324" s="125">
        <f t="shared" ref="J324" si="339">L324+O324</f>
        <v>0</v>
      </c>
      <c r="K324" s="127"/>
      <c r="L324" s="128"/>
      <c r="M324" s="128"/>
      <c r="N324" s="128"/>
      <c r="O324" s="130">
        <f t="shared" ref="O324" si="340">K324</f>
        <v>0</v>
      </c>
      <c r="P324" s="125">
        <f t="shared" ref="P324" si="341">+J324+E324</f>
        <v>0</v>
      </c>
      <c r="Q324" s="47"/>
      <c r="R324" s="50"/>
    </row>
    <row r="325" spans="1:18" ht="47.25" thickTop="1" thickBot="1" x14ac:dyDescent="0.25">
      <c r="A325" s="308" t="s">
        <v>1217</v>
      </c>
      <c r="B325" s="308" t="s">
        <v>707</v>
      </c>
      <c r="C325" s="308"/>
      <c r="D325" s="308" t="s">
        <v>708</v>
      </c>
      <c r="E325" s="324">
        <f t="shared" ref="E325:P325" si="342">SUM(E326:E326)</f>
        <v>0</v>
      </c>
      <c r="F325" s="324">
        <f t="shared" si="342"/>
        <v>0</v>
      </c>
      <c r="G325" s="324">
        <f t="shared" si="342"/>
        <v>0</v>
      </c>
      <c r="H325" s="324">
        <f t="shared" si="342"/>
        <v>0</v>
      </c>
      <c r="I325" s="324">
        <f t="shared" si="342"/>
        <v>0</v>
      </c>
      <c r="J325" s="324">
        <f t="shared" si="342"/>
        <v>7535492.0700000003</v>
      </c>
      <c r="K325" s="324">
        <f t="shared" si="342"/>
        <v>7535492.0700000003</v>
      </c>
      <c r="L325" s="324">
        <f t="shared" si="342"/>
        <v>0</v>
      </c>
      <c r="M325" s="324">
        <f t="shared" si="342"/>
        <v>0</v>
      </c>
      <c r="N325" s="324">
        <f t="shared" si="342"/>
        <v>0</v>
      </c>
      <c r="O325" s="324">
        <f t="shared" si="342"/>
        <v>7535492.0700000003</v>
      </c>
      <c r="P325" s="324">
        <f t="shared" si="342"/>
        <v>7535492.0700000003</v>
      </c>
      <c r="Q325" s="47"/>
      <c r="R325" s="50"/>
    </row>
    <row r="326" spans="1:18" ht="93" thickTop="1" thickBot="1" x14ac:dyDescent="0.25">
      <c r="A326" s="101" t="s">
        <v>1218</v>
      </c>
      <c r="B326" s="101" t="s">
        <v>1182</v>
      </c>
      <c r="C326" s="101" t="s">
        <v>206</v>
      </c>
      <c r="D326" s="461" t="s">
        <v>1183</v>
      </c>
      <c r="E326" s="324">
        <f t="shared" ref="E326" si="343">F326</f>
        <v>0</v>
      </c>
      <c r="F326" s="453">
        <v>0</v>
      </c>
      <c r="G326" s="453"/>
      <c r="H326" s="453"/>
      <c r="I326" s="453"/>
      <c r="J326" s="324">
        <f>L326+O326</f>
        <v>7535492.0700000003</v>
      </c>
      <c r="K326" s="453">
        <f>(((((0)+2000000-100000)+6152064)-3900000)+3900000-1900000+1900000)-516571.93</f>
        <v>7535492.0700000003</v>
      </c>
      <c r="L326" s="453"/>
      <c r="M326" s="453"/>
      <c r="N326" s="453"/>
      <c r="O326" s="450">
        <f>K326</f>
        <v>7535492.0700000003</v>
      </c>
      <c r="P326" s="324">
        <f>E326+J326</f>
        <v>7535492.0700000003</v>
      </c>
      <c r="Q326" s="47"/>
      <c r="R326" s="50"/>
    </row>
    <row r="327" spans="1:18" ht="47.25" hidden="1" thickTop="1" thickBot="1" x14ac:dyDescent="0.25">
      <c r="A327" s="123" t="s">
        <v>810</v>
      </c>
      <c r="B327" s="123" t="s">
        <v>766</v>
      </c>
      <c r="C327" s="126"/>
      <c r="D327" s="123" t="s">
        <v>767</v>
      </c>
      <c r="E327" s="150">
        <f>E328</f>
        <v>0</v>
      </c>
      <c r="F327" s="150">
        <f t="shared" ref="F327:P328" si="344">F328</f>
        <v>0</v>
      </c>
      <c r="G327" s="150">
        <f t="shared" si="344"/>
        <v>0</v>
      </c>
      <c r="H327" s="150">
        <f t="shared" si="344"/>
        <v>0</v>
      </c>
      <c r="I327" s="150">
        <f t="shared" si="344"/>
        <v>0</v>
      </c>
      <c r="J327" s="150">
        <f t="shared" si="344"/>
        <v>0</v>
      </c>
      <c r="K327" s="150">
        <f t="shared" si="344"/>
        <v>0</v>
      </c>
      <c r="L327" s="150">
        <f t="shared" si="344"/>
        <v>0</v>
      </c>
      <c r="M327" s="150">
        <f t="shared" si="344"/>
        <v>0</v>
      </c>
      <c r="N327" s="150">
        <f t="shared" si="344"/>
        <v>0</v>
      </c>
      <c r="O327" s="150">
        <f t="shared" si="344"/>
        <v>0</v>
      </c>
      <c r="P327" s="150">
        <f t="shared" si="344"/>
        <v>0</v>
      </c>
      <c r="Q327" s="47"/>
      <c r="R327" s="50"/>
    </row>
    <row r="328" spans="1:18" ht="48" hidden="1" thickTop="1" thickBot="1" x14ac:dyDescent="0.25">
      <c r="A328" s="138" t="s">
        <v>811</v>
      </c>
      <c r="B328" s="138" t="s">
        <v>812</v>
      </c>
      <c r="C328" s="138"/>
      <c r="D328" s="138" t="s">
        <v>813</v>
      </c>
      <c r="E328" s="156">
        <f>E329</f>
        <v>0</v>
      </c>
      <c r="F328" s="156">
        <f t="shared" si="344"/>
        <v>0</v>
      </c>
      <c r="G328" s="156">
        <f t="shared" si="344"/>
        <v>0</v>
      </c>
      <c r="H328" s="156">
        <f t="shared" si="344"/>
        <v>0</v>
      </c>
      <c r="I328" s="156">
        <f t="shared" si="344"/>
        <v>0</v>
      </c>
      <c r="J328" s="156">
        <f t="shared" si="344"/>
        <v>0</v>
      </c>
      <c r="K328" s="156">
        <f t="shared" si="344"/>
        <v>0</v>
      </c>
      <c r="L328" s="156">
        <f t="shared" si="344"/>
        <v>0</v>
      </c>
      <c r="M328" s="156">
        <f t="shared" si="344"/>
        <v>0</v>
      </c>
      <c r="N328" s="156">
        <f t="shared" si="344"/>
        <v>0</v>
      </c>
      <c r="O328" s="156">
        <f t="shared" si="344"/>
        <v>0</v>
      </c>
      <c r="P328" s="156">
        <f t="shared" si="344"/>
        <v>0</v>
      </c>
      <c r="Q328" s="47"/>
      <c r="R328" s="50"/>
    </row>
    <row r="329" spans="1:18" ht="184.5" hidden="1" thickTop="1" thickBot="1" x14ac:dyDescent="0.25">
      <c r="A329" s="126" t="s">
        <v>432</v>
      </c>
      <c r="B329" s="126" t="s">
        <v>433</v>
      </c>
      <c r="C329" s="126" t="s">
        <v>195</v>
      </c>
      <c r="D329" s="126" t="s">
        <v>1160</v>
      </c>
      <c r="E329" s="125">
        <f t="shared" ref="E329:E336" si="345">F329</f>
        <v>0</v>
      </c>
      <c r="F329" s="132"/>
      <c r="G329" s="132"/>
      <c r="H329" s="132"/>
      <c r="I329" s="132"/>
      <c r="J329" s="125">
        <f t="shared" si="335"/>
        <v>0</v>
      </c>
      <c r="K329" s="132">
        <v>0</v>
      </c>
      <c r="L329" s="132"/>
      <c r="M329" s="132"/>
      <c r="N329" s="132"/>
      <c r="O329" s="130">
        <f t="shared" ref="O329" si="346">K329</f>
        <v>0</v>
      </c>
      <c r="P329" s="125">
        <f t="shared" si="336"/>
        <v>0</v>
      </c>
      <c r="Q329" s="47"/>
      <c r="R329" s="46"/>
    </row>
    <row r="330" spans="1:18" ht="47.25" thickTop="1" thickBot="1" x14ac:dyDescent="0.25">
      <c r="A330" s="308" t="s">
        <v>814</v>
      </c>
      <c r="B330" s="308" t="s">
        <v>744</v>
      </c>
      <c r="C330" s="101"/>
      <c r="D330" s="308" t="s">
        <v>790</v>
      </c>
      <c r="E330" s="324">
        <f>E331+E339</f>
        <v>0</v>
      </c>
      <c r="F330" s="324">
        <f t="shared" ref="F330:I330" si="347">F331+F339</f>
        <v>0</v>
      </c>
      <c r="G330" s="324">
        <f t="shared" si="347"/>
        <v>0</v>
      </c>
      <c r="H330" s="324">
        <f t="shared" si="347"/>
        <v>0</v>
      </c>
      <c r="I330" s="324">
        <f t="shared" si="347"/>
        <v>0</v>
      </c>
      <c r="J330" s="324">
        <f t="shared" ref="J330" si="348">J331+J339</f>
        <v>93524406.330000013</v>
      </c>
      <c r="K330" s="324">
        <f t="shared" ref="K330" si="349">K331+K339</f>
        <v>93524406.330000013</v>
      </c>
      <c r="L330" s="324">
        <f t="shared" ref="L330" si="350">L331+L339</f>
        <v>0</v>
      </c>
      <c r="M330" s="324">
        <f t="shared" ref="M330" si="351">M331+M339</f>
        <v>0</v>
      </c>
      <c r="N330" s="324">
        <f t="shared" ref="N330" si="352">N331+N339</f>
        <v>0</v>
      </c>
      <c r="O330" s="324">
        <f t="shared" ref="O330" si="353">O331+O339</f>
        <v>93524406.330000013</v>
      </c>
      <c r="P330" s="324">
        <f t="shared" ref="P330" si="354">P331+P339</f>
        <v>93524406.330000013</v>
      </c>
      <c r="Q330" s="45"/>
      <c r="R330" s="46"/>
    </row>
    <row r="331" spans="1:18" ht="47.25" thickTop="1" thickBot="1" x14ac:dyDescent="0.25">
      <c r="A331" s="310" t="s">
        <v>815</v>
      </c>
      <c r="B331" s="310" t="s">
        <v>799</v>
      </c>
      <c r="C331" s="310"/>
      <c r="D331" s="310" t="s">
        <v>800</v>
      </c>
      <c r="E331" s="312">
        <f t="shared" ref="E331:P331" si="355">SUM(E332:E338)-E333</f>
        <v>0</v>
      </c>
      <c r="F331" s="312">
        <f t="shared" si="355"/>
        <v>0</v>
      </c>
      <c r="G331" s="312">
        <f t="shared" si="355"/>
        <v>0</v>
      </c>
      <c r="H331" s="312">
        <f t="shared" si="355"/>
        <v>0</v>
      </c>
      <c r="I331" s="312">
        <f t="shared" si="355"/>
        <v>0</v>
      </c>
      <c r="J331" s="312">
        <f t="shared" si="355"/>
        <v>93524406.330000013</v>
      </c>
      <c r="K331" s="312">
        <f t="shared" si="355"/>
        <v>93524406.330000013</v>
      </c>
      <c r="L331" s="312">
        <f t="shared" si="355"/>
        <v>0</v>
      </c>
      <c r="M331" s="312">
        <f t="shared" si="355"/>
        <v>0</v>
      </c>
      <c r="N331" s="312">
        <f t="shared" si="355"/>
        <v>0</v>
      </c>
      <c r="O331" s="312">
        <f t="shared" si="355"/>
        <v>93524406.330000013</v>
      </c>
      <c r="P331" s="312">
        <f t="shared" si="355"/>
        <v>93524406.330000013</v>
      </c>
      <c r="Q331" s="45"/>
      <c r="R331" s="46"/>
    </row>
    <row r="332" spans="1:18" ht="54" hidden="1" thickTop="1" thickBot="1" x14ac:dyDescent="0.25">
      <c r="A332" s="101" t="s">
        <v>922</v>
      </c>
      <c r="B332" s="101" t="s">
        <v>305</v>
      </c>
      <c r="C332" s="101" t="s">
        <v>304</v>
      </c>
      <c r="D332" s="101" t="s">
        <v>1477</v>
      </c>
      <c r="E332" s="324">
        <f t="shared" ref="E332" si="356">F332</f>
        <v>0</v>
      </c>
      <c r="F332" s="453"/>
      <c r="G332" s="453"/>
      <c r="H332" s="453"/>
      <c r="I332" s="453"/>
      <c r="J332" s="324">
        <f t="shared" ref="J332" si="357">L332+O332</f>
        <v>0</v>
      </c>
      <c r="K332" s="453">
        <v>0</v>
      </c>
      <c r="L332" s="453"/>
      <c r="M332" s="453"/>
      <c r="N332" s="453"/>
      <c r="O332" s="450">
        <f>K332</f>
        <v>0</v>
      </c>
      <c r="P332" s="324">
        <f t="shared" ref="P332" si="358">E332+J332</f>
        <v>0</v>
      </c>
      <c r="Q332" s="45"/>
      <c r="R332" s="46"/>
    </row>
    <row r="333" spans="1:18" ht="54.75" thickTop="1" thickBot="1" x14ac:dyDescent="0.25">
      <c r="A333" s="325" t="s">
        <v>816</v>
      </c>
      <c r="B333" s="325" t="s">
        <v>817</v>
      </c>
      <c r="C333" s="325"/>
      <c r="D333" s="325" t="s">
        <v>1483</v>
      </c>
      <c r="E333" s="321">
        <f>SUM(E334:E335)</f>
        <v>0</v>
      </c>
      <c r="F333" s="321">
        <f t="shared" ref="F333:P333" si="359">SUM(F334:F335)</f>
        <v>0</v>
      </c>
      <c r="G333" s="321">
        <f t="shared" si="359"/>
        <v>0</v>
      </c>
      <c r="H333" s="321">
        <f t="shared" si="359"/>
        <v>0</v>
      </c>
      <c r="I333" s="321">
        <f t="shared" si="359"/>
        <v>0</v>
      </c>
      <c r="J333" s="321">
        <f t="shared" si="359"/>
        <v>56375324.789999999</v>
      </c>
      <c r="K333" s="321">
        <f t="shared" si="359"/>
        <v>56375324.789999999</v>
      </c>
      <c r="L333" s="321">
        <f t="shared" si="359"/>
        <v>0</v>
      </c>
      <c r="M333" s="321">
        <f t="shared" si="359"/>
        <v>0</v>
      </c>
      <c r="N333" s="321">
        <f t="shared" si="359"/>
        <v>0</v>
      </c>
      <c r="O333" s="321">
        <f t="shared" si="359"/>
        <v>56375324.789999999</v>
      </c>
      <c r="P333" s="321">
        <f t="shared" si="359"/>
        <v>56375324.789999999</v>
      </c>
      <c r="Q333" s="45"/>
      <c r="R333" s="46"/>
    </row>
    <row r="334" spans="1:18" ht="54" thickTop="1" thickBot="1" x14ac:dyDescent="0.25">
      <c r="A334" s="101" t="s">
        <v>310</v>
      </c>
      <c r="B334" s="101" t="s">
        <v>311</v>
      </c>
      <c r="C334" s="101" t="s">
        <v>304</v>
      </c>
      <c r="D334" s="101" t="s">
        <v>1479</v>
      </c>
      <c r="E334" s="324">
        <f t="shared" si="345"/>
        <v>0</v>
      </c>
      <c r="F334" s="453"/>
      <c r="G334" s="453"/>
      <c r="H334" s="453"/>
      <c r="I334" s="453"/>
      <c r="J334" s="324">
        <f t="shared" si="335"/>
        <v>55325424.789999999</v>
      </c>
      <c r="K334" s="453">
        <f>(((((13000000)+27425815.94)+9000000)-11000000+2500000)+10400000)+3999608.85</f>
        <v>55325424.789999999</v>
      </c>
      <c r="L334" s="453"/>
      <c r="M334" s="453"/>
      <c r="N334" s="453"/>
      <c r="O334" s="450">
        <f>K334</f>
        <v>55325424.789999999</v>
      </c>
      <c r="P334" s="324">
        <f t="shared" si="336"/>
        <v>55325424.789999999</v>
      </c>
      <c r="Q334" s="468"/>
      <c r="R334" s="46"/>
    </row>
    <row r="335" spans="1:18" ht="54" thickTop="1" thickBot="1" x14ac:dyDescent="0.25">
      <c r="A335" s="101" t="s">
        <v>515</v>
      </c>
      <c r="B335" s="101" t="s">
        <v>516</v>
      </c>
      <c r="C335" s="101" t="s">
        <v>304</v>
      </c>
      <c r="D335" s="101" t="s">
        <v>1484</v>
      </c>
      <c r="E335" s="324">
        <f t="shared" si="345"/>
        <v>0</v>
      </c>
      <c r="F335" s="453"/>
      <c r="G335" s="453"/>
      <c r="H335" s="453"/>
      <c r="I335" s="453"/>
      <c r="J335" s="324">
        <f t="shared" si="335"/>
        <v>1049900</v>
      </c>
      <c r="K335" s="453">
        <f>(((0)+1000000)+99900)-50000</f>
        <v>1049900</v>
      </c>
      <c r="L335" s="453"/>
      <c r="M335" s="453"/>
      <c r="N335" s="453"/>
      <c r="O335" s="450">
        <f>K335</f>
        <v>1049900</v>
      </c>
      <c r="P335" s="324">
        <f t="shared" si="336"/>
        <v>1049900</v>
      </c>
      <c r="Q335" s="124"/>
      <c r="R335" s="46"/>
    </row>
    <row r="336" spans="1:18" ht="54" hidden="1" thickTop="1" thickBot="1" x14ac:dyDescent="0.25">
      <c r="A336" s="101" t="s">
        <v>312</v>
      </c>
      <c r="B336" s="101" t="s">
        <v>313</v>
      </c>
      <c r="C336" s="101" t="s">
        <v>304</v>
      </c>
      <c r="D336" s="101" t="s">
        <v>1485</v>
      </c>
      <c r="E336" s="324">
        <f t="shared" si="345"/>
        <v>0</v>
      </c>
      <c r="F336" s="453"/>
      <c r="G336" s="453"/>
      <c r="H336" s="453"/>
      <c r="I336" s="453"/>
      <c r="J336" s="324">
        <f t="shared" si="335"/>
        <v>0</v>
      </c>
      <c r="K336" s="453"/>
      <c r="L336" s="453"/>
      <c r="M336" s="453"/>
      <c r="N336" s="453"/>
      <c r="O336" s="450">
        <f>K336</f>
        <v>0</v>
      </c>
      <c r="P336" s="324">
        <f t="shared" si="336"/>
        <v>0</v>
      </c>
      <c r="Q336" s="124"/>
    </row>
    <row r="337" spans="1:18" ht="54" thickTop="1" thickBot="1" x14ac:dyDescent="0.3">
      <c r="A337" s="101" t="s">
        <v>314</v>
      </c>
      <c r="B337" s="101" t="s">
        <v>315</v>
      </c>
      <c r="C337" s="101" t="s">
        <v>304</v>
      </c>
      <c r="D337" s="101" t="s">
        <v>1480</v>
      </c>
      <c r="E337" s="324">
        <f>F337</f>
        <v>0</v>
      </c>
      <c r="F337" s="453"/>
      <c r="G337" s="453"/>
      <c r="H337" s="453"/>
      <c r="I337" s="453"/>
      <c r="J337" s="324">
        <f t="shared" si="335"/>
        <v>37149081.539999999</v>
      </c>
      <c r="K337" s="453">
        <f>(((((3000000)+100000)+26578)+2600000)+36000000)-4577496.46</f>
        <v>37149081.539999999</v>
      </c>
      <c r="L337" s="453"/>
      <c r="M337" s="453"/>
      <c r="N337" s="453"/>
      <c r="O337" s="450">
        <f>K337</f>
        <v>37149081.539999999</v>
      </c>
      <c r="P337" s="324">
        <f t="shared" si="336"/>
        <v>37149081.539999999</v>
      </c>
      <c r="Q337" s="160"/>
      <c r="R337" s="46"/>
    </row>
    <row r="338" spans="1:18" ht="48" hidden="1" thickTop="1" thickBot="1" x14ac:dyDescent="0.25">
      <c r="A338" s="41" t="s">
        <v>436</v>
      </c>
      <c r="B338" s="41" t="s">
        <v>350</v>
      </c>
      <c r="C338" s="41" t="s">
        <v>170</v>
      </c>
      <c r="D338" s="41" t="s">
        <v>262</v>
      </c>
      <c r="E338" s="42">
        <f>F338</f>
        <v>0</v>
      </c>
      <c r="F338" s="43"/>
      <c r="G338" s="43"/>
      <c r="H338" s="43"/>
      <c r="I338" s="43"/>
      <c r="J338" s="42">
        <f t="shared" si="335"/>
        <v>0</v>
      </c>
      <c r="K338" s="43">
        <v>0</v>
      </c>
      <c r="L338" s="43"/>
      <c r="M338" s="43"/>
      <c r="N338" s="43"/>
      <c r="O338" s="44">
        <f>K338</f>
        <v>0</v>
      </c>
      <c r="P338" s="42">
        <f t="shared" si="336"/>
        <v>0</v>
      </c>
      <c r="Q338" s="20"/>
      <c r="R338" s="46"/>
    </row>
    <row r="339" spans="1:18" ht="47.25" hidden="1" thickTop="1" thickBot="1" x14ac:dyDescent="0.25">
      <c r="A339" s="134" t="s">
        <v>981</v>
      </c>
      <c r="B339" s="134" t="s">
        <v>687</v>
      </c>
      <c r="C339" s="134"/>
      <c r="D339" s="134" t="s">
        <v>685</v>
      </c>
      <c r="E339" s="157">
        <f>E340</f>
        <v>0</v>
      </c>
      <c r="F339" s="157">
        <f>F340</f>
        <v>0</v>
      </c>
      <c r="G339" s="157">
        <f>G340</f>
        <v>0</v>
      </c>
      <c r="H339" s="157">
        <f>H340</f>
        <v>0</v>
      </c>
      <c r="I339" s="157">
        <f>I340</f>
        <v>0</v>
      </c>
      <c r="J339" s="157">
        <f t="shared" ref="J339:O339" si="360">J340</f>
        <v>0</v>
      </c>
      <c r="K339" s="157">
        <f t="shared" si="360"/>
        <v>0</v>
      </c>
      <c r="L339" s="157">
        <f t="shared" si="360"/>
        <v>0</v>
      </c>
      <c r="M339" s="157">
        <f t="shared" si="360"/>
        <v>0</v>
      </c>
      <c r="N339" s="157">
        <f t="shared" si="360"/>
        <v>0</v>
      </c>
      <c r="O339" s="157">
        <f t="shared" si="360"/>
        <v>0</v>
      </c>
      <c r="P339" s="157">
        <f>P340</f>
        <v>0</v>
      </c>
      <c r="Q339" s="20"/>
      <c r="R339" s="46"/>
    </row>
    <row r="340" spans="1:18" ht="48" hidden="1" thickTop="1" thickBot="1" x14ac:dyDescent="0.25">
      <c r="A340" s="138" t="s">
        <v>982</v>
      </c>
      <c r="B340" s="138" t="s">
        <v>690</v>
      </c>
      <c r="C340" s="138"/>
      <c r="D340" s="138" t="s">
        <v>793</v>
      </c>
      <c r="E340" s="156">
        <f>E341+E343</f>
        <v>0</v>
      </c>
      <c r="F340" s="156">
        <f t="shared" ref="F340:P340" si="361">F341+F343</f>
        <v>0</v>
      </c>
      <c r="G340" s="156">
        <f t="shared" si="361"/>
        <v>0</v>
      </c>
      <c r="H340" s="156">
        <f t="shared" si="361"/>
        <v>0</v>
      </c>
      <c r="I340" s="156">
        <f t="shared" si="361"/>
        <v>0</v>
      </c>
      <c r="J340" s="156">
        <f t="shared" si="361"/>
        <v>0</v>
      </c>
      <c r="K340" s="156">
        <f t="shared" si="361"/>
        <v>0</v>
      </c>
      <c r="L340" s="156">
        <f t="shared" si="361"/>
        <v>0</v>
      </c>
      <c r="M340" s="156">
        <f t="shared" si="361"/>
        <v>0</v>
      </c>
      <c r="N340" s="156">
        <f t="shared" si="361"/>
        <v>0</v>
      </c>
      <c r="O340" s="156">
        <f t="shared" si="361"/>
        <v>0</v>
      </c>
      <c r="P340" s="156">
        <f t="shared" si="361"/>
        <v>0</v>
      </c>
      <c r="Q340" s="20"/>
      <c r="R340" s="46"/>
    </row>
    <row r="341" spans="1:18" ht="184.5" hidden="1" thickTop="1" thickBot="1" x14ac:dyDescent="0.7">
      <c r="A341" s="780" t="s">
        <v>983</v>
      </c>
      <c r="B341" s="780" t="s">
        <v>338</v>
      </c>
      <c r="C341" s="780" t="s">
        <v>170</v>
      </c>
      <c r="D341" s="161" t="s">
        <v>439</v>
      </c>
      <c r="E341" s="781">
        <f t="shared" ref="E341" si="362">F341</f>
        <v>0</v>
      </c>
      <c r="F341" s="774"/>
      <c r="G341" s="774"/>
      <c r="H341" s="774"/>
      <c r="I341" s="774"/>
      <c r="J341" s="781">
        <f t="shared" ref="J341" si="363">L341+O341</f>
        <v>0</v>
      </c>
      <c r="K341" s="774"/>
      <c r="L341" s="774"/>
      <c r="M341" s="774"/>
      <c r="N341" s="774"/>
      <c r="O341" s="775">
        <f>K341</f>
        <v>0</v>
      </c>
      <c r="P341" s="779">
        <f>E341+J341</f>
        <v>0</v>
      </c>
      <c r="Q341" s="20"/>
      <c r="R341" s="46"/>
    </row>
    <row r="342" spans="1:18" ht="93" hidden="1" thickTop="1" thickBot="1" x14ac:dyDescent="0.25">
      <c r="A342" s="780"/>
      <c r="B342" s="780"/>
      <c r="C342" s="780"/>
      <c r="D342" s="162" t="s">
        <v>440</v>
      </c>
      <c r="E342" s="781"/>
      <c r="F342" s="774"/>
      <c r="G342" s="774"/>
      <c r="H342" s="774"/>
      <c r="I342" s="774"/>
      <c r="J342" s="781"/>
      <c r="K342" s="774"/>
      <c r="L342" s="774"/>
      <c r="M342" s="774"/>
      <c r="N342" s="774"/>
      <c r="O342" s="775"/>
      <c r="P342" s="779"/>
      <c r="Q342" s="20"/>
      <c r="R342" s="46"/>
    </row>
    <row r="343" spans="1:18" ht="48" hidden="1" thickTop="1" thickBot="1" x14ac:dyDescent="0.25">
      <c r="A343" s="126" t="s">
        <v>1175</v>
      </c>
      <c r="B343" s="126" t="s">
        <v>257</v>
      </c>
      <c r="C343" s="126" t="s">
        <v>170</v>
      </c>
      <c r="D343" s="154" t="s">
        <v>255</v>
      </c>
      <c r="E343" s="125">
        <f>F343</f>
        <v>0</v>
      </c>
      <c r="F343" s="132"/>
      <c r="G343" s="132"/>
      <c r="H343" s="132"/>
      <c r="I343" s="132"/>
      <c r="J343" s="125">
        <f t="shared" ref="J343" si="364">L343+O343</f>
        <v>0</v>
      </c>
      <c r="K343" s="132"/>
      <c r="L343" s="132"/>
      <c r="M343" s="132"/>
      <c r="N343" s="132"/>
      <c r="O343" s="130">
        <f>K343</f>
        <v>0</v>
      </c>
      <c r="P343" s="125">
        <f t="shared" ref="P343" si="365">E343+J343</f>
        <v>0</v>
      </c>
      <c r="Q343" s="20"/>
      <c r="R343" s="46"/>
    </row>
    <row r="344" spans="1:18" ht="120" customHeight="1" thickTop="1" thickBot="1" x14ac:dyDescent="0.25">
      <c r="A344" s="689" t="s">
        <v>160</v>
      </c>
      <c r="B344" s="689"/>
      <c r="C344" s="689"/>
      <c r="D344" s="690" t="s">
        <v>888</v>
      </c>
      <c r="E344" s="691">
        <f>E345</f>
        <v>8534836</v>
      </c>
      <c r="F344" s="692">
        <f t="shared" ref="F344:G344" si="366">F345</f>
        <v>8534836</v>
      </c>
      <c r="G344" s="692">
        <f t="shared" si="366"/>
        <v>6332550</v>
      </c>
      <c r="H344" s="692">
        <f>H345</f>
        <v>320635</v>
      </c>
      <c r="I344" s="692">
        <f t="shared" ref="I344" si="367">I345</f>
        <v>0</v>
      </c>
      <c r="J344" s="691">
        <f>J345</f>
        <v>0</v>
      </c>
      <c r="K344" s="692">
        <f>K345</f>
        <v>0</v>
      </c>
      <c r="L344" s="692">
        <f>L345</f>
        <v>0</v>
      </c>
      <c r="M344" s="692">
        <f t="shared" ref="M344" si="368">M345</f>
        <v>0</v>
      </c>
      <c r="N344" s="692">
        <f>N345</f>
        <v>0</v>
      </c>
      <c r="O344" s="691">
        <f>O345</f>
        <v>0</v>
      </c>
      <c r="P344" s="692">
        <f t="shared" ref="P344" si="369">P345</f>
        <v>8534836</v>
      </c>
      <c r="Q344" s="20"/>
    </row>
    <row r="345" spans="1:18" ht="120" customHeight="1" thickTop="1" thickBot="1" x14ac:dyDescent="0.25">
      <c r="A345" s="693" t="s">
        <v>161</v>
      </c>
      <c r="B345" s="693"/>
      <c r="C345" s="693"/>
      <c r="D345" s="694" t="s">
        <v>889</v>
      </c>
      <c r="E345" s="695">
        <f>E346+E350</f>
        <v>8534836</v>
      </c>
      <c r="F345" s="695">
        <f>F346+F350</f>
        <v>8534836</v>
      </c>
      <c r="G345" s="695">
        <f>G346+G350</f>
        <v>6332550</v>
      </c>
      <c r="H345" s="695">
        <f>H346+H350</f>
        <v>320635</v>
      </c>
      <c r="I345" s="695">
        <f>I346+I350</f>
        <v>0</v>
      </c>
      <c r="J345" s="695">
        <f>L345+O345</f>
        <v>0</v>
      </c>
      <c r="K345" s="695">
        <f>K346+K350</f>
        <v>0</v>
      </c>
      <c r="L345" s="695">
        <f>L346+L350</f>
        <v>0</v>
      </c>
      <c r="M345" s="695">
        <f>M346+M350</f>
        <v>0</v>
      </c>
      <c r="N345" s="695">
        <f>N346+N350</f>
        <v>0</v>
      </c>
      <c r="O345" s="695">
        <f>O346+O350</f>
        <v>0</v>
      </c>
      <c r="P345" s="695">
        <f>E345+J345</f>
        <v>8534836</v>
      </c>
      <c r="Q345" s="487" t="b">
        <f>P345=P347+P349</f>
        <v>1</v>
      </c>
      <c r="R345" s="46"/>
    </row>
    <row r="346" spans="1:18" ht="47.25" thickTop="1" thickBot="1" x14ac:dyDescent="0.25">
      <c r="A346" s="308" t="s">
        <v>818</v>
      </c>
      <c r="B346" s="308" t="s">
        <v>680</v>
      </c>
      <c r="C346" s="308"/>
      <c r="D346" s="308" t="s">
        <v>681</v>
      </c>
      <c r="E346" s="324">
        <f>SUM(E347:E349)</f>
        <v>8534836</v>
      </c>
      <c r="F346" s="324">
        <f t="shared" ref="F346:N346" si="370">SUM(F347:F349)</f>
        <v>8534836</v>
      </c>
      <c r="G346" s="324">
        <f t="shared" si="370"/>
        <v>6332550</v>
      </c>
      <c r="H346" s="324">
        <f t="shared" si="370"/>
        <v>320635</v>
      </c>
      <c r="I346" s="324">
        <f t="shared" si="370"/>
        <v>0</v>
      </c>
      <c r="J346" s="324">
        <f t="shared" si="370"/>
        <v>0</v>
      </c>
      <c r="K346" s="324">
        <f t="shared" si="370"/>
        <v>0</v>
      </c>
      <c r="L346" s="324">
        <f t="shared" si="370"/>
        <v>0</v>
      </c>
      <c r="M346" s="324">
        <f t="shared" si="370"/>
        <v>0</v>
      </c>
      <c r="N346" s="324">
        <f t="shared" si="370"/>
        <v>0</v>
      </c>
      <c r="O346" s="324">
        <f>SUM(O347:O349)</f>
        <v>0</v>
      </c>
      <c r="P346" s="324">
        <f>SUM(P347:P349)</f>
        <v>8534836</v>
      </c>
      <c r="Q346" s="47"/>
      <c r="R346" s="46"/>
    </row>
    <row r="347" spans="1:18" ht="93" thickTop="1" thickBot="1" x14ac:dyDescent="0.25">
      <c r="A347" s="101" t="s">
        <v>418</v>
      </c>
      <c r="B347" s="101" t="s">
        <v>236</v>
      </c>
      <c r="C347" s="101" t="s">
        <v>234</v>
      </c>
      <c r="D347" s="101" t="s">
        <v>235</v>
      </c>
      <c r="E347" s="324">
        <f>F347</f>
        <v>8434936</v>
      </c>
      <c r="F347" s="453">
        <f>(8209936)+225000</f>
        <v>8434936</v>
      </c>
      <c r="G347" s="453">
        <f>(6132550)+200000</f>
        <v>6332550</v>
      </c>
      <c r="H347" s="453">
        <f>(245635)+75000</f>
        <v>320635</v>
      </c>
      <c r="I347" s="453"/>
      <c r="J347" s="324">
        <f>L347+O347</f>
        <v>0</v>
      </c>
      <c r="K347" s="453">
        <v>0</v>
      </c>
      <c r="L347" s="453"/>
      <c r="M347" s="453"/>
      <c r="N347" s="453"/>
      <c r="O347" s="450">
        <f>K347</f>
        <v>0</v>
      </c>
      <c r="P347" s="324">
        <f>E347+J347</f>
        <v>8434936</v>
      </c>
      <c r="Q347" s="47"/>
      <c r="R347" s="46"/>
    </row>
    <row r="348" spans="1:18" ht="93" hidden="1" thickTop="1" thickBot="1" x14ac:dyDescent="0.25">
      <c r="A348" s="126" t="s">
        <v>629</v>
      </c>
      <c r="B348" s="126" t="s">
        <v>362</v>
      </c>
      <c r="C348" s="126" t="s">
        <v>623</v>
      </c>
      <c r="D348" s="126" t="s">
        <v>624</v>
      </c>
      <c r="E348" s="150">
        <f>F348</f>
        <v>0</v>
      </c>
      <c r="F348" s="127">
        <v>0</v>
      </c>
      <c r="G348" s="127"/>
      <c r="H348" s="127"/>
      <c r="I348" s="127"/>
      <c r="J348" s="125">
        <f t="shared" ref="J348:J349" si="371">L348+O348</f>
        <v>0</v>
      </c>
      <c r="K348" s="127"/>
      <c r="L348" s="128"/>
      <c r="M348" s="128"/>
      <c r="N348" s="128"/>
      <c r="O348" s="130">
        <f t="shared" ref="O348:O349" si="372">K348</f>
        <v>0</v>
      </c>
      <c r="P348" s="125">
        <f t="shared" ref="P348" si="373">+J348+E348</f>
        <v>0</v>
      </c>
      <c r="Q348" s="47"/>
      <c r="R348" s="46"/>
    </row>
    <row r="349" spans="1:18" ht="69.75" customHeight="1" thickTop="1" thickBot="1" x14ac:dyDescent="0.25">
      <c r="A349" s="101" t="s">
        <v>1242</v>
      </c>
      <c r="B349" s="101" t="s">
        <v>43</v>
      </c>
      <c r="C349" s="101" t="s">
        <v>42</v>
      </c>
      <c r="D349" s="101" t="s">
        <v>248</v>
      </c>
      <c r="E349" s="324">
        <f t="shared" ref="E349" si="374">F349</f>
        <v>99900</v>
      </c>
      <c r="F349" s="453">
        <f>(0)+99900</f>
        <v>99900</v>
      </c>
      <c r="G349" s="453"/>
      <c r="H349" s="453"/>
      <c r="I349" s="453"/>
      <c r="J349" s="324">
        <f t="shared" si="371"/>
        <v>0</v>
      </c>
      <c r="K349" s="453"/>
      <c r="L349" s="453"/>
      <c r="M349" s="453"/>
      <c r="N349" s="453"/>
      <c r="O349" s="450">
        <f t="shared" si="372"/>
        <v>0</v>
      </c>
      <c r="P349" s="324">
        <f>E349+J349</f>
        <v>99900</v>
      </c>
      <c r="Q349" s="47"/>
      <c r="R349" s="46"/>
    </row>
    <row r="350" spans="1:18" ht="47.25" hidden="1" thickTop="1" thickBot="1" x14ac:dyDescent="0.25">
      <c r="A350" s="123" t="s">
        <v>904</v>
      </c>
      <c r="B350" s="123" t="s">
        <v>744</v>
      </c>
      <c r="C350" s="126"/>
      <c r="D350" s="123" t="s">
        <v>790</v>
      </c>
      <c r="E350" s="125">
        <f>E351</f>
        <v>0</v>
      </c>
      <c r="F350" s="125">
        <f t="shared" ref="F350:P351" si="375">F351</f>
        <v>0</v>
      </c>
      <c r="G350" s="125">
        <f t="shared" si="375"/>
        <v>0</v>
      </c>
      <c r="H350" s="125">
        <f t="shared" si="375"/>
        <v>0</v>
      </c>
      <c r="I350" s="125">
        <f t="shared" si="375"/>
        <v>0</v>
      </c>
      <c r="J350" s="125">
        <f t="shared" si="375"/>
        <v>0</v>
      </c>
      <c r="K350" s="125">
        <f t="shared" si="375"/>
        <v>0</v>
      </c>
      <c r="L350" s="125">
        <f t="shared" si="375"/>
        <v>0</v>
      </c>
      <c r="M350" s="125">
        <f t="shared" si="375"/>
        <v>0</v>
      </c>
      <c r="N350" s="125">
        <f t="shared" si="375"/>
        <v>0</v>
      </c>
      <c r="O350" s="125">
        <f t="shared" si="375"/>
        <v>0</v>
      </c>
      <c r="P350" s="125">
        <f t="shared" si="375"/>
        <v>0</v>
      </c>
      <c r="Q350" s="47"/>
      <c r="R350" s="46"/>
    </row>
    <row r="351" spans="1:18" ht="47.25" hidden="1" thickTop="1" thickBot="1" x14ac:dyDescent="0.25">
      <c r="A351" s="134" t="s">
        <v>905</v>
      </c>
      <c r="B351" s="134" t="s">
        <v>799</v>
      </c>
      <c r="C351" s="134"/>
      <c r="D351" s="134" t="s">
        <v>800</v>
      </c>
      <c r="E351" s="135">
        <f>E352</f>
        <v>0</v>
      </c>
      <c r="F351" s="135">
        <f t="shared" si="375"/>
        <v>0</v>
      </c>
      <c r="G351" s="135">
        <f t="shared" si="375"/>
        <v>0</v>
      </c>
      <c r="H351" s="135">
        <f t="shared" si="375"/>
        <v>0</v>
      </c>
      <c r="I351" s="135">
        <f t="shared" si="375"/>
        <v>0</v>
      </c>
      <c r="J351" s="135">
        <f t="shared" si="375"/>
        <v>0</v>
      </c>
      <c r="K351" s="135">
        <f t="shared" si="375"/>
        <v>0</v>
      </c>
      <c r="L351" s="135">
        <f t="shared" si="375"/>
        <v>0</v>
      </c>
      <c r="M351" s="135">
        <f t="shared" si="375"/>
        <v>0</v>
      </c>
      <c r="N351" s="135">
        <f t="shared" si="375"/>
        <v>0</v>
      </c>
      <c r="O351" s="135">
        <f t="shared" si="375"/>
        <v>0</v>
      </c>
      <c r="P351" s="135">
        <f t="shared" si="375"/>
        <v>0</v>
      </c>
      <c r="Q351" s="47"/>
      <c r="R351" s="46"/>
    </row>
    <row r="352" spans="1:18" ht="93" hidden="1" thickTop="1" thickBot="1" x14ac:dyDescent="0.25">
      <c r="A352" s="126" t="s">
        <v>906</v>
      </c>
      <c r="B352" s="126" t="s">
        <v>907</v>
      </c>
      <c r="C352" s="126" t="s">
        <v>304</v>
      </c>
      <c r="D352" s="126" t="s">
        <v>908</v>
      </c>
      <c r="E352" s="150">
        <f>F352</f>
        <v>0</v>
      </c>
      <c r="F352" s="127"/>
      <c r="G352" s="127"/>
      <c r="H352" s="127"/>
      <c r="I352" s="127"/>
      <c r="J352" s="125">
        <f t="shared" ref="J352" si="376">L352+O352</f>
        <v>0</v>
      </c>
      <c r="K352" s="127">
        <v>0</v>
      </c>
      <c r="L352" s="128"/>
      <c r="M352" s="128"/>
      <c r="N352" s="128"/>
      <c r="O352" s="130">
        <f t="shared" ref="O352" si="377">K352</f>
        <v>0</v>
      </c>
      <c r="P352" s="125">
        <f t="shared" ref="P352" si="378">+J352+E352</f>
        <v>0</v>
      </c>
      <c r="Q352" s="47"/>
      <c r="R352" s="46"/>
    </row>
    <row r="353" spans="1:18" ht="120" customHeight="1" thickTop="1" thickBot="1" x14ac:dyDescent="0.25">
      <c r="A353" s="689" t="s">
        <v>443</v>
      </c>
      <c r="B353" s="689"/>
      <c r="C353" s="689"/>
      <c r="D353" s="690" t="s">
        <v>445</v>
      </c>
      <c r="E353" s="691">
        <f>E354</f>
        <v>164873972</v>
      </c>
      <c r="F353" s="692">
        <f t="shared" ref="F353:G353" si="379">F354</f>
        <v>164873972</v>
      </c>
      <c r="G353" s="692">
        <f t="shared" si="379"/>
        <v>4370071</v>
      </c>
      <c r="H353" s="692">
        <f>H354</f>
        <v>189628</v>
      </c>
      <c r="I353" s="692">
        <f t="shared" ref="I353" si="380">I354</f>
        <v>0</v>
      </c>
      <c r="J353" s="691">
        <f>J354</f>
        <v>116000</v>
      </c>
      <c r="K353" s="692">
        <f>K354</f>
        <v>116000</v>
      </c>
      <c r="L353" s="692">
        <f>L354</f>
        <v>0</v>
      </c>
      <c r="M353" s="692">
        <f t="shared" ref="M353" si="381">M354</f>
        <v>0</v>
      </c>
      <c r="N353" s="692">
        <f>N354</f>
        <v>0</v>
      </c>
      <c r="O353" s="691">
        <f>O354</f>
        <v>116000</v>
      </c>
      <c r="P353" s="692">
        <f t="shared" ref="P353" si="382">P354</f>
        <v>164989972</v>
      </c>
      <c r="Q353" s="20"/>
    </row>
    <row r="354" spans="1:18" ht="120" customHeight="1" thickTop="1" thickBot="1" x14ac:dyDescent="0.25">
      <c r="A354" s="693" t="s">
        <v>444</v>
      </c>
      <c r="B354" s="693"/>
      <c r="C354" s="693"/>
      <c r="D354" s="694" t="s">
        <v>446</v>
      </c>
      <c r="E354" s="695">
        <f t="shared" ref="E354:O354" si="383">E355+E358+E367+E370</f>
        <v>164873972</v>
      </c>
      <c r="F354" s="695">
        <f t="shared" si="383"/>
        <v>164873972</v>
      </c>
      <c r="G354" s="695">
        <f t="shared" si="383"/>
        <v>4370071</v>
      </c>
      <c r="H354" s="695">
        <f t="shared" si="383"/>
        <v>189628</v>
      </c>
      <c r="I354" s="695">
        <f t="shared" si="383"/>
        <v>0</v>
      </c>
      <c r="J354" s="695">
        <f t="shared" si="383"/>
        <v>116000</v>
      </c>
      <c r="K354" s="695">
        <f t="shared" si="383"/>
        <v>116000</v>
      </c>
      <c r="L354" s="695">
        <f t="shared" si="383"/>
        <v>0</v>
      </c>
      <c r="M354" s="695">
        <f t="shared" si="383"/>
        <v>0</v>
      </c>
      <c r="N354" s="695">
        <f t="shared" si="383"/>
        <v>0</v>
      </c>
      <c r="O354" s="695">
        <f t="shared" si="383"/>
        <v>116000</v>
      </c>
      <c r="P354" s="695">
        <f>E354+J354</f>
        <v>164989972</v>
      </c>
      <c r="Q354" s="487" t="b">
        <f>P354=P356+P361+P363+P369+P366</f>
        <v>1</v>
      </c>
      <c r="R354" s="46"/>
    </row>
    <row r="355" spans="1:18" ht="47.25" thickTop="1" thickBot="1" x14ac:dyDescent="0.25">
      <c r="A355" s="308" t="s">
        <v>819</v>
      </c>
      <c r="B355" s="308" t="s">
        <v>680</v>
      </c>
      <c r="C355" s="308"/>
      <c r="D355" s="308" t="s">
        <v>681</v>
      </c>
      <c r="E355" s="324">
        <f>SUM(E356:E357)</f>
        <v>8761540</v>
      </c>
      <c r="F355" s="324">
        <f t="shared" ref="F355" si="384">SUM(F356:F357)</f>
        <v>8761540</v>
      </c>
      <c r="G355" s="324">
        <f t="shared" ref="G355" si="385">SUM(G356:G357)</f>
        <v>4370071</v>
      </c>
      <c r="H355" s="324">
        <f t="shared" ref="H355" si="386">SUM(H356:H357)</f>
        <v>189628</v>
      </c>
      <c r="I355" s="324">
        <f t="shared" ref="I355" si="387">SUM(I356:I357)</f>
        <v>0</v>
      </c>
      <c r="J355" s="324">
        <f t="shared" ref="J355" si="388">SUM(J356:J357)</f>
        <v>0</v>
      </c>
      <c r="K355" s="324">
        <f t="shared" ref="K355" si="389">SUM(K356:K357)</f>
        <v>0</v>
      </c>
      <c r="L355" s="324">
        <f t="shared" ref="L355" si="390">SUM(L356:L357)</f>
        <v>0</v>
      </c>
      <c r="M355" s="324">
        <f t="shared" ref="M355" si="391">SUM(M356:M357)</f>
        <v>0</v>
      </c>
      <c r="N355" s="324">
        <f t="shared" ref="N355" si="392">SUM(N356:N357)</f>
        <v>0</v>
      </c>
      <c r="O355" s="324">
        <f t="shared" ref="O355" si="393">SUM(O356:O357)</f>
        <v>0</v>
      </c>
      <c r="P355" s="324">
        <f t="shared" ref="P355" si="394">SUM(P356:P357)</f>
        <v>8761540</v>
      </c>
      <c r="Q355" s="47"/>
      <c r="R355" s="46"/>
    </row>
    <row r="356" spans="1:18" ht="93" thickTop="1" thickBot="1" x14ac:dyDescent="0.25">
      <c r="A356" s="101" t="s">
        <v>447</v>
      </c>
      <c r="B356" s="101" t="s">
        <v>236</v>
      </c>
      <c r="C356" s="101" t="s">
        <v>234</v>
      </c>
      <c r="D356" s="101" t="s">
        <v>235</v>
      </c>
      <c r="E356" s="324">
        <f>F356</f>
        <v>8761540</v>
      </c>
      <c r="F356" s="453">
        <f>(9955335)-1193795</f>
        <v>8761540</v>
      </c>
      <c r="G356" s="453">
        <f>(4332271)+37800</f>
        <v>4370071</v>
      </c>
      <c r="H356" s="453">
        <v>189628</v>
      </c>
      <c r="I356" s="453"/>
      <c r="J356" s="324">
        <f>L356+O356</f>
        <v>0</v>
      </c>
      <c r="K356" s="453">
        <v>0</v>
      </c>
      <c r="L356" s="453"/>
      <c r="M356" s="453"/>
      <c r="N356" s="453"/>
      <c r="O356" s="450">
        <f>K356</f>
        <v>0</v>
      </c>
      <c r="P356" s="324">
        <f>E356+J356</f>
        <v>8761540</v>
      </c>
      <c r="Q356" s="47"/>
      <c r="R356" s="46"/>
    </row>
    <row r="357" spans="1:18" ht="93" hidden="1" thickTop="1" thickBot="1" x14ac:dyDescent="0.25">
      <c r="A357" s="126" t="s">
        <v>630</v>
      </c>
      <c r="B357" s="126" t="s">
        <v>362</v>
      </c>
      <c r="C357" s="126" t="s">
        <v>623</v>
      </c>
      <c r="D357" s="126" t="s">
        <v>624</v>
      </c>
      <c r="E357" s="125">
        <f>F357</f>
        <v>0</v>
      </c>
      <c r="F357" s="132">
        <v>0</v>
      </c>
      <c r="G357" s="132"/>
      <c r="H357" s="132"/>
      <c r="I357" s="132"/>
      <c r="J357" s="125">
        <f t="shared" ref="J357" si="395">L357+O357</f>
        <v>0</v>
      </c>
      <c r="K357" s="132"/>
      <c r="L357" s="132"/>
      <c r="M357" s="132"/>
      <c r="N357" s="132"/>
      <c r="O357" s="130">
        <f t="shared" ref="O357" si="396">K357</f>
        <v>0</v>
      </c>
      <c r="P357" s="125">
        <f t="shared" ref="P357" si="397">+J357+E357</f>
        <v>0</v>
      </c>
      <c r="Q357" s="47"/>
      <c r="R357" s="46"/>
    </row>
    <row r="358" spans="1:18" ht="47.25" thickTop="1" thickBot="1" x14ac:dyDescent="0.25">
      <c r="A358" s="308" t="s">
        <v>820</v>
      </c>
      <c r="B358" s="308" t="s">
        <v>744</v>
      </c>
      <c r="C358" s="101"/>
      <c r="D358" s="308" t="s">
        <v>790</v>
      </c>
      <c r="E358" s="324">
        <f>E359+E365</f>
        <v>154823418</v>
      </c>
      <c r="F358" s="324">
        <f t="shared" ref="F358:P358" si="398">F359+F365</f>
        <v>154823418</v>
      </c>
      <c r="G358" s="324">
        <f t="shared" si="398"/>
        <v>0</v>
      </c>
      <c r="H358" s="324">
        <f t="shared" si="398"/>
        <v>0</v>
      </c>
      <c r="I358" s="324">
        <f t="shared" si="398"/>
        <v>0</v>
      </c>
      <c r="J358" s="324">
        <f t="shared" si="398"/>
        <v>116000</v>
      </c>
      <c r="K358" s="324">
        <f t="shared" si="398"/>
        <v>116000</v>
      </c>
      <c r="L358" s="324">
        <f t="shared" si="398"/>
        <v>0</v>
      </c>
      <c r="M358" s="324">
        <f t="shared" si="398"/>
        <v>0</v>
      </c>
      <c r="N358" s="324">
        <f t="shared" si="398"/>
        <v>0</v>
      </c>
      <c r="O358" s="324">
        <f t="shared" si="398"/>
        <v>116000</v>
      </c>
      <c r="P358" s="324">
        <f t="shared" si="398"/>
        <v>154939418</v>
      </c>
      <c r="Q358" s="47"/>
      <c r="R358" s="50"/>
    </row>
    <row r="359" spans="1:18" ht="47.25" thickTop="1" thickBot="1" x14ac:dyDescent="0.25">
      <c r="A359" s="310" t="s">
        <v>821</v>
      </c>
      <c r="B359" s="310" t="s">
        <v>802</v>
      </c>
      <c r="C359" s="310"/>
      <c r="D359" s="310" t="s">
        <v>803</v>
      </c>
      <c r="E359" s="312">
        <f>E362+E364+E360</f>
        <v>154823418</v>
      </c>
      <c r="F359" s="312">
        <f t="shared" ref="F359:P359" si="399">F362+F364+F360</f>
        <v>154823418</v>
      </c>
      <c r="G359" s="312">
        <f t="shared" si="399"/>
        <v>0</v>
      </c>
      <c r="H359" s="312">
        <f t="shared" si="399"/>
        <v>0</v>
      </c>
      <c r="I359" s="312">
        <f t="shared" si="399"/>
        <v>0</v>
      </c>
      <c r="J359" s="312">
        <f t="shared" si="399"/>
        <v>0</v>
      </c>
      <c r="K359" s="312">
        <f t="shared" si="399"/>
        <v>0</v>
      </c>
      <c r="L359" s="312">
        <f t="shared" si="399"/>
        <v>0</v>
      </c>
      <c r="M359" s="312">
        <f t="shared" si="399"/>
        <v>0</v>
      </c>
      <c r="N359" s="312">
        <f t="shared" si="399"/>
        <v>0</v>
      </c>
      <c r="O359" s="312">
        <f t="shared" si="399"/>
        <v>0</v>
      </c>
      <c r="P359" s="312">
        <f t="shared" si="399"/>
        <v>154823418</v>
      </c>
      <c r="Q359" s="47"/>
      <c r="R359" s="50"/>
    </row>
    <row r="360" spans="1:18" ht="93" thickTop="1" thickBot="1" x14ac:dyDescent="0.25">
      <c r="A360" s="325" t="s">
        <v>1001</v>
      </c>
      <c r="B360" s="325" t="s">
        <v>1002</v>
      </c>
      <c r="C360" s="325"/>
      <c r="D360" s="325" t="s">
        <v>1000</v>
      </c>
      <c r="E360" s="321">
        <f>E361</f>
        <v>950000</v>
      </c>
      <c r="F360" s="321">
        <f t="shared" ref="F360:O360" si="400">F361</f>
        <v>950000</v>
      </c>
      <c r="G360" s="321">
        <f t="shared" si="400"/>
        <v>0</v>
      </c>
      <c r="H360" s="321">
        <f t="shared" si="400"/>
        <v>0</v>
      </c>
      <c r="I360" s="321">
        <f t="shared" si="400"/>
        <v>0</v>
      </c>
      <c r="J360" s="321">
        <f t="shared" si="400"/>
        <v>0</v>
      </c>
      <c r="K360" s="321">
        <f t="shared" si="400"/>
        <v>0</v>
      </c>
      <c r="L360" s="321">
        <f t="shared" si="400"/>
        <v>0</v>
      </c>
      <c r="M360" s="321">
        <f t="shared" si="400"/>
        <v>0</v>
      </c>
      <c r="N360" s="321">
        <f t="shared" si="400"/>
        <v>0</v>
      </c>
      <c r="O360" s="321">
        <f t="shared" si="400"/>
        <v>0</v>
      </c>
      <c r="P360" s="321">
        <f t="shared" ref="F360:P362" si="401">P361</f>
        <v>950000</v>
      </c>
      <c r="Q360" s="47"/>
      <c r="R360" s="50"/>
    </row>
    <row r="361" spans="1:18" ht="48" thickTop="1" thickBot="1" x14ac:dyDescent="0.25">
      <c r="A361" s="101" t="s">
        <v>466</v>
      </c>
      <c r="B361" s="101" t="s">
        <v>411</v>
      </c>
      <c r="C361" s="101" t="s">
        <v>412</v>
      </c>
      <c r="D361" s="101" t="s">
        <v>413</v>
      </c>
      <c r="E361" s="324">
        <f>F361</f>
        <v>950000</v>
      </c>
      <c r="F361" s="453">
        <f>((300000)+250000)+1062000-662000</f>
        <v>950000</v>
      </c>
      <c r="G361" s="453"/>
      <c r="H361" s="453"/>
      <c r="I361" s="453"/>
      <c r="J361" s="324">
        <f>L361+O361</f>
        <v>0</v>
      </c>
      <c r="K361" s="453"/>
      <c r="L361" s="453"/>
      <c r="M361" s="453"/>
      <c r="N361" s="453"/>
      <c r="O361" s="450">
        <f>K361</f>
        <v>0</v>
      </c>
      <c r="P361" s="324">
        <f>E361+J361</f>
        <v>950000</v>
      </c>
      <c r="Q361" s="47"/>
      <c r="R361" s="50"/>
    </row>
    <row r="362" spans="1:18" ht="93" thickTop="1" thickBot="1" x14ac:dyDescent="0.25">
      <c r="A362" s="325" t="s">
        <v>822</v>
      </c>
      <c r="B362" s="325" t="s">
        <v>823</v>
      </c>
      <c r="C362" s="325"/>
      <c r="D362" s="325" t="s">
        <v>824</v>
      </c>
      <c r="E362" s="321">
        <f>E363</f>
        <v>153873418</v>
      </c>
      <c r="F362" s="321">
        <f t="shared" si="401"/>
        <v>153873418</v>
      </c>
      <c r="G362" s="321">
        <f t="shared" si="401"/>
        <v>0</v>
      </c>
      <c r="H362" s="321">
        <f t="shared" si="401"/>
        <v>0</v>
      </c>
      <c r="I362" s="321">
        <f t="shared" si="401"/>
        <v>0</v>
      </c>
      <c r="J362" s="321">
        <f t="shared" si="401"/>
        <v>0</v>
      </c>
      <c r="K362" s="321">
        <f t="shared" si="401"/>
        <v>0</v>
      </c>
      <c r="L362" s="321">
        <f t="shared" si="401"/>
        <v>0</v>
      </c>
      <c r="M362" s="321">
        <f t="shared" si="401"/>
        <v>0</v>
      </c>
      <c r="N362" s="321">
        <f t="shared" si="401"/>
        <v>0</v>
      </c>
      <c r="O362" s="321">
        <f t="shared" si="401"/>
        <v>0</v>
      </c>
      <c r="P362" s="321">
        <f t="shared" si="401"/>
        <v>153873418</v>
      </c>
      <c r="Q362" s="47"/>
      <c r="R362" s="50"/>
    </row>
    <row r="363" spans="1:18" ht="48" thickTop="1" thickBot="1" x14ac:dyDescent="0.25">
      <c r="A363" s="101" t="s">
        <v>467</v>
      </c>
      <c r="B363" s="101" t="s">
        <v>291</v>
      </c>
      <c r="C363" s="101" t="s">
        <v>1347</v>
      </c>
      <c r="D363" s="101" t="s">
        <v>292</v>
      </c>
      <c r="E363" s="324">
        <f>F363</f>
        <v>153873418</v>
      </c>
      <c r="F363" s="453">
        <f>((158360533)-3702008)-785107</f>
        <v>153873418</v>
      </c>
      <c r="G363" s="453"/>
      <c r="H363" s="453"/>
      <c r="I363" s="453"/>
      <c r="J363" s="324">
        <f>L363+O363</f>
        <v>0</v>
      </c>
      <c r="K363" s="453"/>
      <c r="L363" s="453"/>
      <c r="M363" s="453"/>
      <c r="N363" s="453"/>
      <c r="O363" s="450">
        <f>K363</f>
        <v>0</v>
      </c>
      <c r="P363" s="324">
        <f>E363+J363</f>
        <v>153873418</v>
      </c>
      <c r="Q363" s="47"/>
      <c r="R363" s="50"/>
    </row>
    <row r="364" spans="1:18" ht="48" hidden="1" thickTop="1" thickBot="1" x14ac:dyDescent="0.25">
      <c r="A364" s="126" t="s">
        <v>1080</v>
      </c>
      <c r="B364" s="126" t="s">
        <v>1081</v>
      </c>
      <c r="C364" s="126" t="s">
        <v>295</v>
      </c>
      <c r="D364" s="126" t="s">
        <v>1079</v>
      </c>
      <c r="E364" s="125">
        <f>F364</f>
        <v>0</v>
      </c>
      <c r="F364" s="132"/>
      <c r="G364" s="132"/>
      <c r="H364" s="132"/>
      <c r="I364" s="132"/>
      <c r="J364" s="125">
        <f>L364+O364</f>
        <v>0</v>
      </c>
      <c r="K364" s="132"/>
      <c r="L364" s="132"/>
      <c r="M364" s="132"/>
      <c r="N364" s="132"/>
      <c r="O364" s="130">
        <f>K364</f>
        <v>0</v>
      </c>
      <c r="P364" s="125">
        <f>E364+J364</f>
        <v>0</v>
      </c>
      <c r="Q364" s="47"/>
      <c r="R364" s="50"/>
    </row>
    <row r="365" spans="1:18" ht="47.25" thickTop="1" thickBot="1" x14ac:dyDescent="0.25">
      <c r="A365" s="310" t="s">
        <v>1155</v>
      </c>
      <c r="B365" s="310" t="s">
        <v>687</v>
      </c>
      <c r="C365" s="310"/>
      <c r="D365" s="310" t="s">
        <v>685</v>
      </c>
      <c r="E365" s="312">
        <f>E366</f>
        <v>0</v>
      </c>
      <c r="F365" s="312">
        <f t="shared" ref="F365:P365" si="402">F366</f>
        <v>0</v>
      </c>
      <c r="G365" s="312">
        <f t="shared" si="402"/>
        <v>0</v>
      </c>
      <c r="H365" s="312">
        <f t="shared" si="402"/>
        <v>0</v>
      </c>
      <c r="I365" s="312">
        <f t="shared" si="402"/>
        <v>0</v>
      </c>
      <c r="J365" s="312">
        <f t="shared" si="402"/>
        <v>116000</v>
      </c>
      <c r="K365" s="312">
        <f t="shared" si="402"/>
        <v>116000</v>
      </c>
      <c r="L365" s="312">
        <f t="shared" si="402"/>
        <v>0</v>
      </c>
      <c r="M365" s="312">
        <f t="shared" si="402"/>
        <v>0</v>
      </c>
      <c r="N365" s="312">
        <f t="shared" si="402"/>
        <v>0</v>
      </c>
      <c r="O365" s="312">
        <f t="shared" si="402"/>
        <v>116000</v>
      </c>
      <c r="P365" s="312">
        <f t="shared" si="402"/>
        <v>116000</v>
      </c>
      <c r="Q365" s="47"/>
      <c r="R365" s="50"/>
    </row>
    <row r="366" spans="1:18" ht="48" thickTop="1" thickBot="1" x14ac:dyDescent="0.25">
      <c r="A366" s="101" t="s">
        <v>1156</v>
      </c>
      <c r="B366" s="101" t="s">
        <v>197</v>
      </c>
      <c r="C366" s="101" t="s">
        <v>170</v>
      </c>
      <c r="D366" s="101" t="s">
        <v>1157</v>
      </c>
      <c r="E366" s="324">
        <f>F366</f>
        <v>0</v>
      </c>
      <c r="F366" s="453">
        <v>0</v>
      </c>
      <c r="G366" s="453"/>
      <c r="H366" s="453"/>
      <c r="I366" s="453"/>
      <c r="J366" s="324">
        <f>L366+O366</f>
        <v>116000</v>
      </c>
      <c r="K366" s="453">
        <f>((0)+156500)-40500</f>
        <v>116000</v>
      </c>
      <c r="L366" s="453"/>
      <c r="M366" s="453"/>
      <c r="N366" s="453"/>
      <c r="O366" s="450">
        <f>K366</f>
        <v>116000</v>
      </c>
      <c r="P366" s="324">
        <f>E366+J366</f>
        <v>116000</v>
      </c>
      <c r="Q366" s="47"/>
      <c r="R366" s="50"/>
    </row>
    <row r="367" spans="1:18" ht="47.25" thickTop="1" thickBot="1" x14ac:dyDescent="0.25">
      <c r="A367" s="308" t="s">
        <v>1201</v>
      </c>
      <c r="B367" s="308" t="s">
        <v>692</v>
      </c>
      <c r="C367" s="308"/>
      <c r="D367" s="308" t="s">
        <v>693</v>
      </c>
      <c r="E367" s="324">
        <f>E368</f>
        <v>1289014</v>
      </c>
      <c r="F367" s="324">
        <f t="shared" ref="F367:P367" si="403">F368</f>
        <v>1289014</v>
      </c>
      <c r="G367" s="324">
        <f t="shared" si="403"/>
        <v>0</v>
      </c>
      <c r="H367" s="324">
        <f t="shared" si="403"/>
        <v>0</v>
      </c>
      <c r="I367" s="324">
        <f t="shared" si="403"/>
        <v>0</v>
      </c>
      <c r="J367" s="324">
        <f t="shared" si="403"/>
        <v>0</v>
      </c>
      <c r="K367" s="324">
        <f t="shared" si="403"/>
        <v>0</v>
      </c>
      <c r="L367" s="324">
        <f t="shared" si="403"/>
        <v>0</v>
      </c>
      <c r="M367" s="324">
        <f t="shared" si="403"/>
        <v>0</v>
      </c>
      <c r="N367" s="324">
        <f t="shared" si="403"/>
        <v>0</v>
      </c>
      <c r="O367" s="324">
        <f t="shared" si="403"/>
        <v>0</v>
      </c>
      <c r="P367" s="324">
        <f t="shared" si="403"/>
        <v>1289014</v>
      </c>
      <c r="Q367" s="47"/>
      <c r="R367" s="50"/>
    </row>
    <row r="368" spans="1:18" ht="47.25" thickTop="1" thickBot="1" x14ac:dyDescent="0.25">
      <c r="A368" s="310" t="s">
        <v>1202</v>
      </c>
      <c r="B368" s="310" t="s">
        <v>1168</v>
      </c>
      <c r="C368" s="310"/>
      <c r="D368" s="310" t="s">
        <v>1166</v>
      </c>
      <c r="E368" s="312">
        <f>E369</f>
        <v>1289014</v>
      </c>
      <c r="F368" s="312">
        <f>F369</f>
        <v>1289014</v>
      </c>
      <c r="G368" s="312">
        <f t="shared" ref="G368:O368" si="404">G369</f>
        <v>0</v>
      </c>
      <c r="H368" s="312">
        <f t="shared" si="404"/>
        <v>0</v>
      </c>
      <c r="I368" s="312">
        <f t="shared" si="404"/>
        <v>0</v>
      </c>
      <c r="J368" s="312">
        <f t="shared" si="404"/>
        <v>0</v>
      </c>
      <c r="K368" s="312">
        <f t="shared" si="404"/>
        <v>0</v>
      </c>
      <c r="L368" s="312">
        <f t="shared" si="404"/>
        <v>0</v>
      </c>
      <c r="M368" s="312">
        <f t="shared" si="404"/>
        <v>0</v>
      </c>
      <c r="N368" s="312">
        <f t="shared" si="404"/>
        <v>0</v>
      </c>
      <c r="O368" s="312">
        <f t="shared" si="404"/>
        <v>0</v>
      </c>
      <c r="P368" s="312">
        <f>P369</f>
        <v>1289014</v>
      </c>
      <c r="Q368" s="47"/>
      <c r="R368" s="50"/>
    </row>
    <row r="369" spans="1:18" ht="48" thickTop="1" thickBot="1" x14ac:dyDescent="0.25">
      <c r="A369" s="101" t="s">
        <v>1203</v>
      </c>
      <c r="B369" s="101" t="s">
        <v>1204</v>
      </c>
      <c r="C369" s="101" t="s">
        <v>1170</v>
      </c>
      <c r="D369" s="101" t="s">
        <v>1205</v>
      </c>
      <c r="E369" s="324">
        <f>F369</f>
        <v>1289014</v>
      </c>
      <c r="F369" s="453">
        <f>((2189014)-250000)-650000</f>
        <v>1289014</v>
      </c>
      <c r="G369" s="453"/>
      <c r="H369" s="453"/>
      <c r="I369" s="453"/>
      <c r="J369" s="324">
        <f>L369+O369</f>
        <v>0</v>
      </c>
      <c r="K369" s="453"/>
      <c r="L369" s="453"/>
      <c r="M369" s="453"/>
      <c r="N369" s="453"/>
      <c r="O369" s="450">
        <f>K369</f>
        <v>0</v>
      </c>
      <c r="P369" s="324">
        <f>E369+J369</f>
        <v>1289014</v>
      </c>
      <c r="Q369" s="47"/>
      <c r="R369" s="50"/>
    </row>
    <row r="370" spans="1:18" ht="47.25" hidden="1" thickTop="1" thickBot="1" x14ac:dyDescent="0.25">
      <c r="A370" s="123" t="s">
        <v>1314</v>
      </c>
      <c r="B370" s="123" t="s">
        <v>698</v>
      </c>
      <c r="C370" s="123"/>
      <c r="D370" s="123" t="s">
        <v>699</v>
      </c>
      <c r="E370" s="125">
        <f t="shared" ref="E370:P370" si="405">E371</f>
        <v>0</v>
      </c>
      <c r="F370" s="125">
        <f t="shared" si="405"/>
        <v>0</v>
      </c>
      <c r="G370" s="125">
        <f t="shared" si="405"/>
        <v>0</v>
      </c>
      <c r="H370" s="125">
        <f t="shared" si="405"/>
        <v>0</v>
      </c>
      <c r="I370" s="125">
        <f t="shared" si="405"/>
        <v>0</v>
      </c>
      <c r="J370" s="125">
        <f t="shared" si="405"/>
        <v>0</v>
      </c>
      <c r="K370" s="125">
        <f t="shared" si="405"/>
        <v>0</v>
      </c>
      <c r="L370" s="125">
        <f t="shared" si="405"/>
        <v>0</v>
      </c>
      <c r="M370" s="125">
        <f t="shared" si="405"/>
        <v>0</v>
      </c>
      <c r="N370" s="125">
        <f t="shared" si="405"/>
        <v>0</v>
      </c>
      <c r="O370" s="125">
        <f t="shared" si="405"/>
        <v>0</v>
      </c>
      <c r="P370" s="125">
        <f t="shared" si="405"/>
        <v>0</v>
      </c>
      <c r="Q370" s="47"/>
      <c r="R370" s="50"/>
    </row>
    <row r="371" spans="1:18" ht="91.5" hidden="1" thickTop="1" thickBot="1" x14ac:dyDescent="0.25">
      <c r="A371" s="134" t="s">
        <v>1315</v>
      </c>
      <c r="B371" s="134" t="s">
        <v>513</v>
      </c>
      <c r="C371" s="134" t="s">
        <v>43</v>
      </c>
      <c r="D371" s="134" t="s">
        <v>514</v>
      </c>
      <c r="E371" s="135">
        <f t="shared" ref="E371" si="406">F371</f>
        <v>0</v>
      </c>
      <c r="F371" s="135">
        <v>0</v>
      </c>
      <c r="G371" s="135"/>
      <c r="H371" s="135"/>
      <c r="I371" s="135"/>
      <c r="J371" s="135">
        <f>L371+O371</f>
        <v>0</v>
      </c>
      <c r="K371" s="132"/>
      <c r="L371" s="135"/>
      <c r="M371" s="135"/>
      <c r="N371" s="135"/>
      <c r="O371" s="135">
        <f>(K371+0)</f>
        <v>0</v>
      </c>
      <c r="P371" s="135">
        <f>E371+J371</f>
        <v>0</v>
      </c>
      <c r="Q371" s="47"/>
      <c r="R371" s="50"/>
    </row>
    <row r="372" spans="1:18" ht="120" customHeight="1" thickTop="1" thickBot="1" x14ac:dyDescent="0.25">
      <c r="A372" s="689" t="s">
        <v>166</v>
      </c>
      <c r="B372" s="689"/>
      <c r="C372" s="689"/>
      <c r="D372" s="690" t="s">
        <v>354</v>
      </c>
      <c r="E372" s="691">
        <f>E373</f>
        <v>15104342</v>
      </c>
      <c r="F372" s="692">
        <f t="shared" ref="F372:G372" si="407">F373</f>
        <v>15104342</v>
      </c>
      <c r="G372" s="692">
        <f t="shared" si="407"/>
        <v>0</v>
      </c>
      <c r="H372" s="692">
        <f>H373</f>
        <v>0</v>
      </c>
      <c r="I372" s="692">
        <f t="shared" ref="I372" si="408">I373</f>
        <v>0</v>
      </c>
      <c r="J372" s="691">
        <f>J373</f>
        <v>469958</v>
      </c>
      <c r="K372" s="692">
        <f>K373</f>
        <v>469958</v>
      </c>
      <c r="L372" s="692">
        <f>L373</f>
        <v>0</v>
      </c>
      <c r="M372" s="692">
        <f t="shared" ref="M372" si="409">M373</f>
        <v>0</v>
      </c>
      <c r="N372" s="692">
        <f>N373</f>
        <v>0</v>
      </c>
      <c r="O372" s="691">
        <f>O373</f>
        <v>469958</v>
      </c>
      <c r="P372" s="692">
        <f t="shared" ref="P372" si="410">P373</f>
        <v>15574300</v>
      </c>
      <c r="Q372" s="20"/>
    </row>
    <row r="373" spans="1:18" ht="120" customHeight="1" thickTop="1" thickBot="1" x14ac:dyDescent="0.25">
      <c r="A373" s="693" t="s">
        <v>167</v>
      </c>
      <c r="B373" s="693"/>
      <c r="C373" s="693"/>
      <c r="D373" s="694" t="s">
        <v>355</v>
      </c>
      <c r="E373" s="695">
        <f>E377+E389+E386+E374</f>
        <v>15104342</v>
      </c>
      <c r="F373" s="695">
        <f>F377+F389+F386+F374</f>
        <v>15104342</v>
      </c>
      <c r="G373" s="695">
        <f>G377+G389+G386+G374</f>
        <v>0</v>
      </c>
      <c r="H373" s="695">
        <f>H377+H389+H386+H374</f>
        <v>0</v>
      </c>
      <c r="I373" s="695">
        <f>I377+I389+I386+I374</f>
        <v>0</v>
      </c>
      <c r="J373" s="695">
        <f>L373+O373</f>
        <v>469958</v>
      </c>
      <c r="K373" s="695">
        <f>K377+K389+K386+K374</f>
        <v>469958</v>
      </c>
      <c r="L373" s="695">
        <f>L377+L389+L386+L374</f>
        <v>0</v>
      </c>
      <c r="M373" s="695">
        <f>M377+M389+M386+M374</f>
        <v>0</v>
      </c>
      <c r="N373" s="695">
        <f>N377+N389+N386+N374</f>
        <v>0</v>
      </c>
      <c r="O373" s="695">
        <f>O377+O389+O386+O374</f>
        <v>469958</v>
      </c>
      <c r="P373" s="695">
        <f>E373+J373</f>
        <v>15574300</v>
      </c>
      <c r="Q373" s="487" t="b">
        <f>P373=P379+P381+P382+P383+P375+P388+P376</f>
        <v>1</v>
      </c>
      <c r="R373" s="46"/>
    </row>
    <row r="374" spans="1:18" ht="47.25" thickTop="1" thickBot="1" x14ac:dyDescent="0.25">
      <c r="A374" s="308" t="s">
        <v>1288</v>
      </c>
      <c r="B374" s="308" t="s">
        <v>707</v>
      </c>
      <c r="C374" s="308"/>
      <c r="D374" s="308" t="s">
        <v>708</v>
      </c>
      <c r="E374" s="324">
        <f t="shared" ref="E374:P374" si="411">SUM(E375:E376)</f>
        <v>1004802</v>
      </c>
      <c r="F374" s="324">
        <f t="shared" si="411"/>
        <v>1004802</v>
      </c>
      <c r="G374" s="324">
        <f t="shared" si="411"/>
        <v>0</v>
      </c>
      <c r="H374" s="324">
        <f t="shared" si="411"/>
        <v>0</v>
      </c>
      <c r="I374" s="324">
        <f t="shared" si="411"/>
        <v>0</v>
      </c>
      <c r="J374" s="324">
        <f t="shared" si="411"/>
        <v>345998</v>
      </c>
      <c r="K374" s="324">
        <f t="shared" si="411"/>
        <v>345998</v>
      </c>
      <c r="L374" s="324">
        <f t="shared" si="411"/>
        <v>0</v>
      </c>
      <c r="M374" s="324">
        <f t="shared" si="411"/>
        <v>0</v>
      </c>
      <c r="N374" s="324">
        <f t="shared" si="411"/>
        <v>0</v>
      </c>
      <c r="O374" s="324">
        <f t="shared" si="411"/>
        <v>345998</v>
      </c>
      <c r="P374" s="324">
        <f t="shared" si="411"/>
        <v>1350800</v>
      </c>
      <c r="Q374" s="47"/>
      <c r="R374" s="46"/>
    </row>
    <row r="375" spans="1:18" ht="93" thickTop="1" thickBot="1" x14ac:dyDescent="0.25">
      <c r="A375" s="101" t="s">
        <v>1289</v>
      </c>
      <c r="B375" s="101" t="s">
        <v>1182</v>
      </c>
      <c r="C375" s="101" t="s">
        <v>206</v>
      </c>
      <c r="D375" s="461" t="s">
        <v>1183</v>
      </c>
      <c r="E375" s="324">
        <f t="shared" ref="E375:E376" si="412">F375</f>
        <v>376502</v>
      </c>
      <c r="F375" s="453">
        <f>(500000)+6668-130166</f>
        <v>376502</v>
      </c>
      <c r="G375" s="453"/>
      <c r="H375" s="453"/>
      <c r="I375" s="453"/>
      <c r="J375" s="324">
        <f>L375+O375</f>
        <v>122498</v>
      </c>
      <c r="K375" s="453">
        <f>(350000)-227502</f>
        <v>122498</v>
      </c>
      <c r="L375" s="453"/>
      <c r="M375" s="453"/>
      <c r="N375" s="453"/>
      <c r="O375" s="450">
        <f>K375</f>
        <v>122498</v>
      </c>
      <c r="P375" s="324">
        <f>E375+J375</f>
        <v>499000</v>
      </c>
      <c r="Q375" s="47"/>
      <c r="R375" s="46"/>
    </row>
    <row r="376" spans="1:18" ht="54" customHeight="1" thickTop="1" thickBot="1" x14ac:dyDescent="0.25">
      <c r="A376" s="101" t="s">
        <v>1589</v>
      </c>
      <c r="B376" s="101" t="s">
        <v>330</v>
      </c>
      <c r="C376" s="101" t="s">
        <v>191</v>
      </c>
      <c r="D376" s="461" t="s">
        <v>332</v>
      </c>
      <c r="E376" s="324">
        <f t="shared" si="412"/>
        <v>628300</v>
      </c>
      <c r="F376" s="453">
        <f>(0)+219180+409120</f>
        <v>628300</v>
      </c>
      <c r="G376" s="132"/>
      <c r="H376" s="132"/>
      <c r="I376" s="132"/>
      <c r="J376" s="324">
        <f t="shared" ref="J376" si="413">L376+O376</f>
        <v>223500</v>
      </c>
      <c r="K376" s="453">
        <f>(0)+223500</f>
        <v>223500</v>
      </c>
      <c r="L376" s="453"/>
      <c r="M376" s="453"/>
      <c r="N376" s="453"/>
      <c r="O376" s="450">
        <f t="shared" ref="O376" si="414">K376</f>
        <v>223500</v>
      </c>
      <c r="P376" s="324">
        <f t="shared" ref="P376" si="415">E376+J376</f>
        <v>851800</v>
      </c>
      <c r="Q376" s="47"/>
      <c r="R376" s="46"/>
    </row>
    <row r="377" spans="1:18" ht="44.45" customHeight="1" thickTop="1" thickBot="1" x14ac:dyDescent="0.25">
      <c r="A377" s="308" t="s">
        <v>825</v>
      </c>
      <c r="B377" s="308" t="s">
        <v>744</v>
      </c>
      <c r="C377" s="101"/>
      <c r="D377" s="308" t="s">
        <v>790</v>
      </c>
      <c r="E377" s="571">
        <f t="shared" ref="E377:P377" si="416">E380+E378</f>
        <v>13683500</v>
      </c>
      <c r="F377" s="571">
        <f t="shared" si="416"/>
        <v>13683500</v>
      </c>
      <c r="G377" s="571">
        <f t="shared" si="416"/>
        <v>0</v>
      </c>
      <c r="H377" s="571">
        <f t="shared" si="416"/>
        <v>0</v>
      </c>
      <c r="I377" s="571">
        <f t="shared" si="416"/>
        <v>0</v>
      </c>
      <c r="J377" s="571">
        <f t="shared" si="416"/>
        <v>0</v>
      </c>
      <c r="K377" s="571">
        <f t="shared" si="416"/>
        <v>0</v>
      </c>
      <c r="L377" s="571">
        <f t="shared" si="416"/>
        <v>0</v>
      </c>
      <c r="M377" s="571">
        <f t="shared" si="416"/>
        <v>0</v>
      </c>
      <c r="N377" s="571">
        <f t="shared" si="416"/>
        <v>0</v>
      </c>
      <c r="O377" s="571">
        <f t="shared" si="416"/>
        <v>0</v>
      </c>
      <c r="P377" s="571">
        <f t="shared" si="416"/>
        <v>13683500</v>
      </c>
      <c r="Q377" s="47"/>
      <c r="R377" s="46"/>
    </row>
    <row r="378" spans="1:18" ht="47.25" thickTop="1" thickBot="1" x14ac:dyDescent="0.25">
      <c r="A378" s="310" t="s">
        <v>998</v>
      </c>
      <c r="B378" s="310" t="s">
        <v>799</v>
      </c>
      <c r="C378" s="310"/>
      <c r="D378" s="310" t="s">
        <v>800</v>
      </c>
      <c r="E378" s="570">
        <f>E379</f>
        <v>26500</v>
      </c>
      <c r="F378" s="570">
        <f>F379</f>
        <v>26500</v>
      </c>
      <c r="G378" s="570">
        <f t="shared" ref="G378:O378" si="417">G379</f>
        <v>0</v>
      </c>
      <c r="H378" s="570">
        <f t="shared" si="417"/>
        <v>0</v>
      </c>
      <c r="I378" s="570">
        <f t="shared" si="417"/>
        <v>0</v>
      </c>
      <c r="J378" s="570">
        <f t="shared" si="417"/>
        <v>0</v>
      </c>
      <c r="K378" s="570">
        <f t="shared" si="417"/>
        <v>0</v>
      </c>
      <c r="L378" s="570">
        <f t="shared" si="417"/>
        <v>0</v>
      </c>
      <c r="M378" s="570">
        <f t="shared" si="417"/>
        <v>0</v>
      </c>
      <c r="N378" s="570">
        <f t="shared" si="417"/>
        <v>0</v>
      </c>
      <c r="O378" s="570">
        <f t="shared" si="417"/>
        <v>0</v>
      </c>
      <c r="P378" s="570">
        <f>P379</f>
        <v>26500</v>
      </c>
      <c r="Q378" s="47"/>
      <c r="R378" s="46"/>
    </row>
    <row r="379" spans="1:18" ht="48" thickTop="1" thickBot="1" x14ac:dyDescent="0.25">
      <c r="A379" s="101" t="s">
        <v>999</v>
      </c>
      <c r="B379" s="101" t="s">
        <v>350</v>
      </c>
      <c r="C379" s="101" t="s">
        <v>170</v>
      </c>
      <c r="D379" s="101" t="s">
        <v>262</v>
      </c>
      <c r="E379" s="324">
        <f t="shared" ref="E379" si="418">F379</f>
        <v>26500</v>
      </c>
      <c r="F379" s="453">
        <f>(50000)-23500</f>
        <v>26500</v>
      </c>
      <c r="G379" s="453"/>
      <c r="H379" s="453"/>
      <c r="I379" s="453"/>
      <c r="J379" s="324">
        <f t="shared" ref="J379" si="419">L379+O379</f>
        <v>0</v>
      </c>
      <c r="K379" s="453">
        <f>((0)+5000000-1000000)-4000000</f>
        <v>0</v>
      </c>
      <c r="L379" s="453"/>
      <c r="M379" s="453"/>
      <c r="N379" s="453"/>
      <c r="O379" s="450">
        <f>K379</f>
        <v>0</v>
      </c>
      <c r="P379" s="324">
        <f t="shared" ref="P379" si="420">E379+J379</f>
        <v>26500</v>
      </c>
      <c r="Q379" s="47"/>
      <c r="R379" s="46"/>
    </row>
    <row r="380" spans="1:18" ht="47.25" thickTop="1" thickBot="1" x14ac:dyDescent="0.25">
      <c r="A380" s="310" t="s">
        <v>826</v>
      </c>
      <c r="B380" s="310" t="s">
        <v>687</v>
      </c>
      <c r="C380" s="310"/>
      <c r="D380" s="310" t="s">
        <v>685</v>
      </c>
      <c r="E380" s="570">
        <f>SUM(E381:E385)-E384</f>
        <v>13657000</v>
      </c>
      <c r="F380" s="570">
        <f t="shared" ref="F380:P380" si="421">SUM(F381:F385)-F384</f>
        <v>13657000</v>
      </c>
      <c r="G380" s="570">
        <f t="shared" si="421"/>
        <v>0</v>
      </c>
      <c r="H380" s="570">
        <f t="shared" si="421"/>
        <v>0</v>
      </c>
      <c r="I380" s="570">
        <f t="shared" si="421"/>
        <v>0</v>
      </c>
      <c r="J380" s="570">
        <f>SUM(J381:J385)-J384</f>
        <v>0</v>
      </c>
      <c r="K380" s="570">
        <f t="shared" si="421"/>
        <v>0</v>
      </c>
      <c r="L380" s="570">
        <f t="shared" si="421"/>
        <v>0</v>
      </c>
      <c r="M380" s="570">
        <f t="shared" si="421"/>
        <v>0</v>
      </c>
      <c r="N380" s="570">
        <f t="shared" si="421"/>
        <v>0</v>
      </c>
      <c r="O380" s="570">
        <f t="shared" si="421"/>
        <v>0</v>
      </c>
      <c r="P380" s="570">
        <f t="shared" si="421"/>
        <v>13657000</v>
      </c>
      <c r="Q380" s="47"/>
      <c r="R380" s="46"/>
    </row>
    <row r="381" spans="1:18" ht="48" thickTop="1" thickBot="1" x14ac:dyDescent="0.25">
      <c r="A381" s="101" t="s">
        <v>260</v>
      </c>
      <c r="B381" s="101" t="s">
        <v>261</v>
      </c>
      <c r="C381" s="101" t="s">
        <v>259</v>
      </c>
      <c r="D381" s="101" t="s">
        <v>258</v>
      </c>
      <c r="E381" s="324">
        <f t="shared" ref="E381:E385" si="422">F381</f>
        <v>12948500</v>
      </c>
      <c r="F381" s="453">
        <f>(((2045000)+6200000)+50000+120000+33500+500000+5000000-2000000)+1000000</f>
        <v>12948500</v>
      </c>
      <c r="G381" s="453"/>
      <c r="H381" s="453"/>
      <c r="I381" s="453"/>
      <c r="J381" s="324">
        <f t="shared" ref="J381:J385" si="423">L381+O381</f>
        <v>0</v>
      </c>
      <c r="K381" s="453"/>
      <c r="L381" s="453"/>
      <c r="M381" s="453"/>
      <c r="N381" s="453"/>
      <c r="O381" s="450">
        <f>K381</f>
        <v>0</v>
      </c>
      <c r="P381" s="324">
        <f t="shared" ref="P381:P385" si="424">E381+J381</f>
        <v>12948500</v>
      </c>
      <c r="Q381" s="20"/>
      <c r="R381" s="46"/>
    </row>
    <row r="382" spans="1:18" ht="48" thickTop="1" thickBot="1" x14ac:dyDescent="0.25">
      <c r="A382" s="101" t="s">
        <v>252</v>
      </c>
      <c r="B382" s="101" t="s">
        <v>254</v>
      </c>
      <c r="C382" s="101" t="s">
        <v>213</v>
      </c>
      <c r="D382" s="101" t="s">
        <v>253</v>
      </c>
      <c r="E382" s="324">
        <f t="shared" si="422"/>
        <v>708500</v>
      </c>
      <c r="F382" s="453">
        <f>((505000)+100000)+103500</f>
        <v>708500</v>
      </c>
      <c r="G382" s="453"/>
      <c r="H382" s="453"/>
      <c r="I382" s="453"/>
      <c r="J382" s="324">
        <f t="shared" si="423"/>
        <v>0</v>
      </c>
      <c r="K382" s="453"/>
      <c r="L382" s="453"/>
      <c r="M382" s="453"/>
      <c r="N382" s="453"/>
      <c r="O382" s="450">
        <f>K382</f>
        <v>0</v>
      </c>
      <c r="P382" s="324">
        <f t="shared" si="424"/>
        <v>708500</v>
      </c>
      <c r="Q382" s="20"/>
      <c r="R382" s="46"/>
    </row>
    <row r="383" spans="1:18" ht="48" hidden="1" thickTop="1" thickBot="1" x14ac:dyDescent="0.25">
      <c r="A383" s="101" t="s">
        <v>1283</v>
      </c>
      <c r="B383" s="101" t="s">
        <v>212</v>
      </c>
      <c r="C383" s="101" t="s">
        <v>213</v>
      </c>
      <c r="D383" s="101" t="s">
        <v>41</v>
      </c>
      <c r="E383" s="324">
        <f t="shared" ref="E383" si="425">F383</f>
        <v>0</v>
      </c>
      <c r="F383" s="453">
        <f>(200000)-200000</f>
        <v>0</v>
      </c>
      <c r="G383" s="453"/>
      <c r="H383" s="453"/>
      <c r="I383" s="453"/>
      <c r="J383" s="324">
        <f t="shared" ref="J383" si="426">L383+O383</f>
        <v>0</v>
      </c>
      <c r="K383" s="453">
        <f>(100000)-100000</f>
        <v>0</v>
      </c>
      <c r="L383" s="453"/>
      <c r="M383" s="453"/>
      <c r="N383" s="453"/>
      <c r="O383" s="450">
        <f>K383</f>
        <v>0</v>
      </c>
      <c r="P383" s="324">
        <f t="shared" ref="P383" si="427">E383+J383</f>
        <v>0</v>
      </c>
      <c r="Q383" s="20"/>
      <c r="R383" s="46"/>
    </row>
    <row r="384" spans="1:18" ht="48" hidden="1" thickTop="1" thickBot="1" x14ac:dyDescent="0.25">
      <c r="A384" s="138" t="s">
        <v>827</v>
      </c>
      <c r="B384" s="138" t="s">
        <v>690</v>
      </c>
      <c r="C384" s="138"/>
      <c r="D384" s="138" t="s">
        <v>688</v>
      </c>
      <c r="E384" s="139">
        <f>E385</f>
        <v>0</v>
      </c>
      <c r="F384" s="139">
        <f t="shared" ref="F384:P384" si="428">F385</f>
        <v>0</v>
      </c>
      <c r="G384" s="139">
        <f t="shared" si="428"/>
        <v>0</v>
      </c>
      <c r="H384" s="139">
        <f t="shared" si="428"/>
        <v>0</v>
      </c>
      <c r="I384" s="139">
        <f t="shared" si="428"/>
        <v>0</v>
      </c>
      <c r="J384" s="139">
        <f t="shared" si="428"/>
        <v>0</v>
      </c>
      <c r="K384" s="139">
        <f t="shared" si="428"/>
        <v>0</v>
      </c>
      <c r="L384" s="139">
        <f t="shared" si="428"/>
        <v>0</v>
      </c>
      <c r="M384" s="139">
        <f t="shared" si="428"/>
        <v>0</v>
      </c>
      <c r="N384" s="139">
        <f t="shared" si="428"/>
        <v>0</v>
      </c>
      <c r="O384" s="139">
        <f t="shared" si="428"/>
        <v>0</v>
      </c>
      <c r="P384" s="139">
        <f t="shared" si="428"/>
        <v>0</v>
      </c>
      <c r="Q384" s="20"/>
      <c r="R384" s="46"/>
    </row>
    <row r="385" spans="1:18" ht="48" hidden="1" thickTop="1" thickBot="1" x14ac:dyDescent="0.25">
      <c r="A385" s="126" t="s">
        <v>256</v>
      </c>
      <c r="B385" s="126" t="s">
        <v>257</v>
      </c>
      <c r="C385" s="126" t="s">
        <v>170</v>
      </c>
      <c r="D385" s="126" t="s">
        <v>255</v>
      </c>
      <c r="E385" s="125">
        <f t="shared" si="422"/>
        <v>0</v>
      </c>
      <c r="F385" s="132"/>
      <c r="G385" s="132"/>
      <c r="H385" s="132"/>
      <c r="I385" s="132"/>
      <c r="J385" s="125">
        <f t="shared" si="423"/>
        <v>0</v>
      </c>
      <c r="K385" s="132"/>
      <c r="L385" s="132"/>
      <c r="M385" s="132"/>
      <c r="N385" s="132"/>
      <c r="O385" s="130">
        <f>K385</f>
        <v>0</v>
      </c>
      <c r="P385" s="125">
        <f t="shared" si="424"/>
        <v>0</v>
      </c>
      <c r="Q385" s="20"/>
      <c r="R385" s="46"/>
    </row>
    <row r="386" spans="1:18" ht="47.25" thickTop="1" thickBot="1" x14ac:dyDescent="0.25">
      <c r="A386" s="308" t="s">
        <v>1285</v>
      </c>
      <c r="B386" s="308" t="s">
        <v>692</v>
      </c>
      <c r="C386" s="308"/>
      <c r="D386" s="308" t="s">
        <v>693</v>
      </c>
      <c r="E386" s="324">
        <f t="shared" ref="E386:P387" si="429">E387</f>
        <v>416040</v>
      </c>
      <c r="F386" s="324">
        <f t="shared" si="429"/>
        <v>416040</v>
      </c>
      <c r="G386" s="324">
        <f t="shared" si="429"/>
        <v>0</v>
      </c>
      <c r="H386" s="324">
        <f t="shared" si="429"/>
        <v>0</v>
      </c>
      <c r="I386" s="324">
        <f t="shared" si="429"/>
        <v>0</v>
      </c>
      <c r="J386" s="324">
        <f t="shared" si="429"/>
        <v>123960</v>
      </c>
      <c r="K386" s="324">
        <f t="shared" si="429"/>
        <v>123960</v>
      </c>
      <c r="L386" s="324">
        <f t="shared" si="429"/>
        <v>0</v>
      </c>
      <c r="M386" s="324">
        <f t="shared" si="429"/>
        <v>0</v>
      </c>
      <c r="N386" s="324">
        <f t="shared" si="429"/>
        <v>0</v>
      </c>
      <c r="O386" s="324">
        <f t="shared" si="429"/>
        <v>123960</v>
      </c>
      <c r="P386" s="324">
        <f t="shared" si="429"/>
        <v>540000</v>
      </c>
      <c r="Q386" s="20"/>
      <c r="R386" s="46"/>
    </row>
    <row r="387" spans="1:18" ht="47.25" thickTop="1" thickBot="1" x14ac:dyDescent="0.25">
      <c r="A387" s="310" t="s">
        <v>1286</v>
      </c>
      <c r="B387" s="310" t="s">
        <v>1168</v>
      </c>
      <c r="C387" s="310"/>
      <c r="D387" s="310" t="s">
        <v>1166</v>
      </c>
      <c r="E387" s="312">
        <f t="shared" si="429"/>
        <v>416040</v>
      </c>
      <c r="F387" s="312">
        <f t="shared" si="429"/>
        <v>416040</v>
      </c>
      <c r="G387" s="312">
        <f t="shared" si="429"/>
        <v>0</v>
      </c>
      <c r="H387" s="312">
        <f t="shared" si="429"/>
        <v>0</v>
      </c>
      <c r="I387" s="312">
        <f t="shared" si="429"/>
        <v>0</v>
      </c>
      <c r="J387" s="312">
        <f t="shared" si="429"/>
        <v>123960</v>
      </c>
      <c r="K387" s="312">
        <f t="shared" si="429"/>
        <v>123960</v>
      </c>
      <c r="L387" s="312">
        <f t="shared" si="429"/>
        <v>0</v>
      </c>
      <c r="M387" s="312">
        <f t="shared" si="429"/>
        <v>0</v>
      </c>
      <c r="N387" s="312">
        <f t="shared" si="429"/>
        <v>0</v>
      </c>
      <c r="O387" s="312">
        <f t="shared" si="429"/>
        <v>123960</v>
      </c>
      <c r="P387" s="312">
        <f t="shared" si="429"/>
        <v>540000</v>
      </c>
      <c r="Q387" s="20"/>
      <c r="R387" s="46"/>
    </row>
    <row r="388" spans="1:18" ht="48" thickTop="1" thickBot="1" x14ac:dyDescent="0.25">
      <c r="A388" s="101" t="s">
        <v>1287</v>
      </c>
      <c r="B388" s="101" t="s">
        <v>1172</v>
      </c>
      <c r="C388" s="101" t="s">
        <v>1170</v>
      </c>
      <c r="D388" s="101" t="s">
        <v>1169</v>
      </c>
      <c r="E388" s="324">
        <f>F388</f>
        <v>416040</v>
      </c>
      <c r="F388" s="453">
        <f>(500000)+150230-234190</f>
        <v>416040</v>
      </c>
      <c r="G388" s="453"/>
      <c r="H388" s="453"/>
      <c r="I388" s="453"/>
      <c r="J388" s="324">
        <f>L388+O388</f>
        <v>123960</v>
      </c>
      <c r="K388" s="453">
        <f>(350000)-226040</f>
        <v>123960</v>
      </c>
      <c r="L388" s="453"/>
      <c r="M388" s="453"/>
      <c r="N388" s="453"/>
      <c r="O388" s="450">
        <f>K388</f>
        <v>123960</v>
      </c>
      <c r="P388" s="324">
        <f>E388+J388</f>
        <v>540000</v>
      </c>
      <c r="Q388" s="20"/>
      <c r="R388" s="46"/>
    </row>
    <row r="389" spans="1:18" ht="47.25" hidden="1" thickTop="1" thickBot="1" x14ac:dyDescent="0.25">
      <c r="A389" s="123" t="s">
        <v>901</v>
      </c>
      <c r="B389" s="123" t="s">
        <v>698</v>
      </c>
      <c r="C389" s="123"/>
      <c r="D389" s="123" t="s">
        <v>699</v>
      </c>
      <c r="E389" s="125">
        <f>E390</f>
        <v>0</v>
      </c>
      <c r="F389" s="125">
        <f t="shared" ref="F389:P390" si="430">F390</f>
        <v>0</v>
      </c>
      <c r="G389" s="125">
        <f t="shared" si="430"/>
        <v>0</v>
      </c>
      <c r="H389" s="125">
        <f t="shared" si="430"/>
        <v>0</v>
      </c>
      <c r="I389" s="125">
        <f t="shared" si="430"/>
        <v>0</v>
      </c>
      <c r="J389" s="125">
        <f t="shared" si="430"/>
        <v>0</v>
      </c>
      <c r="K389" s="125">
        <f t="shared" si="430"/>
        <v>0</v>
      </c>
      <c r="L389" s="125">
        <f t="shared" si="430"/>
        <v>0</v>
      </c>
      <c r="M389" s="125">
        <f t="shared" si="430"/>
        <v>0</v>
      </c>
      <c r="N389" s="125">
        <f t="shared" si="430"/>
        <v>0</v>
      </c>
      <c r="O389" s="125">
        <f t="shared" si="430"/>
        <v>0</v>
      </c>
      <c r="P389" s="125">
        <f t="shared" si="430"/>
        <v>0</v>
      </c>
      <c r="Q389" s="20"/>
      <c r="R389" s="46"/>
    </row>
    <row r="390" spans="1:18" ht="91.5" hidden="1" thickTop="1" thickBot="1" x14ac:dyDescent="0.25">
      <c r="A390" s="134" t="s">
        <v>902</v>
      </c>
      <c r="B390" s="134" t="s">
        <v>701</v>
      </c>
      <c r="C390" s="134"/>
      <c r="D390" s="134" t="s">
        <v>702</v>
      </c>
      <c r="E390" s="135">
        <f>E391</f>
        <v>0</v>
      </c>
      <c r="F390" s="135">
        <f t="shared" si="430"/>
        <v>0</v>
      </c>
      <c r="G390" s="135">
        <f t="shared" si="430"/>
        <v>0</v>
      </c>
      <c r="H390" s="135">
        <f t="shared" si="430"/>
        <v>0</v>
      </c>
      <c r="I390" s="135">
        <f t="shared" si="430"/>
        <v>0</v>
      </c>
      <c r="J390" s="135">
        <f t="shared" si="430"/>
        <v>0</v>
      </c>
      <c r="K390" s="135">
        <f t="shared" si="430"/>
        <v>0</v>
      </c>
      <c r="L390" s="135">
        <f t="shared" si="430"/>
        <v>0</v>
      </c>
      <c r="M390" s="135">
        <f t="shared" si="430"/>
        <v>0</v>
      </c>
      <c r="N390" s="135">
        <f t="shared" si="430"/>
        <v>0</v>
      </c>
      <c r="O390" s="135">
        <f t="shared" si="430"/>
        <v>0</v>
      </c>
      <c r="P390" s="135">
        <f t="shared" si="430"/>
        <v>0</v>
      </c>
      <c r="Q390" s="20"/>
      <c r="R390" s="46"/>
    </row>
    <row r="391" spans="1:18" ht="48" hidden="1" thickTop="1" thickBot="1" x14ac:dyDescent="0.25">
      <c r="A391" s="126" t="s">
        <v>903</v>
      </c>
      <c r="B391" s="126" t="s">
        <v>363</v>
      </c>
      <c r="C391" s="126" t="s">
        <v>43</v>
      </c>
      <c r="D391" s="126" t="s">
        <v>364</v>
      </c>
      <c r="E391" s="125">
        <f t="shared" ref="E391" si="431">F391</f>
        <v>0</v>
      </c>
      <c r="F391" s="132"/>
      <c r="G391" s="132"/>
      <c r="H391" s="132"/>
      <c r="I391" s="132"/>
      <c r="J391" s="125">
        <f>L391+O391</f>
        <v>0</v>
      </c>
      <c r="K391" s="132"/>
      <c r="L391" s="132"/>
      <c r="M391" s="132"/>
      <c r="N391" s="132"/>
      <c r="O391" s="130">
        <f>K391</f>
        <v>0</v>
      </c>
      <c r="P391" s="125">
        <f>E391+J391</f>
        <v>0</v>
      </c>
      <c r="Q391" s="20"/>
      <c r="R391" s="46"/>
    </row>
    <row r="392" spans="1:18" ht="120" customHeight="1" thickTop="1" thickBot="1" x14ac:dyDescent="0.25">
      <c r="A392" s="689" t="s">
        <v>164</v>
      </c>
      <c r="B392" s="689"/>
      <c r="C392" s="689"/>
      <c r="D392" s="690" t="s">
        <v>882</v>
      </c>
      <c r="E392" s="691">
        <f>E393</f>
        <v>7583188</v>
      </c>
      <c r="F392" s="692">
        <f t="shared" ref="F392:G392" si="432">F393</f>
        <v>7583188</v>
      </c>
      <c r="G392" s="692">
        <f t="shared" si="432"/>
        <v>5935080</v>
      </c>
      <c r="H392" s="692">
        <f>H393</f>
        <v>150433</v>
      </c>
      <c r="I392" s="692">
        <f t="shared" ref="I392" si="433">I393</f>
        <v>0</v>
      </c>
      <c r="J392" s="691">
        <f>J393</f>
        <v>1200000</v>
      </c>
      <c r="K392" s="692">
        <f>K393</f>
        <v>0</v>
      </c>
      <c r="L392" s="692">
        <f>L393</f>
        <v>1200000</v>
      </c>
      <c r="M392" s="692">
        <f t="shared" ref="M392" si="434">M393</f>
        <v>0</v>
      </c>
      <c r="N392" s="692">
        <f>N393</f>
        <v>0</v>
      </c>
      <c r="O392" s="691">
        <f>O393</f>
        <v>0</v>
      </c>
      <c r="P392" s="692">
        <f t="shared" ref="P392" si="435">P393</f>
        <v>8783188</v>
      </c>
      <c r="Q392" s="20"/>
    </row>
    <row r="393" spans="1:18" ht="120" customHeight="1" thickTop="1" thickBot="1" x14ac:dyDescent="0.25">
      <c r="A393" s="693" t="s">
        <v>165</v>
      </c>
      <c r="B393" s="693"/>
      <c r="C393" s="693"/>
      <c r="D393" s="694" t="s">
        <v>881</v>
      </c>
      <c r="E393" s="695">
        <f>E394+E397+E400</f>
        <v>7583188</v>
      </c>
      <c r="F393" s="695">
        <f t="shared" ref="F393:P393" si="436">F394+F397+F400</f>
        <v>7583188</v>
      </c>
      <c r="G393" s="695">
        <f>G394+G397+G400</f>
        <v>5935080</v>
      </c>
      <c r="H393" s="695">
        <f t="shared" si="436"/>
        <v>150433</v>
      </c>
      <c r="I393" s="695">
        <f t="shared" si="436"/>
        <v>0</v>
      </c>
      <c r="J393" s="695">
        <f>J394+J397+J400</f>
        <v>1200000</v>
      </c>
      <c r="K393" s="695">
        <f t="shared" si="436"/>
        <v>0</v>
      </c>
      <c r="L393" s="695">
        <f>L394+L397+L400</f>
        <v>1200000</v>
      </c>
      <c r="M393" s="695">
        <f t="shared" si="436"/>
        <v>0</v>
      </c>
      <c r="N393" s="695">
        <f t="shared" si="436"/>
        <v>0</v>
      </c>
      <c r="O393" s="695">
        <f t="shared" si="436"/>
        <v>0</v>
      </c>
      <c r="P393" s="695">
        <f t="shared" si="436"/>
        <v>8783188</v>
      </c>
      <c r="Q393" s="487" t="b">
        <f>P393=P395+P399</f>
        <v>1</v>
      </c>
      <c r="R393" s="46"/>
    </row>
    <row r="394" spans="1:18" ht="47.25" thickTop="1" thickBot="1" x14ac:dyDescent="0.25">
      <c r="A394" s="308" t="s">
        <v>828</v>
      </c>
      <c r="B394" s="308" t="s">
        <v>680</v>
      </c>
      <c r="C394" s="308"/>
      <c r="D394" s="308" t="s">
        <v>681</v>
      </c>
      <c r="E394" s="324">
        <f>SUM(E395:E396)</f>
        <v>7583188</v>
      </c>
      <c r="F394" s="324">
        <f t="shared" ref="F394" si="437">SUM(F395:F396)</f>
        <v>7583188</v>
      </c>
      <c r="G394" s="324">
        <f t="shared" ref="G394" si="438">SUM(G395:G396)</f>
        <v>5935080</v>
      </c>
      <c r="H394" s="324">
        <f t="shared" ref="H394" si="439">SUM(H395:H396)</f>
        <v>150433</v>
      </c>
      <c r="I394" s="324">
        <f t="shared" ref="I394" si="440">SUM(I395:I396)</f>
        <v>0</v>
      </c>
      <c r="J394" s="324">
        <f t="shared" ref="J394" si="441">SUM(J395:J396)</f>
        <v>0</v>
      </c>
      <c r="K394" s="324">
        <f t="shared" ref="K394" si="442">SUM(K395:K396)</f>
        <v>0</v>
      </c>
      <c r="L394" s="324">
        <f t="shared" ref="L394" si="443">SUM(L395:L396)</f>
        <v>0</v>
      </c>
      <c r="M394" s="324">
        <f t="shared" ref="M394" si="444">SUM(M395:M396)</f>
        <v>0</v>
      </c>
      <c r="N394" s="324">
        <f t="shared" ref="N394" si="445">SUM(N395:N396)</f>
        <v>0</v>
      </c>
      <c r="O394" s="324">
        <f>SUM(O395:O396)</f>
        <v>0</v>
      </c>
      <c r="P394" s="324">
        <f t="shared" ref="P394" si="446">SUM(P395:P396)</f>
        <v>7583188</v>
      </c>
      <c r="Q394" s="47"/>
      <c r="R394" s="46"/>
    </row>
    <row r="395" spans="1:18" ht="93" thickTop="1" thickBot="1" x14ac:dyDescent="0.25">
      <c r="A395" s="101" t="s">
        <v>421</v>
      </c>
      <c r="B395" s="101" t="s">
        <v>236</v>
      </c>
      <c r="C395" s="101" t="s">
        <v>234</v>
      </c>
      <c r="D395" s="101" t="s">
        <v>235</v>
      </c>
      <c r="E395" s="324">
        <f>F395</f>
        <v>7583188</v>
      </c>
      <c r="F395" s="453">
        <f>((7070528)+28860)+483800</f>
        <v>7583188</v>
      </c>
      <c r="G395" s="453">
        <f>(5498880)+436200</f>
        <v>5935080</v>
      </c>
      <c r="H395" s="453">
        <f>(121573)+28860</f>
        <v>150433</v>
      </c>
      <c r="I395" s="453"/>
      <c r="J395" s="324">
        <f t="shared" ref="J395:J399" si="447">L395+O395</f>
        <v>0</v>
      </c>
      <c r="K395" s="453"/>
      <c r="L395" s="453"/>
      <c r="M395" s="453"/>
      <c r="N395" s="453"/>
      <c r="O395" s="450">
        <f>K395</f>
        <v>0</v>
      </c>
      <c r="P395" s="324">
        <f t="shared" ref="P395:P399" si="448">E395+J395</f>
        <v>7583188</v>
      </c>
      <c r="Q395" s="47"/>
      <c r="R395" s="46"/>
    </row>
    <row r="396" spans="1:18" ht="93" hidden="1" thickTop="1" thickBot="1" x14ac:dyDescent="0.25">
      <c r="A396" s="41" t="s">
        <v>631</v>
      </c>
      <c r="B396" s="41" t="s">
        <v>362</v>
      </c>
      <c r="C396" s="41" t="s">
        <v>623</v>
      </c>
      <c r="D396" s="41" t="s">
        <v>624</v>
      </c>
      <c r="E396" s="150">
        <f>F396</f>
        <v>0</v>
      </c>
      <c r="F396" s="127">
        <v>0</v>
      </c>
      <c r="G396" s="127"/>
      <c r="H396" s="127"/>
      <c r="I396" s="127"/>
      <c r="J396" s="125">
        <f t="shared" si="447"/>
        <v>0</v>
      </c>
      <c r="K396" s="127"/>
      <c r="L396" s="128"/>
      <c r="M396" s="128"/>
      <c r="N396" s="128"/>
      <c r="O396" s="130">
        <f t="shared" ref="O396" si="449">K396</f>
        <v>0</v>
      </c>
      <c r="P396" s="125">
        <f t="shared" ref="P396" si="450">+J396+E396</f>
        <v>0</v>
      </c>
      <c r="Q396" s="47"/>
      <c r="R396" s="46"/>
    </row>
    <row r="397" spans="1:18" ht="47.25" thickTop="1" thickBot="1" x14ac:dyDescent="0.25">
      <c r="A397" s="308" t="s">
        <v>829</v>
      </c>
      <c r="B397" s="308" t="s">
        <v>692</v>
      </c>
      <c r="C397" s="308"/>
      <c r="D397" s="308" t="s">
        <v>693</v>
      </c>
      <c r="E397" s="309">
        <f>E398</f>
        <v>0</v>
      </c>
      <c r="F397" s="309">
        <f t="shared" ref="F397:P398" si="451">F398</f>
        <v>0</v>
      </c>
      <c r="G397" s="309">
        <f t="shared" si="451"/>
        <v>0</v>
      </c>
      <c r="H397" s="309">
        <f t="shared" si="451"/>
        <v>0</v>
      </c>
      <c r="I397" s="309">
        <f t="shared" si="451"/>
        <v>0</v>
      </c>
      <c r="J397" s="309">
        <f t="shared" si="451"/>
        <v>1200000</v>
      </c>
      <c r="K397" s="309">
        <f t="shared" si="451"/>
        <v>0</v>
      </c>
      <c r="L397" s="309">
        <f t="shared" si="451"/>
        <v>1200000</v>
      </c>
      <c r="M397" s="309">
        <f t="shared" si="451"/>
        <v>0</v>
      </c>
      <c r="N397" s="309">
        <f t="shared" si="451"/>
        <v>0</v>
      </c>
      <c r="O397" s="309">
        <f t="shared" si="451"/>
        <v>0</v>
      </c>
      <c r="P397" s="309">
        <f t="shared" si="451"/>
        <v>1200000</v>
      </c>
      <c r="Q397" s="47"/>
      <c r="R397" s="46"/>
    </row>
    <row r="398" spans="1:18" ht="47.25" thickTop="1" thickBot="1" x14ac:dyDescent="0.25">
      <c r="A398" s="310" t="s">
        <v>830</v>
      </c>
      <c r="B398" s="310" t="s">
        <v>831</v>
      </c>
      <c r="C398" s="310"/>
      <c r="D398" s="310" t="s">
        <v>832</v>
      </c>
      <c r="E398" s="311">
        <f>E399</f>
        <v>0</v>
      </c>
      <c r="F398" s="311">
        <f t="shared" si="451"/>
        <v>0</v>
      </c>
      <c r="G398" s="311">
        <f t="shared" si="451"/>
        <v>0</v>
      </c>
      <c r="H398" s="311">
        <f t="shared" si="451"/>
        <v>0</v>
      </c>
      <c r="I398" s="311">
        <f t="shared" si="451"/>
        <v>0</v>
      </c>
      <c r="J398" s="311">
        <f t="shared" si="451"/>
        <v>1200000</v>
      </c>
      <c r="K398" s="311">
        <f t="shared" ref="K398:P398" si="452">K399</f>
        <v>0</v>
      </c>
      <c r="L398" s="311">
        <f t="shared" si="452"/>
        <v>1200000</v>
      </c>
      <c r="M398" s="311">
        <f t="shared" si="452"/>
        <v>0</v>
      </c>
      <c r="N398" s="311">
        <f t="shared" si="452"/>
        <v>0</v>
      </c>
      <c r="O398" s="311">
        <f t="shared" si="452"/>
        <v>0</v>
      </c>
      <c r="P398" s="311">
        <f t="shared" si="452"/>
        <v>1200000</v>
      </c>
      <c r="Q398" s="47"/>
      <c r="R398" s="46"/>
    </row>
    <row r="399" spans="1:18" ht="48" thickTop="1" thickBot="1" x14ac:dyDescent="0.25">
      <c r="A399" s="101" t="s">
        <v>1109</v>
      </c>
      <c r="B399" s="101" t="s">
        <v>1110</v>
      </c>
      <c r="C399" s="101" t="s">
        <v>51</v>
      </c>
      <c r="D399" s="101" t="s">
        <v>1111</v>
      </c>
      <c r="E399" s="324">
        <v>0</v>
      </c>
      <c r="F399" s="453"/>
      <c r="G399" s="453"/>
      <c r="H399" s="453"/>
      <c r="I399" s="453"/>
      <c r="J399" s="324">
        <f t="shared" si="447"/>
        <v>1200000</v>
      </c>
      <c r="K399" s="324"/>
      <c r="L399" s="453">
        <f>80000+60000+60000+80000+20000+100000+500000+300000</f>
        <v>1200000</v>
      </c>
      <c r="M399" s="453"/>
      <c r="N399" s="453"/>
      <c r="O399" s="450">
        <f>K399</f>
        <v>0</v>
      </c>
      <c r="P399" s="324">
        <f t="shared" si="448"/>
        <v>1200000</v>
      </c>
      <c r="Q399" s="487" t="b">
        <f>J399='d9'!F20</f>
        <v>1</v>
      </c>
    </row>
    <row r="400" spans="1:18" ht="47.25" hidden="1" thickTop="1" thickBot="1" x14ac:dyDescent="0.25">
      <c r="A400" s="123" t="s">
        <v>1231</v>
      </c>
      <c r="B400" s="123" t="s">
        <v>698</v>
      </c>
      <c r="C400" s="123"/>
      <c r="D400" s="123" t="s">
        <v>699</v>
      </c>
      <c r="E400" s="125">
        <f t="shared" ref="E400:L400" si="453">E401</f>
        <v>0</v>
      </c>
      <c r="F400" s="125">
        <f t="shared" si="453"/>
        <v>0</v>
      </c>
      <c r="G400" s="125">
        <f t="shared" si="453"/>
        <v>0</v>
      </c>
      <c r="H400" s="125">
        <f t="shared" si="453"/>
        <v>0</v>
      </c>
      <c r="I400" s="125">
        <f t="shared" si="453"/>
        <v>0</v>
      </c>
      <c r="J400" s="125">
        <f t="shared" si="453"/>
        <v>0</v>
      </c>
      <c r="K400" s="125">
        <f t="shared" si="453"/>
        <v>0</v>
      </c>
      <c r="L400" s="125">
        <f t="shared" si="453"/>
        <v>0</v>
      </c>
      <c r="M400" s="125">
        <f t="shared" ref="M400:P400" si="454">M401</f>
        <v>0</v>
      </c>
      <c r="N400" s="125">
        <f t="shared" si="454"/>
        <v>0</v>
      </c>
      <c r="O400" s="125">
        <f t="shared" si="454"/>
        <v>0</v>
      </c>
      <c r="P400" s="125">
        <f t="shared" si="454"/>
        <v>0</v>
      </c>
      <c r="Q400" s="47"/>
    </row>
    <row r="401" spans="1:19" ht="91.5" hidden="1" thickTop="1" thickBot="1" x14ac:dyDescent="0.25">
      <c r="A401" s="134" t="s">
        <v>1230</v>
      </c>
      <c r="B401" s="134" t="s">
        <v>513</v>
      </c>
      <c r="C401" s="134" t="s">
        <v>43</v>
      </c>
      <c r="D401" s="134" t="s">
        <v>514</v>
      </c>
      <c r="E401" s="135">
        <f t="shared" ref="E401" si="455">F401</f>
        <v>0</v>
      </c>
      <c r="F401" s="135">
        <v>0</v>
      </c>
      <c r="G401" s="135"/>
      <c r="H401" s="135"/>
      <c r="I401" s="135"/>
      <c r="J401" s="135">
        <f>L401+O401</f>
        <v>0</v>
      </c>
      <c r="K401" s="132">
        <v>0</v>
      </c>
      <c r="L401" s="135"/>
      <c r="M401" s="135"/>
      <c r="N401" s="135"/>
      <c r="O401" s="135">
        <f>(K401+0)</f>
        <v>0</v>
      </c>
      <c r="P401" s="135">
        <f>E401+J401</f>
        <v>0</v>
      </c>
      <c r="Q401" s="47"/>
    </row>
    <row r="402" spans="1:19" ht="120" customHeight="1" thickTop="1" thickBot="1" x14ac:dyDescent="0.25">
      <c r="A402" s="689" t="s">
        <v>162</v>
      </c>
      <c r="B402" s="689"/>
      <c r="C402" s="689"/>
      <c r="D402" s="690" t="s">
        <v>891</v>
      </c>
      <c r="E402" s="691">
        <f>E403</f>
        <v>10326624</v>
      </c>
      <c r="F402" s="692">
        <f t="shared" ref="F402:G402" si="456">F403</f>
        <v>10326624</v>
      </c>
      <c r="G402" s="692">
        <f t="shared" si="456"/>
        <v>7563804</v>
      </c>
      <c r="H402" s="692">
        <f>H403</f>
        <v>338783</v>
      </c>
      <c r="I402" s="692">
        <f t="shared" ref="I402" si="457">I403</f>
        <v>0</v>
      </c>
      <c r="J402" s="691">
        <f>J403</f>
        <v>174000</v>
      </c>
      <c r="K402" s="692">
        <f>K403</f>
        <v>174000</v>
      </c>
      <c r="L402" s="692">
        <f>L403</f>
        <v>0</v>
      </c>
      <c r="M402" s="692">
        <f t="shared" ref="M402" si="458">M403</f>
        <v>0</v>
      </c>
      <c r="N402" s="692">
        <f>N403</f>
        <v>0</v>
      </c>
      <c r="O402" s="691">
        <f>O403</f>
        <v>174000</v>
      </c>
      <c r="P402" s="692">
        <f t="shared" ref="P402" si="459">P403</f>
        <v>10500624</v>
      </c>
      <c r="Q402" s="20"/>
    </row>
    <row r="403" spans="1:19" ht="120" customHeight="1" thickTop="1" thickBot="1" x14ac:dyDescent="0.25">
      <c r="A403" s="693" t="s">
        <v>163</v>
      </c>
      <c r="B403" s="693"/>
      <c r="C403" s="693"/>
      <c r="D403" s="694" t="s">
        <v>890</v>
      </c>
      <c r="E403" s="695">
        <f>E404+E406</f>
        <v>10326624</v>
      </c>
      <c r="F403" s="695">
        <f t="shared" ref="F403:I403" si="460">F404+F406</f>
        <v>10326624</v>
      </c>
      <c r="G403" s="695">
        <f t="shared" si="460"/>
        <v>7563804</v>
      </c>
      <c r="H403" s="695">
        <f t="shared" si="460"/>
        <v>338783</v>
      </c>
      <c r="I403" s="695">
        <f t="shared" si="460"/>
        <v>0</v>
      </c>
      <c r="J403" s="695">
        <f>L403+O403</f>
        <v>174000</v>
      </c>
      <c r="K403" s="695">
        <f t="shared" ref="K403:O403" si="461">K404+K406</f>
        <v>174000</v>
      </c>
      <c r="L403" s="695">
        <f t="shared" si="461"/>
        <v>0</v>
      </c>
      <c r="M403" s="695">
        <f t="shared" si="461"/>
        <v>0</v>
      </c>
      <c r="N403" s="695">
        <f t="shared" si="461"/>
        <v>0</v>
      </c>
      <c r="O403" s="695">
        <f t="shared" si="461"/>
        <v>174000</v>
      </c>
      <c r="P403" s="695">
        <f>E403+J403</f>
        <v>10500624</v>
      </c>
      <c r="Q403" s="487" t="b">
        <f>P403=P405+P408+P410</f>
        <v>1</v>
      </c>
      <c r="R403" s="45"/>
    </row>
    <row r="404" spans="1:19" ht="47.25" thickTop="1" thickBot="1" x14ac:dyDescent="0.25">
      <c r="A404" s="308" t="s">
        <v>833</v>
      </c>
      <c r="B404" s="308" t="s">
        <v>680</v>
      </c>
      <c r="C404" s="308"/>
      <c r="D404" s="308" t="s">
        <v>681</v>
      </c>
      <c r="E404" s="324">
        <f>SUM(E405)</f>
        <v>9993624</v>
      </c>
      <c r="F404" s="324">
        <f t="shared" ref="F404:P404" si="462">SUM(F405)</f>
        <v>9993624</v>
      </c>
      <c r="G404" s="324">
        <f t="shared" si="462"/>
        <v>7563804</v>
      </c>
      <c r="H404" s="324">
        <f t="shared" si="462"/>
        <v>338783</v>
      </c>
      <c r="I404" s="324">
        <f t="shared" si="462"/>
        <v>0</v>
      </c>
      <c r="J404" s="324">
        <f t="shared" si="462"/>
        <v>60000</v>
      </c>
      <c r="K404" s="324">
        <f t="shared" si="462"/>
        <v>60000</v>
      </c>
      <c r="L404" s="324">
        <f t="shared" si="462"/>
        <v>0</v>
      </c>
      <c r="M404" s="324">
        <f t="shared" si="462"/>
        <v>0</v>
      </c>
      <c r="N404" s="324">
        <f t="shared" si="462"/>
        <v>0</v>
      </c>
      <c r="O404" s="324">
        <f t="shared" si="462"/>
        <v>60000</v>
      </c>
      <c r="P404" s="324">
        <f t="shared" si="462"/>
        <v>10053624</v>
      </c>
      <c r="Q404" s="47"/>
      <c r="R404" s="45"/>
    </row>
    <row r="405" spans="1:19" ht="93" thickTop="1" thickBot="1" x14ac:dyDescent="0.25">
      <c r="A405" s="101" t="s">
        <v>417</v>
      </c>
      <c r="B405" s="101" t="s">
        <v>236</v>
      </c>
      <c r="C405" s="101" t="s">
        <v>234</v>
      </c>
      <c r="D405" s="101" t="s">
        <v>235</v>
      </c>
      <c r="E405" s="324">
        <f>F405</f>
        <v>9993624</v>
      </c>
      <c r="F405" s="453">
        <f>(((10159624)+9000)-250000+15000+15000+5000+16000)+24000</f>
        <v>9993624</v>
      </c>
      <c r="G405" s="453">
        <f>((7843804)-250000)-30000</f>
        <v>7563804</v>
      </c>
      <c r="H405" s="453">
        <f>(329783)+9000</f>
        <v>338783</v>
      </c>
      <c r="I405" s="453"/>
      <c r="J405" s="324">
        <f>L405+O405</f>
        <v>60000</v>
      </c>
      <c r="K405" s="453">
        <f>(0)+60000</f>
        <v>60000</v>
      </c>
      <c r="L405" s="453"/>
      <c r="M405" s="453"/>
      <c r="N405" s="453"/>
      <c r="O405" s="450">
        <f>K405</f>
        <v>60000</v>
      </c>
      <c r="P405" s="324">
        <f>E405+J405</f>
        <v>10053624</v>
      </c>
      <c r="Q405" s="20"/>
      <c r="R405" s="45"/>
    </row>
    <row r="406" spans="1:19" ht="47.25" thickTop="1" thickBot="1" x14ac:dyDescent="0.25">
      <c r="A406" s="308" t="s">
        <v>834</v>
      </c>
      <c r="B406" s="308" t="s">
        <v>744</v>
      </c>
      <c r="C406" s="101"/>
      <c r="D406" s="308" t="s">
        <v>790</v>
      </c>
      <c r="E406" s="324">
        <f t="shared" ref="E406:P406" si="463">E407+E409</f>
        <v>333000</v>
      </c>
      <c r="F406" s="324">
        <f t="shared" si="463"/>
        <v>333000</v>
      </c>
      <c r="G406" s="324">
        <f t="shared" si="463"/>
        <v>0</v>
      </c>
      <c r="H406" s="324">
        <f t="shared" si="463"/>
        <v>0</v>
      </c>
      <c r="I406" s="324">
        <f t="shared" si="463"/>
        <v>0</v>
      </c>
      <c r="J406" s="324">
        <f t="shared" si="463"/>
        <v>114000</v>
      </c>
      <c r="K406" s="324">
        <f t="shared" si="463"/>
        <v>114000</v>
      </c>
      <c r="L406" s="324">
        <f t="shared" si="463"/>
        <v>0</v>
      </c>
      <c r="M406" s="324">
        <f t="shared" si="463"/>
        <v>0</v>
      </c>
      <c r="N406" s="324">
        <f t="shared" si="463"/>
        <v>0</v>
      </c>
      <c r="O406" s="324">
        <f t="shared" si="463"/>
        <v>114000</v>
      </c>
      <c r="P406" s="324">
        <f t="shared" si="463"/>
        <v>447000</v>
      </c>
      <c r="Q406" s="20"/>
      <c r="R406" s="47"/>
    </row>
    <row r="407" spans="1:19" ht="47.25" thickTop="1" thickBot="1" x14ac:dyDescent="0.25">
      <c r="A407" s="310" t="s">
        <v>835</v>
      </c>
      <c r="B407" s="310" t="s">
        <v>836</v>
      </c>
      <c r="C407" s="310"/>
      <c r="D407" s="310" t="s">
        <v>837</v>
      </c>
      <c r="E407" s="312">
        <f>SUM(E408)</f>
        <v>333000</v>
      </c>
      <c r="F407" s="312">
        <f t="shared" ref="F407:P407" si="464">SUM(F408)</f>
        <v>333000</v>
      </c>
      <c r="G407" s="312">
        <f t="shared" si="464"/>
        <v>0</v>
      </c>
      <c r="H407" s="312">
        <f t="shared" si="464"/>
        <v>0</v>
      </c>
      <c r="I407" s="312">
        <f t="shared" si="464"/>
        <v>0</v>
      </c>
      <c r="J407" s="312">
        <f t="shared" si="464"/>
        <v>0</v>
      </c>
      <c r="K407" s="312">
        <f t="shared" si="464"/>
        <v>0</v>
      </c>
      <c r="L407" s="312">
        <f t="shared" si="464"/>
        <v>0</v>
      </c>
      <c r="M407" s="312">
        <f t="shared" si="464"/>
        <v>0</v>
      </c>
      <c r="N407" s="312">
        <f t="shared" si="464"/>
        <v>0</v>
      </c>
      <c r="O407" s="312">
        <f t="shared" si="464"/>
        <v>0</v>
      </c>
      <c r="P407" s="312">
        <f t="shared" si="464"/>
        <v>333000</v>
      </c>
      <c r="Q407" s="20"/>
      <c r="R407" s="47"/>
    </row>
    <row r="408" spans="1:19" ht="48" thickTop="1" thickBot="1" x14ac:dyDescent="0.25">
      <c r="A408" s="101" t="s">
        <v>306</v>
      </c>
      <c r="B408" s="101" t="s">
        <v>307</v>
      </c>
      <c r="C408" s="101" t="s">
        <v>308</v>
      </c>
      <c r="D408" s="101" t="s">
        <v>460</v>
      </c>
      <c r="E408" s="324">
        <f>F408</f>
        <v>333000</v>
      </c>
      <c r="F408" s="453">
        <f>(((30000)+80000+50000)+110000)+63000</f>
        <v>333000</v>
      </c>
      <c r="G408" s="453"/>
      <c r="H408" s="453"/>
      <c r="I408" s="453"/>
      <c r="J408" s="324">
        <f>L408+O408</f>
        <v>0</v>
      </c>
      <c r="K408" s="453">
        <f>(30000)-30000</f>
        <v>0</v>
      </c>
      <c r="L408" s="453"/>
      <c r="M408" s="453"/>
      <c r="N408" s="453"/>
      <c r="O408" s="450">
        <f>(K408)</f>
        <v>0</v>
      </c>
      <c r="P408" s="324">
        <f>E408+J408</f>
        <v>333000</v>
      </c>
      <c r="Q408" s="20"/>
      <c r="R408" s="45"/>
    </row>
    <row r="409" spans="1:19" ht="47.25" thickTop="1" thickBot="1" x14ac:dyDescent="0.25">
      <c r="A409" s="310" t="s">
        <v>838</v>
      </c>
      <c r="B409" s="310" t="s">
        <v>687</v>
      </c>
      <c r="C409" s="101"/>
      <c r="D409" s="310" t="s">
        <v>839</v>
      </c>
      <c r="E409" s="312">
        <f>SUM(E410)</f>
        <v>0</v>
      </c>
      <c r="F409" s="312">
        <f t="shared" ref="F409:P409" si="465">SUM(F410)</f>
        <v>0</v>
      </c>
      <c r="G409" s="312">
        <f t="shared" si="465"/>
        <v>0</v>
      </c>
      <c r="H409" s="312">
        <f t="shared" si="465"/>
        <v>0</v>
      </c>
      <c r="I409" s="312">
        <f t="shared" si="465"/>
        <v>0</v>
      </c>
      <c r="J409" s="312">
        <f t="shared" si="465"/>
        <v>114000</v>
      </c>
      <c r="K409" s="312">
        <f t="shared" si="465"/>
        <v>114000</v>
      </c>
      <c r="L409" s="312">
        <f t="shared" si="465"/>
        <v>0</v>
      </c>
      <c r="M409" s="312">
        <f t="shared" si="465"/>
        <v>0</v>
      </c>
      <c r="N409" s="312">
        <f t="shared" si="465"/>
        <v>0</v>
      </c>
      <c r="O409" s="312">
        <f t="shared" si="465"/>
        <v>114000</v>
      </c>
      <c r="P409" s="312">
        <f t="shared" si="465"/>
        <v>114000</v>
      </c>
      <c r="Q409" s="20"/>
    </row>
    <row r="410" spans="1:19" ht="48" thickTop="1" thickBot="1" x14ac:dyDescent="0.25">
      <c r="A410" s="101" t="s">
        <v>368</v>
      </c>
      <c r="B410" s="101" t="s">
        <v>369</v>
      </c>
      <c r="C410" s="101" t="s">
        <v>170</v>
      </c>
      <c r="D410" s="101" t="s">
        <v>370</v>
      </c>
      <c r="E410" s="324">
        <f>F410</f>
        <v>0</v>
      </c>
      <c r="F410" s="453"/>
      <c r="G410" s="453"/>
      <c r="H410" s="453"/>
      <c r="I410" s="453"/>
      <c r="J410" s="324">
        <f>L410+O410</f>
        <v>114000</v>
      </c>
      <c r="K410" s="453">
        <f>((((5000)+10000)+50000)+20000)+29000</f>
        <v>114000</v>
      </c>
      <c r="L410" s="453"/>
      <c r="M410" s="453"/>
      <c r="N410" s="453"/>
      <c r="O410" s="450">
        <f>K410</f>
        <v>114000</v>
      </c>
      <c r="P410" s="324">
        <f>E410+J410</f>
        <v>114000</v>
      </c>
      <c r="Q410" s="20"/>
      <c r="R410" s="45"/>
    </row>
    <row r="411" spans="1:19" ht="120" customHeight="1" thickTop="1" thickBot="1" x14ac:dyDescent="0.25">
      <c r="A411" s="689" t="s">
        <v>168</v>
      </c>
      <c r="B411" s="689"/>
      <c r="C411" s="689"/>
      <c r="D411" s="690" t="s">
        <v>27</v>
      </c>
      <c r="E411" s="691">
        <f>E412</f>
        <v>15933685.300000001</v>
      </c>
      <c r="F411" s="692">
        <f t="shared" ref="F411:G411" si="466">F412</f>
        <v>15933685.300000001</v>
      </c>
      <c r="G411" s="692">
        <f t="shared" si="466"/>
        <v>9003383</v>
      </c>
      <c r="H411" s="692">
        <f>H412</f>
        <v>213373</v>
      </c>
      <c r="I411" s="692">
        <f t="shared" ref="I411" si="467">I412</f>
        <v>0</v>
      </c>
      <c r="J411" s="691">
        <f>J412</f>
        <v>60000</v>
      </c>
      <c r="K411" s="692">
        <f>K412</f>
        <v>60000</v>
      </c>
      <c r="L411" s="692">
        <f>L412</f>
        <v>0</v>
      </c>
      <c r="M411" s="692">
        <f t="shared" ref="M411" si="468">M412</f>
        <v>0</v>
      </c>
      <c r="N411" s="692">
        <f>N412</f>
        <v>0</v>
      </c>
      <c r="O411" s="691">
        <f>O412</f>
        <v>60000</v>
      </c>
      <c r="P411" s="692">
        <f t="shared" ref="P411" si="469">P412</f>
        <v>15993685.300000001</v>
      </c>
      <c r="Q411" s="20"/>
    </row>
    <row r="412" spans="1:19" ht="120" customHeight="1" thickTop="1" thickBot="1" x14ac:dyDescent="0.25">
      <c r="A412" s="693" t="s">
        <v>169</v>
      </c>
      <c r="B412" s="693"/>
      <c r="C412" s="693"/>
      <c r="D412" s="694" t="s">
        <v>40</v>
      </c>
      <c r="E412" s="695">
        <f>E413+E419+E426+E416</f>
        <v>15933685.300000001</v>
      </c>
      <c r="F412" s="695">
        <f t="shared" ref="F412:P412" si="470">F413+F419+F426+F416</f>
        <v>15933685.300000001</v>
      </c>
      <c r="G412" s="695">
        <f t="shared" si="470"/>
        <v>9003383</v>
      </c>
      <c r="H412" s="695">
        <f t="shared" si="470"/>
        <v>213373</v>
      </c>
      <c r="I412" s="695">
        <f t="shared" si="470"/>
        <v>0</v>
      </c>
      <c r="J412" s="695">
        <f t="shared" si="470"/>
        <v>60000</v>
      </c>
      <c r="K412" s="695">
        <f t="shared" si="470"/>
        <v>60000</v>
      </c>
      <c r="L412" s="695">
        <f t="shared" si="470"/>
        <v>0</v>
      </c>
      <c r="M412" s="695">
        <f t="shared" si="470"/>
        <v>0</v>
      </c>
      <c r="N412" s="695">
        <f t="shared" si="470"/>
        <v>0</v>
      </c>
      <c r="O412" s="695">
        <f t="shared" si="470"/>
        <v>60000</v>
      </c>
      <c r="P412" s="695">
        <f t="shared" si="470"/>
        <v>15993685.300000001</v>
      </c>
      <c r="Q412" s="487" t="b">
        <f>P412=P414+P420+P422</f>
        <v>1</v>
      </c>
      <c r="R412" s="45"/>
    </row>
    <row r="413" spans="1:19" ht="47.25" thickTop="1" thickBot="1" x14ac:dyDescent="0.25">
      <c r="A413" s="308" t="s">
        <v>840</v>
      </c>
      <c r="B413" s="308" t="s">
        <v>680</v>
      </c>
      <c r="C413" s="308"/>
      <c r="D413" s="308" t="s">
        <v>681</v>
      </c>
      <c r="E413" s="324">
        <f>SUM(E414:E415)</f>
        <v>11266342.289999999</v>
      </c>
      <c r="F413" s="324">
        <f t="shared" ref="F413:P413" si="471">SUM(F414:F415)</f>
        <v>11266342.289999999</v>
      </c>
      <c r="G413" s="324">
        <f t="shared" si="471"/>
        <v>9003383</v>
      </c>
      <c r="H413" s="324">
        <f t="shared" si="471"/>
        <v>213373</v>
      </c>
      <c r="I413" s="324">
        <f t="shared" si="471"/>
        <v>0</v>
      </c>
      <c r="J413" s="324">
        <f t="shared" si="471"/>
        <v>60000</v>
      </c>
      <c r="K413" s="324">
        <f t="shared" si="471"/>
        <v>60000</v>
      </c>
      <c r="L413" s="324">
        <f t="shared" si="471"/>
        <v>0</v>
      </c>
      <c r="M413" s="324">
        <f t="shared" si="471"/>
        <v>0</v>
      </c>
      <c r="N413" s="324">
        <f t="shared" si="471"/>
        <v>0</v>
      </c>
      <c r="O413" s="324">
        <f t="shared" si="471"/>
        <v>60000</v>
      </c>
      <c r="P413" s="324">
        <f t="shared" si="471"/>
        <v>11326342.289999999</v>
      </c>
      <c r="Q413" s="47"/>
      <c r="R413" s="50"/>
    </row>
    <row r="414" spans="1:19" ht="93" thickTop="1" thickBot="1" x14ac:dyDescent="0.25">
      <c r="A414" s="101" t="s">
        <v>419</v>
      </c>
      <c r="B414" s="101" t="s">
        <v>236</v>
      </c>
      <c r="C414" s="101" t="s">
        <v>234</v>
      </c>
      <c r="D414" s="101" t="s">
        <v>235</v>
      </c>
      <c r="E414" s="324">
        <f>F414</f>
        <v>11266342.289999999</v>
      </c>
      <c r="F414" s="453">
        <f>((10337342)+929000)+0.29</f>
        <v>11266342.289999999</v>
      </c>
      <c r="G414" s="453">
        <f>(8214383)+789000</f>
        <v>9003383</v>
      </c>
      <c r="H414" s="453">
        <f>(258373)-40000-5000</f>
        <v>213373</v>
      </c>
      <c r="I414" s="453"/>
      <c r="J414" s="324">
        <f>L414+O414</f>
        <v>60000</v>
      </c>
      <c r="K414" s="453">
        <f>(0)+60000</f>
        <v>60000</v>
      </c>
      <c r="L414" s="453"/>
      <c r="M414" s="453"/>
      <c r="N414" s="453"/>
      <c r="O414" s="450">
        <f>K414</f>
        <v>60000</v>
      </c>
      <c r="P414" s="324">
        <f>E414+J414</f>
        <v>11326342.289999999</v>
      </c>
      <c r="Q414" s="47"/>
      <c r="R414" s="50"/>
      <c r="S414" s="47"/>
    </row>
    <row r="415" spans="1:19" ht="93" hidden="1" thickTop="1" thickBot="1" x14ac:dyDescent="0.25">
      <c r="A415" s="126" t="s">
        <v>632</v>
      </c>
      <c r="B415" s="126" t="s">
        <v>362</v>
      </c>
      <c r="C415" s="126" t="s">
        <v>623</v>
      </c>
      <c r="D415" s="126" t="s">
        <v>624</v>
      </c>
      <c r="E415" s="150">
        <f>F415</f>
        <v>0</v>
      </c>
      <c r="F415" s="127"/>
      <c r="G415" s="127"/>
      <c r="H415" s="127"/>
      <c r="I415" s="127"/>
      <c r="J415" s="125">
        <f t="shared" ref="J415" si="472">L415+O415</f>
        <v>0</v>
      </c>
      <c r="K415" s="127"/>
      <c r="L415" s="128"/>
      <c r="M415" s="128"/>
      <c r="N415" s="128"/>
      <c r="O415" s="130">
        <f t="shared" ref="O415" si="473">K415</f>
        <v>0</v>
      </c>
      <c r="P415" s="125">
        <f t="shared" ref="P415" si="474">+J415+E415</f>
        <v>0</v>
      </c>
      <c r="Q415" s="47"/>
      <c r="R415" s="50"/>
    </row>
    <row r="416" spans="1:19" ht="47.25" hidden="1" thickTop="1" thickBot="1" x14ac:dyDescent="0.25">
      <c r="A416" s="134" t="s">
        <v>1186</v>
      </c>
      <c r="B416" s="134" t="s">
        <v>687</v>
      </c>
      <c r="C416" s="134"/>
      <c r="D416" s="134" t="s">
        <v>685</v>
      </c>
      <c r="E416" s="163">
        <f>E417</f>
        <v>0</v>
      </c>
      <c r="F416" s="163">
        <f t="shared" ref="F416:P417" si="475">F417</f>
        <v>0</v>
      </c>
      <c r="G416" s="163">
        <f t="shared" si="475"/>
        <v>0</v>
      </c>
      <c r="H416" s="163">
        <f t="shared" si="475"/>
        <v>0</v>
      </c>
      <c r="I416" s="163">
        <f t="shared" si="475"/>
        <v>0</v>
      </c>
      <c r="J416" s="163">
        <f t="shared" si="475"/>
        <v>0</v>
      </c>
      <c r="K416" s="163">
        <f t="shared" si="475"/>
        <v>0</v>
      </c>
      <c r="L416" s="163">
        <f t="shared" si="475"/>
        <v>0</v>
      </c>
      <c r="M416" s="163">
        <f t="shared" si="475"/>
        <v>0</v>
      </c>
      <c r="N416" s="163">
        <f t="shared" si="475"/>
        <v>0</v>
      </c>
      <c r="O416" s="163">
        <f t="shared" si="475"/>
        <v>0</v>
      </c>
      <c r="P416" s="163">
        <f t="shared" si="475"/>
        <v>0</v>
      </c>
      <c r="Q416" s="47"/>
      <c r="R416" s="50"/>
    </row>
    <row r="417" spans="1:18" ht="48" hidden="1" thickTop="1" thickBot="1" x14ac:dyDescent="0.25">
      <c r="A417" s="138" t="s">
        <v>1187</v>
      </c>
      <c r="B417" s="138" t="s">
        <v>690</v>
      </c>
      <c r="C417" s="138"/>
      <c r="D417" s="138" t="s">
        <v>688</v>
      </c>
      <c r="E417" s="139">
        <f>E418</f>
        <v>0</v>
      </c>
      <c r="F417" s="139">
        <f t="shared" si="475"/>
        <v>0</v>
      </c>
      <c r="G417" s="139">
        <f t="shared" si="475"/>
        <v>0</v>
      </c>
      <c r="H417" s="139">
        <f t="shared" si="475"/>
        <v>0</v>
      </c>
      <c r="I417" s="139">
        <f t="shared" si="475"/>
        <v>0</v>
      </c>
      <c r="J417" s="139">
        <f t="shared" si="475"/>
        <v>0</v>
      </c>
      <c r="K417" s="139">
        <f t="shared" si="475"/>
        <v>0</v>
      </c>
      <c r="L417" s="139">
        <f t="shared" si="475"/>
        <v>0</v>
      </c>
      <c r="M417" s="139">
        <f t="shared" si="475"/>
        <v>0</v>
      </c>
      <c r="N417" s="139">
        <f t="shared" si="475"/>
        <v>0</v>
      </c>
      <c r="O417" s="139">
        <f t="shared" si="475"/>
        <v>0</v>
      </c>
      <c r="P417" s="139">
        <f t="shared" si="475"/>
        <v>0</v>
      </c>
      <c r="Q417" s="47"/>
      <c r="R417" s="50"/>
    </row>
    <row r="418" spans="1:18" ht="48" hidden="1" thickTop="1" thickBot="1" x14ac:dyDescent="0.25">
      <c r="A418" s="126" t="s">
        <v>1188</v>
      </c>
      <c r="B418" s="126" t="s">
        <v>257</v>
      </c>
      <c r="C418" s="126" t="s">
        <v>170</v>
      </c>
      <c r="D418" s="126" t="s">
        <v>255</v>
      </c>
      <c r="E418" s="125">
        <f t="shared" ref="E418" si="476">F418</f>
        <v>0</v>
      </c>
      <c r="F418" s="132"/>
      <c r="G418" s="132"/>
      <c r="H418" s="132"/>
      <c r="I418" s="132"/>
      <c r="J418" s="125">
        <f t="shared" ref="J418" si="477">L418+O418</f>
        <v>0</v>
      </c>
      <c r="K418" s="132"/>
      <c r="L418" s="132"/>
      <c r="M418" s="132"/>
      <c r="N418" s="132"/>
      <c r="O418" s="130">
        <f>K418</f>
        <v>0</v>
      </c>
      <c r="P418" s="125">
        <f t="shared" ref="P418" si="478">E418+J418</f>
        <v>0</v>
      </c>
      <c r="Q418" s="47"/>
      <c r="R418" s="50"/>
    </row>
    <row r="419" spans="1:18" ht="47.25" thickTop="1" thickBot="1" x14ac:dyDescent="0.25">
      <c r="A419" s="308" t="s">
        <v>841</v>
      </c>
      <c r="B419" s="308" t="s">
        <v>692</v>
      </c>
      <c r="C419" s="308"/>
      <c r="D419" s="308" t="s">
        <v>693</v>
      </c>
      <c r="E419" s="309">
        <f t="shared" ref="E419:P419" si="479">E420+E421+E423</f>
        <v>4667343.0100000016</v>
      </c>
      <c r="F419" s="309">
        <f t="shared" si="479"/>
        <v>4667343.0100000016</v>
      </c>
      <c r="G419" s="309">
        <f t="shared" si="479"/>
        <v>0</v>
      </c>
      <c r="H419" s="309">
        <f t="shared" si="479"/>
        <v>0</v>
      </c>
      <c r="I419" s="309">
        <f t="shared" si="479"/>
        <v>0</v>
      </c>
      <c r="J419" s="309">
        <f t="shared" si="479"/>
        <v>0</v>
      </c>
      <c r="K419" s="309">
        <f t="shared" si="479"/>
        <v>0</v>
      </c>
      <c r="L419" s="309">
        <f t="shared" si="479"/>
        <v>0</v>
      </c>
      <c r="M419" s="309">
        <f t="shared" si="479"/>
        <v>0</v>
      </c>
      <c r="N419" s="309">
        <f t="shared" si="479"/>
        <v>0</v>
      </c>
      <c r="O419" s="309">
        <f t="shared" si="479"/>
        <v>0</v>
      </c>
      <c r="P419" s="309">
        <f t="shared" si="479"/>
        <v>4667343.0100000016</v>
      </c>
      <c r="Q419" s="47"/>
      <c r="R419" s="50"/>
    </row>
    <row r="420" spans="1:18" ht="47.25" thickTop="1" thickBot="1" x14ac:dyDescent="0.25">
      <c r="A420" s="510">
        <v>3718600</v>
      </c>
      <c r="B420" s="510">
        <v>8600</v>
      </c>
      <c r="C420" s="310" t="s">
        <v>362</v>
      </c>
      <c r="D420" s="510" t="s">
        <v>451</v>
      </c>
      <c r="E420" s="312">
        <f>F420</f>
        <v>835650</v>
      </c>
      <c r="F420" s="312">
        <f>(525644)+310006</f>
        <v>835650</v>
      </c>
      <c r="G420" s="312"/>
      <c r="H420" s="312"/>
      <c r="I420" s="312"/>
      <c r="J420" s="312">
        <f>L420+O420</f>
        <v>0</v>
      </c>
      <c r="K420" s="312"/>
      <c r="L420" s="312"/>
      <c r="M420" s="312"/>
      <c r="N420" s="312"/>
      <c r="O420" s="511">
        <f>K420</f>
        <v>0</v>
      </c>
      <c r="P420" s="312">
        <f>E420+J420</f>
        <v>835650</v>
      </c>
      <c r="Q420" s="20"/>
    </row>
    <row r="421" spans="1:18" ht="47.25" thickTop="1" thickBot="1" x14ac:dyDescent="0.25">
      <c r="A421" s="510">
        <v>3718700</v>
      </c>
      <c r="B421" s="510">
        <v>8700</v>
      </c>
      <c r="C421" s="310"/>
      <c r="D421" s="510" t="s">
        <v>842</v>
      </c>
      <c r="E421" s="312">
        <f t="shared" ref="E421:P421" si="480">E422</f>
        <v>3831693.0100000016</v>
      </c>
      <c r="F421" s="312">
        <f t="shared" si="480"/>
        <v>3831693.0100000016</v>
      </c>
      <c r="G421" s="312">
        <f t="shared" si="480"/>
        <v>0</v>
      </c>
      <c r="H421" s="312">
        <f t="shared" si="480"/>
        <v>0</v>
      </c>
      <c r="I421" s="312">
        <f t="shared" si="480"/>
        <v>0</v>
      </c>
      <c r="J421" s="312">
        <f t="shared" si="480"/>
        <v>0</v>
      </c>
      <c r="K421" s="312">
        <f t="shared" si="480"/>
        <v>0</v>
      </c>
      <c r="L421" s="312">
        <f t="shared" si="480"/>
        <v>0</v>
      </c>
      <c r="M421" s="312">
        <f t="shared" si="480"/>
        <v>0</v>
      </c>
      <c r="N421" s="312">
        <f t="shared" si="480"/>
        <v>0</v>
      </c>
      <c r="O421" s="312">
        <f t="shared" si="480"/>
        <v>0</v>
      </c>
      <c r="P421" s="312">
        <f t="shared" si="480"/>
        <v>3831693.0100000016</v>
      </c>
      <c r="Q421" s="20"/>
    </row>
    <row r="422" spans="1:18" ht="69" customHeight="1" thickTop="1" thickBot="1" x14ac:dyDescent="0.25">
      <c r="A422" s="326">
        <v>3718710</v>
      </c>
      <c r="B422" s="326">
        <v>8710</v>
      </c>
      <c r="C422" s="101" t="s">
        <v>42</v>
      </c>
      <c r="D422" s="461" t="s">
        <v>638</v>
      </c>
      <c r="E422" s="324">
        <f>F422</f>
        <v>3831693.0100000016</v>
      </c>
      <c r="F422" s="453">
        <f>((50431231.78-20000000-8000000)-12299538.77-300000)-6000000</f>
        <v>3831693.0100000016</v>
      </c>
      <c r="G422" s="453"/>
      <c r="H422" s="453"/>
      <c r="I422" s="453"/>
      <c r="J422" s="324">
        <f>L422+O422</f>
        <v>0</v>
      </c>
      <c r="K422" s="453"/>
      <c r="L422" s="453"/>
      <c r="M422" s="453"/>
      <c r="N422" s="453"/>
      <c r="O422" s="450">
        <f>K422</f>
        <v>0</v>
      </c>
      <c r="P422" s="324">
        <f>E422+J422</f>
        <v>3831693.0100000016</v>
      </c>
      <c r="Q422" s="20"/>
    </row>
    <row r="423" spans="1:18" ht="47.25" hidden="1" thickTop="1" thickBot="1" x14ac:dyDescent="0.25">
      <c r="A423" s="164">
        <v>3718800</v>
      </c>
      <c r="B423" s="164">
        <v>8800</v>
      </c>
      <c r="C423" s="134"/>
      <c r="D423" s="164" t="s">
        <v>850</v>
      </c>
      <c r="E423" s="135">
        <f>E424</f>
        <v>0</v>
      </c>
      <c r="F423" s="135">
        <f>F424</f>
        <v>0</v>
      </c>
      <c r="G423" s="135">
        <f t="shared" ref="G423:P424" si="481">G424</f>
        <v>0</v>
      </c>
      <c r="H423" s="135">
        <f t="shared" si="481"/>
        <v>0</v>
      </c>
      <c r="I423" s="135">
        <f t="shared" si="481"/>
        <v>0</v>
      </c>
      <c r="J423" s="135">
        <f t="shared" si="481"/>
        <v>0</v>
      </c>
      <c r="K423" s="135">
        <f t="shared" si="481"/>
        <v>0</v>
      </c>
      <c r="L423" s="135">
        <f t="shared" si="481"/>
        <v>0</v>
      </c>
      <c r="M423" s="135">
        <f t="shared" si="481"/>
        <v>0</v>
      </c>
      <c r="N423" s="135">
        <f t="shared" si="481"/>
        <v>0</v>
      </c>
      <c r="O423" s="135">
        <f t="shared" si="481"/>
        <v>0</v>
      </c>
      <c r="P423" s="135">
        <f t="shared" si="481"/>
        <v>0</v>
      </c>
      <c r="Q423" s="20"/>
    </row>
    <row r="424" spans="1:18" ht="93" hidden="1" thickTop="1" thickBot="1" x14ac:dyDescent="0.25">
      <c r="A424" s="165">
        <v>3718880</v>
      </c>
      <c r="B424" s="165">
        <v>8880</v>
      </c>
      <c r="C424" s="138"/>
      <c r="D424" s="151" t="s">
        <v>1136</v>
      </c>
      <c r="E424" s="139">
        <f>E425</f>
        <v>0</v>
      </c>
      <c r="F424" s="139">
        <f t="shared" ref="F424" si="482">F425</f>
        <v>0</v>
      </c>
      <c r="G424" s="139">
        <f t="shared" si="481"/>
        <v>0</v>
      </c>
      <c r="H424" s="139">
        <f t="shared" si="481"/>
        <v>0</v>
      </c>
      <c r="I424" s="139">
        <f t="shared" si="481"/>
        <v>0</v>
      </c>
      <c r="J424" s="139">
        <f t="shared" si="481"/>
        <v>0</v>
      </c>
      <c r="K424" s="139">
        <f t="shared" si="481"/>
        <v>0</v>
      </c>
      <c r="L424" s="139">
        <f t="shared" si="481"/>
        <v>0</v>
      </c>
      <c r="M424" s="139">
        <f t="shared" si="481"/>
        <v>0</v>
      </c>
      <c r="N424" s="139">
        <f t="shared" si="481"/>
        <v>0</v>
      </c>
      <c r="O424" s="139">
        <f t="shared" si="481"/>
        <v>0</v>
      </c>
      <c r="P424" s="139">
        <f t="shared" si="481"/>
        <v>0</v>
      </c>
      <c r="Q424" s="20"/>
    </row>
    <row r="425" spans="1:18" ht="93" hidden="1" thickTop="1" thickBot="1" x14ac:dyDescent="0.25">
      <c r="A425" s="126">
        <v>3718881</v>
      </c>
      <c r="B425" s="126">
        <v>8881</v>
      </c>
      <c r="C425" s="126" t="s">
        <v>170</v>
      </c>
      <c r="D425" s="126" t="s">
        <v>1137</v>
      </c>
      <c r="E425" s="150">
        <f>F425</f>
        <v>0</v>
      </c>
      <c r="F425" s="127">
        <f>(2500000)-2500000</f>
        <v>0</v>
      </c>
      <c r="G425" s="127"/>
      <c r="H425" s="127"/>
      <c r="I425" s="127"/>
      <c r="J425" s="125">
        <f t="shared" ref="J425" si="483">L425+O425</f>
        <v>0</v>
      </c>
      <c r="K425" s="127"/>
      <c r="L425" s="128"/>
      <c r="M425" s="128"/>
      <c r="N425" s="128"/>
      <c r="O425" s="130">
        <f t="shared" ref="O425" si="484">K425</f>
        <v>0</v>
      </c>
      <c r="P425" s="125">
        <f t="shared" ref="P425" si="485">+J425+E425</f>
        <v>0</v>
      </c>
      <c r="Q425" s="20"/>
    </row>
    <row r="426" spans="1:18" ht="47.25" hidden="1" thickTop="1" thickBot="1" x14ac:dyDescent="0.25">
      <c r="A426" s="123" t="s">
        <v>843</v>
      </c>
      <c r="B426" s="123" t="s">
        <v>698</v>
      </c>
      <c r="C426" s="123"/>
      <c r="D426" s="123" t="s">
        <v>699</v>
      </c>
      <c r="E426" s="125">
        <f>E427</f>
        <v>0</v>
      </c>
      <c r="F426" s="125">
        <f t="shared" ref="F426:P427" si="486">F427</f>
        <v>0</v>
      </c>
      <c r="G426" s="125">
        <f t="shared" si="486"/>
        <v>0</v>
      </c>
      <c r="H426" s="125">
        <f t="shared" si="486"/>
        <v>0</v>
      </c>
      <c r="I426" s="125">
        <f t="shared" si="486"/>
        <v>0</v>
      </c>
      <c r="J426" s="125">
        <f t="shared" si="486"/>
        <v>0</v>
      </c>
      <c r="K426" s="125">
        <f t="shared" si="486"/>
        <v>0</v>
      </c>
      <c r="L426" s="125">
        <f t="shared" si="486"/>
        <v>0</v>
      </c>
      <c r="M426" s="125">
        <f t="shared" si="486"/>
        <v>0</v>
      </c>
      <c r="N426" s="125">
        <f t="shared" si="486"/>
        <v>0</v>
      </c>
      <c r="O426" s="125">
        <f t="shared" si="486"/>
        <v>0</v>
      </c>
      <c r="P426" s="125">
        <f t="shared" si="486"/>
        <v>0</v>
      </c>
      <c r="Q426" s="20"/>
    </row>
    <row r="427" spans="1:18" ht="47.25" hidden="1" thickTop="1" thickBot="1" x14ac:dyDescent="0.25">
      <c r="A427" s="164">
        <v>3719100</v>
      </c>
      <c r="B427" s="134" t="s">
        <v>845</v>
      </c>
      <c r="C427" s="134"/>
      <c r="D427" s="134" t="s">
        <v>844</v>
      </c>
      <c r="E427" s="135">
        <f>E428</f>
        <v>0</v>
      </c>
      <c r="F427" s="135">
        <f t="shared" si="486"/>
        <v>0</v>
      </c>
      <c r="G427" s="135">
        <f t="shared" si="486"/>
        <v>0</v>
      </c>
      <c r="H427" s="135">
        <f t="shared" si="486"/>
        <v>0</v>
      </c>
      <c r="I427" s="135">
        <f t="shared" si="486"/>
        <v>0</v>
      </c>
      <c r="J427" s="135">
        <f t="shared" si="486"/>
        <v>0</v>
      </c>
      <c r="K427" s="135">
        <f t="shared" si="486"/>
        <v>0</v>
      </c>
      <c r="L427" s="135">
        <f t="shared" si="486"/>
        <v>0</v>
      </c>
      <c r="M427" s="135">
        <f t="shared" si="486"/>
        <v>0</v>
      </c>
      <c r="N427" s="135">
        <f t="shared" si="486"/>
        <v>0</v>
      </c>
      <c r="O427" s="135">
        <f t="shared" si="486"/>
        <v>0</v>
      </c>
      <c r="P427" s="135">
        <f t="shared" si="486"/>
        <v>0</v>
      </c>
      <c r="Q427" s="20"/>
    </row>
    <row r="428" spans="1:18" ht="51" hidden="1" customHeight="1" thickTop="1" thickBot="1" x14ac:dyDescent="0.25">
      <c r="A428" s="149">
        <v>3719110</v>
      </c>
      <c r="B428" s="149">
        <v>9110</v>
      </c>
      <c r="C428" s="126" t="s">
        <v>43</v>
      </c>
      <c r="D428" s="397" t="s">
        <v>450</v>
      </c>
      <c r="E428" s="125">
        <f>F428</f>
        <v>0</v>
      </c>
      <c r="F428" s="132">
        <v>0</v>
      </c>
      <c r="G428" s="132"/>
      <c r="H428" s="132"/>
      <c r="I428" s="132"/>
      <c r="J428" s="125">
        <f>L428+O428</f>
        <v>0</v>
      </c>
      <c r="K428" s="132"/>
      <c r="L428" s="132"/>
      <c r="M428" s="132"/>
      <c r="N428" s="132"/>
      <c r="O428" s="130">
        <f>K428</f>
        <v>0</v>
      </c>
      <c r="P428" s="125">
        <f>E428+J428</f>
        <v>0</v>
      </c>
      <c r="Q428" s="20"/>
    </row>
    <row r="429" spans="1:18" ht="111" customHeight="1" thickTop="1" thickBot="1" x14ac:dyDescent="0.25">
      <c r="A429" s="636" t="s">
        <v>381</v>
      </c>
      <c r="B429" s="636" t="s">
        <v>381</v>
      </c>
      <c r="C429" s="636" t="s">
        <v>381</v>
      </c>
      <c r="D429" s="636" t="s">
        <v>391</v>
      </c>
      <c r="E429" s="637">
        <f t="shared" ref="E429:P429" si="487">E16+E48+E220+E106+E138+E199++E320+E345+E412+E373+E393+E403+E354+E285+E256</f>
        <v>4075735027.6000004</v>
      </c>
      <c r="F429" s="637">
        <f t="shared" si="487"/>
        <v>4075735027.6000004</v>
      </c>
      <c r="G429" s="637">
        <f t="shared" si="487"/>
        <v>1867121797.73</v>
      </c>
      <c r="H429" s="637">
        <f t="shared" si="487"/>
        <v>199667745.5</v>
      </c>
      <c r="I429" s="637">
        <f t="shared" si="487"/>
        <v>0</v>
      </c>
      <c r="J429" s="637">
        <f t="shared" si="487"/>
        <v>1305568751.2800002</v>
      </c>
      <c r="K429" s="637">
        <f t="shared" si="487"/>
        <v>1051922845.13</v>
      </c>
      <c r="L429" s="637">
        <f>L16+L48+L220+L106+L138+L199++L320+L345+L412+L373+L393+L403+L354+L285+L256</f>
        <v>235364054.55000001</v>
      </c>
      <c r="M429" s="637">
        <f t="shared" si="487"/>
        <v>64772033</v>
      </c>
      <c r="N429" s="637">
        <f t="shared" si="487"/>
        <v>19222521</v>
      </c>
      <c r="O429" s="637">
        <f t="shared" si="487"/>
        <v>1070204696.73</v>
      </c>
      <c r="P429" s="637">
        <f t="shared" si="487"/>
        <v>5381303778.8800001</v>
      </c>
      <c r="Q429" s="79" t="b">
        <f>P429=J429+E429</f>
        <v>1</v>
      </c>
    </row>
    <row r="430" spans="1:18" ht="46.5" thickTop="1" x14ac:dyDescent="0.2">
      <c r="A430" s="776" t="s">
        <v>1495</v>
      </c>
      <c r="B430" s="777"/>
      <c r="C430" s="777"/>
      <c r="D430" s="777"/>
      <c r="E430" s="777"/>
      <c r="F430" s="777"/>
      <c r="G430" s="777"/>
      <c r="H430" s="777"/>
      <c r="I430" s="777"/>
      <c r="J430" s="777"/>
      <c r="K430" s="777"/>
      <c r="L430" s="777"/>
      <c r="M430" s="777"/>
      <c r="N430" s="777"/>
      <c r="O430" s="777"/>
      <c r="P430" s="777"/>
      <c r="Q430" s="56"/>
    </row>
    <row r="431" spans="1:18" ht="60.75" hidden="1" x14ac:dyDescent="0.2">
      <c r="A431" s="15"/>
      <c r="B431" s="16"/>
      <c r="C431" s="16"/>
      <c r="D431" s="16"/>
      <c r="E431" s="534">
        <f>F431</f>
        <v>4075735027.5999999</v>
      </c>
      <c r="F431" s="534">
        <f>((((((((3716414441.2)+222038975.97)+1158900+4436136.01)+21294370.59-600000-300000)-7761000+280000)+73066.32+30269.34)+55231335.91)+14712873.89)+48725658.37</f>
        <v>4075735027.5999999</v>
      </c>
      <c r="G431" s="534">
        <f>(((((95820900+1446614253+3269881+127110999+52092425+53854513+94248348+1953964)+45702476.39+3377320)+949920+3007261+436671+76680)-35140527.66+50000+3000000-3300000-1000000)+2326226-32528600-1061095+7132000-2850000-157698-3500000)+2900000-120500+2779610-500000+550000+56771-30000</f>
        <v>1867121797.73</v>
      </c>
      <c r="H431" s="534">
        <f>(((((((6241293+170645348+208800+8158262+4493410+2946945+4237921+58880)+92902.78)+140989.01)+137643)+73066.32+30269.34)-513671.33+28860+430240)-52783+333006.6+297938.07+45000-55983)-69500+1574000+80385+76953+32570.71-5000</f>
        <v>199667745.49999997</v>
      </c>
      <c r="I431" s="534">
        <v>0</v>
      </c>
      <c r="J431" s="534">
        <f>(((((((((480219450.8+'d2'!E42-'d4'!O29)+268859015.4)+7672111)+156908194.41+600000+300000)+7761000-280000)+121582175)+(198000726.08-121582175))+101668669.97)+87300083.62)</f>
        <v>1305568751.2800002</v>
      </c>
      <c r="K431" s="534">
        <f>((((((((480219450.8+'d2'!F42-'d4'!P29-1200000-5215800-229145152)+268859015.4-4737.15-663952)+156908194.41+600000+300000)+7761000-280000)+121582175)+(198000726.08-121582175)-1300000)+101668669.97-8444154)+87300083.62)</f>
        <v>1051922845.1300001</v>
      </c>
      <c r="L431" s="534">
        <f>((((((2604400+176000+570000+1000000)+206347210+6239260+10895910+1888442+1200000)+4737.15)-152499)-411508+1800000)+3440102.4)-238000</f>
        <v>235364054.55000001</v>
      </c>
      <c r="M431" s="534">
        <f>((53944610+2604685+8032370+704165)-133500)-380297</f>
        <v>64772033</v>
      </c>
      <c r="N431" s="534">
        <f>(17336870+705805+284620+524376)+370850</f>
        <v>19222521</v>
      </c>
      <c r="O431" s="534">
        <f>(((((((((480219450.8+'d2'!F42-'d4'!O29-1200000-5215800-229145152+865400+3487390+24000+237940+25000)+268859015.4-4737.15)+7672111)+152499+156908194.41+600000+300000)+7761000-280000)+121582175)+(198000726.08-121582175)-1300000+411508-500000)+101668669.97+-3440102.4)+87300083.62)+238000</f>
        <v>1070204696.7300001</v>
      </c>
      <c r="P431" s="534">
        <f>((((((((4196633892+'d2'!C46-'d4'!Q29)+490897991.37)+7672111+4436136.01+1158900)+178202565)+73066.32+121612444.34)+253232061.99-121582175)+116381543.86)+136025741.99)</f>
        <v>5381303778.8799992</v>
      </c>
      <c r="Q431" s="79" t="b">
        <f>E431+J431=P431</f>
        <v>1</v>
      </c>
      <c r="R431" s="56"/>
    </row>
    <row r="432" spans="1:18" ht="45.75" x14ac:dyDescent="0.65">
      <c r="A432" s="15"/>
      <c r="B432" s="16"/>
      <c r="C432" s="16"/>
      <c r="D432" s="535" t="s">
        <v>1458</v>
      </c>
      <c r="E432" s="316"/>
      <c r="F432" s="316"/>
      <c r="G432" s="2"/>
      <c r="H432" s="3"/>
      <c r="I432" s="2"/>
      <c r="J432" s="3"/>
      <c r="K432" s="2" t="s">
        <v>1459</v>
      </c>
      <c r="L432" s="2"/>
      <c r="M432" s="2"/>
      <c r="N432" s="2"/>
      <c r="O432" s="2"/>
      <c r="P432" s="2"/>
      <c r="Q432" s="56"/>
    </row>
    <row r="433" spans="1:18" ht="45.75" hidden="1" x14ac:dyDescent="0.65">
      <c r="A433" s="166"/>
      <c r="B433" s="167"/>
      <c r="C433" s="167"/>
      <c r="D433" s="3" t="s">
        <v>1423</v>
      </c>
      <c r="E433" s="316"/>
      <c r="F433" s="316"/>
      <c r="G433" s="2"/>
      <c r="H433" s="3"/>
      <c r="I433" s="2"/>
      <c r="J433" s="3"/>
      <c r="K433" s="3" t="s">
        <v>1424</v>
      </c>
      <c r="L433" s="200"/>
      <c r="M433" s="200"/>
      <c r="N433" s="200"/>
      <c r="O433" s="200"/>
      <c r="P433" s="200"/>
      <c r="Q433" s="56"/>
    </row>
    <row r="434" spans="1:18" ht="26.45" customHeight="1" x14ac:dyDescent="0.65">
      <c r="A434" s="15"/>
      <c r="B434" s="16"/>
      <c r="C434" s="16"/>
      <c r="D434" s="771"/>
      <c r="E434" s="771"/>
      <c r="F434" s="771"/>
      <c r="G434" s="771"/>
      <c r="H434" s="771"/>
      <c r="I434" s="771"/>
      <c r="J434" s="771"/>
      <c r="K434" s="771"/>
      <c r="L434" s="771"/>
      <c r="M434" s="771"/>
      <c r="N434" s="771"/>
      <c r="O434" s="771"/>
      <c r="P434" s="771"/>
      <c r="Q434" s="83"/>
    </row>
    <row r="435" spans="1:18" ht="50.25" customHeight="1" thickBot="1" x14ac:dyDescent="0.7">
      <c r="A435" s="15"/>
      <c r="B435" s="16"/>
      <c r="C435" s="16"/>
      <c r="D435" s="785" t="s">
        <v>522</v>
      </c>
      <c r="E435" s="786"/>
      <c r="F435" s="786"/>
      <c r="G435" s="357"/>
      <c r="H435" s="357"/>
      <c r="I435" s="2"/>
      <c r="J435" s="2"/>
      <c r="K435" s="3" t="s">
        <v>1326</v>
      </c>
      <c r="L435" s="2"/>
      <c r="M435" s="2"/>
      <c r="N435" s="2"/>
      <c r="O435" s="2"/>
      <c r="P435" s="2"/>
      <c r="Q435" s="83"/>
    </row>
    <row r="436" spans="1:18" ht="47.25" thickTop="1" thickBot="1" x14ac:dyDescent="0.7">
      <c r="A436" s="19"/>
      <c r="B436" s="19"/>
      <c r="C436" s="19"/>
      <c r="D436" s="751"/>
      <c r="E436" s="751"/>
      <c r="F436" s="751"/>
      <c r="G436" s="751"/>
      <c r="H436" s="751"/>
      <c r="I436" s="751"/>
      <c r="J436" s="751"/>
      <c r="K436" s="751"/>
      <c r="L436" s="751"/>
      <c r="M436" s="751"/>
      <c r="N436" s="751"/>
      <c r="O436" s="751"/>
      <c r="P436" s="751"/>
      <c r="Q436" s="84"/>
    </row>
    <row r="437" spans="1:18" ht="95.25" customHeight="1" thickTop="1" x14ac:dyDescent="0.55000000000000004">
      <c r="E437" s="651"/>
      <c r="G437" s="58"/>
      <c r="H437" s="58"/>
      <c r="I437" s="91"/>
      <c r="J437" s="92"/>
      <c r="K437" s="92"/>
      <c r="L437" s="91"/>
      <c r="M437" s="91"/>
      <c r="N437" s="91"/>
      <c r="O437" s="91"/>
      <c r="P437" s="92"/>
      <c r="Q437" s="82"/>
    </row>
    <row r="438" spans="1:18" x14ac:dyDescent="0.2">
      <c r="E438" s="59"/>
      <c r="F438" s="60"/>
      <c r="G438" s="58"/>
      <c r="H438" s="58"/>
      <c r="I438" s="91"/>
      <c r="J438" s="93"/>
      <c r="K438" s="93"/>
      <c r="L438" s="91"/>
      <c r="M438" s="91"/>
      <c r="N438" s="91"/>
      <c r="O438" s="91"/>
      <c r="P438" s="92"/>
    </row>
    <row r="439" spans="1:18" x14ac:dyDescent="0.2">
      <c r="E439" s="59"/>
      <c r="F439" s="60"/>
      <c r="G439" s="58"/>
      <c r="H439" s="58"/>
      <c r="I439" s="91"/>
      <c r="J439" s="93"/>
      <c r="K439" s="93"/>
      <c r="L439" s="91"/>
      <c r="M439" s="91"/>
      <c r="N439" s="91"/>
      <c r="O439" s="91"/>
      <c r="P439" s="92"/>
    </row>
    <row r="440" spans="1:18" ht="60.75" x14ac:dyDescent="0.2">
      <c r="E440" s="651" t="b">
        <f>E431=E429</f>
        <v>1</v>
      </c>
      <c r="F440" s="651" t="b">
        <f>F431=F429</f>
        <v>1</v>
      </c>
      <c r="G440" s="651" t="b">
        <f>G431=G429</f>
        <v>1</v>
      </c>
      <c r="H440" s="651" t="b">
        <f t="shared" ref="H440:O440" si="488">H431=H429</f>
        <v>1</v>
      </c>
      <c r="I440" s="651" t="b">
        <f>I431=I429</f>
        <v>1</v>
      </c>
      <c r="J440" s="651" t="b">
        <f>J431=J429</f>
        <v>1</v>
      </c>
      <c r="K440" s="651" t="b">
        <f>K431=K429</f>
        <v>1</v>
      </c>
      <c r="L440" s="651" t="b">
        <f t="shared" si="488"/>
        <v>1</v>
      </c>
      <c r="M440" s="651" t="b">
        <f t="shared" si="488"/>
        <v>1</v>
      </c>
      <c r="N440" s="651" t="b">
        <f>N431=N429</f>
        <v>1</v>
      </c>
      <c r="O440" s="651" t="b">
        <f t="shared" si="488"/>
        <v>1</v>
      </c>
      <c r="P440" s="651" t="b">
        <f>P431=P429</f>
        <v>1</v>
      </c>
    </row>
    <row r="441" spans="1:18" ht="61.5" x14ac:dyDescent="0.2">
      <c r="E441" s="651" t="b">
        <f>E429=F429</f>
        <v>1</v>
      </c>
      <c r="F441" s="652">
        <f>F422/E429</f>
        <v>9.4012318859116239E-4</v>
      </c>
      <c r="G441" s="86"/>
      <c r="H441" s="87"/>
      <c r="I441" s="88"/>
      <c r="J441" s="651" t="b">
        <f>J431=L431+O431</f>
        <v>1</v>
      </c>
      <c r="K441" s="94"/>
      <c r="L441" s="79"/>
      <c r="M441" s="88"/>
      <c r="N441" s="88"/>
      <c r="O441" s="79"/>
      <c r="P441" s="651" t="b">
        <f>E429+J429=P429</f>
        <v>1</v>
      </c>
    </row>
    <row r="442" spans="1:18" ht="60.75" x14ac:dyDescent="0.2">
      <c r="E442" s="89"/>
      <c r="F442" s="90"/>
      <c r="G442" s="89"/>
      <c r="H442" s="653">
        <f>H431-H429</f>
        <v>0</v>
      </c>
      <c r="I442" s="89"/>
      <c r="J442" s="59"/>
      <c r="K442" s="59"/>
    </row>
    <row r="443" spans="1:18" ht="61.5" x14ac:dyDescent="0.2">
      <c r="A443" s="21"/>
      <c r="B443" s="21"/>
      <c r="C443" s="21"/>
      <c r="D443" s="22"/>
      <c r="E443" s="37">
        <f>E429-E431</f>
        <v>0</v>
      </c>
      <c r="F443" s="652">
        <f>400000/E429</f>
        <v>9.8141806886680824E-5</v>
      </c>
      <c r="G443" s="86"/>
      <c r="H443" s="61"/>
      <c r="I443" s="22"/>
      <c r="J443" s="37">
        <f>J429-J431</f>
        <v>0</v>
      </c>
      <c r="K443" s="37">
        <f>K429-K431</f>
        <v>0</v>
      </c>
      <c r="L443" s="37"/>
      <c r="M443" s="37"/>
      <c r="N443" s="37"/>
      <c r="O443" s="37">
        <f>O429-O431</f>
        <v>0</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167">
    <mergeCell ref="D435:F435"/>
    <mergeCell ref="M178:M180"/>
    <mergeCell ref="N178:N180"/>
    <mergeCell ref="O178:O180"/>
    <mergeCell ref="P178:P180"/>
    <mergeCell ref="R178:R180"/>
    <mergeCell ref="C178:C180"/>
    <mergeCell ref="E178:E180"/>
    <mergeCell ref="F178:F180"/>
    <mergeCell ref="G178:G180"/>
    <mergeCell ref="H178:H180"/>
    <mergeCell ref="I178:I180"/>
    <mergeCell ref="J178:J180"/>
    <mergeCell ref="K178:K180"/>
    <mergeCell ref="L178:L180"/>
    <mergeCell ref="H308:H309"/>
    <mergeCell ref="I308:I309"/>
    <mergeCell ref="P277:P278"/>
    <mergeCell ref="K196:K197"/>
    <mergeCell ref="L196:L197"/>
    <mergeCell ref="M196:M197"/>
    <mergeCell ref="N196:N197"/>
    <mergeCell ref="O196:O197"/>
    <mergeCell ref="P196:P197"/>
    <mergeCell ref="R167:R170"/>
    <mergeCell ref="R175:R177"/>
    <mergeCell ref="A175:A177"/>
    <mergeCell ref="B175:B177"/>
    <mergeCell ref="C175:C177"/>
    <mergeCell ref="E175:E177"/>
    <mergeCell ref="F175:F177"/>
    <mergeCell ref="G175:G177"/>
    <mergeCell ref="H175:H177"/>
    <mergeCell ref="I175:I177"/>
    <mergeCell ref="J175:J177"/>
    <mergeCell ref="K175:K177"/>
    <mergeCell ref="L175:L177"/>
    <mergeCell ref="M175:M177"/>
    <mergeCell ref="N175:N177"/>
    <mergeCell ref="O175:O177"/>
    <mergeCell ref="P175:P177"/>
    <mergeCell ref="R171:R174"/>
    <mergeCell ref="B171:B174"/>
    <mergeCell ref="P171:P174"/>
    <mergeCell ref="J167:J170"/>
    <mergeCell ref="K167:K170"/>
    <mergeCell ref="L167:L170"/>
    <mergeCell ref="M167:M170"/>
    <mergeCell ref="N167:N170"/>
    <mergeCell ref="Q167:Q170"/>
    <mergeCell ref="A171:A174"/>
    <mergeCell ref="P341:P342"/>
    <mergeCell ref="A341:A342"/>
    <mergeCell ref="B341:B342"/>
    <mergeCell ref="C341:C342"/>
    <mergeCell ref="E341:E342"/>
    <mergeCell ref="F341:F342"/>
    <mergeCell ref="G341:G342"/>
    <mergeCell ref="H341:H342"/>
    <mergeCell ref="I341:I342"/>
    <mergeCell ref="J341:J342"/>
    <mergeCell ref="B308:B309"/>
    <mergeCell ref="C308:C309"/>
    <mergeCell ref="P167:P170"/>
    <mergeCell ref="K171:K174"/>
    <mergeCell ref="L171:L174"/>
    <mergeCell ref="M171:M174"/>
    <mergeCell ref="N277:N278"/>
    <mergeCell ref="O277:O278"/>
    <mergeCell ref="I196:I197"/>
    <mergeCell ref="C196:C197"/>
    <mergeCell ref="E196:E197"/>
    <mergeCell ref="C171:C174"/>
    <mergeCell ref="E171:E174"/>
    <mergeCell ref="F171:F174"/>
    <mergeCell ref="G171:G174"/>
    <mergeCell ref="H171:H174"/>
    <mergeCell ref="A167:A170"/>
    <mergeCell ref="G196:G197"/>
    <mergeCell ref="H196:H197"/>
    <mergeCell ref="D434:P434"/>
    <mergeCell ref="O308:O309"/>
    <mergeCell ref="P308:P309"/>
    <mergeCell ref="K308:K309"/>
    <mergeCell ref="L308:L309"/>
    <mergeCell ref="M308:M309"/>
    <mergeCell ref="N308:N309"/>
    <mergeCell ref="K341:K342"/>
    <mergeCell ref="L341:L342"/>
    <mergeCell ref="M341:M342"/>
    <mergeCell ref="N341:N342"/>
    <mergeCell ref="O341:O342"/>
    <mergeCell ref="E308:E309"/>
    <mergeCell ref="F308:F309"/>
    <mergeCell ref="G308:G309"/>
    <mergeCell ref="A430:P430"/>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D436:P436"/>
    <mergeCell ref="K33:K34"/>
    <mergeCell ref="L33:L34"/>
    <mergeCell ref="M33:M34"/>
    <mergeCell ref="N33:N34"/>
    <mergeCell ref="O33:O34"/>
    <mergeCell ref="P33:P34"/>
    <mergeCell ref="E277:E278"/>
    <mergeCell ref="F277:F278"/>
    <mergeCell ref="G277:G278"/>
    <mergeCell ref="H277:H278"/>
    <mergeCell ref="I277:I278"/>
    <mergeCell ref="J277:J278"/>
    <mergeCell ref="M277:M278"/>
    <mergeCell ref="F196:F197"/>
    <mergeCell ref="E167:E170"/>
    <mergeCell ref="F167:F170"/>
    <mergeCell ref="G167:G170"/>
    <mergeCell ref="H167:H170"/>
    <mergeCell ref="O167:O170"/>
    <mergeCell ref="O171:O174"/>
    <mergeCell ref="N171:N174"/>
    <mergeCell ref="I33:I34"/>
    <mergeCell ref="J308:J309"/>
    <mergeCell ref="A33:A34"/>
    <mergeCell ref="E33:E34"/>
    <mergeCell ref="F33:F34"/>
    <mergeCell ref="G33:G34"/>
    <mergeCell ref="H33:H34"/>
    <mergeCell ref="J33:J34"/>
    <mergeCell ref="A308:A309"/>
    <mergeCell ref="K277:K278"/>
    <mergeCell ref="L277:L278"/>
    <mergeCell ref="C167:C170"/>
    <mergeCell ref="B33:B34"/>
    <mergeCell ref="C33:C34"/>
    <mergeCell ref="A277:A278"/>
    <mergeCell ref="B277:B278"/>
    <mergeCell ref="C277:C278"/>
    <mergeCell ref="J196:J197"/>
    <mergeCell ref="A196:A197"/>
    <mergeCell ref="B196:B197"/>
    <mergeCell ref="B167:B170"/>
    <mergeCell ref="A178:A180"/>
    <mergeCell ref="B178:B180"/>
    <mergeCell ref="I171:I174"/>
    <mergeCell ref="J171:J174"/>
    <mergeCell ref="I167:I170"/>
  </mergeCells>
  <conditionalFormatting sqref="Q345:Q352">
    <cfRule type="iconSet" priority="31">
      <iconSet iconSet="3Arrows">
        <cfvo type="percent" val="0"/>
        <cfvo type="percent" val="33"/>
        <cfvo type="percent" val="67"/>
      </iconSet>
    </cfRule>
  </conditionalFormatting>
  <conditionalFormatting sqref="Q354:Q355">
    <cfRule type="iconSet" priority="19">
      <iconSet iconSet="3Arrows">
        <cfvo type="percent" val="0"/>
        <cfvo type="percent" val="33"/>
        <cfvo type="percent" val="67"/>
      </iconSet>
    </cfRule>
  </conditionalFormatting>
  <conditionalFormatting sqref="Q356:Q371">
    <cfRule type="iconSet" priority="50">
      <iconSet iconSet="3Arrows">
        <cfvo type="percent" val="0"/>
        <cfvo type="percent" val="33"/>
        <cfvo type="percent" val="67"/>
      </iconSet>
    </cfRule>
  </conditionalFormatting>
  <conditionalFormatting sqref="Q393:Q398">
    <cfRule type="iconSet" priority="46">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10">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24">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56">
      <iconSet iconSet="3Arrows">
        <cfvo type="percent" val="0"/>
        <cfvo type="percent" val="33"/>
        <cfvo type="percent" val="67"/>
      </iconSet>
    </cfRule>
  </conditionalFormatting>
  <conditionalFormatting sqref="R345:R346">
    <cfRule type="iconSet" priority="16">
      <iconSet iconSet="3Arrows">
        <cfvo type="percent" val="0"/>
        <cfvo type="percent" val="33"/>
        <cfvo type="percent" val="67"/>
      </iconSet>
    </cfRule>
  </conditionalFormatting>
  <conditionalFormatting sqref="R347:R352">
    <cfRule type="iconSet" priority="15">
      <iconSet iconSet="3Arrows">
        <cfvo type="percent" val="0"/>
        <cfvo type="percent" val="33"/>
        <cfvo type="percent" val="67"/>
      </iconSet>
    </cfRule>
  </conditionalFormatting>
  <conditionalFormatting sqref="R354:R355">
    <cfRule type="iconSet" priority="18">
      <iconSet iconSet="3Arrows">
        <cfvo type="percent" val="0"/>
        <cfvo type="percent" val="33"/>
        <cfvo type="percent" val="67"/>
      </iconSet>
    </cfRule>
  </conditionalFormatting>
  <conditionalFormatting sqref="R356:R371">
    <cfRule type="iconSet" priority="52">
      <iconSet iconSet="3Arrows">
        <cfvo type="percent" val="0"/>
        <cfvo type="percent" val="33"/>
        <cfvo type="percent" val="67"/>
      </iconSet>
    </cfRule>
  </conditionalFormatting>
  <conditionalFormatting sqref="R381:R391">
    <cfRule type="iconSet" priority="41">
      <iconSet iconSet="3Arrows">
        <cfvo type="percent" val="0"/>
        <cfvo type="percent" val="33"/>
        <cfvo type="percent" val="67"/>
      </iconSet>
    </cfRule>
  </conditionalFormatting>
  <conditionalFormatting sqref="R393:R394">
    <cfRule type="iconSet" priority="14">
      <iconSet iconSet="3Arrows">
        <cfvo type="percent" val="0"/>
        <cfvo type="percent" val="33"/>
        <cfvo type="percent" val="67"/>
      </iconSet>
    </cfRule>
  </conditionalFormatting>
  <conditionalFormatting sqref="R395:R398">
    <cfRule type="iconSet" priority="45">
      <iconSet iconSet="3Arrows">
        <cfvo type="percent" val="0"/>
        <cfvo type="percent" val="33"/>
        <cfvo type="percent" val="67"/>
      </iconSet>
    </cfRule>
  </conditionalFormatting>
  <conditionalFormatting sqref="R405:R407 Q404:R404 R403">
    <cfRule type="iconSet" priority="23">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59" max="15" man="1"/>
    <brk id="204"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dimension ref="A1:R177"/>
  <sheetViews>
    <sheetView showGridLines="0" view="pageBreakPreview" topLeftCell="B20" zoomScale="85" zoomScaleNormal="85" zoomScaleSheetLayoutView="85" workbookViewId="0">
      <selection activeCell="B32" sqref="A32:XFD32"/>
    </sheetView>
  </sheetViews>
  <sheetFormatPr defaultColWidth="7.85546875" defaultRowHeight="12.75" x14ac:dyDescent="0.2"/>
  <cols>
    <col min="1" max="1" width="0" style="168"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0" style="7" bestFit="1" customWidth="1"/>
    <col min="19" max="16384" width="7.85546875" style="7"/>
  </cols>
  <sheetData>
    <row r="1" spans="1:18" x14ac:dyDescent="0.2">
      <c r="B1" s="488"/>
      <c r="C1" s="488"/>
      <c r="D1" s="488"/>
      <c r="E1" s="488"/>
      <c r="F1" s="488"/>
      <c r="G1" s="488"/>
      <c r="H1" s="488"/>
      <c r="I1" s="488"/>
      <c r="J1" s="488"/>
      <c r="K1" s="488"/>
      <c r="L1" s="488"/>
      <c r="M1" s="488"/>
      <c r="N1" s="488"/>
      <c r="O1" s="488"/>
      <c r="P1" s="488"/>
      <c r="Q1" s="488"/>
    </row>
    <row r="2" spans="1:18" ht="64.5" customHeight="1" x14ac:dyDescent="0.2">
      <c r="B2" s="336"/>
      <c r="C2" s="336"/>
      <c r="D2" s="336"/>
      <c r="E2" s="488"/>
      <c r="F2" s="488"/>
      <c r="G2" s="488"/>
      <c r="H2" s="488"/>
      <c r="I2" s="488"/>
      <c r="J2" s="488"/>
      <c r="K2" s="488"/>
      <c r="L2" s="488"/>
      <c r="M2" s="810" t="s">
        <v>1628</v>
      </c>
      <c r="N2" s="810"/>
      <c r="O2" s="810"/>
      <c r="P2" s="810"/>
      <c r="Q2" s="810"/>
    </row>
    <row r="3" spans="1:18" ht="18.75" x14ac:dyDescent="0.2">
      <c r="B3" s="794"/>
      <c r="C3" s="794"/>
      <c r="D3" s="336"/>
      <c r="E3" s="805" t="s">
        <v>570</v>
      </c>
      <c r="F3" s="805"/>
      <c r="G3" s="805"/>
      <c r="H3" s="805"/>
      <c r="I3" s="805"/>
      <c r="J3" s="805"/>
      <c r="K3" s="805"/>
      <c r="L3" s="805"/>
      <c r="M3" s="805"/>
      <c r="N3" s="489"/>
      <c r="O3" s="489"/>
      <c r="P3" s="489"/>
      <c r="Q3" s="489"/>
    </row>
    <row r="4" spans="1:18" ht="21" customHeight="1" x14ac:dyDescent="0.2">
      <c r="B4" s="490"/>
      <c r="C4" s="459"/>
      <c r="D4" s="491"/>
      <c r="E4" s="805" t="s">
        <v>1493</v>
      </c>
      <c r="F4" s="806"/>
      <c r="G4" s="806"/>
      <c r="H4" s="806"/>
      <c r="I4" s="806"/>
      <c r="J4" s="806"/>
      <c r="K4" s="806"/>
      <c r="L4" s="806"/>
      <c r="M4" s="806"/>
      <c r="N4" s="336"/>
      <c r="O4" s="336"/>
      <c r="P4" s="336"/>
      <c r="Q4" s="492"/>
    </row>
    <row r="5" spans="1:18" ht="12" customHeight="1" x14ac:dyDescent="0.2">
      <c r="B5" s="795">
        <v>2256400000</v>
      </c>
      <c r="C5" s="796"/>
      <c r="D5" s="491"/>
      <c r="E5" s="330"/>
      <c r="F5" s="330"/>
      <c r="G5" s="330"/>
      <c r="H5" s="330"/>
      <c r="I5" s="330"/>
      <c r="J5" s="330"/>
      <c r="K5" s="330"/>
      <c r="L5" s="330"/>
      <c r="M5" s="330"/>
      <c r="N5" s="336"/>
      <c r="O5" s="336"/>
      <c r="P5" s="336"/>
      <c r="Q5" s="492"/>
    </row>
    <row r="6" spans="1:18" ht="12" customHeight="1" x14ac:dyDescent="0.2">
      <c r="B6" s="797" t="s">
        <v>489</v>
      </c>
      <c r="C6" s="798"/>
      <c r="D6" s="491"/>
      <c r="E6" s="330"/>
      <c r="F6" s="330"/>
      <c r="G6" s="330"/>
      <c r="H6" s="330"/>
      <c r="I6" s="330"/>
      <c r="J6" s="330"/>
      <c r="K6" s="330"/>
      <c r="L6" s="330"/>
      <c r="M6" s="330"/>
      <c r="N6" s="336"/>
      <c r="O6" s="336"/>
      <c r="P6" s="336"/>
      <c r="Q6" s="492"/>
    </row>
    <row r="7" spans="1:18" ht="21" customHeight="1" thickBot="1" x14ac:dyDescent="0.35">
      <c r="B7" s="493"/>
      <c r="C7" s="493"/>
      <c r="D7" s="491"/>
      <c r="E7" s="330"/>
      <c r="F7" s="330"/>
      <c r="G7" s="330"/>
      <c r="H7" s="330"/>
      <c r="I7" s="330"/>
      <c r="J7" s="330"/>
      <c r="K7" s="330"/>
      <c r="L7" s="330"/>
      <c r="M7" s="330"/>
      <c r="N7" s="336"/>
      <c r="O7" s="336"/>
      <c r="P7" s="336"/>
      <c r="Q7" s="494" t="s">
        <v>404</v>
      </c>
    </row>
    <row r="8" spans="1:18" ht="17.45" customHeight="1" thickTop="1" thickBot="1" x14ac:dyDescent="0.25">
      <c r="A8" s="169"/>
      <c r="B8" s="801" t="s">
        <v>490</v>
      </c>
      <c r="C8" s="802" t="s">
        <v>491</v>
      </c>
      <c r="D8" s="802" t="s">
        <v>390</v>
      </c>
      <c r="E8" s="802" t="s">
        <v>572</v>
      </c>
      <c r="F8" s="801" t="s">
        <v>124</v>
      </c>
      <c r="G8" s="801"/>
      <c r="H8" s="801"/>
      <c r="I8" s="801"/>
      <c r="J8" s="801" t="s">
        <v>125</v>
      </c>
      <c r="K8" s="801"/>
      <c r="L8" s="801"/>
      <c r="M8" s="801"/>
      <c r="N8" s="801" t="s">
        <v>389</v>
      </c>
      <c r="O8" s="801"/>
      <c r="P8" s="801"/>
      <c r="Q8" s="801"/>
    </row>
    <row r="9" spans="1:18" ht="28.5" customHeight="1" thickTop="1" thickBot="1" x14ac:dyDescent="0.25">
      <c r="A9" s="170"/>
      <c r="B9" s="801"/>
      <c r="C9" s="770"/>
      <c r="D9" s="770"/>
      <c r="E9" s="803"/>
      <c r="F9" s="804" t="s">
        <v>386</v>
      </c>
      <c r="G9" s="804" t="s">
        <v>387</v>
      </c>
      <c r="H9" s="808"/>
      <c r="I9" s="804" t="s">
        <v>388</v>
      </c>
      <c r="J9" s="804" t="s">
        <v>386</v>
      </c>
      <c r="K9" s="804" t="s">
        <v>387</v>
      </c>
      <c r="L9" s="808"/>
      <c r="M9" s="804" t="s">
        <v>388</v>
      </c>
      <c r="N9" s="804" t="s">
        <v>386</v>
      </c>
      <c r="O9" s="804" t="s">
        <v>387</v>
      </c>
      <c r="P9" s="808"/>
      <c r="Q9" s="804" t="s">
        <v>388</v>
      </c>
    </row>
    <row r="10" spans="1:18" ht="65.25" customHeight="1" thickTop="1" thickBot="1" x14ac:dyDescent="0.25">
      <c r="A10" s="7"/>
      <c r="B10" s="801"/>
      <c r="C10" s="770"/>
      <c r="D10" s="770"/>
      <c r="E10" s="770"/>
      <c r="F10" s="804"/>
      <c r="G10" s="495" t="s">
        <v>384</v>
      </c>
      <c r="H10" s="495" t="s">
        <v>385</v>
      </c>
      <c r="I10" s="804"/>
      <c r="J10" s="804"/>
      <c r="K10" s="495" t="s">
        <v>384</v>
      </c>
      <c r="L10" s="495" t="s">
        <v>385</v>
      </c>
      <c r="M10" s="804"/>
      <c r="N10" s="804"/>
      <c r="O10" s="495" t="s">
        <v>384</v>
      </c>
      <c r="P10" s="495" t="s">
        <v>385</v>
      </c>
      <c r="Q10" s="804"/>
    </row>
    <row r="11" spans="1:18" ht="15" customHeight="1" thickTop="1" thickBot="1" x14ac:dyDescent="0.25">
      <c r="A11" s="7"/>
      <c r="B11" s="496">
        <v>1</v>
      </c>
      <c r="C11" s="497">
        <v>2</v>
      </c>
      <c r="D11" s="496">
        <v>3</v>
      </c>
      <c r="E11" s="497">
        <v>4</v>
      </c>
      <c r="F11" s="496">
        <v>5</v>
      </c>
      <c r="G11" s="497">
        <v>6</v>
      </c>
      <c r="H11" s="496">
        <v>7</v>
      </c>
      <c r="I11" s="497">
        <v>8</v>
      </c>
      <c r="J11" s="496">
        <v>9</v>
      </c>
      <c r="K11" s="497">
        <v>10</v>
      </c>
      <c r="L11" s="496">
        <v>11</v>
      </c>
      <c r="M11" s="497">
        <v>12</v>
      </c>
      <c r="N11" s="496">
        <v>13</v>
      </c>
      <c r="O11" s="497">
        <v>14</v>
      </c>
      <c r="P11" s="496">
        <v>15</v>
      </c>
      <c r="Q11" s="497">
        <v>16</v>
      </c>
    </row>
    <row r="12" spans="1:18" s="175" customFormat="1" ht="46.5" hidden="1" thickTop="1" thickBot="1" x14ac:dyDescent="0.25">
      <c r="A12" s="171"/>
      <c r="B12" s="403" t="s">
        <v>22</v>
      </c>
      <c r="C12" s="403"/>
      <c r="D12" s="403"/>
      <c r="E12" s="404" t="s">
        <v>23</v>
      </c>
      <c r="F12" s="405">
        <f>F13</f>
        <v>0</v>
      </c>
      <c r="G12" s="405">
        <f t="shared" ref="G12:Q12" si="0">G13</f>
        <v>0</v>
      </c>
      <c r="H12" s="405">
        <f t="shared" si="0"/>
        <v>0</v>
      </c>
      <c r="I12" s="406">
        <f>I13</f>
        <v>0</v>
      </c>
      <c r="J12" s="405">
        <f t="shared" si="0"/>
        <v>0</v>
      </c>
      <c r="K12" s="405">
        <f t="shared" si="0"/>
        <v>0</v>
      </c>
      <c r="L12" s="405">
        <f t="shared" si="0"/>
        <v>0</v>
      </c>
      <c r="M12" s="406">
        <f>M13</f>
        <v>0</v>
      </c>
      <c r="N12" s="405">
        <f t="shared" si="0"/>
        <v>0</v>
      </c>
      <c r="O12" s="405">
        <f t="shared" si="0"/>
        <v>0</v>
      </c>
      <c r="P12" s="405">
        <f t="shared" si="0"/>
        <v>0</v>
      </c>
      <c r="Q12" s="406">
        <f t="shared" si="0"/>
        <v>0</v>
      </c>
      <c r="R12" s="8"/>
    </row>
    <row r="13" spans="1:18" ht="44.25" hidden="1" thickTop="1" thickBot="1" x14ac:dyDescent="0.25">
      <c r="B13" s="407" t="s">
        <v>21</v>
      </c>
      <c r="C13" s="407"/>
      <c r="D13" s="407"/>
      <c r="E13" s="408" t="s">
        <v>35</v>
      </c>
      <c r="F13" s="409">
        <f t="shared" ref="F13:Q13" si="1">F18+F17+F19</f>
        <v>0</v>
      </c>
      <c r="G13" s="409">
        <f t="shared" si="1"/>
        <v>0</v>
      </c>
      <c r="H13" s="409">
        <f t="shared" si="1"/>
        <v>0</v>
      </c>
      <c r="I13" s="409">
        <f t="shared" si="1"/>
        <v>0</v>
      </c>
      <c r="J13" s="409">
        <f t="shared" si="1"/>
        <v>0</v>
      </c>
      <c r="K13" s="409">
        <f t="shared" si="1"/>
        <v>0</v>
      </c>
      <c r="L13" s="409">
        <f t="shared" si="1"/>
        <v>0</v>
      </c>
      <c r="M13" s="409">
        <f t="shared" si="1"/>
        <v>0</v>
      </c>
      <c r="N13" s="410">
        <f t="shared" si="1"/>
        <v>0</v>
      </c>
      <c r="O13" s="410">
        <f t="shared" si="1"/>
        <v>0</v>
      </c>
      <c r="P13" s="410">
        <f t="shared" si="1"/>
        <v>0</v>
      </c>
      <c r="Q13" s="409">
        <f t="shared" si="1"/>
        <v>0</v>
      </c>
    </row>
    <row r="14" spans="1:18" ht="15.75" hidden="1" thickTop="1" thickBot="1" x14ac:dyDescent="0.25">
      <c r="B14" s="411" t="s">
        <v>846</v>
      </c>
      <c r="C14" s="411" t="s">
        <v>692</v>
      </c>
      <c r="D14" s="411"/>
      <c r="E14" s="412" t="s">
        <v>847</v>
      </c>
      <c r="F14" s="413">
        <f>F15</f>
        <v>0</v>
      </c>
      <c r="G14" s="413">
        <f t="shared" ref="G14:Q15" si="2">G15</f>
        <v>0</v>
      </c>
      <c r="H14" s="413">
        <f t="shared" si="2"/>
        <v>0</v>
      </c>
      <c r="I14" s="413">
        <f t="shared" si="2"/>
        <v>0</v>
      </c>
      <c r="J14" s="413">
        <f t="shared" si="2"/>
        <v>0</v>
      </c>
      <c r="K14" s="413">
        <f t="shared" si="2"/>
        <v>0</v>
      </c>
      <c r="L14" s="413">
        <f t="shared" si="2"/>
        <v>0</v>
      </c>
      <c r="M14" s="413">
        <f t="shared" si="2"/>
        <v>0</v>
      </c>
      <c r="N14" s="413">
        <f t="shared" si="2"/>
        <v>0</v>
      </c>
      <c r="O14" s="413">
        <f t="shared" si="2"/>
        <v>0</v>
      </c>
      <c r="P14" s="413">
        <f t="shared" si="2"/>
        <v>0</v>
      </c>
      <c r="Q14" s="413">
        <f t="shared" si="2"/>
        <v>0</v>
      </c>
    </row>
    <row r="15" spans="1:18" ht="16.5" hidden="1" thickTop="1" thickBot="1" x14ac:dyDescent="0.25">
      <c r="B15" s="414" t="s">
        <v>848</v>
      </c>
      <c r="C15" s="414" t="s">
        <v>849</v>
      </c>
      <c r="D15" s="414"/>
      <c r="E15" s="415" t="s">
        <v>850</v>
      </c>
      <c r="F15" s="416">
        <f>F16</f>
        <v>0</v>
      </c>
      <c r="G15" s="416">
        <f t="shared" si="2"/>
        <v>0</v>
      </c>
      <c r="H15" s="416">
        <f t="shared" si="2"/>
        <v>0</v>
      </c>
      <c r="I15" s="416">
        <f t="shared" si="2"/>
        <v>0</v>
      </c>
      <c r="J15" s="416">
        <f t="shared" si="2"/>
        <v>0</v>
      </c>
      <c r="K15" s="416">
        <f t="shared" si="2"/>
        <v>0</v>
      </c>
      <c r="L15" s="416">
        <f t="shared" si="2"/>
        <v>0</v>
      </c>
      <c r="M15" s="416">
        <f t="shared" si="2"/>
        <v>0</v>
      </c>
      <c r="N15" s="416">
        <f t="shared" si="2"/>
        <v>0</v>
      </c>
      <c r="O15" s="416">
        <f t="shared" si="2"/>
        <v>0</v>
      </c>
      <c r="P15" s="416">
        <f t="shared" si="2"/>
        <v>0</v>
      </c>
      <c r="Q15" s="416">
        <f t="shared" si="2"/>
        <v>0</v>
      </c>
    </row>
    <row r="16" spans="1:18" ht="76.5" hidden="1" thickTop="1" thickBot="1" x14ac:dyDescent="0.25">
      <c r="B16" s="417" t="s">
        <v>851</v>
      </c>
      <c r="C16" s="418" t="s">
        <v>852</v>
      </c>
      <c r="D16" s="418"/>
      <c r="E16" s="419" t="s">
        <v>872</v>
      </c>
      <c r="F16" s="420">
        <f>SUM(F17:F18)</f>
        <v>0</v>
      </c>
      <c r="G16" s="420">
        <f t="shared" ref="G16:Q16" si="3">SUM(G17:G18)</f>
        <v>0</v>
      </c>
      <c r="H16" s="420">
        <f t="shared" si="3"/>
        <v>0</v>
      </c>
      <c r="I16" s="420">
        <f t="shared" si="3"/>
        <v>0</v>
      </c>
      <c r="J16" s="420">
        <f t="shared" si="3"/>
        <v>0</v>
      </c>
      <c r="K16" s="420">
        <f t="shared" si="3"/>
        <v>0</v>
      </c>
      <c r="L16" s="420">
        <f t="shared" si="3"/>
        <v>0</v>
      </c>
      <c r="M16" s="420">
        <f t="shared" si="3"/>
        <v>0</v>
      </c>
      <c r="N16" s="420">
        <f t="shared" si="3"/>
        <v>0</v>
      </c>
      <c r="O16" s="420">
        <f t="shared" si="3"/>
        <v>0</v>
      </c>
      <c r="P16" s="420">
        <f t="shared" si="3"/>
        <v>0</v>
      </c>
      <c r="Q16" s="420">
        <f t="shared" si="3"/>
        <v>0</v>
      </c>
    </row>
    <row r="17" spans="2:18" ht="76.5" hidden="1" thickTop="1" thickBot="1" x14ac:dyDescent="0.25">
      <c r="B17" s="417" t="s">
        <v>456</v>
      </c>
      <c r="C17" s="417" t="s">
        <v>458</v>
      </c>
      <c r="D17" s="417" t="s">
        <v>50</v>
      </c>
      <c r="E17" s="421" t="s">
        <v>874</v>
      </c>
      <c r="F17" s="422">
        <v>0</v>
      </c>
      <c r="G17" s="422">
        <v>0</v>
      </c>
      <c r="H17" s="422">
        <v>0</v>
      </c>
      <c r="I17" s="422">
        <f>F17+G17</f>
        <v>0</v>
      </c>
      <c r="J17" s="422">
        <v>0</v>
      </c>
      <c r="K17" s="422">
        <v>0</v>
      </c>
      <c r="L17" s="422"/>
      <c r="M17" s="422">
        <f>J17+K17</f>
        <v>0</v>
      </c>
      <c r="N17" s="422">
        <f>F17+J17</f>
        <v>0</v>
      </c>
      <c r="O17" s="422">
        <f>G17+K17</f>
        <v>0</v>
      </c>
      <c r="P17" s="422"/>
      <c r="Q17" s="422">
        <f>I17+M17</f>
        <v>0</v>
      </c>
    </row>
    <row r="18" spans="2:18" ht="76.5" hidden="1" thickTop="1" thickBot="1" x14ac:dyDescent="0.25">
      <c r="B18" s="417" t="s">
        <v>457</v>
      </c>
      <c r="C18" s="417" t="s">
        <v>459</v>
      </c>
      <c r="D18" s="417" t="s">
        <v>50</v>
      </c>
      <c r="E18" s="421" t="s">
        <v>873</v>
      </c>
      <c r="F18" s="422"/>
      <c r="G18" s="422">
        <f>H18+I18</f>
        <v>0</v>
      </c>
      <c r="H18" s="422"/>
      <c r="I18" s="422"/>
      <c r="J18" s="422"/>
      <c r="K18" s="422">
        <v>0</v>
      </c>
      <c r="L18" s="422"/>
      <c r="M18" s="422">
        <f>J18+K18</f>
        <v>0</v>
      </c>
      <c r="N18" s="422">
        <f>F18+J18</f>
        <v>0</v>
      </c>
      <c r="O18" s="422">
        <f>G18+K18</f>
        <v>0</v>
      </c>
      <c r="P18" s="422"/>
      <c r="Q18" s="422">
        <f>I18+M18</f>
        <v>0</v>
      </c>
    </row>
    <row r="19" spans="2:18" ht="61.5" hidden="1" thickTop="1" thickBot="1" x14ac:dyDescent="0.25">
      <c r="B19" s="417" t="s">
        <v>502</v>
      </c>
      <c r="C19" s="417" t="s">
        <v>503</v>
      </c>
      <c r="D19" s="417" t="s">
        <v>50</v>
      </c>
      <c r="E19" s="421" t="s">
        <v>501</v>
      </c>
      <c r="F19" s="422"/>
      <c r="G19" s="422"/>
      <c r="H19" s="422"/>
      <c r="I19" s="422"/>
      <c r="J19" s="422"/>
      <c r="K19" s="422"/>
      <c r="L19" s="422"/>
      <c r="M19" s="422">
        <f>J19+K19</f>
        <v>0</v>
      </c>
      <c r="N19" s="422"/>
      <c r="O19" s="422">
        <f>G19+K19</f>
        <v>0</v>
      </c>
      <c r="P19" s="422"/>
      <c r="Q19" s="422">
        <f>I19+M19</f>
        <v>0</v>
      </c>
    </row>
    <row r="20" spans="2:18" ht="50.1" customHeight="1" thickTop="1" thickBot="1" x14ac:dyDescent="0.25">
      <c r="B20" s="696" t="s">
        <v>168</v>
      </c>
      <c r="C20" s="696"/>
      <c r="D20" s="696"/>
      <c r="E20" s="697" t="s">
        <v>27</v>
      </c>
      <c r="F20" s="698">
        <f>F21</f>
        <v>0</v>
      </c>
      <c r="G20" s="698">
        <f t="shared" ref="G20:Q21" si="4">G21</f>
        <v>17857810</v>
      </c>
      <c r="H20" s="698">
        <f t="shared" si="4"/>
        <v>17857810</v>
      </c>
      <c r="I20" s="699">
        <f>I21</f>
        <v>17857810</v>
      </c>
      <c r="J20" s="698">
        <f t="shared" si="4"/>
        <v>0</v>
      </c>
      <c r="K20" s="698">
        <f t="shared" si="4"/>
        <v>-17857810</v>
      </c>
      <c r="L20" s="698">
        <f t="shared" si="4"/>
        <v>-17857810</v>
      </c>
      <c r="M20" s="699">
        <f>M21</f>
        <v>-17857810</v>
      </c>
      <c r="N20" s="698">
        <f t="shared" si="4"/>
        <v>0</v>
      </c>
      <c r="O20" s="698">
        <f t="shared" si="4"/>
        <v>0</v>
      </c>
      <c r="P20" s="698">
        <f t="shared" si="4"/>
        <v>0</v>
      </c>
      <c r="Q20" s="699">
        <f t="shared" si="4"/>
        <v>0</v>
      </c>
    </row>
    <row r="21" spans="2:18" ht="50.1" customHeight="1" thickTop="1" thickBot="1" x14ac:dyDescent="0.25">
      <c r="B21" s="700" t="s">
        <v>169</v>
      </c>
      <c r="C21" s="700"/>
      <c r="D21" s="700"/>
      <c r="E21" s="701" t="s">
        <v>40</v>
      </c>
      <c r="F21" s="702">
        <f>F22</f>
        <v>0</v>
      </c>
      <c r="G21" s="702">
        <f t="shared" si="4"/>
        <v>17857810</v>
      </c>
      <c r="H21" s="702">
        <f t="shared" si="4"/>
        <v>17857810</v>
      </c>
      <c r="I21" s="702">
        <f t="shared" si="4"/>
        <v>17857810</v>
      </c>
      <c r="J21" s="702">
        <f>J22</f>
        <v>0</v>
      </c>
      <c r="K21" s="702">
        <f>K22</f>
        <v>-17857810</v>
      </c>
      <c r="L21" s="702">
        <f t="shared" si="4"/>
        <v>-17857810</v>
      </c>
      <c r="M21" s="702">
        <f t="shared" si="4"/>
        <v>-17857810</v>
      </c>
      <c r="N21" s="702">
        <f t="shared" si="4"/>
        <v>0</v>
      </c>
      <c r="O21" s="702">
        <f t="shared" si="4"/>
        <v>0</v>
      </c>
      <c r="P21" s="702">
        <f t="shared" si="4"/>
        <v>0</v>
      </c>
      <c r="Q21" s="702">
        <f t="shared" si="4"/>
        <v>0</v>
      </c>
    </row>
    <row r="22" spans="2:18" ht="15.75" thickTop="1" thickBot="1" x14ac:dyDescent="0.25">
      <c r="B22" s="498" t="s">
        <v>841</v>
      </c>
      <c r="C22" s="498" t="s">
        <v>692</v>
      </c>
      <c r="D22" s="498"/>
      <c r="E22" s="499" t="s">
        <v>847</v>
      </c>
      <c r="F22" s="500">
        <f>F23</f>
        <v>0</v>
      </c>
      <c r="G22" s="500">
        <f t="shared" ref="G22:Q23" si="5">G23</f>
        <v>17857810</v>
      </c>
      <c r="H22" s="500">
        <f t="shared" si="5"/>
        <v>17857810</v>
      </c>
      <c r="I22" s="500">
        <f t="shared" si="5"/>
        <v>17857810</v>
      </c>
      <c r="J22" s="500">
        <f t="shared" si="5"/>
        <v>0</v>
      </c>
      <c r="K22" s="500">
        <f t="shared" si="5"/>
        <v>-17857810</v>
      </c>
      <c r="L22" s="500">
        <f t="shared" si="5"/>
        <v>-17857810</v>
      </c>
      <c r="M22" s="500">
        <f t="shared" si="5"/>
        <v>-17857810</v>
      </c>
      <c r="N22" s="500">
        <f t="shared" si="5"/>
        <v>0</v>
      </c>
      <c r="O22" s="500">
        <f t="shared" si="5"/>
        <v>0</v>
      </c>
      <c r="P22" s="500">
        <f t="shared" si="5"/>
        <v>0</v>
      </c>
      <c r="Q22" s="500">
        <f t="shared" si="5"/>
        <v>0</v>
      </c>
    </row>
    <row r="23" spans="2:18" ht="16.5" thickTop="1" thickBot="1" x14ac:dyDescent="0.25">
      <c r="B23" s="501" t="s">
        <v>1348</v>
      </c>
      <c r="C23" s="501" t="s">
        <v>849</v>
      </c>
      <c r="D23" s="501"/>
      <c r="E23" s="502" t="s">
        <v>850</v>
      </c>
      <c r="F23" s="503">
        <f>F24</f>
        <v>0</v>
      </c>
      <c r="G23" s="503">
        <f>G24</f>
        <v>17857810</v>
      </c>
      <c r="H23" s="503">
        <f t="shared" si="5"/>
        <v>17857810</v>
      </c>
      <c r="I23" s="503">
        <f t="shared" si="5"/>
        <v>17857810</v>
      </c>
      <c r="J23" s="503">
        <f t="shared" si="5"/>
        <v>0</v>
      </c>
      <c r="K23" s="503">
        <f t="shared" si="5"/>
        <v>-17857810</v>
      </c>
      <c r="L23" s="503">
        <f t="shared" si="5"/>
        <v>-17857810</v>
      </c>
      <c r="M23" s="503">
        <f t="shared" si="5"/>
        <v>-17857810</v>
      </c>
      <c r="N23" s="503">
        <f t="shared" si="5"/>
        <v>0</v>
      </c>
      <c r="O23" s="503">
        <f t="shared" si="5"/>
        <v>0</v>
      </c>
      <c r="P23" s="503">
        <f t="shared" si="5"/>
        <v>0</v>
      </c>
      <c r="Q23" s="503">
        <f t="shared" si="5"/>
        <v>0</v>
      </c>
    </row>
    <row r="24" spans="2:18" ht="46.5" thickTop="1" thickBot="1" x14ac:dyDescent="0.25">
      <c r="B24" s="504" t="s">
        <v>1349</v>
      </c>
      <c r="C24" s="505" t="s">
        <v>1531</v>
      </c>
      <c r="D24" s="505"/>
      <c r="E24" s="506" t="s">
        <v>1136</v>
      </c>
      <c r="F24" s="507">
        <f t="shared" ref="F24:L24" si="6">F25+F27</f>
        <v>0</v>
      </c>
      <c r="G24" s="507">
        <f t="shared" si="6"/>
        <v>17857810</v>
      </c>
      <c r="H24" s="507">
        <f t="shared" si="6"/>
        <v>17857810</v>
      </c>
      <c r="I24" s="507">
        <f t="shared" si="6"/>
        <v>17857810</v>
      </c>
      <c r="J24" s="507">
        <f t="shared" si="6"/>
        <v>0</v>
      </c>
      <c r="K24" s="507">
        <f t="shared" si="6"/>
        <v>-17857810</v>
      </c>
      <c r="L24" s="507">
        <f t="shared" si="6"/>
        <v>-17857810</v>
      </c>
      <c r="M24" s="507">
        <f t="shared" ref="M24:M26" si="7">J24+K24</f>
        <v>-17857810</v>
      </c>
      <c r="N24" s="507">
        <f t="shared" ref="N24:N26" si="8">F24+J24</f>
        <v>0</v>
      </c>
      <c r="O24" s="507">
        <f t="shared" ref="O24:O26" si="9">G24+K24</f>
        <v>0</v>
      </c>
      <c r="P24" s="507">
        <f>P25+P27</f>
        <v>0</v>
      </c>
      <c r="Q24" s="507">
        <f>Q25+Q27</f>
        <v>0</v>
      </c>
    </row>
    <row r="25" spans="2:18" ht="61.5" thickTop="1" thickBot="1" x14ac:dyDescent="0.25">
      <c r="B25" s="504" t="s">
        <v>1350</v>
      </c>
      <c r="C25" s="504" t="s">
        <v>1351</v>
      </c>
      <c r="D25" s="504" t="s">
        <v>170</v>
      </c>
      <c r="E25" s="332" t="s">
        <v>1137</v>
      </c>
      <c r="F25" s="508">
        <f>F26</f>
        <v>0</v>
      </c>
      <c r="G25" s="508">
        <f>G26</f>
        <v>17857810</v>
      </c>
      <c r="H25" s="508">
        <f t="shared" ref="H25:P25" si="10">H26</f>
        <v>17857810</v>
      </c>
      <c r="I25" s="508">
        <f>I26</f>
        <v>17857810</v>
      </c>
      <c r="J25" s="508">
        <f t="shared" si="10"/>
        <v>0</v>
      </c>
      <c r="K25" s="508">
        <f t="shared" si="10"/>
        <v>0</v>
      </c>
      <c r="L25" s="508">
        <f t="shared" si="10"/>
        <v>0</v>
      </c>
      <c r="M25" s="508">
        <f t="shared" si="7"/>
        <v>0</v>
      </c>
      <c r="N25" s="508">
        <f t="shared" si="8"/>
        <v>0</v>
      </c>
      <c r="O25" s="508">
        <f t="shared" si="9"/>
        <v>17857810</v>
      </c>
      <c r="P25" s="508">
        <f t="shared" si="10"/>
        <v>17857810</v>
      </c>
      <c r="Q25" s="508">
        <f t="shared" ref="Q25:Q26" si="11">I25+M25</f>
        <v>17857810</v>
      </c>
    </row>
    <row r="26" spans="2:18" ht="31.5" thickTop="1" thickBot="1" x14ac:dyDescent="0.25">
      <c r="B26" s="504" t="s">
        <v>1355</v>
      </c>
      <c r="C26" s="504"/>
      <c r="D26" s="504"/>
      <c r="E26" s="332" t="s">
        <v>1356</v>
      </c>
      <c r="F26" s="508">
        <v>0</v>
      </c>
      <c r="G26" s="508">
        <f>((7660012)+10197798)</f>
        <v>17857810</v>
      </c>
      <c r="H26" s="508">
        <f>((7660012)+10197798)</f>
        <v>17857810</v>
      </c>
      <c r="I26" s="508">
        <f>F26+G26</f>
        <v>17857810</v>
      </c>
      <c r="J26" s="508">
        <v>0</v>
      </c>
      <c r="K26" s="508">
        <v>0</v>
      </c>
      <c r="L26" s="508">
        <v>0</v>
      </c>
      <c r="M26" s="508">
        <f t="shared" si="7"/>
        <v>0</v>
      </c>
      <c r="N26" s="508">
        <f t="shared" si="8"/>
        <v>0</v>
      </c>
      <c r="O26" s="508">
        <f t="shared" si="9"/>
        <v>17857810</v>
      </c>
      <c r="P26" s="508">
        <f>H26+L26</f>
        <v>17857810</v>
      </c>
      <c r="Q26" s="508">
        <f t="shared" si="11"/>
        <v>17857810</v>
      </c>
    </row>
    <row r="27" spans="2:18" ht="61.5" thickTop="1" thickBot="1" x14ac:dyDescent="0.25">
      <c r="B27" s="504" t="s">
        <v>1352</v>
      </c>
      <c r="C27" s="504" t="s">
        <v>1353</v>
      </c>
      <c r="D27" s="504" t="s">
        <v>170</v>
      </c>
      <c r="E27" s="332" t="s">
        <v>1354</v>
      </c>
      <c r="F27" s="508">
        <f>F28</f>
        <v>0</v>
      </c>
      <c r="G27" s="508">
        <f t="shared" ref="G27:Q27" si="12">G28</f>
        <v>0</v>
      </c>
      <c r="H27" s="508">
        <f t="shared" si="12"/>
        <v>0</v>
      </c>
      <c r="I27" s="508">
        <f t="shared" si="12"/>
        <v>0</v>
      </c>
      <c r="J27" s="508">
        <f t="shared" si="12"/>
        <v>0</v>
      </c>
      <c r="K27" s="508">
        <f t="shared" si="12"/>
        <v>-17857810</v>
      </c>
      <c r="L27" s="508">
        <f t="shared" si="12"/>
        <v>-17857810</v>
      </c>
      <c r="M27" s="508">
        <f t="shared" si="12"/>
        <v>-17857810</v>
      </c>
      <c r="N27" s="508">
        <f t="shared" si="12"/>
        <v>0</v>
      </c>
      <c r="O27" s="508">
        <f t="shared" si="12"/>
        <v>-17857810</v>
      </c>
      <c r="P27" s="508">
        <f t="shared" si="12"/>
        <v>-17857810</v>
      </c>
      <c r="Q27" s="508">
        <f t="shared" si="12"/>
        <v>-17857810</v>
      </c>
    </row>
    <row r="28" spans="2:18" ht="31.5" thickTop="1" thickBot="1" x14ac:dyDescent="0.25">
      <c r="B28" s="504" t="s">
        <v>1556</v>
      </c>
      <c r="C28" s="504"/>
      <c r="D28" s="504"/>
      <c r="E28" s="332" t="s">
        <v>1557</v>
      </c>
      <c r="F28" s="508">
        <v>0</v>
      </c>
      <c r="G28" s="508">
        <v>0</v>
      </c>
      <c r="H28" s="508">
        <v>0</v>
      </c>
      <c r="I28" s="508">
        <v>0</v>
      </c>
      <c r="J28" s="508">
        <v>0</v>
      </c>
      <c r="K28" s="508">
        <f>((0)-17857810)</f>
        <v>-17857810</v>
      </c>
      <c r="L28" s="508">
        <f>((0)-17857810)</f>
        <v>-17857810</v>
      </c>
      <c r="M28" s="508">
        <f t="shared" ref="M28" si="13">J28+K28</f>
        <v>-17857810</v>
      </c>
      <c r="N28" s="508">
        <f t="shared" ref="N28" si="14">F28+J28</f>
        <v>0</v>
      </c>
      <c r="O28" s="508">
        <f t="shared" ref="O28" si="15">G28+K28</f>
        <v>-17857810</v>
      </c>
      <c r="P28" s="508">
        <f>H28+L28</f>
        <v>-17857810</v>
      </c>
      <c r="Q28" s="508">
        <f t="shared" ref="Q28" si="16">I28+M28</f>
        <v>-17857810</v>
      </c>
    </row>
    <row r="29" spans="2:18" ht="27.75" customHeight="1" thickTop="1" thickBot="1" x14ac:dyDescent="0.25">
      <c r="B29" s="646" t="s">
        <v>381</v>
      </c>
      <c r="C29" s="646" t="s">
        <v>381</v>
      </c>
      <c r="D29" s="646" t="s">
        <v>381</v>
      </c>
      <c r="E29" s="646" t="s">
        <v>391</v>
      </c>
      <c r="F29" s="647">
        <f t="shared" ref="F29:Q29" si="17">F12+F20</f>
        <v>0</v>
      </c>
      <c r="G29" s="647">
        <f t="shared" si="17"/>
        <v>17857810</v>
      </c>
      <c r="H29" s="647">
        <f t="shared" si="17"/>
        <v>17857810</v>
      </c>
      <c r="I29" s="647">
        <f t="shared" si="17"/>
        <v>17857810</v>
      </c>
      <c r="J29" s="647">
        <f t="shared" si="17"/>
        <v>0</v>
      </c>
      <c r="K29" s="647">
        <f t="shared" si="17"/>
        <v>-17857810</v>
      </c>
      <c r="L29" s="647">
        <f t="shared" si="17"/>
        <v>-17857810</v>
      </c>
      <c r="M29" s="647">
        <f t="shared" si="17"/>
        <v>-17857810</v>
      </c>
      <c r="N29" s="647">
        <f>N12+N20</f>
        <v>0</v>
      </c>
      <c r="O29" s="647">
        <f t="shared" si="17"/>
        <v>0</v>
      </c>
      <c r="P29" s="647">
        <f t="shared" si="17"/>
        <v>0</v>
      </c>
      <c r="Q29" s="647">
        <f t="shared" si="17"/>
        <v>0</v>
      </c>
      <c r="R29" s="676" t="b">
        <f>Q29=N29+O29</f>
        <v>1</v>
      </c>
    </row>
    <row r="30" spans="2:18" ht="16.5" customHeight="1" thickTop="1" x14ac:dyDescent="0.2">
      <c r="B30" s="423"/>
      <c r="C30" s="423"/>
      <c r="D30" s="423"/>
      <c r="E30" s="424"/>
      <c r="F30" s="425"/>
      <c r="G30" s="425"/>
      <c r="H30" s="425"/>
      <c r="I30" s="425"/>
      <c r="J30" s="425"/>
      <c r="K30" s="425"/>
      <c r="L30" s="425"/>
      <c r="M30" s="425"/>
      <c r="N30" s="425"/>
      <c r="O30" s="425"/>
      <c r="P30" s="425"/>
      <c r="Q30" s="425"/>
    </row>
    <row r="31" spans="2:18" ht="15" x14ac:dyDescent="0.25">
      <c r="B31" s="423"/>
      <c r="C31" s="423"/>
      <c r="D31" s="807" t="s">
        <v>1458</v>
      </c>
      <c r="E31" s="721"/>
      <c r="F31" s="341"/>
      <c r="G31" s="342"/>
      <c r="H31" s="340"/>
      <c r="I31" s="342"/>
      <c r="J31" s="340"/>
      <c r="K31" s="342" t="s">
        <v>1459</v>
      </c>
      <c r="L31" s="342"/>
      <c r="M31" s="342"/>
      <c r="N31" s="342"/>
      <c r="O31" s="342"/>
      <c r="P31" s="342"/>
      <c r="Q31" s="425"/>
    </row>
    <row r="32" spans="2:18" ht="15" hidden="1" x14ac:dyDescent="0.25">
      <c r="B32" s="423"/>
      <c r="C32" s="423"/>
      <c r="D32" s="340" t="s">
        <v>1423</v>
      </c>
      <c r="E32" s="341"/>
      <c r="F32" s="341"/>
      <c r="G32" s="342"/>
      <c r="H32" s="340"/>
      <c r="I32" s="342"/>
      <c r="J32" s="340"/>
      <c r="K32" s="340" t="s">
        <v>1424</v>
      </c>
      <c r="L32" s="342"/>
      <c r="M32" s="342"/>
      <c r="N32" s="342"/>
      <c r="O32" s="342"/>
      <c r="P32" s="342"/>
      <c r="Q32" s="425"/>
    </row>
    <row r="33" spans="2:17" ht="15" x14ac:dyDescent="0.25">
      <c r="B33" s="423"/>
      <c r="C33" s="428"/>
      <c r="D33" s="811"/>
      <c r="E33" s="811"/>
      <c r="F33" s="811"/>
      <c r="G33" s="811"/>
      <c r="H33" s="811"/>
      <c r="I33" s="811"/>
      <c r="J33" s="811"/>
      <c r="K33" s="811"/>
      <c r="L33" s="811"/>
      <c r="M33" s="811"/>
      <c r="N33" s="811"/>
      <c r="O33" s="811"/>
      <c r="P33" s="811"/>
      <c r="Q33" s="425"/>
    </row>
    <row r="34" spans="2:17" ht="15" customHeight="1" x14ac:dyDescent="0.25">
      <c r="B34" s="179"/>
      <c r="C34" s="179"/>
      <c r="D34" s="807" t="s">
        <v>522</v>
      </c>
      <c r="E34" s="721"/>
      <c r="F34" s="486"/>
      <c r="G34" s="509"/>
      <c r="H34" s="509"/>
      <c r="I34" s="342"/>
      <c r="J34" s="342"/>
      <c r="K34" s="340" t="s">
        <v>1326</v>
      </c>
      <c r="L34" s="342"/>
      <c r="M34" s="342"/>
      <c r="N34" s="342"/>
      <c r="O34" s="342"/>
      <c r="P34" s="342"/>
      <c r="Q34" s="180"/>
    </row>
    <row r="35" spans="2:17" ht="15" x14ac:dyDescent="0.25">
      <c r="B35" s="179"/>
      <c r="C35" s="179"/>
      <c r="D35" s="809"/>
      <c r="E35" s="809"/>
      <c r="F35" s="809"/>
      <c r="G35" s="809"/>
      <c r="H35" s="809"/>
      <c r="I35" s="809"/>
      <c r="J35" s="809"/>
      <c r="K35" s="809"/>
      <c r="L35" s="809"/>
      <c r="M35" s="809"/>
      <c r="N35" s="809"/>
      <c r="O35" s="809"/>
      <c r="P35" s="809"/>
      <c r="Q35" s="180"/>
    </row>
    <row r="36" spans="2:17" ht="15" x14ac:dyDescent="0.25">
      <c r="D36" s="809"/>
      <c r="E36" s="809"/>
      <c r="F36" s="809"/>
      <c r="G36" s="809"/>
      <c r="H36" s="809"/>
      <c r="I36" s="809"/>
      <c r="J36" s="809"/>
      <c r="K36" s="809"/>
      <c r="L36" s="809"/>
      <c r="M36" s="809"/>
      <c r="N36" s="809"/>
      <c r="O36" s="809"/>
      <c r="P36" s="809"/>
    </row>
    <row r="37" spans="2:17" ht="15" x14ac:dyDescent="0.25">
      <c r="D37" s="809"/>
      <c r="E37" s="809"/>
      <c r="F37" s="809"/>
      <c r="G37" s="809"/>
      <c r="H37" s="809"/>
      <c r="I37" s="809"/>
      <c r="J37" s="809"/>
      <c r="K37" s="809"/>
      <c r="L37" s="809"/>
      <c r="M37" s="809"/>
      <c r="N37" s="809"/>
      <c r="O37" s="809"/>
      <c r="P37" s="809"/>
    </row>
    <row r="38" spans="2:17" ht="15" x14ac:dyDescent="0.2">
      <c r="D38" s="181"/>
      <c r="E38" s="182"/>
      <c r="F38" s="183"/>
      <c r="G38" s="181"/>
      <c r="H38" s="181"/>
      <c r="I38" s="184"/>
      <c r="J38" s="182"/>
      <c r="K38" s="184"/>
      <c r="L38" s="181"/>
      <c r="M38" s="181"/>
      <c r="N38" s="184"/>
      <c r="O38" s="185"/>
      <c r="P38" s="186"/>
    </row>
    <row r="39" spans="2:17" ht="15" x14ac:dyDescent="0.25">
      <c r="D39" s="187"/>
      <c r="E39" s="187"/>
      <c r="F39" s="187"/>
      <c r="G39" s="187"/>
      <c r="H39" s="187"/>
      <c r="I39" s="187"/>
      <c r="J39" s="187"/>
      <c r="K39" s="187"/>
      <c r="L39" s="187"/>
      <c r="M39" s="187"/>
      <c r="N39" s="187"/>
      <c r="O39" s="187"/>
      <c r="P39" s="187"/>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799"/>
    </row>
    <row r="95" spans="7:7" x14ac:dyDescent="0.2">
      <c r="G95" s="800"/>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88"/>
    </row>
    <row r="158" spans="7:10" ht="46.5" x14ac:dyDescent="0.65">
      <c r="G158" s="188">
        <f>H158+I158</f>
        <v>0</v>
      </c>
      <c r="J158" s="188"/>
    </row>
    <row r="177" spans="11:11" ht="90" x14ac:dyDescent="1.1499999999999999">
      <c r="K177" s="189" t="b">
        <f>G177=H177+I177</f>
        <v>1</v>
      </c>
    </row>
  </sheetData>
  <mergeCells count="29">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 ref="B3:C3"/>
    <mergeCell ref="B5:C5"/>
    <mergeCell ref="B6:C6"/>
    <mergeCell ref="G94:G95"/>
    <mergeCell ref="B8:B10"/>
    <mergeCell ref="C8:C10"/>
    <mergeCell ref="D8:D10"/>
    <mergeCell ref="E8:E10"/>
    <mergeCell ref="F8:I8"/>
    <mergeCell ref="F9:F10"/>
    <mergeCell ref="I9:I10"/>
    <mergeCell ref="E4:M4"/>
    <mergeCell ref="D34:E34"/>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1"/>
  <sheetViews>
    <sheetView view="pageBreakPreview" topLeftCell="A83" zoomScale="40" zoomScaleNormal="25" zoomScaleSheetLayoutView="40" zoomScalePageLayoutView="10" workbookViewId="0">
      <selection activeCell="D103" sqref="D103"/>
    </sheetView>
  </sheetViews>
  <sheetFormatPr defaultColWidth="9.140625" defaultRowHeight="12.75" x14ac:dyDescent="0.2"/>
  <cols>
    <col min="1" max="1" width="62.28515625" style="202" customWidth="1"/>
    <col min="2" max="2" width="49.140625" style="202" customWidth="1"/>
    <col min="3" max="3" width="150.140625" style="202" customWidth="1"/>
    <col min="4" max="4" width="69.7109375" style="202" customWidth="1"/>
    <col min="5" max="6" width="26.5703125" style="192" bestFit="1" customWidth="1"/>
    <col min="7" max="16384" width="9.140625" style="192"/>
  </cols>
  <sheetData>
    <row r="1" spans="1:15" ht="48.75" customHeight="1" x14ac:dyDescent="0.35">
      <c r="A1" s="75"/>
      <c r="B1" s="546"/>
      <c r="C1" s="546"/>
      <c r="D1" s="547" t="s">
        <v>588</v>
      </c>
      <c r="E1" s="191"/>
      <c r="F1" s="191"/>
      <c r="G1" s="191"/>
      <c r="H1" s="191"/>
    </row>
    <row r="2" spans="1:15" ht="84.75" customHeight="1" x14ac:dyDescent="0.35">
      <c r="A2" s="76"/>
      <c r="B2" s="546"/>
      <c r="C2" s="546"/>
      <c r="D2" s="707" t="s">
        <v>1629</v>
      </c>
      <c r="E2" s="191"/>
      <c r="F2" s="191"/>
      <c r="G2" s="191"/>
      <c r="H2" s="191"/>
    </row>
    <row r="3" spans="1:15" ht="40.700000000000003" customHeight="1" x14ac:dyDescent="0.2">
      <c r="A3" s="76"/>
      <c r="B3" s="76"/>
      <c r="C3" s="76"/>
      <c r="D3" s="77"/>
      <c r="N3" s="835"/>
      <c r="O3" s="835"/>
    </row>
    <row r="4" spans="1:15" ht="45.75" hidden="1" x14ac:dyDescent="0.2">
      <c r="A4" s="76"/>
      <c r="B4" s="76"/>
      <c r="C4" s="76"/>
      <c r="D4" s="77"/>
      <c r="N4" s="835"/>
      <c r="O4" s="836"/>
    </row>
    <row r="5" spans="1:15" ht="45.75" x14ac:dyDescent="0.2">
      <c r="A5" s="762" t="s">
        <v>1503</v>
      </c>
      <c r="B5" s="762"/>
      <c r="C5" s="762"/>
      <c r="D5" s="762"/>
      <c r="N5" s="835"/>
      <c r="O5" s="836"/>
    </row>
    <row r="6" spans="1:15" ht="45.75" x14ac:dyDescent="0.65">
      <c r="A6" s="763">
        <v>2256400000</v>
      </c>
      <c r="B6" s="725"/>
      <c r="C6" s="725"/>
      <c r="D6" s="725"/>
    </row>
    <row r="7" spans="1:15" ht="45.75" x14ac:dyDescent="0.2">
      <c r="A7" s="768" t="s">
        <v>489</v>
      </c>
      <c r="B7" s="725"/>
      <c r="C7" s="725"/>
      <c r="D7" s="725"/>
    </row>
    <row r="8" spans="1:15" ht="45.75" x14ac:dyDescent="0.2">
      <c r="A8" s="464"/>
      <c r="B8" s="466"/>
      <c r="C8" s="466"/>
      <c r="D8" s="466"/>
    </row>
    <row r="9" spans="1:15" ht="53.45" customHeight="1" x14ac:dyDescent="0.2">
      <c r="A9" s="820" t="s">
        <v>1094</v>
      </c>
      <c r="B9" s="821"/>
      <c r="C9" s="821"/>
      <c r="D9" s="821"/>
    </row>
    <row r="10" spans="1:15" ht="53.45" customHeight="1" thickBot="1" x14ac:dyDescent="0.25">
      <c r="A10" s="77"/>
      <c r="B10" s="77"/>
      <c r="C10" s="77"/>
      <c r="D10" s="313" t="s">
        <v>404</v>
      </c>
    </row>
    <row r="11" spans="1:15" ht="140.25" customHeight="1" thickTop="1" thickBot="1" x14ac:dyDescent="0.25">
      <c r="A11" s="314" t="s">
        <v>593</v>
      </c>
      <c r="B11" s="825" t="s">
        <v>592</v>
      </c>
      <c r="C11" s="826"/>
      <c r="D11" s="314" t="s">
        <v>383</v>
      </c>
    </row>
    <row r="12" spans="1:15" s="193" customFormat="1" ht="47.25" thickTop="1" thickBot="1" x14ac:dyDescent="0.25">
      <c r="A12" s="101" t="s">
        <v>2</v>
      </c>
      <c r="B12" s="827" t="s">
        <v>3</v>
      </c>
      <c r="C12" s="828"/>
      <c r="D12" s="101" t="s">
        <v>14</v>
      </c>
    </row>
    <row r="13" spans="1:15" s="193" customFormat="1" ht="70.5" customHeight="1" thickTop="1" thickBot="1" x14ac:dyDescent="0.25">
      <c r="A13" s="822" t="s">
        <v>594</v>
      </c>
      <c r="B13" s="823"/>
      <c r="C13" s="823"/>
      <c r="D13" s="824"/>
    </row>
    <row r="14" spans="1:15" s="193" customFormat="1" ht="70.5" hidden="1" customHeight="1" thickTop="1" thickBot="1" x14ac:dyDescent="0.25">
      <c r="A14" s="123" t="s">
        <v>1319</v>
      </c>
      <c r="B14" s="829" t="s">
        <v>1318</v>
      </c>
      <c r="C14" s="830"/>
      <c r="D14" s="430">
        <f>SUM(D15)</f>
        <v>0</v>
      </c>
    </row>
    <row r="15" spans="1:15" s="193" customFormat="1" ht="254.25" hidden="1" customHeight="1" thickTop="1" thickBot="1" x14ac:dyDescent="0.25">
      <c r="A15" s="126">
        <v>41021400</v>
      </c>
      <c r="B15" s="812" t="s">
        <v>1325</v>
      </c>
      <c r="C15" s="813"/>
      <c r="D15" s="432"/>
    </row>
    <row r="16" spans="1:15" s="193" customFormat="1" ht="47.25" hidden="1" thickTop="1" thickBot="1" x14ac:dyDescent="0.25">
      <c r="A16" s="126" t="s">
        <v>1272</v>
      </c>
      <c r="B16" s="812" t="s">
        <v>573</v>
      </c>
      <c r="C16" s="813"/>
      <c r="D16" s="194">
        <f>D15</f>
        <v>0</v>
      </c>
    </row>
    <row r="17" spans="1:6" s="193" customFormat="1" ht="46.5" thickTop="1" thickBot="1" x14ac:dyDescent="0.25">
      <c r="A17" s="308" t="s">
        <v>604</v>
      </c>
      <c r="B17" s="831" t="s">
        <v>437</v>
      </c>
      <c r="C17" s="832"/>
      <c r="D17" s="612">
        <f>SUM(D18:D25)</f>
        <v>797823900</v>
      </c>
    </row>
    <row r="18" spans="1:6" s="193" customFormat="1" ht="47.25" hidden="1" thickTop="1" thickBot="1" x14ac:dyDescent="0.25">
      <c r="A18" s="101" t="s">
        <v>977</v>
      </c>
      <c r="B18" s="814" t="s">
        <v>976</v>
      </c>
      <c r="C18" s="815"/>
      <c r="D18" s="613">
        <v>0</v>
      </c>
    </row>
    <row r="19" spans="1:6" s="193" customFormat="1" ht="159.75" customHeight="1" thickTop="1" thickBot="1" x14ac:dyDescent="0.25">
      <c r="A19" s="101">
        <v>41033300</v>
      </c>
      <c r="B19" s="814" t="s">
        <v>1622</v>
      </c>
      <c r="C19" s="815"/>
      <c r="D19" s="613">
        <f>27529800+7887800</f>
        <v>35417600</v>
      </c>
    </row>
    <row r="20" spans="1:6" s="193" customFormat="1" ht="148.69999999999999" customHeight="1" thickTop="1" thickBot="1" x14ac:dyDescent="0.25">
      <c r="A20" s="101" t="s">
        <v>1062</v>
      </c>
      <c r="B20" s="814" t="s">
        <v>1026</v>
      </c>
      <c r="C20" s="815"/>
      <c r="D20" s="613">
        <v>8649900</v>
      </c>
    </row>
    <row r="21" spans="1:6" s="193" customFormat="1" ht="47.25" thickTop="1" thickBot="1" x14ac:dyDescent="0.25">
      <c r="A21" s="101" t="s">
        <v>603</v>
      </c>
      <c r="B21" s="814" t="s">
        <v>616</v>
      </c>
      <c r="C21" s="815"/>
      <c r="D21" s="315">
        <f>(752597500)+1158900</f>
        <v>753756400</v>
      </c>
    </row>
    <row r="22" spans="1:6" s="193" customFormat="1" ht="47.25" hidden="1" thickTop="1" thickBot="1" x14ac:dyDescent="0.25">
      <c r="A22" s="101" t="s">
        <v>1060</v>
      </c>
      <c r="B22" s="814" t="s">
        <v>1027</v>
      </c>
      <c r="C22" s="834"/>
      <c r="D22" s="315">
        <v>0</v>
      </c>
    </row>
    <row r="23" spans="1:6" s="193" customFormat="1" ht="47.25" hidden="1" thickTop="1" thickBot="1" x14ac:dyDescent="0.25">
      <c r="A23" s="101" t="s">
        <v>979</v>
      </c>
      <c r="B23" s="814" t="s">
        <v>978</v>
      </c>
      <c r="C23" s="815"/>
      <c r="D23" s="315">
        <v>0</v>
      </c>
    </row>
    <row r="24" spans="1:6" s="193" customFormat="1" ht="47.25" hidden="1" thickTop="1" thickBot="1" x14ac:dyDescent="0.25">
      <c r="A24" s="101" t="s">
        <v>987</v>
      </c>
      <c r="B24" s="814" t="s">
        <v>988</v>
      </c>
      <c r="C24" s="815"/>
      <c r="D24" s="315">
        <v>0</v>
      </c>
    </row>
    <row r="25" spans="1:6" s="193" customFormat="1" ht="47.25" hidden="1" thickTop="1" thickBot="1" x14ac:dyDescent="0.25">
      <c r="A25" s="101" t="s">
        <v>970</v>
      </c>
      <c r="B25" s="814" t="s">
        <v>969</v>
      </c>
      <c r="C25" s="815"/>
      <c r="D25" s="315">
        <v>0</v>
      </c>
    </row>
    <row r="26" spans="1:6" s="193" customFormat="1" ht="47.25" thickTop="1" thickBot="1" x14ac:dyDescent="0.25">
      <c r="A26" s="101" t="s">
        <v>1272</v>
      </c>
      <c r="B26" s="814" t="s">
        <v>573</v>
      </c>
      <c r="C26" s="815"/>
      <c r="D26" s="315">
        <f>D17</f>
        <v>797823900</v>
      </c>
    </row>
    <row r="27" spans="1:6" s="193" customFormat="1" ht="46.5" thickTop="1" thickBot="1" x14ac:dyDescent="0.25">
      <c r="A27" s="308" t="s">
        <v>608</v>
      </c>
      <c r="B27" s="831" t="s">
        <v>344</v>
      </c>
      <c r="C27" s="833"/>
      <c r="D27" s="612">
        <f>SUM(D28:D29)</f>
        <v>7904729.2400000002</v>
      </c>
    </row>
    <row r="28" spans="1:6" s="193" customFormat="1" ht="196.5" customHeight="1" thickTop="1" thickBot="1" x14ac:dyDescent="0.25">
      <c r="A28" s="101" t="s">
        <v>609</v>
      </c>
      <c r="B28" s="814" t="s">
        <v>617</v>
      </c>
      <c r="C28" s="815"/>
      <c r="D28" s="613">
        <v>7509500</v>
      </c>
    </row>
    <row r="29" spans="1:6" s="193" customFormat="1" ht="62.45" customHeight="1" thickTop="1" thickBot="1" x14ac:dyDescent="0.25">
      <c r="A29" s="101" t="s">
        <v>1200</v>
      </c>
      <c r="B29" s="814" t="s">
        <v>1199</v>
      </c>
      <c r="C29" s="815"/>
      <c r="D29" s="613">
        <f>(((0)+140989.01)+73066.32+30269.34)+118333.86+32570.71</f>
        <v>395229.24000000005</v>
      </c>
    </row>
    <row r="30" spans="1:6" s="193" customFormat="1" ht="47.25" thickTop="1" thickBot="1" x14ac:dyDescent="0.25">
      <c r="A30" s="101" t="s">
        <v>1276</v>
      </c>
      <c r="B30" s="814" t="s">
        <v>607</v>
      </c>
      <c r="C30" s="815"/>
      <c r="D30" s="315">
        <f>SUM(D28:D29)</f>
        <v>7904729.2400000002</v>
      </c>
    </row>
    <row r="31" spans="1:6" s="193" customFormat="1" ht="46.5" thickTop="1" thickBot="1" x14ac:dyDescent="0.25">
      <c r="A31" s="308" t="s">
        <v>610</v>
      </c>
      <c r="B31" s="831" t="s">
        <v>611</v>
      </c>
      <c r="C31" s="833"/>
      <c r="D31" s="612">
        <f>D50+D52</f>
        <v>240575765.28</v>
      </c>
      <c r="E31" s="650" t="b">
        <f>D31=D50+D52</f>
        <v>1</v>
      </c>
      <c r="F31" s="650" t="b">
        <f>D31='d1'!D130</f>
        <v>1</v>
      </c>
    </row>
    <row r="32" spans="1:6" s="193" customFormat="1" ht="408.75" customHeight="1" thickTop="1" x14ac:dyDescent="0.65">
      <c r="A32" s="740" t="s">
        <v>1063</v>
      </c>
      <c r="B32" s="816" t="s">
        <v>1404</v>
      </c>
      <c r="C32" s="817"/>
      <c r="D32" s="735">
        <f>(0)+82535515+26937130.87</f>
        <v>109472645.87</v>
      </c>
    </row>
    <row r="33" spans="1:4" s="193" customFormat="1" ht="409.6" customHeight="1" thickBot="1" x14ac:dyDescent="0.25">
      <c r="A33" s="742"/>
      <c r="B33" s="818" t="s">
        <v>1405</v>
      </c>
      <c r="C33" s="819"/>
      <c r="D33" s="742"/>
    </row>
    <row r="34" spans="1:4" s="193" customFormat="1" ht="376.5" customHeight="1" thickTop="1" x14ac:dyDescent="0.65">
      <c r="A34" s="740" t="s">
        <v>1061</v>
      </c>
      <c r="B34" s="816" t="s">
        <v>1406</v>
      </c>
      <c r="C34" s="817"/>
      <c r="D34" s="735">
        <f>((0)+9627478)+8130380.31</f>
        <v>17757858.309999999</v>
      </c>
    </row>
    <row r="35" spans="1:4" s="193" customFormat="1" ht="204.75" customHeight="1" thickBot="1" x14ac:dyDescent="0.25">
      <c r="A35" s="742"/>
      <c r="B35" s="818" t="s">
        <v>1407</v>
      </c>
      <c r="C35" s="819"/>
      <c r="D35" s="742"/>
    </row>
    <row r="36" spans="1:4" s="193" customFormat="1" ht="408.75" customHeight="1" thickTop="1" x14ac:dyDescent="0.65">
      <c r="A36" s="740">
        <v>41050600</v>
      </c>
      <c r="B36" s="816" t="s">
        <v>1408</v>
      </c>
      <c r="C36" s="817"/>
      <c r="D36" s="735">
        <f>(0)+29419182+46863206.1</f>
        <v>76282388.099999994</v>
      </c>
    </row>
    <row r="37" spans="1:4" s="193" customFormat="1" ht="379.5" customHeight="1" thickBot="1" x14ac:dyDescent="0.25">
      <c r="A37" s="742"/>
      <c r="B37" s="818" t="s">
        <v>1409</v>
      </c>
      <c r="C37" s="819"/>
      <c r="D37" s="742"/>
    </row>
    <row r="38" spans="1:4" s="193" customFormat="1" ht="289.5" customHeight="1" thickTop="1" thickBot="1" x14ac:dyDescent="0.25">
      <c r="A38" s="101">
        <v>41050900</v>
      </c>
      <c r="B38" s="814" t="s">
        <v>1064</v>
      </c>
      <c r="C38" s="815"/>
      <c r="D38" s="315">
        <v>6996382</v>
      </c>
    </row>
    <row r="39" spans="1:4" s="193" customFormat="1" ht="124.5" customHeight="1" thickTop="1" thickBot="1" x14ac:dyDescent="0.25">
      <c r="A39" s="101" t="s">
        <v>612</v>
      </c>
      <c r="B39" s="814" t="s">
        <v>613</v>
      </c>
      <c r="C39" s="815"/>
      <c r="D39" s="315">
        <v>11127203</v>
      </c>
    </row>
    <row r="40" spans="1:4" s="193" customFormat="1" ht="153" customHeight="1" thickTop="1" thickBot="1" x14ac:dyDescent="0.25">
      <c r="A40" s="101" t="s">
        <v>614</v>
      </c>
      <c r="B40" s="814" t="s">
        <v>1271</v>
      </c>
      <c r="C40" s="815"/>
      <c r="D40" s="613">
        <f>(0)+3668858+3336851</f>
        <v>7005709</v>
      </c>
    </row>
    <row r="41" spans="1:4" s="193" customFormat="1" ht="195.75" customHeight="1" thickTop="1" thickBot="1" x14ac:dyDescent="0.25">
      <c r="A41" s="101" t="s">
        <v>980</v>
      </c>
      <c r="B41" s="814" t="s">
        <v>1609</v>
      </c>
      <c r="C41" s="815"/>
      <c r="D41" s="613">
        <v>10289256</v>
      </c>
    </row>
    <row r="42" spans="1:4" s="193" customFormat="1" ht="192" customHeight="1" thickTop="1" thickBot="1" x14ac:dyDescent="0.25">
      <c r="A42" s="101" t="s">
        <v>939</v>
      </c>
      <c r="B42" s="814" t="s">
        <v>940</v>
      </c>
      <c r="C42" s="815"/>
      <c r="D42" s="613">
        <f>(0)+532739</f>
        <v>532739</v>
      </c>
    </row>
    <row r="43" spans="1:4" s="193" customFormat="1" ht="47.25" thickTop="1" thickBot="1" x14ac:dyDescent="0.25">
      <c r="A43" s="101">
        <v>41053900</v>
      </c>
      <c r="B43" s="814" t="s">
        <v>364</v>
      </c>
      <c r="C43" s="815"/>
      <c r="D43" s="613">
        <v>1018034</v>
      </c>
    </row>
    <row r="44" spans="1:4" s="193" customFormat="1" ht="20.25" hidden="1" thickTop="1" x14ac:dyDescent="0.65">
      <c r="A44" s="740" t="s">
        <v>1065</v>
      </c>
      <c r="B44" s="816" t="s">
        <v>1066</v>
      </c>
      <c r="C44" s="817"/>
      <c r="D44" s="735">
        <v>0</v>
      </c>
    </row>
    <row r="45" spans="1:4" s="193" customFormat="1" ht="13.5" hidden="1" thickBot="1" x14ac:dyDescent="0.25">
      <c r="A45" s="742"/>
      <c r="B45" s="818" t="s">
        <v>1067</v>
      </c>
      <c r="C45" s="819"/>
      <c r="D45" s="742"/>
    </row>
    <row r="46" spans="1:4" s="193" customFormat="1" ht="47.25" hidden="1" thickTop="1" thickBot="1" x14ac:dyDescent="0.25">
      <c r="A46" s="101" t="s">
        <v>615</v>
      </c>
      <c r="B46" s="814" t="s">
        <v>618</v>
      </c>
      <c r="C46" s="815"/>
      <c r="D46" s="613">
        <v>0</v>
      </c>
    </row>
    <row r="47" spans="1:4" s="193" customFormat="1" ht="47.25" hidden="1" thickTop="1" thickBot="1" x14ac:dyDescent="0.25">
      <c r="A47" s="101" t="s">
        <v>1009</v>
      </c>
      <c r="B47" s="814" t="s">
        <v>1010</v>
      </c>
      <c r="C47" s="815"/>
      <c r="D47" s="315">
        <f>10623233.82-10623233.82</f>
        <v>0</v>
      </c>
    </row>
    <row r="48" spans="1:4" s="193" customFormat="1" ht="168.75" customHeight="1" thickTop="1" thickBot="1" x14ac:dyDescent="0.25">
      <c r="A48" s="101">
        <v>41057700</v>
      </c>
      <c r="B48" s="814" t="s">
        <v>1357</v>
      </c>
      <c r="C48" s="815"/>
      <c r="D48" s="613">
        <f>(0)+93550</f>
        <v>93550</v>
      </c>
    </row>
    <row r="49" spans="1:5" s="193" customFormat="1" ht="47.25" hidden="1" thickTop="1" thickBot="1" x14ac:dyDescent="0.25">
      <c r="A49" s="101">
        <v>41059000</v>
      </c>
      <c r="B49" s="814" t="s">
        <v>1382</v>
      </c>
      <c r="C49" s="815"/>
      <c r="D49" s="613">
        <v>0</v>
      </c>
    </row>
    <row r="50" spans="1:5" s="193" customFormat="1" ht="47.25" thickTop="1" thickBot="1" x14ac:dyDescent="0.55000000000000004">
      <c r="A50" s="101" t="s">
        <v>1276</v>
      </c>
      <c r="B50" s="814" t="s">
        <v>607</v>
      </c>
      <c r="C50" s="815"/>
      <c r="D50" s="315">
        <f>SUM(D32:D49)</f>
        <v>240575765.28</v>
      </c>
      <c r="E50" s="195"/>
    </row>
    <row r="51" spans="1:5" s="193" customFormat="1" ht="47.25" hidden="1" thickTop="1" thickBot="1" x14ac:dyDescent="0.25">
      <c r="A51" s="196" t="s">
        <v>1087</v>
      </c>
      <c r="B51" s="839" t="s">
        <v>1088</v>
      </c>
      <c r="C51" s="840"/>
      <c r="D51" s="433">
        <v>0</v>
      </c>
    </row>
    <row r="52" spans="1:5" s="193" customFormat="1" ht="47.25" hidden="1" thickTop="1" thickBot="1" x14ac:dyDescent="0.25">
      <c r="A52" s="196" t="s">
        <v>575</v>
      </c>
      <c r="B52" s="839" t="s">
        <v>576</v>
      </c>
      <c r="C52" s="840"/>
      <c r="D52" s="197">
        <f>D51</f>
        <v>0</v>
      </c>
    </row>
    <row r="53" spans="1:5" ht="76.7" customHeight="1" thickTop="1" thickBot="1" x14ac:dyDescent="0.25">
      <c r="A53" s="822" t="s">
        <v>595</v>
      </c>
      <c r="B53" s="823"/>
      <c r="C53" s="823"/>
      <c r="D53" s="824"/>
    </row>
    <row r="54" spans="1:5" ht="46.5" hidden="1" thickTop="1" thickBot="1" x14ac:dyDescent="0.25">
      <c r="A54" s="614" t="s">
        <v>604</v>
      </c>
      <c r="B54" s="841" t="s">
        <v>437</v>
      </c>
      <c r="C54" s="842"/>
      <c r="D54" s="615">
        <f>D55</f>
        <v>0</v>
      </c>
    </row>
    <row r="55" spans="1:5" ht="47.25" hidden="1" thickTop="1" thickBot="1" x14ac:dyDescent="0.25">
      <c r="A55" s="616" t="s">
        <v>1060</v>
      </c>
      <c r="B55" s="843" t="s">
        <v>1027</v>
      </c>
      <c r="C55" s="844"/>
      <c r="D55" s="617">
        <v>0</v>
      </c>
    </row>
    <row r="56" spans="1:5" ht="47.25" hidden="1" thickTop="1" thickBot="1" x14ac:dyDescent="0.25">
      <c r="A56" s="616" t="s">
        <v>875</v>
      </c>
      <c r="B56" s="843" t="s">
        <v>573</v>
      </c>
      <c r="C56" s="844"/>
      <c r="D56" s="618">
        <f>D54</f>
        <v>0</v>
      </c>
    </row>
    <row r="57" spans="1:5" ht="46.5" thickTop="1" thickBot="1" x14ac:dyDescent="0.25">
      <c r="A57" s="308" t="s">
        <v>610</v>
      </c>
      <c r="B57" s="831" t="s">
        <v>611</v>
      </c>
      <c r="C57" s="833"/>
      <c r="D57" s="612">
        <f>D62+D64</f>
        <v>16116265</v>
      </c>
      <c r="E57" s="648" t="b">
        <f>D57=D58+D59+D63+D60+D61</f>
        <v>1</v>
      </c>
    </row>
    <row r="58" spans="1:5" ht="47.25" hidden="1" thickTop="1" thickBot="1" x14ac:dyDescent="0.25">
      <c r="A58" s="616" t="s">
        <v>941</v>
      </c>
      <c r="B58" s="843" t="s">
        <v>944</v>
      </c>
      <c r="C58" s="844"/>
      <c r="D58" s="617">
        <v>0</v>
      </c>
    </row>
    <row r="59" spans="1:5" ht="47.25" hidden="1" thickTop="1" thickBot="1" x14ac:dyDescent="0.25">
      <c r="A59" s="616">
        <v>41053900</v>
      </c>
      <c r="B59" s="843" t="s">
        <v>945</v>
      </c>
      <c r="C59" s="844"/>
      <c r="D59" s="617">
        <v>0</v>
      </c>
    </row>
    <row r="60" spans="1:5" ht="47.25" hidden="1" thickTop="1" thickBot="1" x14ac:dyDescent="0.25">
      <c r="A60" s="101" t="s">
        <v>612</v>
      </c>
      <c r="B60" s="814" t="s">
        <v>613</v>
      </c>
      <c r="C60" s="815"/>
      <c r="D60" s="613">
        <v>0</v>
      </c>
    </row>
    <row r="61" spans="1:5" ht="122.25" customHeight="1" thickTop="1" thickBot="1" x14ac:dyDescent="0.25">
      <c r="A61" s="101" t="s">
        <v>1586</v>
      </c>
      <c r="B61" s="814" t="s">
        <v>1560</v>
      </c>
      <c r="C61" s="815"/>
      <c r="D61" s="613">
        <f>(7672111)+8444154</f>
        <v>16116265</v>
      </c>
    </row>
    <row r="62" spans="1:5" ht="47.25" thickTop="1" thickBot="1" x14ac:dyDescent="0.25">
      <c r="A62" s="101" t="s">
        <v>1276</v>
      </c>
      <c r="B62" s="814" t="s">
        <v>607</v>
      </c>
      <c r="C62" s="815"/>
      <c r="D62" s="315">
        <f>SUM(D58:D61)</f>
        <v>16116265</v>
      </c>
    </row>
    <row r="63" spans="1:5" ht="47.25" hidden="1" thickTop="1" thickBot="1" x14ac:dyDescent="0.25">
      <c r="A63" s="616">
        <v>41053900</v>
      </c>
      <c r="B63" s="843" t="s">
        <v>1086</v>
      </c>
      <c r="C63" s="844"/>
      <c r="D63" s="617">
        <v>0</v>
      </c>
    </row>
    <row r="64" spans="1:5" ht="47.25" hidden="1" thickTop="1" thickBot="1" x14ac:dyDescent="0.25">
      <c r="A64" s="616" t="s">
        <v>575</v>
      </c>
      <c r="B64" s="843" t="s">
        <v>576</v>
      </c>
      <c r="C64" s="844"/>
      <c r="D64" s="618">
        <f>D63</f>
        <v>0</v>
      </c>
    </row>
    <row r="65" spans="1:6" ht="47.25" thickTop="1" thickBot="1" x14ac:dyDescent="0.25">
      <c r="A65" s="654" t="s">
        <v>381</v>
      </c>
      <c r="B65" s="850" t="s">
        <v>596</v>
      </c>
      <c r="C65" s="851"/>
      <c r="D65" s="655">
        <f>D66+D67</f>
        <v>1062420659.52</v>
      </c>
      <c r="E65" s="649" t="b">
        <f>D65='d1'!C114</f>
        <v>1</v>
      </c>
    </row>
    <row r="66" spans="1:6" ht="47.25" thickTop="1" thickBot="1" x14ac:dyDescent="0.25">
      <c r="A66" s="101" t="s">
        <v>381</v>
      </c>
      <c r="B66" s="814" t="s">
        <v>386</v>
      </c>
      <c r="C66" s="815"/>
      <c r="D66" s="315">
        <f>D50+D26+D30+D52+D16</f>
        <v>1046304394.52</v>
      </c>
      <c r="E66" s="649" t="b">
        <f>D66='d1'!D114</f>
        <v>1</v>
      </c>
    </row>
    <row r="67" spans="1:6" ht="47.25" thickTop="1" thickBot="1" x14ac:dyDescent="0.25">
      <c r="A67" s="101" t="s">
        <v>381</v>
      </c>
      <c r="B67" s="814" t="s">
        <v>387</v>
      </c>
      <c r="C67" s="815"/>
      <c r="D67" s="315">
        <f>D62+D56+D64</f>
        <v>16116265</v>
      </c>
      <c r="E67" s="649" t="b">
        <f>D67='d1'!E114</f>
        <v>1</v>
      </c>
    </row>
    <row r="68" spans="1:6" ht="31.7" customHeight="1" thickTop="1" x14ac:dyDescent="0.2">
      <c r="A68" s="166"/>
      <c r="B68" s="167"/>
      <c r="C68" s="167"/>
      <c r="D68" s="167"/>
    </row>
    <row r="69" spans="1:6" ht="31.7" customHeight="1" x14ac:dyDescent="0.2">
      <c r="A69" s="166"/>
      <c r="B69" s="167"/>
      <c r="C69" s="167"/>
      <c r="D69" s="167"/>
    </row>
    <row r="70" spans="1:6" ht="60" customHeight="1" x14ac:dyDescent="0.2">
      <c r="A70" s="820" t="s">
        <v>1095</v>
      </c>
      <c r="B70" s="821"/>
      <c r="C70" s="821"/>
      <c r="D70" s="821"/>
    </row>
    <row r="71" spans="1:6" ht="54" customHeight="1" thickBot="1" x14ac:dyDescent="0.25">
      <c r="A71" s="15"/>
      <c r="B71" s="16"/>
      <c r="C71" s="16"/>
      <c r="D71" s="313" t="s">
        <v>404</v>
      </c>
    </row>
    <row r="72" spans="1:6" ht="325.5" customHeight="1" thickTop="1" thickBot="1" x14ac:dyDescent="0.25">
      <c r="A72" s="314" t="s">
        <v>597</v>
      </c>
      <c r="B72" s="569" t="s">
        <v>491</v>
      </c>
      <c r="C72" s="314" t="s">
        <v>598</v>
      </c>
      <c r="D72" s="314" t="s">
        <v>383</v>
      </c>
    </row>
    <row r="73" spans="1:6" ht="50.25" customHeight="1" thickTop="1" thickBot="1" x14ac:dyDescent="0.25">
      <c r="A73" s="101" t="s">
        <v>2</v>
      </c>
      <c r="B73" s="101" t="s">
        <v>3</v>
      </c>
      <c r="C73" s="101" t="s">
        <v>14</v>
      </c>
      <c r="D73" s="101" t="s">
        <v>5</v>
      </c>
    </row>
    <row r="74" spans="1:6" ht="65.25" customHeight="1" thickTop="1" thickBot="1" x14ac:dyDescent="0.25">
      <c r="A74" s="847" t="s">
        <v>599</v>
      </c>
      <c r="B74" s="848"/>
      <c r="C74" s="848"/>
      <c r="D74" s="849"/>
    </row>
    <row r="75" spans="1:6" ht="184.5" thickTop="1" thickBot="1" x14ac:dyDescent="0.55000000000000004">
      <c r="A75" s="101" t="s">
        <v>245</v>
      </c>
      <c r="B75" s="101" t="s">
        <v>246</v>
      </c>
      <c r="C75" s="545" t="s">
        <v>442</v>
      </c>
      <c r="D75" s="315">
        <f>SUM(D76:D77)</f>
        <v>1178000</v>
      </c>
      <c r="E75" s="649" t="b">
        <f>D75='d3'!E44</f>
        <v>1</v>
      </c>
      <c r="F75" s="195"/>
    </row>
    <row r="76" spans="1:6" ht="93" thickTop="1" thickBot="1" x14ac:dyDescent="0.55000000000000004">
      <c r="A76" s="101" t="s">
        <v>1275</v>
      </c>
      <c r="B76" s="101"/>
      <c r="C76" s="545" t="s">
        <v>577</v>
      </c>
      <c r="D76" s="315">
        <v>506400</v>
      </c>
      <c r="E76" s="195"/>
      <c r="F76" s="195"/>
    </row>
    <row r="77" spans="1:6" ht="93" thickTop="1" thickBot="1" x14ac:dyDescent="0.55000000000000004">
      <c r="A77" s="101" t="s">
        <v>1274</v>
      </c>
      <c r="B77" s="101"/>
      <c r="C77" s="545" t="s">
        <v>578</v>
      </c>
      <c r="D77" s="315">
        <v>671600</v>
      </c>
      <c r="E77" s="195"/>
      <c r="F77" s="195"/>
    </row>
    <row r="78" spans="1:6" ht="47.25" thickTop="1" thickBot="1" x14ac:dyDescent="0.55000000000000004">
      <c r="A78" s="101" t="s">
        <v>574</v>
      </c>
      <c r="B78" s="101" t="s">
        <v>363</v>
      </c>
      <c r="C78" s="545" t="s">
        <v>364</v>
      </c>
      <c r="D78" s="315">
        <f>SUM(D79)</f>
        <v>155600</v>
      </c>
      <c r="E78" s="649" t="b">
        <f>D78='d3'!E45</f>
        <v>1</v>
      </c>
      <c r="F78" s="195"/>
    </row>
    <row r="79" spans="1:6" ht="47.25" thickTop="1" thickBot="1" x14ac:dyDescent="0.55000000000000004">
      <c r="A79" s="101" t="s">
        <v>1273</v>
      </c>
      <c r="B79" s="101"/>
      <c r="C79" s="545" t="s">
        <v>576</v>
      </c>
      <c r="D79" s="315">
        <v>155600</v>
      </c>
      <c r="E79" s="195"/>
      <c r="F79" s="195"/>
    </row>
    <row r="80" spans="1:6" ht="47.25" thickTop="1" thickBot="1" x14ac:dyDescent="0.55000000000000004">
      <c r="A80" s="101" t="s">
        <v>1092</v>
      </c>
      <c r="B80" s="101" t="s">
        <v>363</v>
      </c>
      <c r="C80" s="545" t="s">
        <v>364</v>
      </c>
      <c r="D80" s="315">
        <f>D81</f>
        <v>250000</v>
      </c>
      <c r="E80" s="649" t="b">
        <f>D80='d3'!E254</f>
        <v>1</v>
      </c>
      <c r="F80" s="195"/>
    </row>
    <row r="81" spans="1:6" ht="47.25" thickTop="1" thickBot="1" x14ac:dyDescent="0.55000000000000004">
      <c r="A81" s="101" t="s">
        <v>1276</v>
      </c>
      <c r="B81" s="101"/>
      <c r="C81" s="545" t="s">
        <v>607</v>
      </c>
      <c r="D81" s="315">
        <v>250000</v>
      </c>
      <c r="E81" s="195"/>
      <c r="F81" s="195"/>
    </row>
    <row r="82" spans="1:6" ht="47.25" thickTop="1" thickBot="1" x14ac:dyDescent="0.55000000000000004">
      <c r="A82" s="101" t="s">
        <v>1463</v>
      </c>
      <c r="B82" s="101" t="s">
        <v>363</v>
      </c>
      <c r="C82" s="545" t="s">
        <v>364</v>
      </c>
      <c r="D82" s="315">
        <f>D83</f>
        <v>650000</v>
      </c>
      <c r="E82" s="649" t="b">
        <f>D82='d3'!E318</f>
        <v>1</v>
      </c>
      <c r="F82" s="195"/>
    </row>
    <row r="83" spans="1:6" ht="47.25" thickTop="1" thickBot="1" x14ac:dyDescent="0.55000000000000004">
      <c r="A83" s="101" t="s">
        <v>1276</v>
      </c>
      <c r="B83" s="101"/>
      <c r="C83" s="545" t="s">
        <v>607</v>
      </c>
      <c r="D83" s="315">
        <f>(150000)+300000+200000</f>
        <v>650000</v>
      </c>
      <c r="E83" s="195"/>
      <c r="F83" s="195"/>
    </row>
    <row r="84" spans="1:6" ht="138.75" thickTop="1" thickBot="1" x14ac:dyDescent="0.55000000000000004">
      <c r="A84" s="101" t="s">
        <v>512</v>
      </c>
      <c r="B84" s="101" t="s">
        <v>513</v>
      </c>
      <c r="C84" s="545" t="s">
        <v>514</v>
      </c>
      <c r="D84" s="315">
        <f>((((((40873318.14-300000+2000000)+58713600)+5262218-400000+225000-600000)-579000+280000)+16496035+1000000)+447346.4-927200)+6570000</f>
        <v>129061317.54000001</v>
      </c>
      <c r="E84" s="649" t="b">
        <f>D84='d3'!E46</f>
        <v>1</v>
      </c>
      <c r="F84" s="195"/>
    </row>
    <row r="85" spans="1:6" ht="138.75" hidden="1" thickTop="1" thickBot="1" x14ac:dyDescent="0.55000000000000004">
      <c r="A85" s="126" t="s">
        <v>1315</v>
      </c>
      <c r="B85" s="126" t="s">
        <v>513</v>
      </c>
      <c r="C85" s="434" t="s">
        <v>514</v>
      </c>
      <c r="D85" s="194"/>
      <c r="E85" s="358" t="b">
        <f>D85='d3'!E371</f>
        <v>1</v>
      </c>
      <c r="F85" s="195"/>
    </row>
    <row r="86" spans="1:6" ht="138.75" hidden="1" thickTop="1" thickBot="1" x14ac:dyDescent="0.55000000000000004">
      <c r="A86" s="126" t="s">
        <v>1230</v>
      </c>
      <c r="B86" s="126" t="s">
        <v>513</v>
      </c>
      <c r="C86" s="434" t="s">
        <v>514</v>
      </c>
      <c r="D86" s="194"/>
      <c r="E86" s="358" t="b">
        <f>D86='d3'!E401</f>
        <v>1</v>
      </c>
      <c r="F86" s="195"/>
    </row>
    <row r="87" spans="1:6" ht="47.25" thickTop="1" thickBot="1" x14ac:dyDescent="0.55000000000000004">
      <c r="A87" s="101" t="s">
        <v>1272</v>
      </c>
      <c r="B87" s="101"/>
      <c r="C87" s="545" t="s">
        <v>573</v>
      </c>
      <c r="D87" s="315">
        <f>SUM(D84:D86)</f>
        <v>129061317.54000001</v>
      </c>
      <c r="E87" s="195"/>
      <c r="F87" s="195"/>
    </row>
    <row r="88" spans="1:6" ht="47.25" hidden="1" thickTop="1" thickBot="1" x14ac:dyDescent="0.55000000000000004">
      <c r="A88" s="196" t="s">
        <v>585</v>
      </c>
      <c r="B88" s="196" t="s">
        <v>363</v>
      </c>
      <c r="C88" s="198" t="s">
        <v>364</v>
      </c>
      <c r="D88" s="197">
        <f>SUM(D89)</f>
        <v>0</v>
      </c>
      <c r="E88" s="358" t="b">
        <f>D88='d3'!E218</f>
        <v>1</v>
      </c>
      <c r="F88" s="195"/>
    </row>
    <row r="89" spans="1:6" ht="93" hidden="1" thickTop="1" thickBot="1" x14ac:dyDescent="0.55000000000000004">
      <c r="A89" s="196" t="s">
        <v>579</v>
      </c>
      <c r="B89" s="196"/>
      <c r="C89" s="198" t="s">
        <v>580</v>
      </c>
      <c r="D89" s="197">
        <v>0</v>
      </c>
      <c r="E89" s="195"/>
      <c r="F89" s="195"/>
    </row>
    <row r="90" spans="1:6" ht="47.25" hidden="1" thickTop="1" thickBot="1" x14ac:dyDescent="0.55000000000000004">
      <c r="A90" s="196" t="s">
        <v>1092</v>
      </c>
      <c r="B90" s="196" t="s">
        <v>363</v>
      </c>
      <c r="C90" s="198" t="s">
        <v>364</v>
      </c>
      <c r="D90" s="197">
        <v>0</v>
      </c>
      <c r="E90" s="358" t="b">
        <f>D90='d3'!E254</f>
        <v>0</v>
      </c>
      <c r="F90" s="195"/>
    </row>
    <row r="91" spans="1:6" ht="47.25" hidden="1" thickTop="1" thickBot="1" x14ac:dyDescent="0.55000000000000004">
      <c r="A91" s="126" t="s">
        <v>903</v>
      </c>
      <c r="B91" s="126" t="s">
        <v>363</v>
      </c>
      <c r="C91" s="434" t="s">
        <v>364</v>
      </c>
      <c r="D91" s="194"/>
      <c r="E91" s="358" t="b">
        <f>D91='d3'!E391</f>
        <v>1</v>
      </c>
      <c r="F91" s="195"/>
    </row>
    <row r="92" spans="1:6" ht="47.25" hidden="1" thickTop="1" thickBot="1" x14ac:dyDescent="0.55000000000000004">
      <c r="A92" s="126" t="s">
        <v>1276</v>
      </c>
      <c r="B92" s="126"/>
      <c r="C92" s="434" t="s">
        <v>607</v>
      </c>
      <c r="D92" s="194">
        <f>SUM(D90:D91)</f>
        <v>0</v>
      </c>
      <c r="E92" s="195"/>
      <c r="F92" s="195"/>
    </row>
    <row r="93" spans="1:6" ht="409.6" hidden="1" thickTop="1" thickBot="1" x14ac:dyDescent="0.55000000000000004">
      <c r="A93" s="126" t="s">
        <v>1368</v>
      </c>
      <c r="B93" s="126" t="s">
        <v>1369</v>
      </c>
      <c r="C93" s="434" t="s">
        <v>1367</v>
      </c>
      <c r="D93" s="194">
        <f>(2000000)-2000000</f>
        <v>0</v>
      </c>
      <c r="E93" s="195"/>
      <c r="F93" s="195"/>
    </row>
    <row r="94" spans="1:6" ht="47.25" hidden="1" thickTop="1" thickBot="1" x14ac:dyDescent="0.55000000000000004">
      <c r="A94" s="126" t="s">
        <v>1272</v>
      </c>
      <c r="B94" s="126"/>
      <c r="C94" s="434" t="s">
        <v>573</v>
      </c>
      <c r="D94" s="194">
        <f>D93</f>
        <v>0</v>
      </c>
      <c r="E94" s="195"/>
      <c r="F94" s="195"/>
    </row>
    <row r="95" spans="1:6" ht="47.25" hidden="1" thickTop="1" thickBot="1" x14ac:dyDescent="0.55000000000000004">
      <c r="A95" s="126" t="s">
        <v>601</v>
      </c>
      <c r="B95" s="126" t="s">
        <v>602</v>
      </c>
      <c r="C95" s="434" t="s">
        <v>450</v>
      </c>
      <c r="D95" s="194">
        <f>SUM(D96)</f>
        <v>0</v>
      </c>
      <c r="E95" s="358" t="b">
        <f>D95='d3'!E428</f>
        <v>1</v>
      </c>
      <c r="F95" s="195"/>
    </row>
    <row r="96" spans="1:6" ht="47.25" hidden="1" thickTop="1" thickBot="1" x14ac:dyDescent="0.55000000000000004">
      <c r="A96" s="126" t="s">
        <v>1272</v>
      </c>
      <c r="B96" s="126"/>
      <c r="C96" s="434" t="s">
        <v>573</v>
      </c>
      <c r="D96" s="194"/>
      <c r="E96" s="195"/>
      <c r="F96" s="195"/>
    </row>
    <row r="97" spans="1:6" ht="69" customHeight="1" thickTop="1" thickBot="1" x14ac:dyDescent="0.55000000000000004">
      <c r="A97" s="847" t="s">
        <v>600</v>
      </c>
      <c r="B97" s="848"/>
      <c r="C97" s="848"/>
      <c r="D97" s="849"/>
      <c r="E97" s="195"/>
      <c r="F97" s="195"/>
    </row>
    <row r="98" spans="1:6" ht="69" hidden="1" customHeight="1" thickTop="1" thickBot="1" x14ac:dyDescent="0.55000000000000004">
      <c r="A98" s="101" t="s">
        <v>1463</v>
      </c>
      <c r="B98" s="101" t="s">
        <v>363</v>
      </c>
      <c r="C98" s="545" t="s">
        <v>364</v>
      </c>
      <c r="D98" s="315">
        <f>D99</f>
        <v>0</v>
      </c>
      <c r="E98" s="195"/>
      <c r="F98" s="195"/>
    </row>
    <row r="99" spans="1:6" ht="69" hidden="1" customHeight="1" thickTop="1" thickBot="1" x14ac:dyDescent="0.55000000000000004">
      <c r="A99" s="101" t="s">
        <v>1276</v>
      </c>
      <c r="B99" s="101"/>
      <c r="C99" s="545" t="s">
        <v>607</v>
      </c>
      <c r="D99" s="315">
        <v>0</v>
      </c>
      <c r="E99" s="195"/>
      <c r="F99" s="195"/>
    </row>
    <row r="100" spans="1:6" ht="138.75" thickTop="1" thickBot="1" x14ac:dyDescent="0.55000000000000004">
      <c r="A100" s="101" t="s">
        <v>512</v>
      </c>
      <c r="B100" s="101" t="s">
        <v>513</v>
      </c>
      <c r="C100" s="545" t="s">
        <v>514</v>
      </c>
      <c r="D100" s="315">
        <f>((((((26816681.86-700000)+100285900)+28871250-800000-10025000+9800000+600000+300000)+7761000-280000)+13887124)+11959383.6+927200)+4600000</f>
        <v>194003539.46000001</v>
      </c>
      <c r="E100" s="649" t="b">
        <f>D100='d3'!J46</f>
        <v>1</v>
      </c>
      <c r="F100" s="195"/>
    </row>
    <row r="101" spans="1:6" ht="138.75" hidden="1" thickTop="1" thickBot="1" x14ac:dyDescent="0.55000000000000004">
      <c r="A101" s="126" t="s">
        <v>1230</v>
      </c>
      <c r="B101" s="126" t="s">
        <v>513</v>
      </c>
      <c r="C101" s="434" t="s">
        <v>514</v>
      </c>
      <c r="D101" s="194">
        <v>0</v>
      </c>
      <c r="E101" s="358" t="b">
        <f>D101='d3'!P401</f>
        <v>1</v>
      </c>
      <c r="F101" s="195"/>
    </row>
    <row r="102" spans="1:6" ht="138.75" hidden="1" thickTop="1" thickBot="1" x14ac:dyDescent="0.55000000000000004">
      <c r="A102" s="126" t="s">
        <v>1230</v>
      </c>
      <c r="B102" s="126" t="s">
        <v>513</v>
      </c>
      <c r="C102" s="434" t="s">
        <v>514</v>
      </c>
      <c r="D102" s="194"/>
      <c r="E102" s="358" t="b">
        <f>D102='d3'!J401</f>
        <v>1</v>
      </c>
      <c r="F102" s="195"/>
    </row>
    <row r="103" spans="1:6" ht="47.25" thickTop="1" thickBot="1" x14ac:dyDescent="0.55000000000000004">
      <c r="A103" s="101" t="s">
        <v>1272</v>
      </c>
      <c r="B103" s="101"/>
      <c r="C103" s="545" t="s">
        <v>573</v>
      </c>
      <c r="D103" s="315">
        <f>D100+D102</f>
        <v>194003539.46000001</v>
      </c>
      <c r="E103" s="195"/>
      <c r="F103" s="195"/>
    </row>
    <row r="104" spans="1:6" ht="47.25" hidden="1" thickTop="1" thickBot="1" x14ac:dyDescent="0.55000000000000004">
      <c r="A104" s="196" t="s">
        <v>1014</v>
      </c>
      <c r="B104" s="196" t="s">
        <v>363</v>
      </c>
      <c r="C104" s="198" t="s">
        <v>364</v>
      </c>
      <c r="D104" s="197">
        <v>0</v>
      </c>
      <c r="E104" s="358" t="b">
        <f>D104='d3'!J104</f>
        <v>1</v>
      </c>
      <c r="F104" s="195"/>
    </row>
    <row r="105" spans="1:6" ht="47.25" hidden="1" thickTop="1" thickBot="1" x14ac:dyDescent="0.55000000000000004">
      <c r="A105" s="196" t="s">
        <v>1092</v>
      </c>
      <c r="B105" s="196" t="s">
        <v>363</v>
      </c>
      <c r="C105" s="198" t="s">
        <v>364</v>
      </c>
      <c r="D105" s="197">
        <v>0</v>
      </c>
      <c r="E105" s="358" t="b">
        <f>D105='d3'!J254</f>
        <v>1</v>
      </c>
      <c r="F105" s="195"/>
    </row>
    <row r="106" spans="1:6" ht="47.25" hidden="1" thickTop="1" thickBot="1" x14ac:dyDescent="0.55000000000000004">
      <c r="A106" s="126" t="s">
        <v>1463</v>
      </c>
      <c r="B106" s="126" t="s">
        <v>363</v>
      </c>
      <c r="C106" s="434" t="s">
        <v>364</v>
      </c>
      <c r="D106" s="194"/>
      <c r="E106" s="358" t="b">
        <f>D106='d3'!J318</f>
        <v>1</v>
      </c>
      <c r="F106" s="195"/>
    </row>
    <row r="107" spans="1:6" ht="47.25" hidden="1" thickTop="1" thickBot="1" x14ac:dyDescent="0.55000000000000004">
      <c r="A107" s="126" t="s">
        <v>903</v>
      </c>
      <c r="B107" s="126" t="s">
        <v>363</v>
      </c>
      <c r="C107" s="434" t="s">
        <v>364</v>
      </c>
      <c r="D107" s="194">
        <v>0</v>
      </c>
      <c r="E107" s="358" t="b">
        <f>D107='d3'!J391</f>
        <v>1</v>
      </c>
      <c r="F107" s="195"/>
    </row>
    <row r="108" spans="1:6" ht="47.25" hidden="1" thickTop="1" thickBot="1" x14ac:dyDescent="0.55000000000000004">
      <c r="A108" s="126" t="s">
        <v>1276</v>
      </c>
      <c r="B108" s="126"/>
      <c r="C108" s="434" t="s">
        <v>607</v>
      </c>
      <c r="D108" s="194">
        <f>SUM(D104:D107)</f>
        <v>0</v>
      </c>
      <c r="E108" s="195"/>
      <c r="F108" s="195"/>
    </row>
    <row r="109" spans="1:6" ht="47.25" thickTop="1" thickBot="1" x14ac:dyDescent="0.55000000000000004">
      <c r="A109" s="429"/>
      <c r="B109" s="429"/>
      <c r="C109" s="431"/>
      <c r="D109" s="435"/>
      <c r="E109" s="195"/>
      <c r="F109" s="195"/>
    </row>
    <row r="110" spans="1:6" ht="84.75" customHeight="1" thickTop="1" thickBot="1" x14ac:dyDescent="0.25">
      <c r="A110" s="656" t="s">
        <v>381</v>
      </c>
      <c r="B110" s="656" t="s">
        <v>381</v>
      </c>
      <c r="C110" s="657" t="s">
        <v>596</v>
      </c>
      <c r="D110" s="658">
        <f>D76+D77+D79+D87+D89+D92+D96+D103+D108+D94+D83+D99+D81</f>
        <v>325298457</v>
      </c>
      <c r="E110" s="650" t="b">
        <f>D110=D111+D112</f>
        <v>1</v>
      </c>
      <c r="F110" s="650" t="b">
        <f>D110=D95+'d7'!G45+'d7'!G46+'d7'!G47+'d7'!G48+'d7'!G49+'d7'!G50+'d7'!G51+'d7'!G52+'d7'!G53+'d7'!G55+'d7'!G56+'d7'!G328+'d7'!G351+'d7'!G43+'d7'!G44+'d7'!G57+'d7'!G344+'d7'!G288+'d7'!G54+'d7'!G218</f>
        <v>1</v>
      </c>
    </row>
    <row r="111" spans="1:6" ht="47.25" thickTop="1" thickBot="1" x14ac:dyDescent="0.55000000000000004">
      <c r="A111" s="101" t="s">
        <v>381</v>
      </c>
      <c r="B111" s="101" t="s">
        <v>381</v>
      </c>
      <c r="C111" s="545" t="s">
        <v>386</v>
      </c>
      <c r="D111" s="315">
        <f>'d3'!E42+'d3'!E370+'d3'!E400+'d3'!E426+'d3'!E391+'d3'!E318+'d3'!E254</f>
        <v>131294917.54000001</v>
      </c>
      <c r="E111" s="650" t="b">
        <f>D111=D75+D78+D88+D91+D95+D84+D90+D86+D85+D93+D82+D80</f>
        <v>1</v>
      </c>
      <c r="F111" s="436"/>
    </row>
    <row r="112" spans="1:6" ht="47.25" thickTop="1" thickBot="1" x14ac:dyDescent="0.55000000000000004">
      <c r="A112" s="101" t="s">
        <v>381</v>
      </c>
      <c r="B112" s="101" t="s">
        <v>381</v>
      </c>
      <c r="C112" s="545" t="s">
        <v>387</v>
      </c>
      <c r="D112" s="315">
        <f>'d3'!J42+'d3'!J370+'d3'!J400+'d3'!J426+'d3'!J318</f>
        <v>194003539.46000004</v>
      </c>
      <c r="E112" s="650" t="b">
        <f>D112=D102+D100+D106+D98</f>
        <v>1</v>
      </c>
      <c r="F112" s="436"/>
    </row>
    <row r="113" spans="1:12" ht="91.5" customHeight="1" thickTop="1" x14ac:dyDescent="0.2">
      <c r="A113" s="15"/>
      <c r="B113" s="16"/>
      <c r="C113" s="16"/>
      <c r="D113" s="16"/>
      <c r="E113" s="13"/>
      <c r="F113" s="13"/>
    </row>
    <row r="114" spans="1:12" ht="45.75" x14ac:dyDescent="0.65">
      <c r="A114" s="15"/>
      <c r="B114" s="845" t="s">
        <v>1458</v>
      </c>
      <c r="C114" s="721"/>
      <c r="D114" s="2" t="s">
        <v>1459</v>
      </c>
      <c r="E114" s="380"/>
      <c r="F114" s="199"/>
      <c r="G114" s="200"/>
      <c r="H114" s="199"/>
      <c r="I114" s="199"/>
      <c r="J114" s="201"/>
      <c r="K114" s="201"/>
      <c r="L114" s="201"/>
    </row>
    <row r="115" spans="1:12" ht="45.75" hidden="1" x14ac:dyDescent="0.65">
      <c r="A115" s="15"/>
      <c r="B115" s="3" t="s">
        <v>1423</v>
      </c>
      <c r="C115" s="316"/>
      <c r="D115" s="3" t="s">
        <v>1424</v>
      </c>
      <c r="E115" s="380"/>
      <c r="F115" s="199"/>
      <c r="G115" s="200"/>
      <c r="H115" s="199"/>
      <c r="I115" s="199"/>
      <c r="J115" s="201"/>
      <c r="K115" s="201"/>
      <c r="L115" s="201"/>
    </row>
    <row r="116" spans="1:12" ht="27.75" customHeight="1" x14ac:dyDescent="0.65">
      <c r="A116" s="76"/>
      <c r="B116" s="3"/>
      <c r="C116" s="3"/>
      <c r="D116" s="3"/>
      <c r="E116" s="381"/>
      <c r="F116" s="13"/>
    </row>
    <row r="117" spans="1:12" ht="42" customHeight="1" x14ac:dyDescent="0.65">
      <c r="A117" s="75"/>
      <c r="B117" s="845" t="s">
        <v>522</v>
      </c>
      <c r="C117" s="721"/>
      <c r="D117" s="3" t="s">
        <v>1326</v>
      </c>
      <c r="E117" s="381"/>
      <c r="F117" s="427"/>
      <c r="G117" s="426"/>
      <c r="H117" s="427"/>
      <c r="I117" s="427"/>
    </row>
    <row r="118" spans="1:12" ht="45.75" x14ac:dyDescent="0.65">
      <c r="A118" s="190"/>
      <c r="B118" s="837"/>
      <c r="C118" s="838"/>
      <c r="D118" s="199"/>
      <c r="E118" s="13"/>
      <c r="F118" s="13"/>
    </row>
    <row r="119" spans="1:12" ht="45.75" x14ac:dyDescent="0.65">
      <c r="A119" s="190"/>
      <c r="B119" s="846"/>
      <c r="C119" s="846"/>
      <c r="D119" s="846"/>
      <c r="E119" s="13"/>
      <c r="F119" s="13"/>
    </row>
    <row r="122" spans="1:12" x14ac:dyDescent="0.2">
      <c r="A122" s="192"/>
      <c r="B122" s="192"/>
      <c r="C122" s="192"/>
    </row>
    <row r="124" spans="1:12" x14ac:dyDescent="0.2">
      <c r="A124" s="192"/>
      <c r="B124" s="192"/>
      <c r="C124" s="192"/>
    </row>
    <row r="128" spans="1:12" x14ac:dyDescent="0.2">
      <c r="A128" s="192"/>
      <c r="B128" s="192"/>
      <c r="C128" s="192"/>
      <c r="D128" s="192"/>
    </row>
    <row r="129" s="192" customFormat="1" x14ac:dyDescent="0.2"/>
    <row r="130" s="192" customFormat="1" x14ac:dyDescent="0.2"/>
    <row r="131" s="192" customFormat="1" x14ac:dyDescent="0.2"/>
  </sheetData>
  <mergeCells count="79">
    <mergeCell ref="B48:C48"/>
    <mergeCell ref="B50:C50"/>
    <mergeCell ref="B119:D119"/>
    <mergeCell ref="A74:D74"/>
    <mergeCell ref="A97:D97"/>
    <mergeCell ref="B57:C57"/>
    <mergeCell ref="B66:C66"/>
    <mergeCell ref="B67:C67"/>
    <mergeCell ref="B65:C65"/>
    <mergeCell ref="B58:C58"/>
    <mergeCell ref="B62:C62"/>
    <mergeCell ref="A70:D70"/>
    <mergeCell ref="B63:C63"/>
    <mergeCell ref="B64:C64"/>
    <mergeCell ref="B59:C59"/>
    <mergeCell ref="B117:C117"/>
    <mergeCell ref="B118:C118"/>
    <mergeCell ref="B51:C51"/>
    <mergeCell ref="B52:C52"/>
    <mergeCell ref="B54:C54"/>
    <mergeCell ref="B55:C55"/>
    <mergeCell ref="B56:C56"/>
    <mergeCell ref="A53:D53"/>
    <mergeCell ref="B60:C60"/>
    <mergeCell ref="B114:C114"/>
    <mergeCell ref="B61:C61"/>
    <mergeCell ref="B47:C47"/>
    <mergeCell ref="B29:C29"/>
    <mergeCell ref="B31:C31"/>
    <mergeCell ref="B30:C30"/>
    <mergeCell ref="B41:C41"/>
    <mergeCell ref="B43:C43"/>
    <mergeCell ref="B32:C32"/>
    <mergeCell ref="B33:C33"/>
    <mergeCell ref="B36:C36"/>
    <mergeCell ref="B46:C46"/>
    <mergeCell ref="B39:C39"/>
    <mergeCell ref="B37:C37"/>
    <mergeCell ref="B34:C34"/>
    <mergeCell ref="B35:C35"/>
    <mergeCell ref="N3:O3"/>
    <mergeCell ref="N4:O4"/>
    <mergeCell ref="N5:O5"/>
    <mergeCell ref="A6:D6"/>
    <mergeCell ref="A7:D7"/>
    <mergeCell ref="A5:D5"/>
    <mergeCell ref="B20:C20"/>
    <mergeCell ref="B17:C17"/>
    <mergeCell ref="B27:C27"/>
    <mergeCell ref="B28:C28"/>
    <mergeCell ref="B21:C21"/>
    <mergeCell ref="B25:C25"/>
    <mergeCell ref="B18:C18"/>
    <mergeCell ref="B23:C23"/>
    <mergeCell ref="B24:C24"/>
    <mergeCell ref="B22:C22"/>
    <mergeCell ref="B26:C26"/>
    <mergeCell ref="B19:C19"/>
    <mergeCell ref="A9:D9"/>
    <mergeCell ref="A13:D13"/>
    <mergeCell ref="B11:C11"/>
    <mergeCell ref="B12:C12"/>
    <mergeCell ref="B14:C14"/>
    <mergeCell ref="B15:C15"/>
    <mergeCell ref="B16:C16"/>
    <mergeCell ref="B49:C49"/>
    <mergeCell ref="A32:A33"/>
    <mergeCell ref="D32:D33"/>
    <mergeCell ref="B38:C38"/>
    <mergeCell ref="B44:C44"/>
    <mergeCell ref="A44:A45"/>
    <mergeCell ref="D44:D45"/>
    <mergeCell ref="B45:C45"/>
    <mergeCell ref="A34:A35"/>
    <mergeCell ref="D34:D35"/>
    <mergeCell ref="A36:A37"/>
    <mergeCell ref="D36:D37"/>
    <mergeCell ref="B40:C40"/>
    <mergeCell ref="B42:C42"/>
  </mergeCells>
  <pageMargins left="0.23622047244094491" right="0.27559055118110237" top="0.27559055118110237" bottom="0.15748031496062992" header="0.23622047244094491" footer="0.27559055118110237"/>
  <pageSetup paperSize="9" scale="30" fitToHeight="0" orientation="portrait" verticalDpi="4294967295" r:id="rId1"/>
  <headerFooter alignWithMargins="0">
    <oddFooter>&amp;C&amp;"Times New Roman Cyr,курсив"Сторінка &amp;P з &amp;N</oddFooter>
  </headerFooter>
  <rowBreaks count="2" manualBreakCount="2">
    <brk id="69" max="3" man="1"/>
    <brk id="11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4"/>
  <sheetViews>
    <sheetView tabSelected="1" view="pageBreakPreview" topLeftCell="B1" zoomScale="55" zoomScaleNormal="40" zoomScaleSheetLayoutView="55" workbookViewId="0">
      <pane ySplit="10" topLeftCell="A86" activePane="bottomLeft" state="frozen"/>
      <selection activeCell="G144" sqref="G144"/>
      <selection pane="bottomLeft" activeCell="H109" sqref="H109"/>
    </sheetView>
  </sheetViews>
  <sheetFormatPr defaultColWidth="7.85546875" defaultRowHeight="12.75" x14ac:dyDescent="0.2"/>
  <cols>
    <col min="1" max="1" width="3.28515625" style="168" hidden="1" customWidth="1"/>
    <col min="2" max="3" width="15.42578125" style="11" customWidth="1"/>
    <col min="4" max="4" width="16.85546875" style="11" customWidth="1"/>
    <col min="5" max="5" width="41.5703125" style="11" customWidth="1"/>
    <col min="6" max="6" width="48.7109375" style="11" customWidth="1"/>
    <col min="7" max="8" width="18.140625" style="250" customWidth="1"/>
    <col min="9" max="9" width="20.28515625" style="250" customWidth="1"/>
    <col min="10" max="10" width="23" style="250" customWidth="1"/>
    <col min="11" max="11" width="18.140625" style="250" customWidth="1"/>
    <col min="12" max="14" width="15.42578125" style="168" bestFit="1" customWidth="1"/>
    <col min="15" max="15" width="12.7109375" style="168" customWidth="1"/>
    <col min="16" max="16384" width="7.85546875" style="168"/>
  </cols>
  <sheetData>
    <row r="1" spans="2:18" s="246" customFormat="1" ht="22.7" customHeight="1" x14ac:dyDescent="0.25">
      <c r="B1" s="856"/>
      <c r="C1" s="856"/>
      <c r="D1" s="856"/>
      <c r="E1" s="856"/>
      <c r="F1" s="856"/>
      <c r="G1" s="856"/>
      <c r="H1" s="856"/>
      <c r="I1" s="856"/>
      <c r="J1" s="856"/>
      <c r="K1" s="856"/>
    </row>
    <row r="2" spans="2:18" ht="41.25" customHeight="1" x14ac:dyDescent="0.2">
      <c r="B2" s="328"/>
      <c r="C2" s="328"/>
      <c r="D2" s="328"/>
      <c r="E2" s="328"/>
      <c r="F2" s="328"/>
      <c r="G2" s="810" t="s">
        <v>1634</v>
      </c>
      <c r="H2" s="810"/>
      <c r="I2" s="810"/>
      <c r="J2" s="810"/>
      <c r="K2" s="810"/>
    </row>
    <row r="3" spans="2:18" ht="29.25" customHeight="1" x14ac:dyDescent="0.2">
      <c r="B3" s="328"/>
      <c r="C3" s="328"/>
      <c r="D3" s="328"/>
      <c r="E3" s="328"/>
      <c r="F3" s="328"/>
      <c r="G3" s="329"/>
      <c r="H3" s="329"/>
      <c r="I3" s="329"/>
      <c r="J3" s="329"/>
      <c r="K3" s="329"/>
    </row>
    <row r="4" spans="2:18" ht="31.7" customHeight="1" x14ac:dyDescent="0.2">
      <c r="B4" s="857" t="s">
        <v>1096</v>
      </c>
      <c r="C4" s="805"/>
      <c r="D4" s="805"/>
      <c r="E4" s="805"/>
      <c r="F4" s="805"/>
      <c r="G4" s="805"/>
      <c r="H4" s="805"/>
      <c r="I4" s="805"/>
      <c r="J4" s="805"/>
      <c r="K4" s="805"/>
    </row>
    <row r="5" spans="2:18" ht="31.7" customHeight="1" x14ac:dyDescent="0.2">
      <c r="B5" s="857" t="s">
        <v>1097</v>
      </c>
      <c r="C5" s="805"/>
      <c r="D5" s="805"/>
      <c r="E5" s="805"/>
      <c r="F5" s="805"/>
      <c r="G5" s="805"/>
      <c r="H5" s="805"/>
      <c r="I5" s="805"/>
      <c r="J5" s="805"/>
      <c r="K5" s="805"/>
    </row>
    <row r="6" spans="2:18" ht="24.75" customHeight="1" x14ac:dyDescent="0.2">
      <c r="B6" s="857" t="s">
        <v>1498</v>
      </c>
      <c r="C6" s="805"/>
      <c r="D6" s="805"/>
      <c r="E6" s="805"/>
      <c r="F6" s="805"/>
      <c r="G6" s="805"/>
      <c r="H6" s="805"/>
      <c r="I6" s="805"/>
      <c r="J6" s="805"/>
      <c r="K6" s="805"/>
    </row>
    <row r="7" spans="2:18" ht="18.75" x14ac:dyDescent="0.2">
      <c r="B7" s="795">
        <v>2256400000</v>
      </c>
      <c r="C7" s="796"/>
      <c r="D7" s="330"/>
      <c r="E7" s="330"/>
      <c r="F7" s="330"/>
      <c r="G7" s="330"/>
      <c r="H7" s="330"/>
      <c r="I7" s="330"/>
      <c r="J7" s="330"/>
      <c r="K7" s="330"/>
    </row>
    <row r="8" spans="2:18" ht="19.5" thickBot="1" x14ac:dyDescent="0.25">
      <c r="B8" s="797" t="s">
        <v>489</v>
      </c>
      <c r="C8" s="798"/>
      <c r="D8" s="330"/>
      <c r="E8" s="330"/>
      <c r="F8" s="330"/>
      <c r="G8" s="330"/>
      <c r="H8" s="330"/>
      <c r="I8" s="330"/>
      <c r="J8" s="330"/>
      <c r="K8" s="330"/>
    </row>
    <row r="9" spans="2:18" ht="120" customHeight="1" thickTop="1" thickBot="1" x14ac:dyDescent="0.25">
      <c r="B9" s="331" t="s">
        <v>490</v>
      </c>
      <c r="C9" s="331" t="s">
        <v>491</v>
      </c>
      <c r="D9" s="331" t="s">
        <v>390</v>
      </c>
      <c r="E9" s="331" t="s">
        <v>572</v>
      </c>
      <c r="F9" s="332" t="s">
        <v>1098</v>
      </c>
      <c r="G9" s="332" t="s">
        <v>1099</v>
      </c>
      <c r="H9" s="332" t="s">
        <v>1100</v>
      </c>
      <c r="I9" s="332" t="s">
        <v>1101</v>
      </c>
      <c r="J9" s="332" t="s">
        <v>1532</v>
      </c>
      <c r="K9" s="332" t="s">
        <v>1533</v>
      </c>
      <c r="L9" s="203"/>
      <c r="M9" s="203"/>
      <c r="N9" s="203"/>
      <c r="O9" s="203"/>
      <c r="P9" s="203"/>
      <c r="Q9" s="203"/>
      <c r="R9" s="203"/>
    </row>
    <row r="10" spans="2:18" ht="16.5" thickTop="1" thickBot="1" x14ac:dyDescent="0.25">
      <c r="B10" s="331">
        <v>1</v>
      </c>
      <c r="C10" s="331">
        <v>2</v>
      </c>
      <c r="D10" s="331">
        <v>3</v>
      </c>
      <c r="E10" s="331">
        <v>4</v>
      </c>
      <c r="F10" s="331">
        <v>5</v>
      </c>
      <c r="G10" s="331">
        <v>6</v>
      </c>
      <c r="H10" s="331">
        <v>7</v>
      </c>
      <c r="I10" s="331">
        <v>8</v>
      </c>
      <c r="J10" s="331">
        <v>9</v>
      </c>
      <c r="K10" s="331">
        <v>10</v>
      </c>
      <c r="L10" s="203"/>
      <c r="M10" s="203"/>
      <c r="N10" s="203"/>
      <c r="O10" s="203"/>
      <c r="P10" s="203"/>
      <c r="Q10" s="203"/>
      <c r="R10" s="203"/>
    </row>
    <row r="11" spans="2:18" ht="31.5" hidden="1" thickTop="1" thickBot="1" x14ac:dyDescent="0.25">
      <c r="B11" s="204" t="s">
        <v>148</v>
      </c>
      <c r="C11" s="204"/>
      <c r="D11" s="204"/>
      <c r="E11" s="205" t="s">
        <v>150</v>
      </c>
      <c r="F11" s="204"/>
      <c r="G11" s="204"/>
      <c r="H11" s="204"/>
      <c r="I11" s="205"/>
      <c r="J11" s="206">
        <f>J12</f>
        <v>0</v>
      </c>
      <c r="K11" s="204"/>
      <c r="L11" s="203"/>
      <c r="M11" s="203"/>
      <c r="N11" s="203"/>
      <c r="O11" s="203"/>
      <c r="P11" s="203"/>
      <c r="Q11" s="203"/>
      <c r="R11" s="203"/>
    </row>
    <row r="12" spans="2:18" ht="44.25" hidden="1" thickTop="1" thickBot="1" x14ac:dyDescent="0.25">
      <c r="B12" s="207" t="s">
        <v>149</v>
      </c>
      <c r="C12" s="207"/>
      <c r="D12" s="207"/>
      <c r="E12" s="208" t="s">
        <v>151</v>
      </c>
      <c r="F12" s="207"/>
      <c r="G12" s="207"/>
      <c r="H12" s="207"/>
      <c r="I12" s="208"/>
      <c r="J12" s="209">
        <f>SUM(J13:J18)</f>
        <v>0</v>
      </c>
      <c r="K12" s="207"/>
      <c r="L12" s="203"/>
      <c r="M12" s="203"/>
      <c r="N12" s="203"/>
      <c r="O12" s="203"/>
      <c r="P12" s="203"/>
      <c r="Q12" s="203"/>
      <c r="R12" s="203"/>
    </row>
    <row r="13" spans="2:18" ht="76.5" hidden="1" thickTop="1" thickBot="1" x14ac:dyDescent="0.25">
      <c r="B13" s="210" t="s">
        <v>232</v>
      </c>
      <c r="C13" s="210" t="s">
        <v>233</v>
      </c>
      <c r="D13" s="210" t="s">
        <v>234</v>
      </c>
      <c r="E13" s="210" t="s">
        <v>231</v>
      </c>
      <c r="F13" s="211" t="s">
        <v>519</v>
      </c>
      <c r="G13" s="212"/>
      <c r="H13" s="213"/>
      <c r="I13" s="212"/>
      <c r="J13" s="214"/>
      <c r="K13" s="214"/>
      <c r="L13" s="203"/>
      <c r="M13" s="203"/>
      <c r="N13" s="203"/>
      <c r="O13" s="203"/>
      <c r="P13" s="203"/>
      <c r="Q13" s="203"/>
      <c r="R13" s="203"/>
    </row>
    <row r="14" spans="2:18" ht="76.5" hidden="1" thickTop="1" thickBot="1" x14ac:dyDescent="0.25">
      <c r="B14" s="210" t="s">
        <v>232</v>
      </c>
      <c r="C14" s="210" t="s">
        <v>233</v>
      </c>
      <c r="D14" s="210" t="s">
        <v>234</v>
      </c>
      <c r="E14" s="210" t="s">
        <v>231</v>
      </c>
      <c r="F14" s="211" t="s">
        <v>1076</v>
      </c>
      <c r="G14" s="215" t="s">
        <v>557</v>
      </c>
      <c r="H14" s="216"/>
      <c r="I14" s="217"/>
      <c r="J14" s="214"/>
      <c r="K14" s="217"/>
      <c r="L14" s="203"/>
      <c r="M14" s="203"/>
      <c r="N14" s="203"/>
      <c r="O14" s="203"/>
      <c r="P14" s="203"/>
      <c r="Q14" s="203"/>
      <c r="R14" s="203"/>
    </row>
    <row r="15" spans="2:18" ht="31.5" hidden="1" thickTop="1" thickBot="1" x14ac:dyDescent="0.25">
      <c r="B15" s="210" t="s">
        <v>238</v>
      </c>
      <c r="C15" s="210" t="s">
        <v>239</v>
      </c>
      <c r="D15" s="210" t="s">
        <v>240</v>
      </c>
      <c r="E15" s="210" t="s">
        <v>237</v>
      </c>
      <c r="F15" s="211" t="s">
        <v>519</v>
      </c>
      <c r="G15" s="212"/>
      <c r="H15" s="213"/>
      <c r="I15" s="212"/>
      <c r="J15" s="214"/>
      <c r="K15" s="214"/>
      <c r="L15" s="203"/>
      <c r="M15" s="203"/>
      <c r="N15" s="203"/>
      <c r="O15" s="203"/>
      <c r="P15" s="203"/>
      <c r="Q15" s="203"/>
      <c r="R15" s="203"/>
    </row>
    <row r="16" spans="2:18" ht="61.5" hidden="1" thickTop="1" thickBot="1" x14ac:dyDescent="0.25">
      <c r="B16" s="210" t="s">
        <v>512</v>
      </c>
      <c r="C16" s="210" t="s">
        <v>513</v>
      </c>
      <c r="D16" s="210" t="s">
        <v>43</v>
      </c>
      <c r="E16" s="210" t="s">
        <v>514</v>
      </c>
      <c r="F16" s="211" t="s">
        <v>519</v>
      </c>
      <c r="G16" s="212"/>
      <c r="H16" s="213"/>
      <c r="I16" s="212"/>
      <c r="J16" s="214"/>
      <c r="K16" s="214"/>
      <c r="L16" s="203"/>
      <c r="M16" s="203"/>
      <c r="N16" s="203"/>
      <c r="O16" s="203"/>
      <c r="P16" s="203"/>
      <c r="Q16" s="203"/>
      <c r="R16" s="203"/>
    </row>
    <row r="17" spans="1:18" ht="151.5" hidden="1" thickTop="1" thickBot="1" x14ac:dyDescent="0.25">
      <c r="B17" s="210" t="s">
        <v>512</v>
      </c>
      <c r="C17" s="210" t="s">
        <v>513</v>
      </c>
      <c r="D17" s="210" t="s">
        <v>43</v>
      </c>
      <c r="E17" s="210" t="s">
        <v>514</v>
      </c>
      <c r="F17" s="211" t="s">
        <v>1089</v>
      </c>
      <c r="G17" s="212"/>
      <c r="H17" s="213"/>
      <c r="I17" s="212"/>
      <c r="J17" s="214"/>
      <c r="K17" s="214"/>
      <c r="L17" s="203"/>
      <c r="M17" s="203"/>
      <c r="N17" s="203"/>
      <c r="O17" s="203"/>
      <c r="P17" s="203"/>
      <c r="Q17" s="203"/>
      <c r="R17" s="203"/>
    </row>
    <row r="18" spans="1:18" ht="61.5" hidden="1" thickTop="1" thickBot="1" x14ac:dyDescent="0.25">
      <c r="B18" s="210" t="s">
        <v>512</v>
      </c>
      <c r="C18" s="210" t="s">
        <v>513</v>
      </c>
      <c r="D18" s="210" t="s">
        <v>43</v>
      </c>
      <c r="E18" s="210" t="s">
        <v>514</v>
      </c>
      <c r="F18" s="211" t="s">
        <v>928</v>
      </c>
      <c r="G18" s="212"/>
      <c r="H18" s="213"/>
      <c r="I18" s="212"/>
      <c r="J18" s="214"/>
      <c r="K18" s="214"/>
      <c r="L18" s="203"/>
      <c r="M18" s="203"/>
      <c r="N18" s="203"/>
      <c r="O18" s="203"/>
      <c r="P18" s="203"/>
      <c r="Q18" s="203"/>
      <c r="R18" s="203"/>
    </row>
    <row r="19" spans="1:18" ht="59.25" customHeight="1" thickTop="1" thickBot="1" x14ac:dyDescent="0.25">
      <c r="A19" s="247"/>
      <c r="B19" s="696" t="s">
        <v>152</v>
      </c>
      <c r="C19" s="696"/>
      <c r="D19" s="696"/>
      <c r="E19" s="697" t="s">
        <v>0</v>
      </c>
      <c r="F19" s="696"/>
      <c r="G19" s="696"/>
      <c r="H19" s="698">
        <f>H20</f>
        <v>164067888</v>
      </c>
      <c r="I19" s="698">
        <f>I20</f>
        <v>77830723.700000003</v>
      </c>
      <c r="J19" s="698">
        <f>J20</f>
        <v>62760981.480000004</v>
      </c>
      <c r="K19" s="703"/>
      <c r="L19" s="203"/>
      <c r="M19" s="203"/>
      <c r="N19" s="203"/>
      <c r="O19" s="203"/>
      <c r="P19" s="203"/>
      <c r="Q19" s="203"/>
      <c r="R19" s="203"/>
    </row>
    <row r="20" spans="1:18" ht="56.25" customHeight="1" thickTop="1" thickBot="1" x14ac:dyDescent="0.25">
      <c r="A20" s="247"/>
      <c r="B20" s="700" t="s">
        <v>153</v>
      </c>
      <c r="C20" s="700"/>
      <c r="D20" s="700"/>
      <c r="E20" s="701" t="s">
        <v>1</v>
      </c>
      <c r="F20" s="700"/>
      <c r="G20" s="700"/>
      <c r="H20" s="704">
        <f>H22+H24+H25+H26+H27+H21+H28</f>
        <v>164067888</v>
      </c>
      <c r="I20" s="704">
        <f>I22+I24+I25+I26+I27+I21+I28</f>
        <v>77830723.700000003</v>
      </c>
      <c r="J20" s="704">
        <f>J22+J24+J25+J26+J27+J21+J28</f>
        <v>62760981.480000004</v>
      </c>
      <c r="K20" s="705"/>
      <c r="L20" s="203"/>
      <c r="M20" s="203"/>
      <c r="N20" s="203"/>
      <c r="O20" s="203"/>
      <c r="P20" s="203"/>
      <c r="Q20" s="203"/>
      <c r="R20" s="203"/>
    </row>
    <row r="21" spans="1:18" ht="61.5" thickTop="1" thickBot="1" x14ac:dyDescent="0.25">
      <c r="A21" s="247"/>
      <c r="B21" s="327" t="s">
        <v>639</v>
      </c>
      <c r="C21" s="327" t="s">
        <v>640</v>
      </c>
      <c r="D21" s="327" t="s">
        <v>204</v>
      </c>
      <c r="E21" s="327" t="s">
        <v>1257</v>
      </c>
      <c r="F21" s="626" t="s">
        <v>1549</v>
      </c>
      <c r="G21" s="334" t="s">
        <v>1606</v>
      </c>
      <c r="H21" s="335">
        <v>4405109</v>
      </c>
      <c r="I21" s="335">
        <f>2110572.76+45090+J21</f>
        <v>3405109</v>
      </c>
      <c r="J21" s="337">
        <f>2249446.24-1000000</f>
        <v>1249446.2400000002</v>
      </c>
      <c r="K21" s="338">
        <f>I21/H21</f>
        <v>0.77299086129310313</v>
      </c>
      <c r="L21" s="203"/>
      <c r="M21" s="203"/>
      <c r="N21" s="203"/>
      <c r="O21" s="203"/>
      <c r="P21" s="203"/>
      <c r="Q21" s="203"/>
      <c r="R21" s="203"/>
    </row>
    <row r="22" spans="1:18" ht="76.5" thickTop="1" thickBot="1" x14ac:dyDescent="0.25">
      <c r="A22" s="336"/>
      <c r="B22" s="327" t="s">
        <v>1373</v>
      </c>
      <c r="C22" s="327" t="s">
        <v>1374</v>
      </c>
      <c r="D22" s="327" t="s">
        <v>210</v>
      </c>
      <c r="E22" s="327" t="s">
        <v>1528</v>
      </c>
      <c r="F22" s="333" t="s">
        <v>1438</v>
      </c>
      <c r="G22" s="334" t="s">
        <v>1639</v>
      </c>
      <c r="H22" s="335">
        <v>41197697</v>
      </c>
      <c r="I22" s="335">
        <f>2323251.03+4691300.88+J22</f>
        <v>26014551.91</v>
      </c>
      <c r="J22" s="335">
        <f>((((5000000)+10000000)+12000000)-10000000)+2000000</f>
        <v>19000000</v>
      </c>
      <c r="K22" s="338">
        <f>(I22+I23-I23)/H22</f>
        <v>0.63145646005406564</v>
      </c>
      <c r="L22" s="226"/>
      <c r="M22" s="227"/>
      <c r="N22" s="203"/>
      <c r="O22" s="203"/>
      <c r="P22" s="203"/>
      <c r="Q22" s="203"/>
      <c r="R22" s="203"/>
    </row>
    <row r="23" spans="1:18" ht="61.5" hidden="1" thickTop="1" thickBot="1" x14ac:dyDescent="0.25">
      <c r="A23" s="336"/>
      <c r="B23" s="220" t="s">
        <v>1375</v>
      </c>
      <c r="C23" s="220" t="s">
        <v>1376</v>
      </c>
      <c r="D23" s="220" t="s">
        <v>210</v>
      </c>
      <c r="E23" s="220" t="s">
        <v>1377</v>
      </c>
      <c r="F23" s="240" t="s">
        <v>1438</v>
      </c>
      <c r="G23" s="222" t="s">
        <v>1435</v>
      </c>
      <c r="H23" s="223">
        <v>41197697</v>
      </c>
      <c r="I23" s="223">
        <f>J23</f>
        <v>7200000</v>
      </c>
      <c r="J23" s="224">
        <v>7200000</v>
      </c>
      <c r="K23" s="225">
        <f>(I23+I22-I22)/H23</f>
        <v>0.17476705069217827</v>
      </c>
      <c r="L23" s="226"/>
      <c r="M23" s="227"/>
      <c r="N23" s="203"/>
      <c r="O23" s="203"/>
      <c r="P23" s="203"/>
      <c r="Q23" s="203"/>
      <c r="R23" s="203"/>
    </row>
    <row r="24" spans="1:18" ht="76.5" thickTop="1" thickBot="1" x14ac:dyDescent="0.25">
      <c r="A24" s="336"/>
      <c r="B24" s="327" t="s">
        <v>1085</v>
      </c>
      <c r="C24" s="327" t="s">
        <v>311</v>
      </c>
      <c r="D24" s="327" t="s">
        <v>304</v>
      </c>
      <c r="E24" s="327" t="s">
        <v>1281</v>
      </c>
      <c r="F24" s="333" t="s">
        <v>1436</v>
      </c>
      <c r="G24" s="334" t="s">
        <v>1435</v>
      </c>
      <c r="H24" s="335">
        <v>27852755</v>
      </c>
      <c r="I24" s="335">
        <f>4294746.41+J24</f>
        <v>22750013.670000002</v>
      </c>
      <c r="J24" s="335">
        <f>(((5000000)+17260227.26)-400000)-3404960</f>
        <v>18455267.260000002</v>
      </c>
      <c r="K24" s="338">
        <v>1</v>
      </c>
      <c r="L24" s="226"/>
      <c r="M24" s="227"/>
      <c r="N24" s="203"/>
      <c r="O24" s="203"/>
      <c r="P24" s="203"/>
      <c r="Q24" s="203"/>
      <c r="R24" s="203"/>
    </row>
    <row r="25" spans="1:18" ht="91.5" thickTop="1" thickBot="1" x14ac:dyDescent="0.25">
      <c r="A25" s="336"/>
      <c r="B25" s="327" t="s">
        <v>1085</v>
      </c>
      <c r="C25" s="327" t="s">
        <v>311</v>
      </c>
      <c r="D25" s="327" t="s">
        <v>304</v>
      </c>
      <c r="E25" s="327" t="s">
        <v>1281</v>
      </c>
      <c r="F25" s="333" t="s">
        <v>1550</v>
      </c>
      <c r="G25" s="334" t="s">
        <v>1639</v>
      </c>
      <c r="H25" s="335">
        <v>36421941</v>
      </c>
      <c r="I25" s="335">
        <f>539263.14+J25</f>
        <v>15539263.140000001</v>
      </c>
      <c r="J25" s="335">
        <f>(((2000000)+3000000)+5000000)+5000000</f>
        <v>15000000</v>
      </c>
      <c r="K25" s="338">
        <f>I25/H25</f>
        <v>0.42664566229460427</v>
      </c>
      <c r="L25" s="627"/>
      <c r="M25" s="227"/>
      <c r="N25" s="203"/>
      <c r="O25" s="203"/>
      <c r="P25" s="203"/>
      <c r="Q25" s="203"/>
      <c r="R25" s="203"/>
    </row>
    <row r="26" spans="1:18" ht="91.5" thickTop="1" thickBot="1" x14ac:dyDescent="0.25">
      <c r="A26" s="336"/>
      <c r="B26" s="327" t="s">
        <v>1085</v>
      </c>
      <c r="C26" s="327" t="s">
        <v>311</v>
      </c>
      <c r="D26" s="327" t="s">
        <v>304</v>
      </c>
      <c r="E26" s="327" t="s">
        <v>1281</v>
      </c>
      <c r="F26" s="333" t="s">
        <v>1551</v>
      </c>
      <c r="G26" s="334" t="s">
        <v>1639</v>
      </c>
      <c r="H26" s="335">
        <v>34029512</v>
      </c>
      <c r="I26" s="335">
        <f>466622.37+J26</f>
        <v>914355.77999999991</v>
      </c>
      <c r="J26" s="335">
        <f>(2000000)-1552266.59</f>
        <v>447733.40999999992</v>
      </c>
      <c r="K26" s="338">
        <f t="shared" ref="K26" si="0">I26/H26</f>
        <v>2.6869494337738369E-2</v>
      </c>
      <c r="L26" s="627"/>
      <c r="M26" s="227"/>
      <c r="N26" s="203"/>
      <c r="O26" s="203"/>
      <c r="P26" s="203"/>
      <c r="Q26" s="203"/>
      <c r="R26" s="203"/>
    </row>
    <row r="27" spans="1:18" ht="76.5" thickTop="1" thickBot="1" x14ac:dyDescent="0.25">
      <c r="A27" s="336"/>
      <c r="B27" s="327" t="s">
        <v>1085</v>
      </c>
      <c r="C27" s="327" t="s">
        <v>311</v>
      </c>
      <c r="D27" s="327" t="s">
        <v>304</v>
      </c>
      <c r="E27" s="327" t="s">
        <v>1281</v>
      </c>
      <c r="F27" s="333" t="s">
        <v>1437</v>
      </c>
      <c r="G27" s="334" t="s">
        <v>1639</v>
      </c>
      <c r="H27" s="335">
        <v>20032080</v>
      </c>
      <c r="I27" s="335">
        <f>588603.2+J27</f>
        <v>9088603.1999999993</v>
      </c>
      <c r="J27" s="335">
        <f>((2000000)+1500000)+5000000</f>
        <v>8500000</v>
      </c>
      <c r="K27" s="338">
        <f>I27/H27</f>
        <v>0.45370242131620875</v>
      </c>
      <c r="L27" s="226"/>
      <c r="M27" s="227"/>
      <c r="N27" s="203"/>
      <c r="O27" s="203"/>
      <c r="P27" s="203"/>
      <c r="Q27" s="203"/>
      <c r="R27" s="203"/>
    </row>
    <row r="28" spans="1:18" ht="61.5" thickTop="1" thickBot="1" x14ac:dyDescent="0.25">
      <c r="A28" s="336"/>
      <c r="B28" s="327" t="s">
        <v>1085</v>
      </c>
      <c r="C28" s="327" t="s">
        <v>311</v>
      </c>
      <c r="D28" s="327" t="s">
        <v>304</v>
      </c>
      <c r="E28" s="327" t="s">
        <v>1281</v>
      </c>
      <c r="F28" s="333" t="s">
        <v>1601</v>
      </c>
      <c r="G28" s="334" t="s">
        <v>1435</v>
      </c>
      <c r="H28" s="335">
        <v>128794</v>
      </c>
      <c r="I28" s="335">
        <f>10292.43+J28</f>
        <v>118827</v>
      </c>
      <c r="J28" s="335">
        <v>108534.57</v>
      </c>
      <c r="K28" s="338">
        <v>1</v>
      </c>
      <c r="L28" s="226"/>
      <c r="M28" s="227"/>
      <c r="N28" s="203"/>
      <c r="O28" s="203"/>
      <c r="P28" s="203"/>
      <c r="Q28" s="203"/>
      <c r="R28" s="203"/>
    </row>
    <row r="29" spans="1:18" ht="61.5" hidden="1" thickTop="1" thickBot="1" x14ac:dyDescent="0.25">
      <c r="B29" s="220" t="s">
        <v>1085</v>
      </c>
      <c r="C29" s="220" t="s">
        <v>311</v>
      </c>
      <c r="D29" s="220" t="s">
        <v>304</v>
      </c>
      <c r="E29" s="220" t="s">
        <v>1220</v>
      </c>
      <c r="F29" s="221" t="s">
        <v>1115</v>
      </c>
      <c r="G29" s="222" t="s">
        <v>986</v>
      </c>
      <c r="H29" s="223">
        <v>4179432</v>
      </c>
      <c r="I29" s="224">
        <f>(49000)+13800</f>
        <v>62800</v>
      </c>
      <c r="J29" s="224">
        <f>(700000)-700000</f>
        <v>0</v>
      </c>
      <c r="K29" s="225">
        <f>(J29+I29)/H29</f>
        <v>1.5025965250780489E-2</v>
      </c>
      <c r="L29" s="228"/>
      <c r="M29" s="227"/>
      <c r="N29" s="203"/>
      <c r="O29" s="203"/>
      <c r="P29" s="203"/>
      <c r="Q29" s="203"/>
      <c r="R29" s="203"/>
    </row>
    <row r="30" spans="1:18" ht="57" customHeight="1" thickTop="1" thickBot="1" x14ac:dyDescent="0.25">
      <c r="B30" s="696" t="s">
        <v>154</v>
      </c>
      <c r="C30" s="696"/>
      <c r="D30" s="696"/>
      <c r="E30" s="697" t="s">
        <v>18</v>
      </c>
      <c r="F30" s="696"/>
      <c r="G30" s="696"/>
      <c r="H30" s="698">
        <f>H31</f>
        <v>62285420.57</v>
      </c>
      <c r="I30" s="698">
        <f>I31</f>
        <v>33072477.539999999</v>
      </c>
      <c r="J30" s="698">
        <f>J31</f>
        <v>8044424.9900000002</v>
      </c>
      <c r="K30" s="703"/>
      <c r="L30" s="203"/>
      <c r="M30" s="203"/>
      <c r="N30" s="203"/>
      <c r="O30" s="203"/>
      <c r="P30" s="203"/>
      <c r="Q30" s="203"/>
      <c r="R30" s="203"/>
    </row>
    <row r="31" spans="1:18" ht="44.25" thickTop="1" thickBot="1" x14ac:dyDescent="0.25">
      <c r="B31" s="700" t="s">
        <v>155</v>
      </c>
      <c r="C31" s="700"/>
      <c r="D31" s="700"/>
      <c r="E31" s="701" t="s">
        <v>36</v>
      </c>
      <c r="F31" s="700"/>
      <c r="G31" s="700"/>
      <c r="H31" s="704">
        <f>H34+H33</f>
        <v>62285420.57</v>
      </c>
      <c r="I31" s="704">
        <f>I34+I33</f>
        <v>33072477.539999999</v>
      </c>
      <c r="J31" s="704">
        <f>J34+J33</f>
        <v>8044424.9900000002</v>
      </c>
      <c r="K31" s="705"/>
      <c r="L31" s="203"/>
      <c r="M31" s="203"/>
      <c r="N31" s="203"/>
      <c r="O31" s="203"/>
      <c r="P31" s="203"/>
      <c r="Q31" s="203"/>
      <c r="R31" s="203"/>
    </row>
    <row r="32" spans="1:18" ht="76.5" hidden="1" thickTop="1" thickBot="1" x14ac:dyDescent="0.25">
      <c r="B32" s="210" t="s">
        <v>415</v>
      </c>
      <c r="C32" s="210" t="s">
        <v>236</v>
      </c>
      <c r="D32" s="210" t="s">
        <v>234</v>
      </c>
      <c r="E32" s="210" t="s">
        <v>235</v>
      </c>
      <c r="F32" s="211" t="s">
        <v>1077</v>
      </c>
      <c r="G32" s="215" t="s">
        <v>1078</v>
      </c>
      <c r="H32" s="216"/>
      <c r="I32" s="217"/>
      <c r="J32" s="214"/>
      <c r="K32" s="217"/>
      <c r="L32" s="203"/>
      <c r="M32" s="203"/>
      <c r="N32" s="203"/>
      <c r="O32" s="203"/>
      <c r="P32" s="203"/>
      <c r="Q32" s="203"/>
      <c r="R32" s="203"/>
    </row>
    <row r="33" spans="1:18" ht="91.5" thickTop="1" thickBot="1" x14ac:dyDescent="0.25">
      <c r="B33" s="327" t="s">
        <v>214</v>
      </c>
      <c r="C33" s="327" t="s">
        <v>211</v>
      </c>
      <c r="D33" s="327" t="s">
        <v>215</v>
      </c>
      <c r="E33" s="327" t="s">
        <v>19</v>
      </c>
      <c r="F33" s="624" t="s">
        <v>1607</v>
      </c>
      <c r="G33" s="334" t="s">
        <v>1606</v>
      </c>
      <c r="H33" s="335">
        <v>54511993</v>
      </c>
      <c r="I33" s="335">
        <f>21251040+J33</f>
        <v>27251040</v>
      </c>
      <c r="J33" s="337">
        <f>(2000000)+3000000+1000000</f>
        <v>6000000</v>
      </c>
      <c r="K33" s="338">
        <f t="shared" ref="K33" si="1">I33/H33</f>
        <v>0.49990907505436466</v>
      </c>
      <c r="L33" s="203"/>
      <c r="M33" s="203"/>
      <c r="N33" s="203"/>
      <c r="O33" s="203"/>
      <c r="P33" s="203"/>
      <c r="Q33" s="203"/>
      <c r="R33" s="203"/>
    </row>
    <row r="34" spans="1:18" ht="151.5" thickTop="1" thickBot="1" x14ac:dyDescent="0.25">
      <c r="B34" s="327" t="s">
        <v>1161</v>
      </c>
      <c r="C34" s="327" t="s">
        <v>1163</v>
      </c>
      <c r="D34" s="327" t="s">
        <v>304</v>
      </c>
      <c r="E34" s="327" t="s">
        <v>1536</v>
      </c>
      <c r="F34" s="624" t="s">
        <v>1537</v>
      </c>
      <c r="G34" s="334" t="s">
        <v>1435</v>
      </c>
      <c r="H34" s="335">
        <v>7773427.5700000003</v>
      </c>
      <c r="I34" s="335">
        <f>3730838.96+46173.59+J34</f>
        <v>5821437.54</v>
      </c>
      <c r="J34" s="337">
        <f>((0)+2058924.99)-14500</f>
        <v>2044424.99</v>
      </c>
      <c r="K34" s="338">
        <v>1</v>
      </c>
      <c r="L34" s="203"/>
      <c r="M34" s="203"/>
      <c r="N34" s="203"/>
      <c r="O34" s="203"/>
      <c r="P34" s="203"/>
      <c r="Q34" s="203"/>
      <c r="R34" s="203"/>
    </row>
    <row r="35" spans="1:18" ht="76.5" hidden="1" thickTop="1" thickBot="1" x14ac:dyDescent="0.25">
      <c r="B35" s="220" t="s">
        <v>1161</v>
      </c>
      <c r="C35" s="220" t="s">
        <v>1163</v>
      </c>
      <c r="D35" s="220" t="s">
        <v>304</v>
      </c>
      <c r="E35" s="220" t="s">
        <v>1221</v>
      </c>
      <c r="F35" s="229" t="s">
        <v>1238</v>
      </c>
      <c r="G35" s="222" t="s">
        <v>1245</v>
      </c>
      <c r="H35" s="223">
        <v>20032733</v>
      </c>
      <c r="I35" s="223">
        <f>0+J35</f>
        <v>18828250</v>
      </c>
      <c r="J35" s="224">
        <f>(11239495)+7588755</f>
        <v>18828250</v>
      </c>
      <c r="K35" s="225">
        <v>1</v>
      </c>
      <c r="L35" s="345" t="s">
        <v>1252</v>
      </c>
      <c r="M35" s="203"/>
      <c r="N35" s="203"/>
      <c r="O35" s="203"/>
      <c r="P35" s="203"/>
      <c r="Q35" s="203"/>
      <c r="R35" s="203"/>
    </row>
    <row r="36" spans="1:18" ht="76.5" hidden="1" thickTop="1" thickBot="1" x14ac:dyDescent="0.25">
      <c r="B36" s="220" t="s">
        <v>1161</v>
      </c>
      <c r="C36" s="220" t="s">
        <v>1163</v>
      </c>
      <c r="D36" s="220" t="s">
        <v>304</v>
      </c>
      <c r="E36" s="220" t="s">
        <v>1221</v>
      </c>
      <c r="F36" s="229" t="s">
        <v>1164</v>
      </c>
      <c r="G36" s="222" t="s">
        <v>1118</v>
      </c>
      <c r="H36" s="223">
        <v>300000</v>
      </c>
      <c r="I36" s="223">
        <v>0</v>
      </c>
      <c r="J36" s="224"/>
      <c r="K36" s="225">
        <f>(J36+I36)/H36</f>
        <v>0</v>
      </c>
      <c r="L36" s="203"/>
      <c r="M36" s="203"/>
      <c r="N36" s="203"/>
      <c r="O36" s="203"/>
      <c r="P36" s="203"/>
      <c r="Q36" s="203"/>
      <c r="R36" s="203"/>
    </row>
    <row r="37" spans="1:18" ht="65.099999999999994" customHeight="1" thickTop="1" thickBot="1" x14ac:dyDescent="0.25">
      <c r="B37" s="696" t="s">
        <v>156</v>
      </c>
      <c r="C37" s="696"/>
      <c r="D37" s="696"/>
      <c r="E37" s="697" t="s">
        <v>37</v>
      </c>
      <c r="F37" s="696"/>
      <c r="G37" s="696"/>
      <c r="H37" s="698">
        <f t="shared" ref="H37:J37" si="2">H38</f>
        <v>80803358</v>
      </c>
      <c r="I37" s="698">
        <f t="shared" si="2"/>
        <v>37691421.950000003</v>
      </c>
      <c r="J37" s="698">
        <f t="shared" si="2"/>
        <v>34723259.939999998</v>
      </c>
      <c r="K37" s="703"/>
      <c r="L37" s="203"/>
      <c r="M37" s="203"/>
      <c r="N37" s="203"/>
      <c r="O37" s="203"/>
      <c r="P37" s="203"/>
      <c r="Q37" s="203"/>
      <c r="R37" s="203"/>
    </row>
    <row r="38" spans="1:18" ht="65.099999999999994" customHeight="1" thickTop="1" thickBot="1" x14ac:dyDescent="0.25">
      <c r="B38" s="700" t="s">
        <v>157</v>
      </c>
      <c r="C38" s="700"/>
      <c r="D38" s="700"/>
      <c r="E38" s="701" t="s">
        <v>38</v>
      </c>
      <c r="F38" s="700"/>
      <c r="G38" s="700"/>
      <c r="H38" s="704">
        <f>H40+H39+H42+H41</f>
        <v>80803358</v>
      </c>
      <c r="I38" s="704">
        <f>I40+I39+I42+I41</f>
        <v>37691421.950000003</v>
      </c>
      <c r="J38" s="704">
        <f>J40+J39+J42+J41</f>
        <v>34723259.939999998</v>
      </c>
      <c r="K38" s="705"/>
      <c r="L38" s="203"/>
      <c r="M38" s="203"/>
      <c r="N38" s="203"/>
      <c r="O38" s="203"/>
      <c r="P38" s="203"/>
      <c r="Q38" s="203"/>
      <c r="R38" s="203"/>
    </row>
    <row r="39" spans="1:18" ht="121.5" thickTop="1" thickBot="1" x14ac:dyDescent="0.25">
      <c r="B39" s="327" t="s">
        <v>1185</v>
      </c>
      <c r="C39" s="327" t="s">
        <v>1182</v>
      </c>
      <c r="D39" s="327" t="s">
        <v>206</v>
      </c>
      <c r="E39" s="623" t="s">
        <v>1183</v>
      </c>
      <c r="F39" s="624" t="s">
        <v>1535</v>
      </c>
      <c r="G39" s="334" t="s">
        <v>1435</v>
      </c>
      <c r="H39" s="335">
        <v>31195664</v>
      </c>
      <c r="I39" s="337">
        <f>1082344.8+J39</f>
        <v>18238565.720000003</v>
      </c>
      <c r="J39" s="335">
        <f>((6000000)+9865740-3236524.08)+4527005</f>
        <v>17156220.920000002</v>
      </c>
      <c r="K39" s="338">
        <f>I39/H39</f>
        <v>0.58465066555403344</v>
      </c>
      <c r="L39" s="203"/>
      <c r="M39" s="203"/>
      <c r="N39" s="203"/>
      <c r="O39" s="203"/>
      <c r="P39" s="203"/>
      <c r="Q39" s="203"/>
      <c r="R39" s="203"/>
    </row>
    <row r="40" spans="1:18" ht="106.5" thickTop="1" thickBot="1" x14ac:dyDescent="0.25">
      <c r="B40" s="327" t="s">
        <v>1185</v>
      </c>
      <c r="C40" s="327" t="s">
        <v>1182</v>
      </c>
      <c r="D40" s="327" t="s">
        <v>206</v>
      </c>
      <c r="E40" s="623" t="s">
        <v>1183</v>
      </c>
      <c r="F40" s="624" t="s">
        <v>1434</v>
      </c>
      <c r="G40" s="334" t="s">
        <v>1435</v>
      </c>
      <c r="H40" s="335">
        <v>24622660</v>
      </c>
      <c r="I40" s="337">
        <f>1885817.21+J40</f>
        <v>17458140.23</v>
      </c>
      <c r="J40" s="335">
        <f>(((8796386.02)+5465713)+1500000)+184344-374120</f>
        <v>15572323.02</v>
      </c>
      <c r="K40" s="338">
        <f>I40/H40</f>
        <v>0.70902738493728945</v>
      </c>
      <c r="L40" s="203" t="s">
        <v>1571</v>
      </c>
      <c r="M40" s="203"/>
      <c r="N40" s="203"/>
      <c r="O40" s="203"/>
      <c r="P40" s="203"/>
      <c r="Q40" s="203"/>
      <c r="R40" s="203"/>
    </row>
    <row r="41" spans="1:18" ht="106.5" thickTop="1" thickBot="1" x14ac:dyDescent="0.25">
      <c r="B41" s="327" t="s">
        <v>919</v>
      </c>
      <c r="C41" s="327" t="s">
        <v>920</v>
      </c>
      <c r="D41" s="327" t="s">
        <v>304</v>
      </c>
      <c r="E41" s="327" t="s">
        <v>1584</v>
      </c>
      <c r="F41" s="624" t="s">
        <v>1638</v>
      </c>
      <c r="G41" s="334" t="s">
        <v>1637</v>
      </c>
      <c r="H41" s="335">
        <v>23985379</v>
      </c>
      <c r="I41" s="337">
        <f>0+J41</f>
        <v>1544716</v>
      </c>
      <c r="J41" s="335">
        <v>1544716</v>
      </c>
      <c r="K41" s="338">
        <f>I41/H41</f>
        <v>6.4402401146131563E-2</v>
      </c>
      <c r="L41" s="203"/>
      <c r="M41" s="203"/>
      <c r="N41" s="203"/>
      <c r="O41" s="203"/>
      <c r="P41" s="203"/>
      <c r="Q41" s="203"/>
      <c r="R41" s="203"/>
    </row>
    <row r="42" spans="1:18" ht="46.5" thickTop="1" thickBot="1" x14ac:dyDescent="0.25">
      <c r="B42" s="327" t="s">
        <v>919</v>
      </c>
      <c r="C42" s="327" t="s">
        <v>920</v>
      </c>
      <c r="D42" s="327" t="s">
        <v>304</v>
      </c>
      <c r="E42" s="327" t="s">
        <v>1584</v>
      </c>
      <c r="F42" s="624" t="s">
        <v>1585</v>
      </c>
      <c r="G42" s="334" t="s">
        <v>1482</v>
      </c>
      <c r="H42" s="335">
        <v>999655</v>
      </c>
      <c r="I42" s="337">
        <f>0+J42</f>
        <v>450000</v>
      </c>
      <c r="J42" s="335">
        <f>999655-549655</f>
        <v>450000</v>
      </c>
      <c r="K42" s="338">
        <f>I42/H42</f>
        <v>0.45015530357973499</v>
      </c>
      <c r="L42" s="203"/>
      <c r="M42" s="203"/>
      <c r="N42" s="203"/>
      <c r="O42" s="203"/>
      <c r="P42" s="203"/>
      <c r="Q42" s="203"/>
      <c r="R42" s="203"/>
    </row>
    <row r="43" spans="1:18" ht="46.5" hidden="1" thickTop="1" thickBot="1" x14ac:dyDescent="0.25">
      <c r="A43" s="248"/>
      <c r="B43" s="231">
        <v>1000000</v>
      </c>
      <c r="C43" s="231"/>
      <c r="D43" s="231"/>
      <c r="E43" s="232" t="s">
        <v>24</v>
      </c>
      <c r="F43" s="231"/>
      <c r="G43" s="231"/>
      <c r="H43" s="233">
        <f>H44</f>
        <v>27064985</v>
      </c>
      <c r="I43" s="233">
        <f>I44</f>
        <v>19955037.289999999</v>
      </c>
      <c r="J43" s="233">
        <f>J44</f>
        <v>0</v>
      </c>
      <c r="K43" s="234"/>
      <c r="L43" s="203"/>
      <c r="M43" s="203"/>
      <c r="N43" s="203"/>
      <c r="O43" s="203"/>
      <c r="P43" s="203"/>
      <c r="Q43" s="203"/>
      <c r="R43" s="203"/>
    </row>
    <row r="44" spans="1:18" ht="44.25" hidden="1" thickTop="1" thickBot="1" x14ac:dyDescent="0.25">
      <c r="A44" s="248"/>
      <c r="B44" s="235">
        <v>1010000</v>
      </c>
      <c r="C44" s="235"/>
      <c r="D44" s="235"/>
      <c r="E44" s="236" t="s">
        <v>39</v>
      </c>
      <c r="F44" s="235"/>
      <c r="G44" s="235"/>
      <c r="H44" s="237">
        <f>SUM(H45:H46)</f>
        <v>27064985</v>
      </c>
      <c r="I44" s="237">
        <f>SUM(I45:I46)</f>
        <v>19955037.289999999</v>
      </c>
      <c r="J44" s="237">
        <f>SUM(J45:J46)</f>
        <v>0</v>
      </c>
      <c r="K44" s="238"/>
      <c r="L44" s="203"/>
      <c r="M44" s="203"/>
      <c r="N44" s="203"/>
      <c r="O44" s="203"/>
      <c r="P44" s="203"/>
      <c r="Q44" s="203"/>
      <c r="R44" s="203"/>
    </row>
    <row r="45" spans="1:18" ht="46.5" hidden="1" thickTop="1" thickBot="1" x14ac:dyDescent="0.25">
      <c r="B45" s="220" t="s">
        <v>176</v>
      </c>
      <c r="C45" s="220" t="s">
        <v>177</v>
      </c>
      <c r="D45" s="220" t="s">
        <v>174</v>
      </c>
      <c r="E45" s="220" t="s">
        <v>462</v>
      </c>
      <c r="F45" s="221" t="s">
        <v>931</v>
      </c>
      <c r="G45" s="223" t="s">
        <v>520</v>
      </c>
      <c r="H45" s="223">
        <v>27064985</v>
      </c>
      <c r="I45" s="223">
        <f>1430336+2994769.5+4929931.79+5600000+(3000000)+2000000</f>
        <v>19955037.289999999</v>
      </c>
      <c r="J45" s="223">
        <f>(4652920)-4652920</f>
        <v>0</v>
      </c>
      <c r="K45" s="239">
        <f>(J45+I45)/H45</f>
        <v>0.73730088119391157</v>
      </c>
      <c r="L45" s="203"/>
      <c r="M45" s="203"/>
      <c r="N45" s="203"/>
      <c r="O45" s="203"/>
      <c r="P45" s="203"/>
      <c r="Q45" s="203"/>
      <c r="R45" s="203"/>
    </row>
    <row r="46" spans="1:18" ht="106.5" hidden="1" thickTop="1" thickBot="1" x14ac:dyDescent="0.25">
      <c r="A46" s="248"/>
      <c r="B46" s="210" t="s">
        <v>912</v>
      </c>
      <c r="C46" s="210" t="s">
        <v>197</v>
      </c>
      <c r="D46" s="210" t="s">
        <v>170</v>
      </c>
      <c r="E46" s="210" t="s">
        <v>34</v>
      </c>
      <c r="F46" s="230" t="s">
        <v>938</v>
      </c>
      <c r="G46" s="215" t="s">
        <v>557</v>
      </c>
      <c r="H46" s="216"/>
      <c r="I46" s="217"/>
      <c r="J46" s="216"/>
      <c r="K46" s="217"/>
      <c r="L46" s="203"/>
      <c r="M46" s="203"/>
      <c r="N46" s="203"/>
      <c r="O46" s="203"/>
      <c r="P46" s="203"/>
      <c r="Q46" s="203"/>
      <c r="R46" s="203"/>
    </row>
    <row r="47" spans="1:18" ht="65.099999999999994" customHeight="1" thickTop="1" thickBot="1" x14ac:dyDescent="0.25">
      <c r="B47" s="696" t="s">
        <v>22</v>
      </c>
      <c r="C47" s="696"/>
      <c r="D47" s="696"/>
      <c r="E47" s="697" t="s">
        <v>23</v>
      </c>
      <c r="F47" s="696"/>
      <c r="G47" s="696"/>
      <c r="H47" s="698">
        <f t="shared" ref="H47:J47" si="3">H48</f>
        <v>35118863</v>
      </c>
      <c r="I47" s="698">
        <f t="shared" si="3"/>
        <v>31387992.66</v>
      </c>
      <c r="J47" s="698">
        <f t="shared" si="3"/>
        <v>1000000</v>
      </c>
      <c r="K47" s="703"/>
      <c r="L47" s="203"/>
      <c r="M47" s="203"/>
      <c r="N47" s="203"/>
      <c r="O47" s="203"/>
      <c r="P47" s="203"/>
      <c r="Q47" s="203"/>
      <c r="R47" s="203"/>
    </row>
    <row r="48" spans="1:18" ht="57" customHeight="1" thickTop="1" thickBot="1" x14ac:dyDescent="0.25">
      <c r="B48" s="700" t="s">
        <v>21</v>
      </c>
      <c r="C48" s="700"/>
      <c r="D48" s="700"/>
      <c r="E48" s="701" t="s">
        <v>35</v>
      </c>
      <c r="F48" s="700"/>
      <c r="G48" s="700"/>
      <c r="H48" s="704">
        <f>H50</f>
        <v>35118863</v>
      </c>
      <c r="I48" s="704">
        <f t="shared" ref="I48:J48" si="4">I50</f>
        <v>31387992.66</v>
      </c>
      <c r="J48" s="704">
        <f t="shared" si="4"/>
        <v>1000000</v>
      </c>
      <c r="K48" s="705"/>
      <c r="L48" s="203"/>
      <c r="M48" s="203"/>
      <c r="N48" s="203"/>
      <c r="O48" s="203"/>
      <c r="P48" s="203"/>
      <c r="Q48" s="203"/>
      <c r="R48" s="203"/>
    </row>
    <row r="49" spans="1:18" ht="46.5" hidden="1" thickTop="1" thickBot="1" x14ac:dyDescent="0.25">
      <c r="B49" s="327" t="s">
        <v>189</v>
      </c>
      <c r="C49" s="327" t="s">
        <v>190</v>
      </c>
      <c r="D49" s="327" t="s">
        <v>185</v>
      </c>
      <c r="E49" s="327" t="s">
        <v>10</v>
      </c>
      <c r="F49" s="333" t="s">
        <v>1240</v>
      </c>
      <c r="G49" s="334" t="s">
        <v>606</v>
      </c>
      <c r="H49" s="335">
        <v>2102059</v>
      </c>
      <c r="I49" s="337">
        <f>66820+3338.56+J49</f>
        <v>80838.559999999998</v>
      </c>
      <c r="J49" s="337">
        <v>10680</v>
      </c>
      <c r="K49" s="338">
        <f>I49/H49</f>
        <v>3.8456846358736835E-2</v>
      </c>
      <c r="L49" s="203"/>
      <c r="M49" s="203"/>
      <c r="N49" s="203"/>
      <c r="O49" s="203"/>
      <c r="P49" s="203"/>
      <c r="Q49" s="203"/>
      <c r="R49" s="203"/>
    </row>
    <row r="50" spans="1:18" s="249" customFormat="1" ht="83.25" customHeight="1" thickTop="1" thickBot="1" x14ac:dyDescent="0.25">
      <c r="B50" s="327" t="s">
        <v>28</v>
      </c>
      <c r="C50" s="327" t="s">
        <v>192</v>
      </c>
      <c r="D50" s="327" t="s">
        <v>195</v>
      </c>
      <c r="E50" s="327" t="s">
        <v>48</v>
      </c>
      <c r="F50" s="333" t="s">
        <v>1236</v>
      </c>
      <c r="G50" s="334" t="s">
        <v>1250</v>
      </c>
      <c r="H50" s="335">
        <v>35118863</v>
      </c>
      <c r="I50" s="337">
        <f>30387992.66+J50</f>
        <v>31387992.66</v>
      </c>
      <c r="J50" s="337">
        <v>1000000</v>
      </c>
      <c r="K50" s="338">
        <f>I50/H50</f>
        <v>0.89376448947108567</v>
      </c>
      <c r="L50" s="346">
        <f>H50-I50-4929869.92</f>
        <v>-1198999.58</v>
      </c>
      <c r="M50" s="241"/>
      <c r="N50" s="241"/>
      <c r="O50" s="241"/>
      <c r="P50" s="241"/>
      <c r="Q50" s="241"/>
      <c r="R50" s="241"/>
    </row>
    <row r="51" spans="1:18" s="249" customFormat="1" ht="16.5" hidden="1" thickTop="1" thickBot="1" x14ac:dyDescent="0.25">
      <c r="B51" s="327"/>
      <c r="C51" s="327"/>
      <c r="D51" s="327"/>
      <c r="E51" s="327"/>
      <c r="F51" s="333"/>
      <c r="G51" s="334"/>
      <c r="H51" s="335"/>
      <c r="I51" s="337"/>
      <c r="J51" s="337"/>
      <c r="K51" s="338"/>
      <c r="L51" s="346"/>
      <c r="M51" s="241"/>
      <c r="N51" s="241"/>
      <c r="O51" s="241"/>
      <c r="P51" s="241"/>
      <c r="Q51" s="241"/>
      <c r="R51" s="241"/>
    </row>
    <row r="52" spans="1:18" s="249" customFormat="1" ht="16.5" hidden="1" thickTop="1" thickBot="1" x14ac:dyDescent="0.25">
      <c r="B52" s="327"/>
      <c r="C52" s="327"/>
      <c r="D52" s="327"/>
      <c r="E52" s="327"/>
      <c r="F52" s="333"/>
      <c r="G52" s="334"/>
      <c r="H52" s="335"/>
      <c r="I52" s="337"/>
      <c r="J52" s="337"/>
      <c r="K52" s="338"/>
      <c r="L52" s="346"/>
      <c r="M52" s="241"/>
      <c r="N52" s="241"/>
      <c r="O52" s="241"/>
      <c r="P52" s="241"/>
      <c r="Q52" s="241"/>
      <c r="R52" s="241"/>
    </row>
    <row r="53" spans="1:18" s="249" customFormat="1" ht="46.5" hidden="1" thickTop="1" thickBot="1" x14ac:dyDescent="0.25">
      <c r="B53" s="172" t="s">
        <v>158</v>
      </c>
      <c r="C53" s="172"/>
      <c r="D53" s="172"/>
      <c r="E53" s="173" t="s">
        <v>560</v>
      </c>
      <c r="F53" s="172"/>
      <c r="G53" s="172"/>
      <c r="H53" s="174">
        <f t="shared" ref="H53:J53" si="5">H54</f>
        <v>4177606</v>
      </c>
      <c r="I53" s="174">
        <f t="shared" si="5"/>
        <v>0</v>
      </c>
      <c r="J53" s="174">
        <f t="shared" si="5"/>
        <v>0</v>
      </c>
      <c r="K53" s="218"/>
      <c r="L53" s="242"/>
      <c r="M53" s="241"/>
      <c r="N53" s="241"/>
      <c r="O53" s="241"/>
      <c r="P53" s="241"/>
      <c r="Q53" s="241"/>
      <c r="R53" s="241"/>
    </row>
    <row r="54" spans="1:18" s="249" customFormat="1" ht="44.25" hidden="1" thickTop="1" thickBot="1" x14ac:dyDescent="0.25">
      <c r="B54" s="176" t="s">
        <v>159</v>
      </c>
      <c r="C54" s="176"/>
      <c r="D54" s="176"/>
      <c r="E54" s="177" t="s">
        <v>561</v>
      </c>
      <c r="F54" s="176"/>
      <c r="G54" s="176"/>
      <c r="H54" s="178">
        <f>H55</f>
        <v>4177606</v>
      </c>
      <c r="I54" s="178">
        <f>I55</f>
        <v>0</v>
      </c>
      <c r="J54" s="178">
        <f>J55</f>
        <v>0</v>
      </c>
      <c r="K54" s="219"/>
      <c r="L54" s="242"/>
      <c r="M54" s="241"/>
      <c r="N54" s="241"/>
      <c r="O54" s="241"/>
      <c r="P54" s="241"/>
      <c r="Q54" s="241"/>
      <c r="R54" s="241"/>
    </row>
    <row r="55" spans="1:18" s="249" customFormat="1" ht="33.75" hidden="1" thickTop="1" thickBot="1" x14ac:dyDescent="0.25">
      <c r="B55" s="220" t="s">
        <v>1128</v>
      </c>
      <c r="C55" s="220" t="s">
        <v>305</v>
      </c>
      <c r="D55" s="220" t="s">
        <v>304</v>
      </c>
      <c r="E55" s="220" t="s">
        <v>1222</v>
      </c>
      <c r="F55" s="240" t="s">
        <v>1135</v>
      </c>
      <c r="G55" s="223" t="s">
        <v>1118</v>
      </c>
      <c r="H55" s="223">
        <v>4177606</v>
      </c>
      <c r="I55" s="223">
        <v>0</v>
      </c>
      <c r="J55" s="224"/>
      <c r="K55" s="239">
        <f>(I55+J55)/H55</f>
        <v>0</v>
      </c>
      <c r="L55" s="242"/>
      <c r="M55" s="241"/>
      <c r="N55" s="241"/>
      <c r="O55" s="241"/>
      <c r="P55" s="241"/>
      <c r="Q55" s="241"/>
      <c r="R55" s="241"/>
    </row>
    <row r="56" spans="1:18" s="249" customFormat="1" ht="57" customHeight="1" thickTop="1" thickBot="1" x14ac:dyDescent="0.25">
      <c r="B56" s="696" t="s">
        <v>539</v>
      </c>
      <c r="C56" s="696"/>
      <c r="D56" s="696"/>
      <c r="E56" s="697" t="s">
        <v>558</v>
      </c>
      <c r="F56" s="696"/>
      <c r="G56" s="696"/>
      <c r="H56" s="698">
        <f>H57</f>
        <v>181925120</v>
      </c>
      <c r="I56" s="698">
        <f>I57</f>
        <v>111251919.12</v>
      </c>
      <c r="J56" s="698">
        <f>J57</f>
        <v>35585075.350000001</v>
      </c>
      <c r="K56" s="703"/>
      <c r="L56" s="242"/>
      <c r="M56" s="241"/>
      <c r="N56" s="241"/>
      <c r="O56" s="241"/>
      <c r="P56" s="241"/>
      <c r="Q56" s="241"/>
      <c r="R56" s="241"/>
    </row>
    <row r="57" spans="1:18" s="249" customFormat="1" ht="59.25" customHeight="1" thickTop="1" thickBot="1" x14ac:dyDescent="0.25">
      <c r="B57" s="700" t="s">
        <v>540</v>
      </c>
      <c r="C57" s="700"/>
      <c r="D57" s="700"/>
      <c r="E57" s="701" t="s">
        <v>559</v>
      </c>
      <c r="F57" s="700"/>
      <c r="G57" s="700"/>
      <c r="H57" s="704">
        <f>H65+H66+H76+H83+H84+H85+H86+H64+H97+H101</f>
        <v>181925120</v>
      </c>
      <c r="I57" s="704">
        <f>I65+I66+I76+I83+I84+I85+I86+I64+I97+I101</f>
        <v>111251919.12</v>
      </c>
      <c r="J57" s="704">
        <f>J65+J66+J76+J83+J84+J85+J86+J64+J97+J101</f>
        <v>35585075.350000001</v>
      </c>
      <c r="K57" s="705"/>
      <c r="L57" s="242"/>
      <c r="M57" s="241"/>
      <c r="N57" s="241"/>
      <c r="O57" s="241"/>
      <c r="P57" s="241"/>
      <c r="Q57" s="241"/>
      <c r="R57" s="241"/>
    </row>
    <row r="58" spans="1:18" s="249" customFormat="1" ht="46.5" hidden="1" thickTop="1" thickBot="1" x14ac:dyDescent="0.25">
      <c r="A58" s="168"/>
      <c r="B58" s="220" t="s">
        <v>547</v>
      </c>
      <c r="C58" s="220" t="s">
        <v>305</v>
      </c>
      <c r="D58" s="220" t="s">
        <v>304</v>
      </c>
      <c r="E58" s="220" t="s">
        <v>468</v>
      </c>
      <c r="F58" s="243" t="s">
        <v>1116</v>
      </c>
      <c r="G58" s="223" t="s">
        <v>1250</v>
      </c>
      <c r="H58" s="223">
        <v>10423167</v>
      </c>
      <c r="I58" s="223">
        <f>1987516+J58</f>
        <v>2297516</v>
      </c>
      <c r="J58" s="223">
        <f>(3000000-2000000)-690000</f>
        <v>310000</v>
      </c>
      <c r="K58" s="239">
        <f>I58/H58</f>
        <v>0.22042398438017927</v>
      </c>
      <c r="L58" s="242"/>
      <c r="M58" s="241"/>
      <c r="N58" s="241"/>
      <c r="O58" s="241"/>
      <c r="P58" s="241"/>
      <c r="Q58" s="241"/>
      <c r="R58" s="241"/>
    </row>
    <row r="59" spans="1:18" s="249" customFormat="1" ht="31.5" hidden="1" thickTop="1" thickBot="1" x14ac:dyDescent="0.25">
      <c r="A59" s="168"/>
      <c r="B59" s="220" t="s">
        <v>547</v>
      </c>
      <c r="C59" s="220" t="s">
        <v>305</v>
      </c>
      <c r="D59" s="220" t="s">
        <v>304</v>
      </c>
      <c r="E59" s="220" t="s">
        <v>468</v>
      </c>
      <c r="F59" s="243" t="s">
        <v>1117</v>
      </c>
      <c r="G59" s="223" t="s">
        <v>521</v>
      </c>
      <c r="H59" s="223">
        <v>19973126</v>
      </c>
      <c r="I59" s="223">
        <v>3000000</v>
      </c>
      <c r="J59" s="223">
        <f>(2000000)-2000000</f>
        <v>0</v>
      </c>
      <c r="K59" s="239">
        <f t="shared" ref="K59:K99" si="6">(I59+J59)/H59</f>
        <v>0.15020182619385669</v>
      </c>
      <c r="L59" s="242"/>
      <c r="M59" s="241"/>
      <c r="N59" s="241"/>
      <c r="O59" s="241"/>
      <c r="P59" s="241"/>
      <c r="Q59" s="241"/>
      <c r="R59" s="241"/>
    </row>
    <row r="60" spans="1:18" s="249" customFormat="1" ht="46.5" hidden="1" thickTop="1" thickBot="1" x14ac:dyDescent="0.25">
      <c r="A60" s="168"/>
      <c r="B60" s="220" t="s">
        <v>547</v>
      </c>
      <c r="C60" s="220" t="s">
        <v>305</v>
      </c>
      <c r="D60" s="220" t="s">
        <v>304</v>
      </c>
      <c r="E60" s="220" t="s">
        <v>468</v>
      </c>
      <c r="F60" s="243" t="s">
        <v>1154</v>
      </c>
      <c r="G60" s="223" t="s">
        <v>1118</v>
      </c>
      <c r="H60" s="223">
        <v>7326277</v>
      </c>
      <c r="I60" s="223">
        <v>0</v>
      </c>
      <c r="J60" s="223"/>
      <c r="K60" s="239">
        <f t="shared" si="6"/>
        <v>0</v>
      </c>
      <c r="L60" s="242"/>
      <c r="M60" s="241"/>
      <c r="N60" s="241"/>
      <c r="O60" s="241"/>
      <c r="P60" s="241"/>
      <c r="Q60" s="241"/>
      <c r="R60" s="241"/>
    </row>
    <row r="61" spans="1:18" s="249" customFormat="1" ht="46.5" hidden="1" thickTop="1" thickBot="1" x14ac:dyDescent="0.25">
      <c r="A61" s="168"/>
      <c r="B61" s="220" t="s">
        <v>547</v>
      </c>
      <c r="C61" s="220" t="s">
        <v>305</v>
      </c>
      <c r="D61" s="220" t="s">
        <v>304</v>
      </c>
      <c r="E61" s="220" t="s">
        <v>468</v>
      </c>
      <c r="F61" s="243" t="s">
        <v>1122</v>
      </c>
      <c r="G61" s="223" t="s">
        <v>1118</v>
      </c>
      <c r="H61" s="223">
        <v>8650378</v>
      </c>
      <c r="I61" s="223">
        <v>0</v>
      </c>
      <c r="J61" s="223"/>
      <c r="K61" s="239">
        <f t="shared" si="6"/>
        <v>0</v>
      </c>
      <c r="L61" s="242"/>
      <c r="M61" s="241"/>
      <c r="N61" s="241"/>
      <c r="O61" s="241"/>
      <c r="P61" s="241"/>
      <c r="Q61" s="241"/>
      <c r="R61" s="241"/>
    </row>
    <row r="62" spans="1:18" s="249" customFormat="1" ht="46.5" hidden="1" thickTop="1" thickBot="1" x14ac:dyDescent="0.25">
      <c r="A62" s="168"/>
      <c r="B62" s="220" t="s">
        <v>547</v>
      </c>
      <c r="C62" s="220" t="s">
        <v>305</v>
      </c>
      <c r="D62" s="220" t="s">
        <v>304</v>
      </c>
      <c r="E62" s="220" t="s">
        <v>468</v>
      </c>
      <c r="F62" s="243" t="s">
        <v>1123</v>
      </c>
      <c r="G62" s="223" t="s">
        <v>520</v>
      </c>
      <c r="H62" s="223">
        <v>68621716</v>
      </c>
      <c r="I62" s="223">
        <v>65923472</v>
      </c>
      <c r="J62" s="223"/>
      <c r="K62" s="239">
        <f t="shared" si="6"/>
        <v>0.96067944439046093</v>
      </c>
      <c r="L62" s="242"/>
      <c r="M62" s="241"/>
      <c r="N62" s="241"/>
      <c r="O62" s="241"/>
      <c r="P62" s="241"/>
      <c r="Q62" s="241"/>
      <c r="R62" s="241"/>
    </row>
    <row r="63" spans="1:18" s="249" customFormat="1" ht="46.5" hidden="1" thickTop="1" thickBot="1" x14ac:dyDescent="0.25">
      <c r="A63" s="168"/>
      <c r="B63" s="220" t="s">
        <v>547</v>
      </c>
      <c r="C63" s="220" t="s">
        <v>305</v>
      </c>
      <c r="D63" s="220" t="s">
        <v>304</v>
      </c>
      <c r="E63" s="220" t="s">
        <v>468</v>
      </c>
      <c r="F63" s="243" t="s">
        <v>1142</v>
      </c>
      <c r="G63" s="223" t="s">
        <v>520</v>
      </c>
      <c r="H63" s="223">
        <v>18370999</v>
      </c>
      <c r="I63" s="223">
        <f>(300000+171778.77+2000000+2000000)</f>
        <v>4471778.7699999996</v>
      </c>
      <c r="J63" s="223"/>
      <c r="K63" s="239">
        <f>(I63+J63)/H63</f>
        <v>0.24341511150264608</v>
      </c>
      <c r="L63" s="242"/>
      <c r="M63" s="241"/>
      <c r="N63" s="241"/>
      <c r="O63" s="241"/>
      <c r="P63" s="241"/>
      <c r="Q63" s="241"/>
      <c r="R63" s="241"/>
    </row>
    <row r="64" spans="1:18" s="249" customFormat="1" ht="46.5" thickTop="1" thickBot="1" x14ac:dyDescent="0.25">
      <c r="A64" s="168"/>
      <c r="B64" s="327" t="s">
        <v>547</v>
      </c>
      <c r="C64" s="327" t="s">
        <v>305</v>
      </c>
      <c r="D64" s="327" t="s">
        <v>304</v>
      </c>
      <c r="E64" s="327" t="s">
        <v>468</v>
      </c>
      <c r="F64" s="668" t="s">
        <v>1572</v>
      </c>
      <c r="G64" s="335" t="s">
        <v>1435</v>
      </c>
      <c r="H64" s="628">
        <v>3786090</v>
      </c>
      <c r="I64" s="335">
        <f>1240165.95+J64</f>
        <v>3591921.95</v>
      </c>
      <c r="J64" s="335">
        <f>(1200000)+1151756</f>
        <v>2351756</v>
      </c>
      <c r="K64" s="621">
        <f>I64/H64</f>
        <v>0.94871541616813126</v>
      </c>
      <c r="L64" s="242"/>
      <c r="M64" s="241"/>
      <c r="N64" s="241"/>
      <c r="O64" s="241"/>
      <c r="P64" s="241"/>
      <c r="Q64" s="241"/>
      <c r="R64" s="241"/>
    </row>
    <row r="65" spans="1:18" s="249" customFormat="1" ht="46.5" thickTop="1" thickBot="1" x14ac:dyDescent="0.25">
      <c r="A65" s="168"/>
      <c r="B65" s="327" t="s">
        <v>548</v>
      </c>
      <c r="C65" s="327" t="s">
        <v>293</v>
      </c>
      <c r="D65" s="327" t="s">
        <v>295</v>
      </c>
      <c r="E65" s="327" t="s">
        <v>294</v>
      </c>
      <c r="F65" s="331" t="s">
        <v>1467</v>
      </c>
      <c r="G65" s="335" t="s">
        <v>1640</v>
      </c>
      <c r="H65" s="628">
        <v>96666042</v>
      </c>
      <c r="I65" s="335">
        <f>29190319.74+J65</f>
        <v>41190319.739999995</v>
      </c>
      <c r="J65" s="335">
        <f>(2000000)+10000000</f>
        <v>12000000</v>
      </c>
      <c r="K65" s="621">
        <f>I65/H65</f>
        <v>0.42610950948007154</v>
      </c>
      <c r="L65" s="242"/>
      <c r="M65" s="241"/>
      <c r="N65" s="241"/>
      <c r="O65" s="241"/>
      <c r="P65" s="241"/>
      <c r="Q65" s="241"/>
      <c r="R65" s="241"/>
    </row>
    <row r="66" spans="1:18" s="249" customFormat="1" ht="61.5" thickTop="1" thickBot="1" x14ac:dyDescent="0.25">
      <c r="A66" s="168"/>
      <c r="B66" s="327" t="s">
        <v>549</v>
      </c>
      <c r="C66" s="327" t="s">
        <v>212</v>
      </c>
      <c r="D66" s="327" t="s">
        <v>213</v>
      </c>
      <c r="E66" s="327" t="s">
        <v>41</v>
      </c>
      <c r="F66" s="629" t="s">
        <v>1119</v>
      </c>
      <c r="G66" s="334" t="s">
        <v>1478</v>
      </c>
      <c r="H66" s="630">
        <v>41231871</v>
      </c>
      <c r="I66" s="335">
        <f>19590037.78+J66</f>
        <v>34870208.130000003</v>
      </c>
      <c r="J66" s="335">
        <f>(((9760000)+4303884+1500000)+344886.99)-628600.64</f>
        <v>15280170.35</v>
      </c>
      <c r="K66" s="338">
        <v>1</v>
      </c>
      <c r="L66" s="242"/>
      <c r="M66" s="241"/>
      <c r="N66" s="241"/>
      <c r="O66" s="241"/>
      <c r="P66" s="241"/>
      <c r="Q66" s="241"/>
      <c r="R66" s="241"/>
    </row>
    <row r="67" spans="1:18" s="249" customFormat="1" ht="31.5" hidden="1" thickTop="1" thickBot="1" x14ac:dyDescent="0.25">
      <c r="A67" s="168"/>
      <c r="B67" s="418" t="s">
        <v>550</v>
      </c>
      <c r="C67" s="418" t="s">
        <v>197</v>
      </c>
      <c r="D67" s="418" t="s">
        <v>170</v>
      </c>
      <c r="E67" s="418" t="s">
        <v>34</v>
      </c>
      <c r="F67" s="438" t="s">
        <v>1308</v>
      </c>
      <c r="G67" s="222"/>
      <c r="H67" s="437"/>
      <c r="I67" s="223"/>
      <c r="J67" s="223"/>
      <c r="K67" s="225"/>
      <c r="L67" s="242"/>
      <c r="M67" s="241"/>
      <c r="N67" s="241"/>
      <c r="O67" s="241"/>
      <c r="P67" s="241"/>
      <c r="Q67" s="241"/>
      <c r="R67" s="241"/>
    </row>
    <row r="68" spans="1:18" s="249" customFormat="1" ht="76.5" hidden="1" thickTop="1" thickBot="1" x14ac:dyDescent="0.25">
      <c r="A68" s="168"/>
      <c r="B68" s="220" t="s">
        <v>550</v>
      </c>
      <c r="C68" s="220" t="s">
        <v>197</v>
      </c>
      <c r="D68" s="220" t="s">
        <v>170</v>
      </c>
      <c r="E68" s="220" t="s">
        <v>34</v>
      </c>
      <c r="F68" s="244" t="s">
        <v>1120</v>
      </c>
      <c r="G68" s="222" t="s">
        <v>1114</v>
      </c>
      <c r="H68" s="223">
        <v>4730960</v>
      </c>
      <c r="I68" s="223">
        <f>5000</f>
        <v>5000</v>
      </c>
      <c r="J68" s="223"/>
      <c r="K68" s="239">
        <f t="shared" si="6"/>
        <v>1.0568679506907689E-3</v>
      </c>
      <c r="L68" s="242"/>
      <c r="M68" s="241"/>
      <c r="N68" s="241"/>
      <c r="O68" s="241"/>
      <c r="P68" s="241"/>
      <c r="Q68" s="241"/>
      <c r="R68" s="241"/>
    </row>
    <row r="69" spans="1:18" s="249" customFormat="1" ht="31.5" hidden="1" thickTop="1" thickBot="1" x14ac:dyDescent="0.25">
      <c r="A69" s="168"/>
      <c r="B69" s="220" t="s">
        <v>550</v>
      </c>
      <c r="C69" s="220" t="s">
        <v>197</v>
      </c>
      <c r="D69" s="220" t="s">
        <v>170</v>
      </c>
      <c r="E69" s="220" t="s">
        <v>34</v>
      </c>
      <c r="F69" s="229" t="s">
        <v>1309</v>
      </c>
      <c r="G69" s="222" t="s">
        <v>1235</v>
      </c>
      <c r="H69" s="223">
        <v>3936902</v>
      </c>
      <c r="I69" s="223">
        <f>J69</f>
        <v>100000</v>
      </c>
      <c r="J69" s="223">
        <v>100000</v>
      </c>
      <c r="K69" s="225">
        <f>I69/H69</f>
        <v>2.5400683075169257E-2</v>
      </c>
      <c r="L69" s="242"/>
      <c r="M69" s="241"/>
      <c r="N69" s="241"/>
      <c r="O69" s="241"/>
      <c r="P69" s="241"/>
      <c r="Q69" s="241"/>
      <c r="R69" s="241"/>
    </row>
    <row r="70" spans="1:18" s="249" customFormat="1" ht="31.5" hidden="1" thickTop="1" thickBot="1" x14ac:dyDescent="0.25">
      <c r="A70" s="168"/>
      <c r="B70" s="418" t="s">
        <v>550</v>
      </c>
      <c r="C70" s="418" t="s">
        <v>197</v>
      </c>
      <c r="D70" s="418" t="s">
        <v>170</v>
      </c>
      <c r="E70" s="418" t="s">
        <v>34</v>
      </c>
      <c r="F70" s="438" t="s">
        <v>1308</v>
      </c>
      <c r="G70" s="222"/>
      <c r="H70" s="223"/>
      <c r="I70" s="223"/>
      <c r="J70" s="223"/>
      <c r="K70" s="239"/>
      <c r="L70" s="242"/>
      <c r="M70" s="241"/>
      <c r="N70" s="241"/>
      <c r="O70" s="241"/>
      <c r="P70" s="241"/>
      <c r="Q70" s="241"/>
      <c r="R70" s="241"/>
    </row>
    <row r="71" spans="1:18" s="249" customFormat="1" ht="46.5" hidden="1" thickTop="1" thickBot="1" x14ac:dyDescent="0.25">
      <c r="A71" s="168"/>
      <c r="B71" s="220" t="s">
        <v>550</v>
      </c>
      <c r="C71" s="220" t="s">
        <v>197</v>
      </c>
      <c r="D71" s="220" t="s">
        <v>170</v>
      </c>
      <c r="E71" s="220" t="s">
        <v>34</v>
      </c>
      <c r="F71" s="229" t="s">
        <v>1387</v>
      </c>
      <c r="G71" s="222" t="s">
        <v>1250</v>
      </c>
      <c r="H71" s="223">
        <v>7619432.4500000002</v>
      </c>
      <c r="I71" s="223">
        <f>2006390.45+J71</f>
        <v>6506390.4500000002</v>
      </c>
      <c r="J71" s="223">
        <f>(((100000)+1500000)+2000000)+900000</f>
        <v>4500000</v>
      </c>
      <c r="K71" s="225">
        <f>I71/H71</f>
        <v>0.85392061583274492</v>
      </c>
      <c r="L71" s="242"/>
      <c r="M71" s="241"/>
      <c r="N71" s="241"/>
      <c r="O71" s="241"/>
      <c r="P71" s="241"/>
      <c r="Q71" s="241"/>
      <c r="R71" s="241"/>
    </row>
    <row r="72" spans="1:18" s="249" customFormat="1" ht="31.5" hidden="1" thickTop="1" thickBot="1" x14ac:dyDescent="0.25">
      <c r="A72" s="168"/>
      <c r="B72" s="418" t="s">
        <v>550</v>
      </c>
      <c r="C72" s="418" t="s">
        <v>197</v>
      </c>
      <c r="D72" s="418" t="s">
        <v>170</v>
      </c>
      <c r="E72" s="418" t="s">
        <v>34</v>
      </c>
      <c r="F72" s="438" t="s">
        <v>1307</v>
      </c>
      <c r="G72" s="222"/>
      <c r="H72" s="223"/>
      <c r="I72" s="223"/>
      <c r="J72" s="223"/>
      <c r="K72" s="239"/>
      <c r="L72" s="242"/>
      <c r="M72" s="241"/>
      <c r="N72" s="241"/>
      <c r="O72" s="241"/>
      <c r="P72" s="241"/>
      <c r="Q72" s="241"/>
      <c r="R72" s="241"/>
    </row>
    <row r="73" spans="1:18" s="249" customFormat="1" ht="61.5" hidden="1" thickTop="1" thickBot="1" x14ac:dyDescent="0.25">
      <c r="A73" s="168"/>
      <c r="B73" s="220" t="s">
        <v>550</v>
      </c>
      <c r="C73" s="220" t="s">
        <v>197</v>
      </c>
      <c r="D73" s="220" t="s">
        <v>170</v>
      </c>
      <c r="E73" s="220" t="s">
        <v>34</v>
      </c>
      <c r="F73" s="229" t="s">
        <v>1306</v>
      </c>
      <c r="G73" s="223" t="s">
        <v>1246</v>
      </c>
      <c r="H73" s="223">
        <v>1814685</v>
      </c>
      <c r="I73" s="223">
        <f>0+J73</f>
        <v>1814685</v>
      </c>
      <c r="J73" s="223">
        <v>1814685</v>
      </c>
      <c r="K73" s="225">
        <f>I73/H73</f>
        <v>1</v>
      </c>
      <c r="L73" s="242"/>
      <c r="M73" s="241"/>
      <c r="N73" s="241"/>
      <c r="O73" s="241"/>
      <c r="P73" s="241"/>
      <c r="Q73" s="241"/>
      <c r="R73" s="241"/>
    </row>
    <row r="74" spans="1:18" s="249" customFormat="1" ht="46.5" thickTop="1" thickBot="1" x14ac:dyDescent="0.25">
      <c r="A74" s="168"/>
      <c r="B74" s="505" t="s">
        <v>550</v>
      </c>
      <c r="C74" s="505" t="s">
        <v>197</v>
      </c>
      <c r="D74" s="505" t="s">
        <v>170</v>
      </c>
      <c r="E74" s="505" t="s">
        <v>34</v>
      </c>
      <c r="F74" s="631" t="s">
        <v>1574</v>
      </c>
      <c r="G74" s="632"/>
      <c r="H74" s="632"/>
      <c r="I74" s="632"/>
      <c r="J74" s="632"/>
      <c r="K74" s="633"/>
      <c r="L74" s="242"/>
      <c r="M74" s="241"/>
      <c r="N74" s="241"/>
      <c r="O74" s="241"/>
      <c r="P74" s="241"/>
      <c r="Q74" s="241"/>
      <c r="R74" s="241"/>
    </row>
    <row r="75" spans="1:18" s="249" customFormat="1" ht="46.5" hidden="1" thickTop="1" thickBot="1" x14ac:dyDescent="0.25">
      <c r="A75" s="168"/>
      <c r="B75" s="220" t="s">
        <v>550</v>
      </c>
      <c r="C75" s="220" t="s">
        <v>197</v>
      </c>
      <c r="D75" s="220" t="s">
        <v>170</v>
      </c>
      <c r="E75" s="220" t="s">
        <v>34</v>
      </c>
      <c r="F75" s="229" t="s">
        <v>1293</v>
      </c>
      <c r="G75" s="223" t="s">
        <v>1245</v>
      </c>
      <c r="H75" s="223">
        <v>5372119</v>
      </c>
      <c r="I75" s="223">
        <f>98758+J75</f>
        <v>3645877</v>
      </c>
      <c r="J75" s="223">
        <f>(((800000)+4473361)-1008242)-718000</f>
        <v>3547119</v>
      </c>
      <c r="K75" s="225">
        <v>1</v>
      </c>
      <c r="L75" s="242"/>
      <c r="M75" s="241"/>
      <c r="N75" s="241"/>
      <c r="O75" s="241"/>
      <c r="P75" s="241"/>
      <c r="Q75" s="241"/>
      <c r="R75" s="241"/>
    </row>
    <row r="76" spans="1:18" s="249" customFormat="1" ht="46.5" thickTop="1" thickBot="1" x14ac:dyDescent="0.25">
      <c r="A76" s="336"/>
      <c r="B76" s="327" t="s">
        <v>550</v>
      </c>
      <c r="C76" s="327" t="s">
        <v>197</v>
      </c>
      <c r="D76" s="327" t="s">
        <v>170</v>
      </c>
      <c r="E76" s="327" t="s">
        <v>34</v>
      </c>
      <c r="F76" s="624" t="s">
        <v>1553</v>
      </c>
      <c r="G76" s="335" t="s">
        <v>1435</v>
      </c>
      <c r="H76" s="335">
        <v>7772411</v>
      </c>
      <c r="I76" s="335">
        <f>4658497.53+J76</f>
        <v>5218554.53</v>
      </c>
      <c r="J76" s="335">
        <f>(650000)-89943</f>
        <v>560057</v>
      </c>
      <c r="K76" s="338">
        <v>1</v>
      </c>
      <c r="L76" s="242"/>
      <c r="M76" s="241"/>
      <c r="N76" s="241"/>
      <c r="O76" s="241"/>
      <c r="P76" s="241"/>
      <c r="Q76" s="241"/>
      <c r="R76" s="241"/>
    </row>
    <row r="77" spans="1:18" s="249" customFormat="1" ht="46.5" hidden="1" thickTop="1" thickBot="1" x14ac:dyDescent="0.25">
      <c r="A77" s="168"/>
      <c r="B77" s="220" t="s">
        <v>550</v>
      </c>
      <c r="C77" s="220" t="s">
        <v>197</v>
      </c>
      <c r="D77" s="220" t="s">
        <v>170</v>
      </c>
      <c r="E77" s="220" t="s">
        <v>34</v>
      </c>
      <c r="F77" s="229" t="s">
        <v>1294</v>
      </c>
      <c r="G77" s="223" t="s">
        <v>1246</v>
      </c>
      <c r="H77" s="223">
        <f>9279628-9279628</f>
        <v>0</v>
      </c>
      <c r="I77" s="223">
        <f t="shared" ref="I77:I82" si="7">0+J77</f>
        <v>0</v>
      </c>
      <c r="J77" s="223">
        <f>(((800000)+8479628)-752674)-8526954</f>
        <v>0</v>
      </c>
      <c r="K77" s="225">
        <v>1</v>
      </c>
      <c r="L77" s="242"/>
      <c r="M77" s="241"/>
      <c r="N77" s="241"/>
      <c r="O77" s="241"/>
      <c r="P77" s="241"/>
      <c r="Q77" s="241"/>
      <c r="R77" s="241"/>
    </row>
    <row r="78" spans="1:18" s="249" customFormat="1" ht="46.5" hidden="1" thickTop="1" thickBot="1" x14ac:dyDescent="0.25">
      <c r="A78" s="168"/>
      <c r="B78" s="220" t="s">
        <v>550</v>
      </c>
      <c r="C78" s="220" t="s">
        <v>197</v>
      </c>
      <c r="D78" s="220" t="s">
        <v>170</v>
      </c>
      <c r="E78" s="220" t="s">
        <v>34</v>
      </c>
      <c r="F78" s="229" t="s">
        <v>1295</v>
      </c>
      <c r="G78" s="223" t="s">
        <v>1246</v>
      </c>
      <c r="H78" s="223">
        <v>1414397</v>
      </c>
      <c r="I78" s="223">
        <f t="shared" si="7"/>
        <v>1392754</v>
      </c>
      <c r="J78" s="223">
        <f>((216700)+1197697)-21643</f>
        <v>1392754</v>
      </c>
      <c r="K78" s="225">
        <v>1</v>
      </c>
      <c r="L78" s="242"/>
      <c r="M78" s="241"/>
      <c r="N78" s="241"/>
      <c r="O78" s="241"/>
      <c r="P78" s="241"/>
      <c r="Q78" s="241"/>
      <c r="R78" s="241"/>
    </row>
    <row r="79" spans="1:18" s="249" customFormat="1" ht="31.5" hidden="1" thickTop="1" thickBot="1" x14ac:dyDescent="0.25">
      <c r="A79" s="168"/>
      <c r="B79" s="220" t="s">
        <v>550</v>
      </c>
      <c r="C79" s="220" t="s">
        <v>197</v>
      </c>
      <c r="D79" s="220" t="s">
        <v>170</v>
      </c>
      <c r="E79" s="220" t="s">
        <v>34</v>
      </c>
      <c r="F79" s="229" t="s">
        <v>1299</v>
      </c>
      <c r="G79" s="223" t="s">
        <v>1246</v>
      </c>
      <c r="H79" s="223">
        <v>1102662</v>
      </c>
      <c r="I79" s="223">
        <f t="shared" si="7"/>
        <v>1083784</v>
      </c>
      <c r="J79" s="223">
        <f>((500000)+602662)-18878</f>
        <v>1083784</v>
      </c>
      <c r="K79" s="225">
        <v>1</v>
      </c>
      <c r="L79" s="242"/>
      <c r="M79" s="241"/>
      <c r="N79" s="241"/>
      <c r="O79" s="241"/>
      <c r="P79" s="241"/>
      <c r="Q79" s="241"/>
      <c r="R79" s="241"/>
    </row>
    <row r="80" spans="1:18" s="249" customFormat="1" ht="46.5" hidden="1" thickTop="1" thickBot="1" x14ac:dyDescent="0.25">
      <c r="A80" s="168"/>
      <c r="B80" s="220" t="s">
        <v>550</v>
      </c>
      <c r="C80" s="220" t="s">
        <v>197</v>
      </c>
      <c r="D80" s="220" t="s">
        <v>170</v>
      </c>
      <c r="E80" s="220" t="s">
        <v>34</v>
      </c>
      <c r="F80" s="229" t="s">
        <v>1296</v>
      </c>
      <c r="G80" s="223" t="s">
        <v>1246</v>
      </c>
      <c r="H80" s="223">
        <v>2295880</v>
      </c>
      <c r="I80" s="223">
        <f t="shared" si="7"/>
        <v>2272102</v>
      </c>
      <c r="J80" s="223">
        <f>((800000)+1495880)-23778</f>
        <v>2272102</v>
      </c>
      <c r="K80" s="225">
        <v>1</v>
      </c>
      <c r="L80" s="242"/>
      <c r="M80" s="241"/>
      <c r="N80" s="241"/>
      <c r="O80" s="241"/>
      <c r="P80" s="241"/>
      <c r="Q80" s="241"/>
      <c r="R80" s="241"/>
    </row>
    <row r="81" spans="1:18" s="249" customFormat="1" ht="46.5" hidden="1" thickTop="1" thickBot="1" x14ac:dyDescent="0.25">
      <c r="A81" s="168"/>
      <c r="B81" s="220" t="s">
        <v>550</v>
      </c>
      <c r="C81" s="220" t="s">
        <v>197</v>
      </c>
      <c r="D81" s="220" t="s">
        <v>170</v>
      </c>
      <c r="E81" s="220" t="s">
        <v>34</v>
      </c>
      <c r="F81" s="229" t="s">
        <v>1297</v>
      </c>
      <c r="G81" s="223" t="s">
        <v>1246</v>
      </c>
      <c r="H81" s="223">
        <v>130655</v>
      </c>
      <c r="I81" s="223">
        <f t="shared" si="7"/>
        <v>130655</v>
      </c>
      <c r="J81" s="223">
        <f>(119860)+10795</f>
        <v>130655</v>
      </c>
      <c r="K81" s="225">
        <f t="shared" ref="K81:K82" si="8">I81/H81</f>
        <v>1</v>
      </c>
      <c r="L81" s="242"/>
      <c r="M81" s="241"/>
      <c r="N81" s="241"/>
      <c r="O81" s="241"/>
      <c r="P81" s="241"/>
      <c r="Q81" s="241"/>
      <c r="R81" s="241"/>
    </row>
    <row r="82" spans="1:18" s="249" customFormat="1" ht="46.5" hidden="1" thickTop="1" thickBot="1" x14ac:dyDescent="0.25">
      <c r="A82" s="168"/>
      <c r="B82" s="220" t="s">
        <v>550</v>
      </c>
      <c r="C82" s="220" t="s">
        <v>197</v>
      </c>
      <c r="D82" s="220" t="s">
        <v>170</v>
      </c>
      <c r="E82" s="220" t="s">
        <v>34</v>
      </c>
      <c r="F82" s="229" t="s">
        <v>1298</v>
      </c>
      <c r="G82" s="223" t="s">
        <v>1246</v>
      </c>
      <c r="H82" s="223">
        <v>294266</v>
      </c>
      <c r="I82" s="223">
        <f t="shared" si="7"/>
        <v>294266</v>
      </c>
      <c r="J82" s="223">
        <f>(213380)+80886</f>
        <v>294266</v>
      </c>
      <c r="K82" s="225">
        <f t="shared" si="8"/>
        <v>1</v>
      </c>
      <c r="L82" s="242"/>
      <c r="M82" s="241"/>
      <c r="N82" s="241"/>
      <c r="O82" s="241"/>
      <c r="P82" s="241"/>
      <c r="Q82" s="241"/>
      <c r="R82" s="241"/>
    </row>
    <row r="83" spans="1:18" s="249" customFormat="1" ht="61.5" thickTop="1" thickBot="1" x14ac:dyDescent="0.25">
      <c r="A83" s="168"/>
      <c r="B83" s="327" t="s">
        <v>550</v>
      </c>
      <c r="C83" s="327" t="s">
        <v>197</v>
      </c>
      <c r="D83" s="327" t="s">
        <v>170</v>
      </c>
      <c r="E83" s="327" t="s">
        <v>34</v>
      </c>
      <c r="F83" s="624" t="s">
        <v>1554</v>
      </c>
      <c r="G83" s="335" t="s">
        <v>1435</v>
      </c>
      <c r="H83" s="335">
        <v>17008063</v>
      </c>
      <c r="I83" s="335">
        <f>12294844.89+J83</f>
        <v>12818628.890000001</v>
      </c>
      <c r="J83" s="335">
        <v>523784</v>
      </c>
      <c r="K83" s="338">
        <v>1</v>
      </c>
      <c r="L83" s="242"/>
      <c r="M83" s="241"/>
      <c r="N83" s="241"/>
      <c r="O83" s="241"/>
      <c r="P83" s="241"/>
      <c r="Q83" s="241"/>
      <c r="R83" s="241"/>
    </row>
    <row r="84" spans="1:18" s="249" customFormat="1" ht="46.5" thickTop="1" thickBot="1" x14ac:dyDescent="0.25">
      <c r="A84" s="168"/>
      <c r="B84" s="327" t="s">
        <v>550</v>
      </c>
      <c r="C84" s="327" t="s">
        <v>197</v>
      </c>
      <c r="D84" s="327" t="s">
        <v>170</v>
      </c>
      <c r="E84" s="327" t="s">
        <v>34</v>
      </c>
      <c r="F84" s="624" t="s">
        <v>1555</v>
      </c>
      <c r="G84" s="335" t="s">
        <v>1435</v>
      </c>
      <c r="H84" s="335">
        <v>5736181</v>
      </c>
      <c r="I84" s="335">
        <f>4740400.33+J84</f>
        <v>5067178.33</v>
      </c>
      <c r="J84" s="335">
        <v>326778</v>
      </c>
      <c r="K84" s="338">
        <v>1</v>
      </c>
      <c r="L84" s="242"/>
      <c r="M84" s="241"/>
      <c r="N84" s="241"/>
      <c r="O84" s="241"/>
      <c r="P84" s="241"/>
      <c r="Q84" s="241"/>
      <c r="R84" s="241"/>
    </row>
    <row r="85" spans="1:18" s="249" customFormat="1" ht="76.5" thickTop="1" thickBot="1" x14ac:dyDescent="0.25">
      <c r="A85" s="168"/>
      <c r="B85" s="327" t="s">
        <v>550</v>
      </c>
      <c r="C85" s="327" t="s">
        <v>197</v>
      </c>
      <c r="D85" s="327" t="s">
        <v>170</v>
      </c>
      <c r="E85" s="327" t="s">
        <v>34</v>
      </c>
      <c r="F85" s="624" t="s">
        <v>1558</v>
      </c>
      <c r="G85" s="335" t="s">
        <v>1435</v>
      </c>
      <c r="H85" s="335">
        <v>2852505</v>
      </c>
      <c r="I85" s="335">
        <f>1038210.19+J85</f>
        <v>2406282.19</v>
      </c>
      <c r="J85" s="335">
        <f>(1736486)-368414</f>
        <v>1368072</v>
      </c>
      <c r="K85" s="338">
        <v>1</v>
      </c>
      <c r="L85" s="242"/>
      <c r="M85" s="241"/>
      <c r="N85" s="241"/>
      <c r="O85" s="241"/>
      <c r="P85" s="241"/>
      <c r="Q85" s="241"/>
      <c r="R85" s="241"/>
    </row>
    <row r="86" spans="1:18" s="249" customFormat="1" ht="45.75" customHeight="1" thickTop="1" thickBot="1" x14ac:dyDescent="0.25">
      <c r="A86" s="168"/>
      <c r="B86" s="327" t="s">
        <v>550</v>
      </c>
      <c r="C86" s="327" t="s">
        <v>197</v>
      </c>
      <c r="D86" s="327" t="s">
        <v>170</v>
      </c>
      <c r="E86" s="327" t="s">
        <v>34</v>
      </c>
      <c r="F86" s="624" t="s">
        <v>1300</v>
      </c>
      <c r="G86" s="335" t="s">
        <v>1435</v>
      </c>
      <c r="H86" s="335">
        <v>3610921</v>
      </c>
      <c r="I86" s="335">
        <f>2914367.36+J86</f>
        <v>3178721.36</v>
      </c>
      <c r="J86" s="335">
        <v>264354</v>
      </c>
      <c r="K86" s="338">
        <v>1</v>
      </c>
      <c r="L86" s="242"/>
      <c r="M86" s="241"/>
      <c r="N86" s="241"/>
      <c r="O86" s="241"/>
      <c r="P86" s="241"/>
      <c r="Q86" s="241"/>
      <c r="R86" s="241"/>
    </row>
    <row r="87" spans="1:18" s="249" customFormat="1" ht="46.5" hidden="1" thickTop="1" thickBot="1" x14ac:dyDescent="0.25">
      <c r="A87" s="168"/>
      <c r="B87" s="220" t="s">
        <v>550</v>
      </c>
      <c r="C87" s="220" t="s">
        <v>197</v>
      </c>
      <c r="D87" s="220" t="s">
        <v>170</v>
      </c>
      <c r="E87" s="220" t="s">
        <v>34</v>
      </c>
      <c r="F87" s="229" t="s">
        <v>1301</v>
      </c>
      <c r="G87" s="223" t="s">
        <v>1235</v>
      </c>
      <c r="H87" s="223">
        <v>2163176</v>
      </c>
      <c r="I87" s="223">
        <f>333866.12+J87</f>
        <v>1685143</v>
      </c>
      <c r="J87" s="223">
        <f>(778960+362316.88)+210000</f>
        <v>1351276.88</v>
      </c>
      <c r="K87" s="225">
        <f>I87/H87</f>
        <v>0.77901335813636985</v>
      </c>
      <c r="L87" s="242" t="s">
        <v>1464</v>
      </c>
      <c r="M87" s="241"/>
      <c r="N87" s="241"/>
      <c r="O87" s="241"/>
      <c r="P87" s="241"/>
      <c r="Q87" s="241"/>
      <c r="R87" s="241"/>
    </row>
    <row r="88" spans="1:18" s="249" customFormat="1" ht="61.5" hidden="1" thickTop="1" thickBot="1" x14ac:dyDescent="0.25">
      <c r="A88" s="168"/>
      <c r="B88" s="220" t="s">
        <v>550</v>
      </c>
      <c r="C88" s="220" t="s">
        <v>197</v>
      </c>
      <c r="D88" s="220" t="s">
        <v>170</v>
      </c>
      <c r="E88" s="220" t="s">
        <v>34</v>
      </c>
      <c r="F88" s="229" t="s">
        <v>1302</v>
      </c>
      <c r="G88" s="223" t="s">
        <v>1235</v>
      </c>
      <c r="H88" s="223">
        <v>990371</v>
      </c>
      <c r="I88" s="223">
        <f>495172+J88</f>
        <v>602150</v>
      </c>
      <c r="J88" s="223">
        <v>106978</v>
      </c>
      <c r="K88" s="225">
        <f>I88/H88</f>
        <v>0.60800447509064781</v>
      </c>
      <c r="L88" s="242" t="s">
        <v>1303</v>
      </c>
      <c r="M88" s="241"/>
      <c r="N88" s="241"/>
      <c r="O88" s="241"/>
      <c r="P88" s="241"/>
      <c r="Q88" s="241"/>
      <c r="R88" s="241"/>
    </row>
    <row r="89" spans="1:18" s="249" customFormat="1" ht="61.5" hidden="1" thickTop="1" thickBot="1" x14ac:dyDescent="0.25">
      <c r="A89" s="168"/>
      <c r="B89" s="220" t="s">
        <v>550</v>
      </c>
      <c r="C89" s="220" t="s">
        <v>197</v>
      </c>
      <c r="D89" s="220" t="s">
        <v>170</v>
      </c>
      <c r="E89" s="220" t="s">
        <v>34</v>
      </c>
      <c r="F89" s="229" t="s">
        <v>1305</v>
      </c>
      <c r="G89" s="223" t="s">
        <v>1235</v>
      </c>
      <c r="H89" s="223">
        <v>3193463</v>
      </c>
      <c r="I89" s="223">
        <f>990793.71+J89</f>
        <v>2706428.58</v>
      </c>
      <c r="J89" s="223">
        <f>500000+1215634.87</f>
        <v>1715634.87</v>
      </c>
      <c r="K89" s="225">
        <f>I89/H89</f>
        <v>0.84749019481359267</v>
      </c>
      <c r="L89" s="242" t="s">
        <v>1303</v>
      </c>
      <c r="M89" s="241"/>
      <c r="N89" s="241"/>
      <c r="O89" s="241"/>
      <c r="P89" s="241"/>
      <c r="Q89" s="241"/>
      <c r="R89" s="241"/>
    </row>
    <row r="90" spans="1:18" s="249" customFormat="1" ht="76.5" hidden="1" thickTop="1" thickBot="1" x14ac:dyDescent="0.25">
      <c r="A90" s="168"/>
      <c r="B90" s="220" t="s">
        <v>550</v>
      </c>
      <c r="C90" s="220" t="s">
        <v>197</v>
      </c>
      <c r="D90" s="220" t="s">
        <v>170</v>
      </c>
      <c r="E90" s="220" t="s">
        <v>34</v>
      </c>
      <c r="F90" s="229" t="s">
        <v>1124</v>
      </c>
      <c r="G90" s="223" t="s">
        <v>1118</v>
      </c>
      <c r="H90" s="223">
        <v>3387286</v>
      </c>
      <c r="I90" s="223">
        <v>0</v>
      </c>
      <c r="J90" s="223">
        <f>(500000)-500000</f>
        <v>0</v>
      </c>
      <c r="K90" s="239">
        <f t="shared" si="6"/>
        <v>0</v>
      </c>
      <c r="L90" s="242"/>
      <c r="M90" s="241"/>
      <c r="N90" s="241"/>
      <c r="O90" s="241"/>
      <c r="P90" s="241"/>
      <c r="Q90" s="241"/>
      <c r="R90" s="241"/>
    </row>
    <row r="91" spans="1:18" s="249" customFormat="1" ht="76.5" hidden="1" thickTop="1" thickBot="1" x14ac:dyDescent="0.25">
      <c r="A91" s="168"/>
      <c r="B91" s="220" t="s">
        <v>550</v>
      </c>
      <c r="C91" s="220" t="s">
        <v>197</v>
      </c>
      <c r="D91" s="220" t="s">
        <v>170</v>
      </c>
      <c r="E91" s="220" t="s">
        <v>34</v>
      </c>
      <c r="F91" s="229" t="s">
        <v>1121</v>
      </c>
      <c r="G91" s="223" t="s">
        <v>1118</v>
      </c>
      <c r="H91" s="223">
        <v>5891152</v>
      </c>
      <c r="I91" s="223">
        <v>0</v>
      </c>
      <c r="J91" s="223">
        <f>(1000000)-1000000</f>
        <v>0</v>
      </c>
      <c r="K91" s="239">
        <f t="shared" si="6"/>
        <v>0</v>
      </c>
      <c r="L91" s="242"/>
      <c r="M91" s="241"/>
      <c r="N91" s="241"/>
      <c r="O91" s="241"/>
      <c r="P91" s="241"/>
      <c r="Q91" s="241"/>
      <c r="R91" s="241"/>
    </row>
    <row r="92" spans="1:18" s="249" customFormat="1" ht="31.5" hidden="1" thickTop="1" thickBot="1" x14ac:dyDescent="0.25">
      <c r="A92" s="168"/>
      <c r="B92" s="220" t="s">
        <v>550</v>
      </c>
      <c r="C92" s="220" t="s">
        <v>197</v>
      </c>
      <c r="D92" s="220" t="s">
        <v>170</v>
      </c>
      <c r="E92" s="220" t="s">
        <v>34</v>
      </c>
      <c r="F92" s="229" t="s">
        <v>1304</v>
      </c>
      <c r="G92" s="223" t="s">
        <v>1245</v>
      </c>
      <c r="H92" s="223">
        <v>1442309</v>
      </c>
      <c r="I92" s="223">
        <f>0+J92</f>
        <v>1165856.81</v>
      </c>
      <c r="J92" s="223">
        <v>1165856.81</v>
      </c>
      <c r="K92" s="225">
        <v>1</v>
      </c>
      <c r="L92" s="242"/>
      <c r="M92" s="241"/>
      <c r="N92" s="241"/>
      <c r="O92" s="241"/>
      <c r="P92" s="241"/>
      <c r="Q92" s="241"/>
      <c r="R92" s="241"/>
    </row>
    <row r="93" spans="1:18" s="249" customFormat="1" ht="46.5" hidden="1" thickTop="1" thickBot="1" x14ac:dyDescent="0.25">
      <c r="A93" s="168"/>
      <c r="B93" s="220" t="s">
        <v>550</v>
      </c>
      <c r="C93" s="220" t="s">
        <v>197</v>
      </c>
      <c r="D93" s="220" t="s">
        <v>170</v>
      </c>
      <c r="E93" s="220" t="s">
        <v>34</v>
      </c>
      <c r="F93" s="229" t="s">
        <v>1317</v>
      </c>
      <c r="G93" s="223" t="s">
        <v>934</v>
      </c>
      <c r="H93" s="223">
        <v>21842639</v>
      </c>
      <c r="I93" s="223">
        <f>3147154.85+J93</f>
        <v>9252879.8499999996</v>
      </c>
      <c r="J93" s="223">
        <f>(5891152)+214573</f>
        <v>6105725</v>
      </c>
      <c r="K93" s="225">
        <f t="shared" ref="K93:K98" si="9">I93/H93</f>
        <v>0.42361547292888918</v>
      </c>
      <c r="L93" s="242"/>
      <c r="M93" s="241"/>
      <c r="N93" s="241"/>
      <c r="O93" s="241"/>
      <c r="P93" s="241"/>
      <c r="Q93" s="241"/>
      <c r="R93" s="241"/>
    </row>
    <row r="94" spans="1:18" s="249" customFormat="1" ht="31.5" hidden="1" thickTop="1" thickBot="1" x14ac:dyDescent="0.25">
      <c r="A94" s="168"/>
      <c r="B94" s="220" t="s">
        <v>550</v>
      </c>
      <c r="C94" s="220" t="s">
        <v>197</v>
      </c>
      <c r="D94" s="220" t="s">
        <v>170</v>
      </c>
      <c r="E94" s="220" t="s">
        <v>34</v>
      </c>
      <c r="F94" s="229" t="s">
        <v>1420</v>
      </c>
      <c r="G94" s="223" t="s">
        <v>1246</v>
      </c>
      <c r="H94" s="223">
        <v>428388</v>
      </c>
      <c r="I94" s="223">
        <v>428388</v>
      </c>
      <c r="J94" s="223">
        <f>(428388)-12412</f>
        <v>415976</v>
      </c>
      <c r="K94" s="225">
        <f t="shared" si="9"/>
        <v>1</v>
      </c>
      <c r="L94" s="242"/>
      <c r="M94" s="241"/>
      <c r="N94" s="241"/>
      <c r="O94" s="241"/>
      <c r="P94" s="241"/>
      <c r="Q94" s="241"/>
      <c r="R94" s="241"/>
    </row>
    <row r="95" spans="1:18" s="249" customFormat="1" ht="46.5" hidden="1" thickTop="1" thickBot="1" x14ac:dyDescent="0.25">
      <c r="A95" s="168"/>
      <c r="B95" s="220" t="s">
        <v>550</v>
      </c>
      <c r="C95" s="220" t="s">
        <v>197</v>
      </c>
      <c r="D95" s="220" t="s">
        <v>170</v>
      </c>
      <c r="E95" s="220" t="s">
        <v>34</v>
      </c>
      <c r="F95" s="229" t="s">
        <v>1472</v>
      </c>
      <c r="G95" s="223" t="s">
        <v>1246</v>
      </c>
      <c r="H95" s="223">
        <v>3122498</v>
      </c>
      <c r="I95" s="223">
        <v>3122498</v>
      </c>
      <c r="J95" s="223">
        <f>(3122498)-325803</f>
        <v>2796695</v>
      </c>
      <c r="K95" s="225">
        <f t="shared" si="9"/>
        <v>1</v>
      </c>
      <c r="L95" s="242"/>
      <c r="M95" s="241"/>
      <c r="N95" s="241"/>
      <c r="O95" s="241"/>
      <c r="P95" s="241"/>
      <c r="Q95" s="241"/>
      <c r="R95" s="241"/>
    </row>
    <row r="96" spans="1:18" s="249" customFormat="1" ht="31.5" hidden="1" thickTop="1" thickBot="1" x14ac:dyDescent="0.25">
      <c r="A96" s="168"/>
      <c r="B96" s="220" t="s">
        <v>550</v>
      </c>
      <c r="C96" s="220" t="s">
        <v>197</v>
      </c>
      <c r="D96" s="220" t="s">
        <v>170</v>
      </c>
      <c r="E96" s="220" t="s">
        <v>34</v>
      </c>
      <c r="F96" s="229" t="s">
        <v>1397</v>
      </c>
      <c r="G96" s="223" t="s">
        <v>1246</v>
      </c>
      <c r="H96" s="223">
        <v>738847</v>
      </c>
      <c r="I96" s="223">
        <v>738847</v>
      </c>
      <c r="J96" s="223">
        <f>(738847)-43844</f>
        <v>695003</v>
      </c>
      <c r="K96" s="225">
        <f t="shared" si="9"/>
        <v>1</v>
      </c>
      <c r="L96" s="242"/>
      <c r="M96" s="241"/>
      <c r="N96" s="241"/>
      <c r="O96" s="241"/>
      <c r="P96" s="241"/>
      <c r="Q96" s="241"/>
      <c r="R96" s="241"/>
    </row>
    <row r="97" spans="1:18" s="249" customFormat="1" ht="31.5" thickTop="1" thickBot="1" x14ac:dyDescent="0.25">
      <c r="A97" s="168"/>
      <c r="B97" s="327" t="s">
        <v>550</v>
      </c>
      <c r="C97" s="327" t="s">
        <v>197</v>
      </c>
      <c r="D97" s="327" t="s">
        <v>170</v>
      </c>
      <c r="E97" s="327" t="s">
        <v>34</v>
      </c>
      <c r="F97" s="624" t="s">
        <v>1398</v>
      </c>
      <c r="G97" s="334" t="s">
        <v>1435</v>
      </c>
      <c r="H97" s="335">
        <v>963194</v>
      </c>
      <c r="I97" s="335">
        <f>0+J97</f>
        <v>663000</v>
      </c>
      <c r="J97" s="335">
        <v>663000</v>
      </c>
      <c r="K97" s="338">
        <f t="shared" si="9"/>
        <v>0.68833485258421456</v>
      </c>
      <c r="L97" s="242"/>
      <c r="M97" s="241"/>
      <c r="N97" s="241"/>
      <c r="O97" s="241"/>
      <c r="P97" s="241"/>
      <c r="Q97" s="241"/>
      <c r="R97" s="241"/>
    </row>
    <row r="98" spans="1:18" s="249" customFormat="1" ht="46.5" hidden="1" thickTop="1" thickBot="1" x14ac:dyDescent="0.25">
      <c r="A98" s="168"/>
      <c r="B98" s="220" t="s">
        <v>550</v>
      </c>
      <c r="C98" s="220" t="s">
        <v>197</v>
      </c>
      <c r="D98" s="220" t="s">
        <v>170</v>
      </c>
      <c r="E98" s="220" t="s">
        <v>34</v>
      </c>
      <c r="F98" s="229" t="s">
        <v>1399</v>
      </c>
      <c r="G98" s="223" t="s">
        <v>1246</v>
      </c>
      <c r="H98" s="223">
        <v>923291</v>
      </c>
      <c r="I98" s="223">
        <v>923291</v>
      </c>
      <c r="J98" s="223">
        <f>(923291)-17624</f>
        <v>905667</v>
      </c>
      <c r="K98" s="225">
        <f t="shared" si="9"/>
        <v>1</v>
      </c>
      <c r="L98" s="242"/>
      <c r="M98" s="241"/>
      <c r="N98" s="241"/>
      <c r="O98" s="241"/>
      <c r="P98" s="241"/>
      <c r="Q98" s="241"/>
      <c r="R98" s="241"/>
    </row>
    <row r="99" spans="1:18" s="249" customFormat="1" ht="76.5" hidden="1" thickTop="1" thickBot="1" x14ac:dyDescent="0.25">
      <c r="A99" s="168"/>
      <c r="B99" s="220" t="s">
        <v>550</v>
      </c>
      <c r="C99" s="220" t="s">
        <v>197</v>
      </c>
      <c r="D99" s="220" t="s">
        <v>170</v>
      </c>
      <c r="E99" s="220" t="s">
        <v>34</v>
      </c>
      <c r="F99" s="229" t="s">
        <v>900</v>
      </c>
      <c r="G99" s="222" t="s">
        <v>986</v>
      </c>
      <c r="H99" s="223">
        <v>2924077</v>
      </c>
      <c r="I99" s="223">
        <v>100000</v>
      </c>
      <c r="J99" s="223">
        <f>(500000)-500000</f>
        <v>0</v>
      </c>
      <c r="K99" s="239">
        <f t="shared" si="6"/>
        <v>3.4198825817514385E-2</v>
      </c>
      <c r="L99" s="242"/>
      <c r="M99" s="241"/>
      <c r="N99" s="241"/>
      <c r="O99" s="241"/>
      <c r="P99" s="241"/>
      <c r="Q99" s="241"/>
      <c r="R99" s="241"/>
    </row>
    <row r="100" spans="1:18" s="249" customFormat="1" ht="61.5" thickTop="1" thickBot="1" x14ac:dyDescent="0.25">
      <c r="A100" s="168"/>
      <c r="B100" s="505" t="s">
        <v>550</v>
      </c>
      <c r="C100" s="505" t="s">
        <v>197</v>
      </c>
      <c r="D100" s="505" t="s">
        <v>170</v>
      </c>
      <c r="E100" s="505" t="s">
        <v>34</v>
      </c>
      <c r="F100" s="631" t="s">
        <v>1573</v>
      </c>
      <c r="G100" s="632"/>
      <c r="H100" s="632"/>
      <c r="I100" s="632"/>
      <c r="J100" s="632"/>
      <c r="K100" s="633"/>
      <c r="L100" s="242"/>
      <c r="M100" s="241"/>
      <c r="N100" s="241"/>
      <c r="O100" s="241"/>
      <c r="P100" s="241"/>
      <c r="Q100" s="241"/>
      <c r="R100" s="241"/>
    </row>
    <row r="101" spans="1:18" s="249" customFormat="1" ht="61.5" thickTop="1" thickBot="1" x14ac:dyDescent="0.25">
      <c r="A101" s="168"/>
      <c r="B101" s="327" t="s">
        <v>550</v>
      </c>
      <c r="C101" s="327" t="s">
        <v>197</v>
      </c>
      <c r="D101" s="327" t="s">
        <v>170</v>
      </c>
      <c r="E101" s="327" t="s">
        <v>34</v>
      </c>
      <c r="F101" s="668" t="s">
        <v>1575</v>
      </c>
      <c r="G101" s="335" t="s">
        <v>1482</v>
      </c>
      <c r="H101" s="628">
        <v>2297842</v>
      </c>
      <c r="I101" s="335">
        <f>0+J101</f>
        <v>2247104</v>
      </c>
      <c r="J101" s="335">
        <f>((1090264)+400000)+756840</f>
        <v>2247104</v>
      </c>
      <c r="K101" s="621">
        <f>I101/H101</f>
        <v>0.97791928252682303</v>
      </c>
      <c r="L101" s="242"/>
      <c r="M101" s="241"/>
      <c r="N101" s="241"/>
      <c r="O101" s="241"/>
      <c r="P101" s="241"/>
      <c r="Q101" s="241"/>
      <c r="R101" s="241"/>
    </row>
    <row r="102" spans="1:18" ht="54.75" customHeight="1" thickTop="1" thickBot="1" x14ac:dyDescent="0.25">
      <c r="B102" s="696" t="s">
        <v>25</v>
      </c>
      <c r="C102" s="696"/>
      <c r="D102" s="696"/>
      <c r="E102" s="697" t="s">
        <v>886</v>
      </c>
      <c r="F102" s="696"/>
      <c r="G102" s="696"/>
      <c r="H102" s="698">
        <f>H103</f>
        <v>566767064</v>
      </c>
      <c r="I102" s="698">
        <f>I103</f>
        <v>136987259.65000001</v>
      </c>
      <c r="J102" s="698">
        <f>J103</f>
        <v>93524406.329999998</v>
      </c>
      <c r="K102" s="703"/>
      <c r="L102" s="245"/>
      <c r="M102" s="203"/>
      <c r="N102" s="203"/>
      <c r="O102" s="203"/>
      <c r="P102" s="203"/>
      <c r="Q102" s="203"/>
      <c r="R102" s="203"/>
    </row>
    <row r="103" spans="1:18" ht="56.25" customHeight="1" thickTop="1" thickBot="1" x14ac:dyDescent="0.25">
      <c r="B103" s="700" t="s">
        <v>26</v>
      </c>
      <c r="C103" s="700"/>
      <c r="D103" s="700"/>
      <c r="E103" s="701" t="s">
        <v>887</v>
      </c>
      <c r="F103" s="700"/>
      <c r="G103" s="700"/>
      <c r="H103" s="704">
        <f>H109+H110+H111+H121+H122+H119+H113</f>
        <v>566767064</v>
      </c>
      <c r="I103" s="704">
        <f>I109+I110+I111+I121+I122+I119+I113</f>
        <v>136987259.65000001</v>
      </c>
      <c r="J103" s="704">
        <f>J109+J110+J111+J121+J122+J119+J113</f>
        <v>93524406.329999998</v>
      </c>
      <c r="K103" s="705"/>
      <c r="L103" s="245"/>
      <c r="M103" s="203"/>
      <c r="N103" s="203"/>
      <c r="O103" s="203"/>
      <c r="P103" s="203"/>
      <c r="Q103" s="203"/>
      <c r="R103" s="203"/>
    </row>
    <row r="104" spans="1:18" ht="91.5" hidden="1" thickTop="1" thickBot="1" x14ac:dyDescent="0.25">
      <c r="A104" s="336"/>
      <c r="B104" s="439" t="s">
        <v>432</v>
      </c>
      <c r="C104" s="439" t="s">
        <v>433</v>
      </c>
      <c r="D104" s="439" t="s">
        <v>195</v>
      </c>
      <c r="E104" s="439" t="s">
        <v>1160</v>
      </c>
      <c r="F104" s="240" t="s">
        <v>1104</v>
      </c>
      <c r="G104" s="223" t="s">
        <v>1106</v>
      </c>
      <c r="H104" s="223">
        <v>448128773</v>
      </c>
      <c r="I104" s="223">
        <f>287427907.48+3866315.08+J104</f>
        <v>293494222.56</v>
      </c>
      <c r="J104" s="223">
        <f>(3000000)-800000</f>
        <v>2200000</v>
      </c>
      <c r="K104" s="239">
        <f t="shared" ref="K104:K122" si="10">I104/H104</f>
        <v>0.6549327787974909</v>
      </c>
      <c r="L104" s="245"/>
      <c r="M104" s="203"/>
      <c r="N104" s="203"/>
      <c r="O104" s="203"/>
      <c r="P104" s="203"/>
      <c r="Q104" s="203"/>
      <c r="R104" s="203"/>
    </row>
    <row r="105" spans="1:18" ht="46.5" hidden="1" thickTop="1" thickBot="1" x14ac:dyDescent="0.25">
      <c r="A105" s="336"/>
      <c r="B105" s="439" t="s">
        <v>922</v>
      </c>
      <c r="C105" s="439" t="s">
        <v>305</v>
      </c>
      <c r="D105" s="439" t="s">
        <v>304</v>
      </c>
      <c r="E105" s="439" t="s">
        <v>468</v>
      </c>
      <c r="F105" s="440" t="s">
        <v>1105</v>
      </c>
      <c r="G105" s="223" t="s">
        <v>1250</v>
      </c>
      <c r="H105" s="223">
        <v>6293206</v>
      </c>
      <c r="I105" s="223">
        <f>1639036.69+J105</f>
        <v>6139036.6899999995</v>
      </c>
      <c r="J105" s="223">
        <f>(100000+1000000)+3400000</f>
        <v>4500000</v>
      </c>
      <c r="K105" s="239">
        <f t="shared" si="10"/>
        <v>0.97550226228094228</v>
      </c>
      <c r="L105" s="441">
        <f>1639037+J105</f>
        <v>6139037</v>
      </c>
      <c r="M105" s="203"/>
      <c r="N105" s="203"/>
      <c r="O105" s="203"/>
      <c r="P105" s="203"/>
      <c r="Q105" s="203"/>
      <c r="R105" s="203"/>
    </row>
    <row r="106" spans="1:18" ht="61.5" hidden="1" thickTop="1" thickBot="1" x14ac:dyDescent="0.25">
      <c r="A106" s="336"/>
      <c r="B106" s="439" t="s">
        <v>310</v>
      </c>
      <c r="C106" s="439" t="s">
        <v>311</v>
      </c>
      <c r="D106" s="439" t="s">
        <v>304</v>
      </c>
      <c r="E106" s="439" t="s">
        <v>309</v>
      </c>
      <c r="F106" s="440" t="s">
        <v>932</v>
      </c>
      <c r="G106" s="223" t="s">
        <v>1106</v>
      </c>
      <c r="H106" s="223">
        <f>(9300000+10829899)-20129899</f>
        <v>0</v>
      </c>
      <c r="I106" s="223">
        <f>(7572904.16+J106)-7572904.16</f>
        <v>0</v>
      </c>
      <c r="J106" s="223">
        <f>(200000+2000000)-2200000</f>
        <v>0</v>
      </c>
      <c r="K106" s="239" t="e">
        <f t="shared" si="10"/>
        <v>#DIV/0!</v>
      </c>
      <c r="L106" s="441">
        <f>7572904+J106</f>
        <v>7572904</v>
      </c>
      <c r="M106" s="203"/>
      <c r="N106" s="203"/>
      <c r="O106" s="203"/>
      <c r="P106" s="203"/>
      <c r="Q106" s="203"/>
      <c r="R106" s="203"/>
    </row>
    <row r="107" spans="1:18" ht="46.5" hidden="1" thickTop="1" thickBot="1" x14ac:dyDescent="0.25">
      <c r="A107" s="336"/>
      <c r="B107" s="439" t="s">
        <v>310</v>
      </c>
      <c r="C107" s="439" t="s">
        <v>311</v>
      </c>
      <c r="D107" s="439" t="s">
        <v>304</v>
      </c>
      <c r="E107" s="439" t="s">
        <v>309</v>
      </c>
      <c r="F107" s="440" t="s">
        <v>1320</v>
      </c>
      <c r="G107" s="223" t="s">
        <v>1321</v>
      </c>
      <c r="H107" s="223">
        <f>56437448-56437448</f>
        <v>0</v>
      </c>
      <c r="I107" s="223">
        <f>48973733.31+J107-48973733.31</f>
        <v>0</v>
      </c>
      <c r="J107" s="223">
        <f>(2000000)-2000000</f>
        <v>0</v>
      </c>
      <c r="K107" s="239" t="e">
        <f>I107/H107</f>
        <v>#DIV/0!</v>
      </c>
      <c r="L107" s="441">
        <f>28071676+15122869+2857360+1500000+1458181+J107</f>
        <v>49010086</v>
      </c>
      <c r="M107" s="355"/>
      <c r="N107" s="203"/>
      <c r="O107" s="203"/>
      <c r="P107" s="203"/>
      <c r="Q107" s="203"/>
      <c r="R107" s="203"/>
    </row>
    <row r="108" spans="1:18" ht="61.5" hidden="1" thickTop="1" thickBot="1" x14ac:dyDescent="0.25">
      <c r="A108" s="336"/>
      <c r="B108" s="439" t="s">
        <v>310</v>
      </c>
      <c r="C108" s="439" t="s">
        <v>311</v>
      </c>
      <c r="D108" s="439" t="s">
        <v>304</v>
      </c>
      <c r="E108" s="439" t="s">
        <v>309</v>
      </c>
      <c r="F108" s="440" t="s">
        <v>1322</v>
      </c>
      <c r="G108" s="223" t="s">
        <v>1323</v>
      </c>
      <c r="H108" s="223">
        <f>34056704-34056704</f>
        <v>0</v>
      </c>
      <c r="I108" s="223">
        <f>24032981.17+J108-24032981.17</f>
        <v>0</v>
      </c>
      <c r="J108" s="223">
        <f>1000000-1000000</f>
        <v>0</v>
      </c>
      <c r="K108" s="239" t="e">
        <f>I108/H108</f>
        <v>#DIV/0!</v>
      </c>
      <c r="L108" s="441">
        <f>13051785+7748088+1427600+2095030-176100+J108</f>
        <v>24146403</v>
      </c>
      <c r="M108" s="355"/>
      <c r="N108" s="203"/>
      <c r="O108" s="203"/>
      <c r="P108" s="203"/>
      <c r="Q108" s="203"/>
      <c r="R108" s="203"/>
    </row>
    <row r="109" spans="1:18" ht="76.5" thickTop="1" thickBot="1" x14ac:dyDescent="0.25">
      <c r="A109" s="336"/>
      <c r="B109" s="619" t="s">
        <v>310</v>
      </c>
      <c r="C109" s="619" t="s">
        <v>311</v>
      </c>
      <c r="D109" s="619" t="s">
        <v>304</v>
      </c>
      <c r="E109" s="619" t="s">
        <v>309</v>
      </c>
      <c r="F109" s="620" t="s">
        <v>1641</v>
      </c>
      <c r="G109" s="335" t="s">
        <v>1639</v>
      </c>
      <c r="H109" s="335">
        <v>31706437</v>
      </c>
      <c r="I109" s="335">
        <f>9023652.06+J109</f>
        <v>25189076.849999998</v>
      </c>
      <c r="J109" s="335">
        <f>((((5000000)+12265815.94)+2500000)+2400000)-6000391.15</f>
        <v>16165424.789999997</v>
      </c>
      <c r="K109" s="621">
        <f t="shared" ref="K109:K112" si="11">I109/H109</f>
        <v>0.7944467822101865</v>
      </c>
      <c r="L109" s="441"/>
      <c r="M109" s="355"/>
      <c r="N109" s="203"/>
      <c r="O109" s="203"/>
      <c r="P109" s="203"/>
      <c r="Q109" s="203"/>
      <c r="R109" s="203"/>
    </row>
    <row r="110" spans="1:18" ht="76.5" thickTop="1" thickBot="1" x14ac:dyDescent="0.25">
      <c r="A110" s="336"/>
      <c r="B110" s="619" t="s">
        <v>310</v>
      </c>
      <c r="C110" s="619" t="s">
        <v>311</v>
      </c>
      <c r="D110" s="619" t="s">
        <v>304</v>
      </c>
      <c r="E110" s="619" t="s">
        <v>309</v>
      </c>
      <c r="F110" s="620" t="s">
        <v>1578</v>
      </c>
      <c r="G110" s="335" t="s">
        <v>1639</v>
      </c>
      <c r="H110" s="335">
        <v>42847731</v>
      </c>
      <c r="I110" s="335">
        <f>5381378.3+J110</f>
        <v>34541378.299999997</v>
      </c>
      <c r="J110" s="335">
        <f>(((((5000000)+10160000)+10000000)-11000000)+5000000)+10000000</f>
        <v>29160000</v>
      </c>
      <c r="K110" s="621">
        <f t="shared" si="11"/>
        <v>0.80614253062781782</v>
      </c>
      <c r="L110" s="441"/>
      <c r="M110" s="355"/>
      <c r="N110" s="203"/>
      <c r="O110" s="203"/>
      <c r="P110" s="203"/>
      <c r="Q110" s="203"/>
      <c r="R110" s="203"/>
    </row>
    <row r="111" spans="1:18" ht="91.5" thickTop="1" thickBot="1" x14ac:dyDescent="0.25">
      <c r="A111" s="336"/>
      <c r="B111" s="619" t="s">
        <v>310</v>
      </c>
      <c r="C111" s="619" t="s">
        <v>311</v>
      </c>
      <c r="D111" s="619" t="s">
        <v>304</v>
      </c>
      <c r="E111" s="619" t="s">
        <v>309</v>
      </c>
      <c r="F111" s="620" t="s">
        <v>1534</v>
      </c>
      <c r="G111" s="335" t="s">
        <v>1639</v>
      </c>
      <c r="H111" s="335">
        <v>48619051</v>
      </c>
      <c r="I111" s="335">
        <f>5758322.59+J111</f>
        <v>15758322.59</v>
      </c>
      <c r="J111" s="335">
        <f>((2000000)+5000000)+3000000</f>
        <v>10000000</v>
      </c>
      <c r="K111" s="621">
        <f t="shared" si="11"/>
        <v>0.32411826775475316</v>
      </c>
      <c r="L111" s="441"/>
      <c r="M111" s="355"/>
      <c r="N111" s="203"/>
      <c r="O111" s="203"/>
      <c r="P111" s="203"/>
      <c r="Q111" s="203"/>
      <c r="R111" s="203"/>
    </row>
    <row r="112" spans="1:18" ht="76.5" hidden="1" thickTop="1" thickBot="1" x14ac:dyDescent="0.25">
      <c r="A112" s="336"/>
      <c r="B112" s="439" t="s">
        <v>310</v>
      </c>
      <c r="C112" s="439" t="s">
        <v>311</v>
      </c>
      <c r="D112" s="439" t="s">
        <v>304</v>
      </c>
      <c r="E112" s="439" t="s">
        <v>309</v>
      </c>
      <c r="F112" s="440" t="s">
        <v>1530</v>
      </c>
      <c r="G112" s="223" t="s">
        <v>1435</v>
      </c>
      <c r="H112" s="223">
        <v>54864985</v>
      </c>
      <c r="I112" s="223">
        <f>1449509.74+J112</f>
        <v>1449509.74</v>
      </c>
      <c r="J112" s="223">
        <f>(1000000)-1000000</f>
        <v>0</v>
      </c>
      <c r="K112" s="239">
        <f t="shared" si="11"/>
        <v>2.641957780540722E-2</v>
      </c>
      <c r="L112" s="441"/>
      <c r="M112" s="355"/>
      <c r="N112" s="203"/>
      <c r="O112" s="203"/>
      <c r="P112" s="203"/>
      <c r="Q112" s="203"/>
      <c r="R112" s="203"/>
    </row>
    <row r="113" spans="1:18" ht="46.5" thickTop="1" thickBot="1" x14ac:dyDescent="0.25">
      <c r="B113" s="619" t="s">
        <v>515</v>
      </c>
      <c r="C113" s="619" t="s">
        <v>516</v>
      </c>
      <c r="D113" s="619" t="s">
        <v>304</v>
      </c>
      <c r="E113" s="619" t="s">
        <v>1580</v>
      </c>
      <c r="F113" s="620" t="s">
        <v>1579</v>
      </c>
      <c r="G113" s="335" t="s">
        <v>934</v>
      </c>
      <c r="H113" s="335">
        <v>81367771</v>
      </c>
      <c r="I113" s="335">
        <f>980635.67+J113</f>
        <v>2030535.67</v>
      </c>
      <c r="J113" s="335">
        <f>((1000000)+99900)-50000</f>
        <v>1049900</v>
      </c>
      <c r="K113" s="621">
        <f>I113/H113</f>
        <v>2.4955036189943065E-2</v>
      </c>
      <c r="L113" s="441">
        <f>730636+J113</f>
        <v>1780536</v>
      </c>
      <c r="M113" s="203"/>
      <c r="N113" s="203"/>
      <c r="O113" s="203"/>
      <c r="P113" s="203"/>
      <c r="Q113" s="203"/>
      <c r="R113" s="203"/>
    </row>
    <row r="114" spans="1:18" ht="61.5" hidden="1" thickTop="1" thickBot="1" x14ac:dyDescent="0.25">
      <c r="B114" s="439" t="s">
        <v>314</v>
      </c>
      <c r="C114" s="439" t="s">
        <v>315</v>
      </c>
      <c r="D114" s="439" t="s">
        <v>304</v>
      </c>
      <c r="E114" s="439" t="s">
        <v>461</v>
      </c>
      <c r="F114" s="442" t="s">
        <v>1107</v>
      </c>
      <c r="G114" s="223" t="s">
        <v>935</v>
      </c>
      <c r="H114" s="223">
        <v>15423995</v>
      </c>
      <c r="I114" s="223">
        <f>211261.75+1743.5+J114</f>
        <v>663787.25</v>
      </c>
      <c r="J114" s="223">
        <f>100000+350782</f>
        <v>450782</v>
      </c>
      <c r="K114" s="239">
        <f t="shared" si="10"/>
        <v>4.3036013043313358E-2</v>
      </c>
      <c r="L114" s="441">
        <f>213005+J114</f>
        <v>663787</v>
      </c>
      <c r="M114" s="203"/>
      <c r="N114" s="203"/>
      <c r="O114" s="203"/>
      <c r="P114" s="203"/>
      <c r="Q114" s="203"/>
      <c r="R114" s="203"/>
    </row>
    <row r="115" spans="1:18" ht="76.5" hidden="1" thickTop="1" thickBot="1" x14ac:dyDescent="0.25">
      <c r="B115" s="439" t="s">
        <v>314</v>
      </c>
      <c r="C115" s="439" t="s">
        <v>315</v>
      </c>
      <c r="D115" s="439" t="s">
        <v>304</v>
      </c>
      <c r="E115" s="439" t="s">
        <v>461</v>
      </c>
      <c r="F115" s="442" t="s">
        <v>1108</v>
      </c>
      <c r="G115" s="223" t="s">
        <v>1106</v>
      </c>
      <c r="H115" s="223">
        <v>14473674</v>
      </c>
      <c r="I115" s="223">
        <f>8250400.29+J115</f>
        <v>8833240.2899999991</v>
      </c>
      <c r="J115" s="223">
        <f>((100000+1760720)+4362554)-5640434</f>
        <v>582840</v>
      </c>
      <c r="K115" s="239">
        <f t="shared" si="10"/>
        <v>0.61029703239136102</v>
      </c>
      <c r="L115" s="441">
        <f>8250400+J115</f>
        <v>8833240</v>
      </c>
      <c r="M115" s="203"/>
      <c r="N115" s="203"/>
      <c r="O115" s="203"/>
      <c r="P115" s="203"/>
      <c r="Q115" s="203"/>
      <c r="R115" s="203"/>
    </row>
    <row r="116" spans="1:18" ht="31.5" hidden="1" thickTop="1" thickBot="1" x14ac:dyDescent="0.25">
      <c r="B116" s="439" t="s">
        <v>314</v>
      </c>
      <c r="C116" s="439" t="s">
        <v>315</v>
      </c>
      <c r="D116" s="439" t="s">
        <v>304</v>
      </c>
      <c r="E116" s="439" t="s">
        <v>461</v>
      </c>
      <c r="F116" s="442" t="s">
        <v>1383</v>
      </c>
      <c r="G116" s="223" t="s">
        <v>933</v>
      </c>
      <c r="H116" s="223">
        <v>80787509</v>
      </c>
      <c r="I116" s="223">
        <f>1618673.51+31922.71+J116</f>
        <v>2046000.22</v>
      </c>
      <c r="J116" s="223">
        <f>(270000)+125404</f>
        <v>395404</v>
      </c>
      <c r="K116" s="239">
        <f t="shared" si="10"/>
        <v>2.5325700041079369E-2</v>
      </c>
      <c r="L116" s="441">
        <f>1618674+J116</f>
        <v>2014078</v>
      </c>
      <c r="M116" s="203"/>
      <c r="N116" s="203"/>
      <c r="O116" s="203"/>
      <c r="P116" s="203"/>
      <c r="Q116" s="203"/>
      <c r="R116" s="203"/>
    </row>
    <row r="117" spans="1:18" ht="46.5" hidden="1" thickTop="1" thickBot="1" x14ac:dyDescent="0.25">
      <c r="B117" s="439" t="s">
        <v>314</v>
      </c>
      <c r="C117" s="439" t="s">
        <v>315</v>
      </c>
      <c r="D117" s="439" t="s">
        <v>304</v>
      </c>
      <c r="E117" s="439" t="s">
        <v>461</v>
      </c>
      <c r="F117" s="443" t="s">
        <v>1210</v>
      </c>
      <c r="G117" s="223" t="s">
        <v>935</v>
      </c>
      <c r="H117" s="223">
        <v>65017720</v>
      </c>
      <c r="I117" s="223">
        <f>22468487.3+J117</f>
        <v>38809572.299999997</v>
      </c>
      <c r="J117" s="223">
        <f>(100000+2000000)+14241085</f>
        <v>16341085</v>
      </c>
      <c r="K117" s="239">
        <f t="shared" si="10"/>
        <v>0.59690761687736815</v>
      </c>
      <c r="L117" s="441">
        <f>22468487+J117</f>
        <v>38809572</v>
      </c>
      <c r="M117" s="203"/>
      <c r="N117" s="203"/>
      <c r="O117" s="203"/>
      <c r="P117" s="203"/>
      <c r="Q117" s="203"/>
      <c r="R117" s="203"/>
    </row>
    <row r="118" spans="1:18" ht="61.5" hidden="1" thickTop="1" thickBot="1" x14ac:dyDescent="0.25">
      <c r="B118" s="439" t="s">
        <v>314</v>
      </c>
      <c r="C118" s="439" t="s">
        <v>315</v>
      </c>
      <c r="D118" s="439" t="s">
        <v>304</v>
      </c>
      <c r="E118" s="439" t="s">
        <v>461</v>
      </c>
      <c r="F118" s="443" t="s">
        <v>1249</v>
      </c>
      <c r="G118" s="223" t="s">
        <v>1251</v>
      </c>
      <c r="H118" s="223">
        <v>14225016</v>
      </c>
      <c r="I118" s="223">
        <f>49956+33089.84+J118</f>
        <v>133045.84</v>
      </c>
      <c r="J118" s="223">
        <v>50000</v>
      </c>
      <c r="K118" s="239">
        <f t="shared" si="10"/>
        <v>9.3529483552074744E-3</v>
      </c>
      <c r="L118" s="441">
        <f>83046+J118</f>
        <v>133046</v>
      </c>
      <c r="M118" s="203"/>
      <c r="N118" s="203"/>
      <c r="O118" s="203"/>
      <c r="P118" s="203"/>
      <c r="Q118" s="203"/>
      <c r="R118" s="203"/>
    </row>
    <row r="119" spans="1:18" ht="61.5" thickTop="1" thickBot="1" x14ac:dyDescent="0.25">
      <c r="B119" s="619" t="s">
        <v>314</v>
      </c>
      <c r="C119" s="619" t="s">
        <v>315</v>
      </c>
      <c r="D119" s="619" t="s">
        <v>304</v>
      </c>
      <c r="E119" s="619" t="s">
        <v>461</v>
      </c>
      <c r="F119" s="622" t="s">
        <v>1603</v>
      </c>
      <c r="G119" s="335" t="s">
        <v>934</v>
      </c>
      <c r="H119" s="335">
        <v>192098922</v>
      </c>
      <c r="I119" s="335">
        <f>1481149.2+J119</f>
        <v>29381891.800000001</v>
      </c>
      <c r="J119" s="335">
        <f>((((0)+50000)+26578)+28000000)-175835.4</f>
        <v>27900742.600000001</v>
      </c>
      <c r="K119" s="621">
        <f t="shared" si="10"/>
        <v>0.15295188278047703</v>
      </c>
      <c r="L119" s="441">
        <f>151662+J119</f>
        <v>28052404.600000001</v>
      </c>
      <c r="M119" s="203"/>
      <c r="N119" s="203"/>
      <c r="O119" s="203"/>
      <c r="P119" s="203"/>
      <c r="Q119" s="203"/>
      <c r="R119" s="203"/>
    </row>
    <row r="120" spans="1:18" ht="61.5" hidden="1" thickTop="1" thickBot="1" x14ac:dyDescent="0.25">
      <c r="B120" s="439" t="s">
        <v>314</v>
      </c>
      <c r="C120" s="439" t="s">
        <v>315</v>
      </c>
      <c r="D120" s="439" t="s">
        <v>304</v>
      </c>
      <c r="E120" s="439" t="s">
        <v>461</v>
      </c>
      <c r="F120" s="443" t="s">
        <v>1401</v>
      </c>
      <c r="G120" s="223" t="s">
        <v>1282</v>
      </c>
      <c r="H120" s="223">
        <v>2848861</v>
      </c>
      <c r="I120" s="223">
        <f>102794.48+J120</f>
        <v>2848861.48</v>
      </c>
      <c r="J120" s="223">
        <f>(2000000)+746067</f>
        <v>2746067</v>
      </c>
      <c r="K120" s="239">
        <f t="shared" si="10"/>
        <v>1.0000001684883888</v>
      </c>
      <c r="L120" s="441">
        <f>102794+J120</f>
        <v>2848861</v>
      </c>
      <c r="M120" s="203"/>
      <c r="N120" s="203"/>
      <c r="O120" s="203"/>
      <c r="P120" s="203"/>
      <c r="Q120" s="203"/>
      <c r="R120" s="203"/>
    </row>
    <row r="121" spans="1:18" ht="76.5" thickTop="1" thickBot="1" x14ac:dyDescent="0.25">
      <c r="B121" s="619" t="s">
        <v>314</v>
      </c>
      <c r="C121" s="619" t="s">
        <v>315</v>
      </c>
      <c r="D121" s="619" t="s">
        <v>304</v>
      </c>
      <c r="E121" s="619" t="s">
        <v>461</v>
      </c>
      <c r="F121" s="622" t="s">
        <v>1481</v>
      </c>
      <c r="G121" s="335" t="s">
        <v>1637</v>
      </c>
      <c r="H121" s="335">
        <v>3686595</v>
      </c>
      <c r="I121" s="335">
        <f>J121</f>
        <v>1471760.73</v>
      </c>
      <c r="J121" s="335">
        <f>(1500000)-28239.27</f>
        <v>1471760.73</v>
      </c>
      <c r="K121" s="621">
        <f t="shared" si="10"/>
        <v>0.39921953184442555</v>
      </c>
      <c r="L121" s="441"/>
      <c r="M121" s="203"/>
      <c r="N121" s="203"/>
      <c r="O121" s="203"/>
      <c r="P121" s="203"/>
      <c r="Q121" s="203"/>
      <c r="R121" s="203"/>
    </row>
    <row r="122" spans="1:18" ht="61.5" thickTop="1" thickBot="1" x14ac:dyDescent="0.25">
      <c r="B122" s="619" t="s">
        <v>314</v>
      </c>
      <c r="C122" s="619" t="s">
        <v>315</v>
      </c>
      <c r="D122" s="619" t="s">
        <v>304</v>
      </c>
      <c r="E122" s="619" t="s">
        <v>461</v>
      </c>
      <c r="F122" s="622" t="s">
        <v>1604</v>
      </c>
      <c r="G122" s="335" t="s">
        <v>934</v>
      </c>
      <c r="H122" s="335">
        <v>166440557</v>
      </c>
      <c r="I122" s="335">
        <f>20837715.5+J122</f>
        <v>28614293.710000001</v>
      </c>
      <c r="J122" s="335">
        <f>(((1500000+50000)+2600000)+8000000)-4373421.79</f>
        <v>7776578.21</v>
      </c>
      <c r="K122" s="621">
        <f t="shared" si="10"/>
        <v>0.1719189975433692</v>
      </c>
      <c r="L122" s="441">
        <f>4088+756990+J122</f>
        <v>8537656.2100000009</v>
      </c>
      <c r="M122" s="203"/>
      <c r="N122" s="203"/>
      <c r="O122" s="203"/>
      <c r="P122" s="203"/>
      <c r="Q122" s="203"/>
      <c r="R122" s="203"/>
    </row>
    <row r="123" spans="1:18" ht="21.75" thickTop="1" thickBot="1" x14ac:dyDescent="0.25">
      <c r="A123" s="247"/>
      <c r="B123" s="669" t="s">
        <v>381</v>
      </c>
      <c r="C123" s="669" t="s">
        <v>381</v>
      </c>
      <c r="D123" s="669" t="s">
        <v>381</v>
      </c>
      <c r="E123" s="669" t="s">
        <v>383</v>
      </c>
      <c r="F123" s="669" t="s">
        <v>381</v>
      </c>
      <c r="G123" s="669" t="s">
        <v>381</v>
      </c>
      <c r="H123" s="669">
        <f>H102+H56+H47+H37+H19+H30</f>
        <v>1090967713.5699999</v>
      </c>
      <c r="I123" s="669">
        <f>I102+I56+I47+I37+I19+I30</f>
        <v>428221794.62</v>
      </c>
      <c r="J123" s="669">
        <f>J102+J56+J47+J37+J19+J30</f>
        <v>235638148.09000003</v>
      </c>
      <c r="K123" s="669" t="s">
        <v>381</v>
      </c>
      <c r="L123" s="675" t="b">
        <f>H123=H122+H121+H119+H113+H111+H110+H109+H101+H97+H86+H85+H84+H83+H76+H66+H65+H64+H50+H42+H40+H39+H34+H27+H26+H25+H24+H22+H21+H28+H33+H41</f>
        <v>1</v>
      </c>
      <c r="M123" s="675" t="b">
        <f>I123=I122+I121+I119+I113+I111+I110+I109+I101+I97+I86+I85+I84+I83+I76+I66+I65+I64+I50+I42+I40+I39+I34+I27+I26+I25+I24+I22+I21+I28+I33+I41</f>
        <v>1</v>
      </c>
      <c r="N123" s="675" t="b">
        <f>J123=J122+J121+J119+J113+J111+J110+J109+J101+J97+J86+J85+J84+J83+J76+J66+J65+J64+J50+J42+J40+J39+J34+J27+J26+J25+J24+J22+J21+J28+J33+J41</f>
        <v>1</v>
      </c>
      <c r="O123" s="203"/>
      <c r="P123" s="203"/>
      <c r="Q123" s="203"/>
      <c r="R123" s="203"/>
    </row>
    <row r="124" spans="1:18" ht="16.5" thickTop="1" x14ac:dyDescent="0.2">
      <c r="B124" s="854" t="s">
        <v>1515</v>
      </c>
      <c r="C124" s="821"/>
      <c r="D124" s="821"/>
      <c r="E124" s="821"/>
      <c r="F124" s="821"/>
      <c r="G124" s="821"/>
      <c r="H124" s="821"/>
      <c r="I124" s="821"/>
      <c r="J124" s="821"/>
      <c r="K124" s="821"/>
      <c r="L124" s="821"/>
      <c r="M124" s="821"/>
      <c r="N124" s="821"/>
      <c r="O124" s="821"/>
      <c r="P124" s="821"/>
      <c r="Q124" s="821"/>
      <c r="R124" s="821"/>
    </row>
    <row r="125" spans="1:18" ht="14.25" customHeight="1" x14ac:dyDescent="0.2">
      <c r="B125" s="855"/>
      <c r="C125" s="855"/>
      <c r="D125" s="855"/>
      <c r="E125" s="855"/>
      <c r="F125" s="855"/>
      <c r="G125" s="855"/>
      <c r="H125" s="855"/>
      <c r="I125" s="855"/>
      <c r="J125" s="855"/>
      <c r="K125" s="855"/>
      <c r="L125" s="336"/>
      <c r="M125" s="336"/>
      <c r="N125" s="336"/>
      <c r="O125" s="336"/>
      <c r="P125" s="336"/>
      <c r="Q125" s="336"/>
      <c r="R125" s="336"/>
    </row>
    <row r="126" spans="1:18" ht="15" x14ac:dyDescent="0.25">
      <c r="B126" s="328"/>
      <c r="C126" s="328"/>
      <c r="D126" s="858" t="s">
        <v>1458</v>
      </c>
      <c r="E126" s="853"/>
      <c r="F126" s="364"/>
      <c r="G126" s="364" t="s">
        <v>1459</v>
      </c>
      <c r="H126" s="347"/>
      <c r="I126" s="342"/>
      <c r="J126" s="342"/>
      <c r="K126" s="340"/>
      <c r="L126" s="336"/>
      <c r="M126" s="336"/>
      <c r="N126" s="336"/>
      <c r="O126" s="336"/>
      <c r="P126" s="336"/>
      <c r="Q126" s="336"/>
      <c r="R126" s="336"/>
    </row>
    <row r="127" spans="1:18" ht="15" hidden="1" x14ac:dyDescent="0.25">
      <c r="B127" s="328"/>
      <c r="C127" s="328"/>
      <c r="D127" s="340" t="s">
        <v>1460</v>
      </c>
      <c r="E127" s="341"/>
      <c r="F127" s="340"/>
      <c r="G127" s="340" t="s">
        <v>1424</v>
      </c>
      <c r="H127" s="347"/>
      <c r="I127" s="342"/>
      <c r="J127" s="342"/>
      <c r="K127" s="340"/>
      <c r="L127" s="336"/>
      <c r="M127" s="336"/>
      <c r="N127" s="336"/>
      <c r="O127" s="336"/>
      <c r="P127" s="336"/>
      <c r="Q127" s="336"/>
      <c r="R127" s="336"/>
    </row>
    <row r="128" spans="1:18" ht="4.7" customHeight="1" x14ac:dyDescent="0.25">
      <c r="B128" s="328"/>
      <c r="C128" s="328"/>
      <c r="D128" s="340"/>
      <c r="E128" s="340"/>
      <c r="F128" s="340"/>
      <c r="G128" s="340"/>
      <c r="H128" s="347"/>
      <c r="I128" s="347"/>
      <c r="J128" s="328"/>
      <c r="K128" s="328"/>
      <c r="L128" s="336"/>
      <c r="M128" s="336"/>
      <c r="N128" s="336"/>
      <c r="O128" s="336"/>
      <c r="P128" s="336"/>
      <c r="Q128" s="336"/>
      <c r="R128" s="336"/>
    </row>
    <row r="129" spans="2:18" ht="33.75" customHeight="1" x14ac:dyDescent="0.25">
      <c r="B129" s="328"/>
      <c r="C129" s="328"/>
      <c r="D129" s="852" t="s">
        <v>522</v>
      </c>
      <c r="E129" s="853"/>
      <c r="F129" s="340"/>
      <c r="G129" s="340" t="s">
        <v>1326</v>
      </c>
      <c r="H129" s="340"/>
      <c r="I129" s="342"/>
      <c r="J129" s="342"/>
      <c r="K129" s="340"/>
      <c r="L129" s="336"/>
      <c r="M129" s="336"/>
      <c r="N129" s="336"/>
      <c r="O129" s="336"/>
      <c r="P129" s="336"/>
      <c r="Q129" s="336"/>
      <c r="R129" s="336"/>
    </row>
    <row r="140" spans="2:18" x14ac:dyDescent="0.2">
      <c r="D140" s="11">
        <f>SUM(D141:D153)+D160</f>
        <v>88281</v>
      </c>
    </row>
    <row r="141" spans="2:18" ht="46.5" x14ac:dyDescent="0.2">
      <c r="K141" s="251"/>
    </row>
    <row r="144" spans="2:18" ht="46.5" x14ac:dyDescent="0.2">
      <c r="G144" s="251"/>
      <c r="K144" s="251"/>
    </row>
    <row r="160" spans="1:4" x14ac:dyDescent="0.2">
      <c r="A160" s="168">
        <v>41057700</v>
      </c>
      <c r="B160" s="11" t="s">
        <v>1357</v>
      </c>
      <c r="D160" s="11">
        <v>88281</v>
      </c>
    </row>
    <row r="161" spans="7:12" x14ac:dyDescent="0.2">
      <c r="G161" s="250" t="e">
        <f>C161=C157+C156+C155+C135+C129+C122+C115+C114+C106+C105+C104+C103+C93+C92+C91+C90+C88+C87+C85+C83+C82+C81+C78+C77+C76+C74+C73+C67+C66+C65+C61+C60+C59+C57+C56+C52+C51+C50+C49+C48+C47+C46+C45+C44+C43+C36+C33+C30+#REF!+#REF!+#REF!+#REF!+C20+C19+C18+C119+C118+C37+C54+C146+C145+C126+C160</f>
        <v>#REF!</v>
      </c>
      <c r="H161" s="250" t="e">
        <f>D161=D157+D156+D155+D135+D129+D122+D115+D114+D106+D105+D104+D103+D93+D92+D91+D90+D88+D87+D85+D83+D82+D81+D78+D77+D76+D74+D73+D67+D66+D65+D61+D60+D59+D57+D56+D52+D51+D50+D49+D48+D47+D46+D45+D44+D43+D36+D33+D30+#REF!+#REF!+#REF!+#REF!+D20+D19+D18+D119+D118+D37+D54+D146+D145+D126+D160</f>
        <v>#VALUE!</v>
      </c>
      <c r="I161" s="250" t="e">
        <f>E161=E157+E156+E155+E135+E129+E122+E115+E114+E106+E105+E104+E103+E93+E92+E91+E90+E88+E87+E85+E83+E82+E81+E78+E77+E76+E74+E73+E67+E66+E65+E61+E60+E59+E57+E56+E52+E51+E50+E49+E48+E47+E46+E45+E44+E43+E36+E33+E30+#REF!+#REF!+#REF!+#REF!+E20+E19+E18+E119+E118+E37+E54+E146+E145+E126+E160</f>
        <v>#VALUE!</v>
      </c>
      <c r="J161" s="250" t="e">
        <f>F161=F157+F156+F155+F135+F129+F122+F115+F114+F106+F105+F104+F103+F93+F92+F91+F90+F88+F87+F85+F83+F82+F81+F78+F77+F76+F74+F73+F67+F66+F65+F61+F60+F59+F57+F56+F52+F51+F50+F49+F48+F47+F46+F45+F44+F43+F36+F33+F30+#REF!+#REF!+#REF!+#REF!+F20+F19+F18+F119+F118+F37+F54+F146+F145+F126+F160</f>
        <v>#VALUE!</v>
      </c>
    </row>
    <row r="162" spans="7:12" x14ac:dyDescent="0.2">
      <c r="G162" s="250" t="b">
        <f>(3453807039-'d2'!C37+7423154+961639+622418100+3715400+4544686)+16400+4309689+6350319+16579700+88281=C161</f>
        <v>0</v>
      </c>
    </row>
    <row r="164" spans="7:12" ht="90" x14ac:dyDescent="1.1499999999999999">
      <c r="L164" s="189"/>
    </row>
  </sheetData>
  <mergeCells count="11">
    <mergeCell ref="D129:E129"/>
    <mergeCell ref="B124:R124"/>
    <mergeCell ref="B125:K125"/>
    <mergeCell ref="B8:C8"/>
    <mergeCell ref="B1:K1"/>
    <mergeCell ref="G2:K2"/>
    <mergeCell ref="B4:K4"/>
    <mergeCell ref="B5:K5"/>
    <mergeCell ref="B7:C7"/>
    <mergeCell ref="B6:K6"/>
    <mergeCell ref="D126:E126"/>
  </mergeCells>
  <printOptions horizontalCentered="1"/>
  <pageMargins left="0.82677165354330717" right="0" top="0.31496062992125984" bottom="0.31496062992125984" header="0.23622047244094491" footer="0.19685039370078741"/>
  <pageSetup paperSize="9" scale="59" fitToHeight="0" orientation="landscape" r:id="rId1"/>
  <headerFooter alignWithMargins="0">
    <oddFooter>&amp;R&amp;P</oddFooter>
  </headerFooter>
  <rowBreaks count="1" manualBreakCount="1">
    <brk id="113"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7"/>
  <sheetViews>
    <sheetView view="pageBreakPreview" zoomScale="25" zoomScaleNormal="25" zoomScaleSheetLayoutView="25" zoomScalePageLayoutView="10" workbookViewId="0">
      <pane ySplit="14" topLeftCell="A317" activePane="bottomLeft" state="frozen"/>
      <selection activeCell="H66" sqref="H63:H66"/>
      <selection pane="bottomLeft" activeCell="L10" sqref="L10"/>
    </sheetView>
  </sheetViews>
  <sheetFormatPr defaultColWidth="9.140625" defaultRowHeight="12.75" x14ac:dyDescent="0.2"/>
  <cols>
    <col min="1" max="1" width="48" style="190" customWidth="1"/>
    <col min="2" max="2" width="52.5703125" style="190" customWidth="1"/>
    <col min="3" max="3" width="65.7109375" style="190" customWidth="1"/>
    <col min="4" max="4" width="158.28515625" style="190" customWidth="1"/>
    <col min="5" max="5" width="161.85546875" style="283" customWidth="1"/>
    <col min="6" max="6" width="114" style="190" customWidth="1"/>
    <col min="7" max="7" width="55.42578125" style="190" customWidth="1"/>
    <col min="8" max="8" width="63.5703125" style="190" customWidth="1"/>
    <col min="9" max="9" width="62.140625" style="190" customWidth="1"/>
    <col min="10" max="10" width="70.28515625" style="283" customWidth="1"/>
    <col min="11" max="11" width="100.28515625" style="121" customWidth="1"/>
    <col min="12" max="12" width="99.5703125" style="121" bestFit="1" customWidth="1"/>
    <col min="13" max="13" width="71.5703125" style="121"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58" t="s">
        <v>589</v>
      </c>
      <c r="J1" s="758"/>
    </row>
    <row r="2" spans="1:13" ht="45.75" x14ac:dyDescent="0.2">
      <c r="A2" s="76"/>
      <c r="B2" s="76"/>
      <c r="C2" s="76"/>
      <c r="D2" s="76"/>
      <c r="E2" s="77"/>
      <c r="F2" s="78"/>
      <c r="G2" s="77"/>
      <c r="H2" s="77"/>
      <c r="I2" s="758" t="s">
        <v>1630</v>
      </c>
      <c r="J2" s="761"/>
    </row>
    <row r="3" spans="1:13" ht="40.700000000000003" customHeight="1" x14ac:dyDescent="0.2">
      <c r="A3" s="76"/>
      <c r="B3" s="76"/>
      <c r="C3" s="76"/>
      <c r="D3" s="76"/>
      <c r="E3" s="77"/>
      <c r="F3" s="78"/>
      <c r="G3" s="77"/>
      <c r="H3" s="77"/>
      <c r="I3" s="758"/>
      <c r="J3" s="761"/>
    </row>
    <row r="4" spans="1:13" ht="45.75" hidden="1" x14ac:dyDescent="0.2">
      <c r="A4" s="76"/>
      <c r="B4" s="76"/>
      <c r="C4" s="76"/>
      <c r="D4" s="76"/>
      <c r="E4" s="77"/>
      <c r="F4" s="78"/>
      <c r="G4" s="77"/>
      <c r="H4" s="77"/>
      <c r="I4" s="76"/>
      <c r="J4" s="78"/>
    </row>
    <row r="5" spans="1:13" ht="45" x14ac:dyDescent="0.2">
      <c r="A5" s="762" t="s">
        <v>564</v>
      </c>
      <c r="B5" s="762"/>
      <c r="C5" s="762"/>
      <c r="D5" s="762"/>
      <c r="E5" s="762"/>
      <c r="F5" s="762"/>
      <c r="G5" s="762"/>
      <c r="H5" s="762"/>
      <c r="I5" s="762"/>
      <c r="J5" s="762"/>
    </row>
    <row r="6" spans="1:13" ht="45" x14ac:dyDescent="0.2">
      <c r="A6" s="762" t="s">
        <v>1102</v>
      </c>
      <c r="B6" s="762"/>
      <c r="C6" s="762"/>
      <c r="D6" s="762"/>
      <c r="E6" s="762"/>
      <c r="F6" s="762"/>
      <c r="G6" s="762"/>
      <c r="H6" s="762"/>
      <c r="I6" s="762"/>
      <c r="J6" s="762"/>
    </row>
    <row r="7" spans="1:13" ht="45" x14ac:dyDescent="0.2">
      <c r="A7" s="762" t="s">
        <v>1474</v>
      </c>
      <c r="B7" s="762"/>
      <c r="C7" s="762"/>
      <c r="D7" s="762"/>
      <c r="E7" s="762"/>
      <c r="F7" s="762"/>
      <c r="G7" s="762"/>
      <c r="H7" s="762"/>
      <c r="I7" s="762"/>
      <c r="J7" s="762"/>
    </row>
    <row r="8" spans="1:13" ht="45" x14ac:dyDescent="0.2">
      <c r="A8" s="762"/>
      <c r="B8" s="762"/>
      <c r="C8" s="762"/>
      <c r="D8" s="762"/>
      <c r="E8" s="762"/>
      <c r="F8" s="762"/>
      <c r="G8" s="762"/>
      <c r="H8" s="762"/>
      <c r="I8" s="762"/>
      <c r="J8" s="762"/>
    </row>
    <row r="9" spans="1:13" ht="45.75" x14ac:dyDescent="0.65">
      <c r="A9" s="763">
        <v>2256400000</v>
      </c>
      <c r="B9" s="764"/>
      <c r="C9" s="725"/>
      <c r="D9" s="725"/>
      <c r="E9" s="725"/>
      <c r="F9" s="725"/>
      <c r="G9" s="725"/>
      <c r="H9" s="725"/>
      <c r="I9" s="725"/>
      <c r="J9" s="725"/>
      <c r="K9" s="137"/>
      <c r="L9" s="137"/>
      <c r="M9" s="137"/>
    </row>
    <row r="10" spans="1:13" ht="45.75" x14ac:dyDescent="0.2">
      <c r="A10" s="768" t="s">
        <v>489</v>
      </c>
      <c r="B10" s="769"/>
      <c r="C10" s="725"/>
      <c r="D10" s="725"/>
      <c r="E10" s="725"/>
      <c r="F10" s="725"/>
      <c r="G10" s="725"/>
      <c r="H10" s="725"/>
      <c r="I10" s="725"/>
      <c r="J10" s="725"/>
      <c r="K10" s="137"/>
      <c r="L10" s="137"/>
      <c r="M10" s="137"/>
    </row>
    <row r="11" spans="1:13" ht="53.45" customHeight="1" thickBot="1" x14ac:dyDescent="0.25">
      <c r="A11" s="77"/>
      <c r="B11" s="77"/>
      <c r="C11" s="77"/>
      <c r="D11" s="77"/>
      <c r="E11" s="77"/>
      <c r="F11" s="78"/>
      <c r="G11" s="77"/>
      <c r="H11" s="77"/>
      <c r="I11" s="77"/>
      <c r="J11" s="313" t="s">
        <v>404</v>
      </c>
      <c r="K11" s="137"/>
      <c r="L11" s="137"/>
      <c r="M11" s="137"/>
    </row>
    <row r="12" spans="1:13" ht="104.25" customHeight="1" thickTop="1" thickBot="1" x14ac:dyDescent="0.25">
      <c r="A12" s="875" t="s">
        <v>490</v>
      </c>
      <c r="B12" s="875" t="s">
        <v>491</v>
      </c>
      <c r="C12" s="875" t="s">
        <v>390</v>
      </c>
      <c r="D12" s="875" t="s">
        <v>565</v>
      </c>
      <c r="E12" s="875" t="s">
        <v>494</v>
      </c>
      <c r="F12" s="875" t="s">
        <v>495</v>
      </c>
      <c r="G12" s="875" t="s">
        <v>383</v>
      </c>
      <c r="H12" s="875" t="s">
        <v>12</v>
      </c>
      <c r="I12" s="876" t="s">
        <v>52</v>
      </c>
      <c r="J12" s="766"/>
      <c r="K12" s="137"/>
      <c r="L12" s="137"/>
      <c r="M12" s="137"/>
    </row>
    <row r="13" spans="1:13" ht="406.5" customHeight="1" thickTop="1" thickBot="1" x14ac:dyDescent="0.25">
      <c r="A13" s="876"/>
      <c r="B13" s="766"/>
      <c r="C13" s="766"/>
      <c r="D13" s="876"/>
      <c r="E13" s="876"/>
      <c r="F13" s="876"/>
      <c r="G13" s="876"/>
      <c r="H13" s="876"/>
      <c r="I13" s="317" t="s">
        <v>384</v>
      </c>
      <c r="J13" s="317" t="s">
        <v>385</v>
      </c>
      <c r="K13" s="137"/>
      <c r="L13" s="137"/>
      <c r="M13" s="137"/>
    </row>
    <row r="14" spans="1:13" s="4" customFormat="1" ht="47.25" thickTop="1" thickBot="1" x14ac:dyDescent="0.25">
      <c r="A14" s="101" t="s">
        <v>2</v>
      </c>
      <c r="B14" s="101" t="s">
        <v>3</v>
      </c>
      <c r="C14" s="101" t="s">
        <v>14</v>
      </c>
      <c r="D14" s="101" t="s">
        <v>5</v>
      </c>
      <c r="E14" s="101" t="s">
        <v>392</v>
      </c>
      <c r="F14" s="101" t="s">
        <v>393</v>
      </c>
      <c r="G14" s="101" t="s">
        <v>394</v>
      </c>
      <c r="H14" s="101" t="s">
        <v>395</v>
      </c>
      <c r="I14" s="101" t="s">
        <v>396</v>
      </c>
      <c r="J14" s="101" t="s">
        <v>397</v>
      </c>
      <c r="K14" s="131"/>
      <c r="L14" s="131"/>
      <c r="M14" s="131"/>
    </row>
    <row r="15" spans="1:13" s="4" customFormat="1" ht="170.25" customHeight="1" thickTop="1" thickBot="1" x14ac:dyDescent="0.25">
      <c r="A15" s="689" t="s">
        <v>148</v>
      </c>
      <c r="B15" s="689"/>
      <c r="C15" s="689"/>
      <c r="D15" s="690" t="s">
        <v>150</v>
      </c>
      <c r="E15" s="689"/>
      <c r="F15" s="689"/>
      <c r="G15" s="692">
        <f>G16</f>
        <v>594489717.34000015</v>
      </c>
      <c r="H15" s="692">
        <f t="shared" ref="H15:J15" si="0">H16</f>
        <v>230838877.04000002</v>
      </c>
      <c r="I15" s="692">
        <f>I16</f>
        <v>363650840.30000007</v>
      </c>
      <c r="J15" s="692">
        <f t="shared" si="0"/>
        <v>357135040.30000007</v>
      </c>
      <c r="K15" s="95" t="b">
        <f>H16='d3'!E16-'d3'!E18+'d7'!H17+'d7'!H20+'d7'!H22+H21</f>
        <v>1</v>
      </c>
      <c r="L15" s="95" t="b">
        <f>I16='d3'!J16-'d3'!J18+I17+I20+I22+I21</f>
        <v>1</v>
      </c>
      <c r="M15" s="95" t="b">
        <f>J16='d3'!K16-'d3'!K18+J17+J20+J22+J21</f>
        <v>1</v>
      </c>
    </row>
    <row r="16" spans="1:13" s="4" customFormat="1" ht="170.25" customHeight="1" thickTop="1" thickBot="1" x14ac:dyDescent="0.25">
      <c r="A16" s="693" t="s">
        <v>149</v>
      </c>
      <c r="B16" s="693"/>
      <c r="C16" s="693"/>
      <c r="D16" s="694" t="s">
        <v>151</v>
      </c>
      <c r="E16" s="695"/>
      <c r="F16" s="695"/>
      <c r="G16" s="695">
        <f>SUM(G17:G57)</f>
        <v>594489717.34000015</v>
      </c>
      <c r="H16" s="695">
        <f>SUM(H17:H57)</f>
        <v>230838877.04000002</v>
      </c>
      <c r="I16" s="695">
        <f>SUM(I17:I57)</f>
        <v>363650840.30000007</v>
      </c>
      <c r="J16" s="695">
        <f>SUM(J17:J57)</f>
        <v>357135040.30000007</v>
      </c>
      <c r="K16" s="131"/>
      <c r="L16" s="131"/>
      <c r="M16" s="131"/>
    </row>
    <row r="17" spans="1:13" ht="230.25" thickTop="1" thickBot="1" x14ac:dyDescent="0.25">
      <c r="A17" s="101" t="s">
        <v>232</v>
      </c>
      <c r="B17" s="101" t="s">
        <v>233</v>
      </c>
      <c r="C17" s="101" t="s">
        <v>234</v>
      </c>
      <c r="D17" s="101" t="s">
        <v>231</v>
      </c>
      <c r="E17" s="318" t="s">
        <v>1021</v>
      </c>
      <c r="F17" s="315" t="s">
        <v>853</v>
      </c>
      <c r="G17" s="315">
        <f t="shared" ref="G17:G34" si="1">H17+I17</f>
        <v>430200</v>
      </c>
      <c r="H17" s="319">
        <v>0</v>
      </c>
      <c r="I17" s="315">
        <f>((((0)+435000)+30000)-25000)+30000-39800</f>
        <v>430200</v>
      </c>
      <c r="J17" s="315">
        <f>((((0)+435000)+30000)-25000)+30000-39800</f>
        <v>430200</v>
      </c>
      <c r="K17" s="252"/>
      <c r="L17" s="252"/>
      <c r="M17" s="252"/>
    </row>
    <row r="18" spans="1:13" ht="321.75" hidden="1" thickTop="1" thickBot="1" x14ac:dyDescent="0.25">
      <c r="A18" s="126" t="s">
        <v>232</v>
      </c>
      <c r="B18" s="126" t="s">
        <v>233</v>
      </c>
      <c r="C18" s="126" t="s">
        <v>234</v>
      </c>
      <c r="D18" s="126" t="s">
        <v>231</v>
      </c>
      <c r="E18" s="194" t="s">
        <v>1193</v>
      </c>
      <c r="F18" s="194" t="s">
        <v>855</v>
      </c>
      <c r="G18" s="194">
        <f t="shared" si="1"/>
        <v>0</v>
      </c>
      <c r="H18" s="254">
        <v>0</v>
      </c>
      <c r="I18" s="194">
        <v>0</v>
      </c>
      <c r="J18" s="194">
        <v>0</v>
      </c>
      <c r="K18" s="255"/>
      <c r="L18" s="255"/>
      <c r="M18" s="255"/>
    </row>
    <row r="19" spans="1:13" ht="230.25" hidden="1" thickTop="1" thickBot="1" x14ac:dyDescent="0.25">
      <c r="A19" s="41" t="s">
        <v>232</v>
      </c>
      <c r="B19" s="41" t="s">
        <v>233</v>
      </c>
      <c r="C19" s="41" t="s">
        <v>234</v>
      </c>
      <c r="D19" s="41" t="s">
        <v>231</v>
      </c>
      <c r="E19" s="256" t="s">
        <v>867</v>
      </c>
      <c r="F19" s="73" t="s">
        <v>868</v>
      </c>
      <c r="G19" s="73">
        <f t="shared" si="1"/>
        <v>0</v>
      </c>
      <c r="H19" s="257"/>
      <c r="I19" s="73"/>
      <c r="J19" s="73"/>
      <c r="K19" s="258"/>
      <c r="L19" s="148"/>
      <c r="M19" s="137"/>
    </row>
    <row r="20" spans="1:13" ht="230.25" hidden="1" thickTop="1" thickBot="1" x14ac:dyDescent="0.25">
      <c r="A20" s="126" t="s">
        <v>232</v>
      </c>
      <c r="B20" s="126" t="s">
        <v>233</v>
      </c>
      <c r="C20" s="126" t="s">
        <v>234</v>
      </c>
      <c r="D20" s="126" t="s">
        <v>231</v>
      </c>
      <c r="E20" s="253" t="s">
        <v>1134</v>
      </c>
      <c r="F20" s="194" t="s">
        <v>1133</v>
      </c>
      <c r="G20" s="194">
        <f t="shared" si="1"/>
        <v>0</v>
      </c>
      <c r="H20" s="254">
        <v>0</v>
      </c>
      <c r="I20" s="194">
        <v>0</v>
      </c>
      <c r="J20" s="194">
        <v>0</v>
      </c>
      <c r="K20" s="258"/>
      <c r="L20" s="148"/>
      <c r="M20" s="137"/>
    </row>
    <row r="21" spans="1:13" ht="230.25" hidden="1" thickTop="1" thickBot="1" x14ac:dyDescent="0.25">
      <c r="A21" s="126" t="s">
        <v>232</v>
      </c>
      <c r="B21" s="126" t="s">
        <v>233</v>
      </c>
      <c r="C21" s="126" t="s">
        <v>234</v>
      </c>
      <c r="D21" s="126" t="s">
        <v>231</v>
      </c>
      <c r="E21" s="253" t="s">
        <v>1421</v>
      </c>
      <c r="F21" s="194" t="s">
        <v>1422</v>
      </c>
      <c r="G21" s="194">
        <f t="shared" si="1"/>
        <v>0</v>
      </c>
      <c r="H21" s="254">
        <v>0</v>
      </c>
      <c r="I21" s="194">
        <v>0</v>
      </c>
      <c r="J21" s="194">
        <v>0</v>
      </c>
      <c r="K21" s="258"/>
      <c r="L21" s="148"/>
      <c r="M21" s="137"/>
    </row>
    <row r="22" spans="1:13" ht="230.25" hidden="1" thickTop="1" thickBot="1" x14ac:dyDescent="0.25">
      <c r="A22" s="126" t="s">
        <v>232</v>
      </c>
      <c r="B22" s="126" t="s">
        <v>233</v>
      </c>
      <c r="C22" s="126" t="s">
        <v>234</v>
      </c>
      <c r="D22" s="126" t="s">
        <v>231</v>
      </c>
      <c r="E22" s="253" t="s">
        <v>1263</v>
      </c>
      <c r="F22" s="194" t="s">
        <v>1264</v>
      </c>
      <c r="G22" s="194">
        <f t="shared" si="1"/>
        <v>0</v>
      </c>
      <c r="H22" s="254">
        <v>0</v>
      </c>
      <c r="I22" s="194">
        <v>0</v>
      </c>
      <c r="J22" s="194">
        <v>0</v>
      </c>
      <c r="K22" s="258"/>
      <c r="L22" s="148"/>
      <c r="M22" s="137"/>
    </row>
    <row r="23" spans="1:13" ht="321.75" hidden="1" thickTop="1" thickBot="1" x14ac:dyDescent="0.25">
      <c r="A23" s="126" t="s">
        <v>622</v>
      </c>
      <c r="B23" s="126" t="s">
        <v>362</v>
      </c>
      <c r="C23" s="126" t="s">
        <v>623</v>
      </c>
      <c r="D23" s="126" t="s">
        <v>624</v>
      </c>
      <c r="E23" s="253" t="s">
        <v>1277</v>
      </c>
      <c r="F23" s="194" t="s">
        <v>1278</v>
      </c>
      <c r="G23" s="194">
        <f t="shared" si="1"/>
        <v>0</v>
      </c>
      <c r="H23" s="254">
        <f>'d3'!E20</f>
        <v>0</v>
      </c>
      <c r="I23" s="194">
        <v>0</v>
      </c>
      <c r="J23" s="194">
        <v>0</v>
      </c>
      <c r="K23" s="258"/>
      <c r="L23" s="148"/>
      <c r="M23" s="137"/>
    </row>
    <row r="24" spans="1:13" ht="276" thickTop="1" thickBot="1" x14ac:dyDescent="0.25">
      <c r="A24" s="101" t="s">
        <v>247</v>
      </c>
      <c r="B24" s="101" t="s">
        <v>43</v>
      </c>
      <c r="C24" s="101" t="s">
        <v>42</v>
      </c>
      <c r="D24" s="101" t="s">
        <v>248</v>
      </c>
      <c r="E24" s="318" t="s">
        <v>1365</v>
      </c>
      <c r="F24" s="315" t="s">
        <v>1328</v>
      </c>
      <c r="G24" s="315">
        <f t="shared" si="1"/>
        <v>28524720</v>
      </c>
      <c r="H24" s="319">
        <f>(((21000000+1410000+10000000)-6450000)+4550320+750000)-440000-2295600</f>
        <v>28524720</v>
      </c>
      <c r="I24" s="315">
        <v>0</v>
      </c>
      <c r="J24" s="315">
        <v>0</v>
      </c>
      <c r="K24" s="877" t="b">
        <f>H24+H26+H25+H28+H27='d3'!E21</f>
        <v>1</v>
      </c>
      <c r="L24" s="873"/>
      <c r="M24" s="873"/>
    </row>
    <row r="25" spans="1:13" ht="138.75" hidden="1" thickTop="1" thickBot="1" x14ac:dyDescent="0.25">
      <c r="A25" s="101" t="s">
        <v>247</v>
      </c>
      <c r="B25" s="101" t="s">
        <v>43</v>
      </c>
      <c r="C25" s="101" t="s">
        <v>42</v>
      </c>
      <c r="D25" s="101" t="s">
        <v>248</v>
      </c>
      <c r="E25" s="318" t="s">
        <v>1500</v>
      </c>
      <c r="F25" s="315" t="s">
        <v>1516</v>
      </c>
      <c r="G25" s="315">
        <f t="shared" ref="G25" si="2">H25+I25</f>
        <v>0</v>
      </c>
      <c r="H25" s="319">
        <f>950000-100000-850000</f>
        <v>0</v>
      </c>
      <c r="I25" s="315">
        <v>0</v>
      </c>
      <c r="J25" s="315">
        <v>0</v>
      </c>
      <c r="K25" s="877"/>
      <c r="L25" s="873"/>
      <c r="M25" s="873"/>
    </row>
    <row r="26" spans="1:13" ht="184.7" customHeight="1" thickTop="1" thickBot="1" x14ac:dyDescent="0.25">
      <c r="A26" s="101" t="s">
        <v>247</v>
      </c>
      <c r="B26" s="101" t="s">
        <v>43</v>
      </c>
      <c r="C26" s="101" t="s">
        <v>42</v>
      </c>
      <c r="D26" s="101" t="s">
        <v>248</v>
      </c>
      <c r="E26" s="318" t="s">
        <v>1491</v>
      </c>
      <c r="F26" s="315" t="s">
        <v>1517</v>
      </c>
      <c r="G26" s="315">
        <f t="shared" si="1"/>
        <v>2081400</v>
      </c>
      <c r="H26" s="319">
        <f>(112000+1669400+100000+850000)-820000+170000</f>
        <v>2081400</v>
      </c>
      <c r="I26" s="315">
        <v>0</v>
      </c>
      <c r="J26" s="315">
        <v>0</v>
      </c>
      <c r="K26" s="878"/>
      <c r="L26" s="874"/>
      <c r="M26" s="874"/>
    </row>
    <row r="27" spans="1:13" ht="184.7" hidden="1" customHeight="1" thickTop="1" thickBot="1" x14ac:dyDescent="0.25">
      <c r="A27" s="126" t="s">
        <v>247</v>
      </c>
      <c r="B27" s="126" t="s">
        <v>43</v>
      </c>
      <c r="C27" s="126" t="s">
        <v>42</v>
      </c>
      <c r="D27" s="126" t="s">
        <v>248</v>
      </c>
      <c r="E27" s="253" t="s">
        <v>1248</v>
      </c>
      <c r="F27" s="194" t="s">
        <v>930</v>
      </c>
      <c r="G27" s="194">
        <f t="shared" si="1"/>
        <v>0</v>
      </c>
      <c r="H27" s="254">
        <v>0</v>
      </c>
      <c r="I27" s="194">
        <v>0</v>
      </c>
      <c r="J27" s="194">
        <v>0</v>
      </c>
      <c r="K27" s="137"/>
      <c r="L27" s="137"/>
      <c r="M27" s="137"/>
    </row>
    <row r="28" spans="1:13" ht="230.25" hidden="1" thickTop="1" thickBot="1" x14ac:dyDescent="0.25">
      <c r="A28" s="101" t="s">
        <v>247</v>
      </c>
      <c r="B28" s="101" t="s">
        <v>43</v>
      </c>
      <c r="C28" s="101" t="s">
        <v>42</v>
      </c>
      <c r="D28" s="101" t="s">
        <v>248</v>
      </c>
      <c r="E28" s="315" t="s">
        <v>1501</v>
      </c>
      <c r="F28" s="326" t="s">
        <v>1173</v>
      </c>
      <c r="G28" s="315">
        <f>H28+I28</f>
        <v>0</v>
      </c>
      <c r="H28" s="315">
        <f>((((90000000-10000000+32000000-67690000+1000000-2000000+30000000)-23310000)-30000000)-7182000)-12818000</f>
        <v>0</v>
      </c>
      <c r="I28" s="315">
        <v>0</v>
      </c>
      <c r="J28" s="315">
        <v>0</v>
      </c>
      <c r="K28" s="137"/>
      <c r="L28" s="137"/>
      <c r="M28" s="137"/>
    </row>
    <row r="29" spans="1:13" ht="184.5" thickTop="1" thickBot="1" x14ac:dyDescent="0.25">
      <c r="A29" s="101" t="s">
        <v>1594</v>
      </c>
      <c r="B29" s="101" t="s">
        <v>329</v>
      </c>
      <c r="C29" s="101" t="s">
        <v>191</v>
      </c>
      <c r="D29" s="461" t="s">
        <v>331</v>
      </c>
      <c r="E29" s="318" t="s">
        <v>1209</v>
      </c>
      <c r="F29" s="315" t="s">
        <v>864</v>
      </c>
      <c r="G29" s="315">
        <f>H29+I29</f>
        <v>2228000</v>
      </c>
      <c r="H29" s="315">
        <f>'d3'!E24</f>
        <v>2173000</v>
      </c>
      <c r="I29" s="315">
        <f>'d3'!J24</f>
        <v>55000</v>
      </c>
      <c r="J29" s="315">
        <f>'d3'!K24</f>
        <v>55000</v>
      </c>
      <c r="K29" s="137"/>
      <c r="L29" s="137"/>
      <c r="M29" s="137"/>
    </row>
    <row r="30" spans="1:13" ht="138.75" thickTop="1" thickBot="1" x14ac:dyDescent="0.25">
      <c r="A30" s="101" t="s">
        <v>238</v>
      </c>
      <c r="B30" s="101" t="s">
        <v>239</v>
      </c>
      <c r="C30" s="101" t="s">
        <v>240</v>
      </c>
      <c r="D30" s="101" t="s">
        <v>237</v>
      </c>
      <c r="E30" s="318" t="s">
        <v>1021</v>
      </c>
      <c r="F30" s="315" t="s">
        <v>853</v>
      </c>
      <c r="G30" s="315">
        <f t="shared" si="1"/>
        <v>5585400</v>
      </c>
      <c r="H30" s="315">
        <f>'d3'!E27</f>
        <v>5585400</v>
      </c>
      <c r="I30" s="315">
        <f>'d3'!J27</f>
        <v>0</v>
      </c>
      <c r="J30" s="315">
        <f>'d3'!K27</f>
        <v>0</v>
      </c>
      <c r="K30" s="95" t="b">
        <f>H30='d3'!E27</f>
        <v>1</v>
      </c>
      <c r="L30" s="456" t="b">
        <f>I30='d3'!J27</f>
        <v>1</v>
      </c>
      <c r="M30" s="544" t="b">
        <f>J30='d3'!K27</f>
        <v>1</v>
      </c>
    </row>
    <row r="31" spans="1:13" ht="138.75" hidden="1" thickTop="1" thickBot="1" x14ac:dyDescent="0.25">
      <c r="A31" s="41" t="s">
        <v>971</v>
      </c>
      <c r="B31" s="41" t="s">
        <v>972</v>
      </c>
      <c r="C31" s="41" t="s">
        <v>240</v>
      </c>
      <c r="D31" s="41" t="s">
        <v>973</v>
      </c>
      <c r="E31" s="256" t="s">
        <v>1021</v>
      </c>
      <c r="F31" s="73" t="s">
        <v>853</v>
      </c>
      <c r="G31" s="194">
        <f t="shared" si="1"/>
        <v>0</v>
      </c>
      <c r="H31" s="194">
        <f>'d3'!E28</f>
        <v>0</v>
      </c>
      <c r="I31" s="194">
        <f>'d3'!J28</f>
        <v>0</v>
      </c>
      <c r="J31" s="194">
        <f>'d3'!K28</f>
        <v>0</v>
      </c>
      <c r="K31" s="252" t="b">
        <f>H31='d3'!E28</f>
        <v>1</v>
      </c>
      <c r="L31" s="259" t="b">
        <f>I31='d3'!J28</f>
        <v>1</v>
      </c>
      <c r="M31" s="260" t="b">
        <f>J31='d3'!K28</f>
        <v>1</v>
      </c>
    </row>
    <row r="32" spans="1:13" ht="184.5" hidden="1" thickTop="1" thickBot="1" x14ac:dyDescent="0.25">
      <c r="A32" s="126" t="s">
        <v>1384</v>
      </c>
      <c r="B32" s="126" t="s">
        <v>212</v>
      </c>
      <c r="C32" s="126" t="s">
        <v>213</v>
      </c>
      <c r="D32" s="126" t="s">
        <v>41</v>
      </c>
      <c r="E32" s="253" t="s">
        <v>1421</v>
      </c>
      <c r="F32" s="194" t="s">
        <v>1422</v>
      </c>
      <c r="G32" s="194">
        <f t="shared" si="1"/>
        <v>0</v>
      </c>
      <c r="H32" s="194">
        <v>0</v>
      </c>
      <c r="I32" s="194">
        <v>0</v>
      </c>
      <c r="J32" s="194">
        <v>0</v>
      </c>
      <c r="K32" s="252" t="b">
        <f>'d3'!E30='d7'!H32</f>
        <v>1</v>
      </c>
      <c r="L32" s="259" t="b">
        <f>I32='d3'!J30</f>
        <v>1</v>
      </c>
      <c r="M32" s="260" t="b">
        <f>J32='d3'!K30</f>
        <v>1</v>
      </c>
    </row>
    <row r="33" spans="1:13" ht="138.75" thickTop="1" thickBot="1" x14ac:dyDescent="0.25">
      <c r="A33" s="101" t="s">
        <v>299</v>
      </c>
      <c r="B33" s="101" t="s">
        <v>300</v>
      </c>
      <c r="C33" s="101" t="s">
        <v>170</v>
      </c>
      <c r="D33" s="101" t="s">
        <v>441</v>
      </c>
      <c r="E33" s="318" t="s">
        <v>1491</v>
      </c>
      <c r="F33" s="315" t="s">
        <v>1517</v>
      </c>
      <c r="G33" s="315">
        <f t="shared" si="1"/>
        <v>329335</v>
      </c>
      <c r="H33" s="315">
        <f>'d3'!E31</f>
        <v>329335</v>
      </c>
      <c r="I33" s="315">
        <f>'d3'!J31</f>
        <v>0</v>
      </c>
      <c r="J33" s="315">
        <f>'d3'!K31</f>
        <v>0</v>
      </c>
      <c r="K33" s="95" t="b">
        <f>H33='d3'!E31</f>
        <v>1</v>
      </c>
      <c r="L33" s="456" t="b">
        <f>I33='d3'!J31</f>
        <v>1</v>
      </c>
      <c r="M33" s="544" t="b">
        <f>J33='d3'!K31</f>
        <v>1</v>
      </c>
    </row>
    <row r="34" spans="1:13" ht="292.7" customHeight="1" thickTop="1" thickBot="1" x14ac:dyDescent="0.7">
      <c r="A34" s="732" t="s">
        <v>339</v>
      </c>
      <c r="B34" s="732" t="s">
        <v>338</v>
      </c>
      <c r="C34" s="732" t="s">
        <v>170</v>
      </c>
      <c r="D34" s="551" t="s">
        <v>439</v>
      </c>
      <c r="E34" s="871" t="s">
        <v>1491</v>
      </c>
      <c r="F34" s="735" t="s">
        <v>1517</v>
      </c>
      <c r="G34" s="735">
        <f t="shared" si="1"/>
        <v>6515800</v>
      </c>
      <c r="H34" s="735">
        <f>'d3'!E33</f>
        <v>0</v>
      </c>
      <c r="I34" s="735">
        <f>'d3'!J33</f>
        <v>6515800</v>
      </c>
      <c r="J34" s="735">
        <f>'d3'!K33</f>
        <v>0</v>
      </c>
      <c r="K34" s="95" t="b">
        <f>H34='d3'!E33</f>
        <v>1</v>
      </c>
      <c r="L34" s="456" t="b">
        <f>I34='d3'!J33</f>
        <v>1</v>
      </c>
      <c r="M34" s="544" t="b">
        <f>J34='d3'!K33</f>
        <v>1</v>
      </c>
    </row>
    <row r="35" spans="1:13" ht="138.75" customHeight="1" thickTop="1" thickBot="1" x14ac:dyDescent="0.25">
      <c r="A35" s="743"/>
      <c r="B35" s="743"/>
      <c r="C35" s="743"/>
      <c r="D35" s="552" t="s">
        <v>440</v>
      </c>
      <c r="E35" s="872"/>
      <c r="F35" s="736"/>
      <c r="G35" s="881"/>
      <c r="H35" s="881"/>
      <c r="I35" s="881"/>
      <c r="J35" s="881"/>
      <c r="K35" s="137"/>
      <c r="L35" s="137"/>
      <c r="M35" s="137"/>
    </row>
    <row r="36" spans="1:13" ht="184.5" thickTop="1" thickBot="1" x14ac:dyDescent="0.25">
      <c r="A36" s="101" t="s">
        <v>909</v>
      </c>
      <c r="B36" s="101" t="s">
        <v>257</v>
      </c>
      <c r="C36" s="101" t="s">
        <v>170</v>
      </c>
      <c r="D36" s="101" t="s">
        <v>255</v>
      </c>
      <c r="E36" s="315" t="s">
        <v>1502</v>
      </c>
      <c r="F36" s="326" t="s">
        <v>1153</v>
      </c>
      <c r="G36" s="315">
        <f t="shared" ref="G36:G44" si="3">H36+I36</f>
        <v>2362000</v>
      </c>
      <c r="H36" s="315">
        <f>'d3'!E35</f>
        <v>2362000</v>
      </c>
      <c r="I36" s="315">
        <f>'d3'!J35</f>
        <v>0</v>
      </c>
      <c r="J36" s="315">
        <f>'d3'!K35</f>
        <v>0</v>
      </c>
      <c r="K36" s="137"/>
      <c r="L36" s="137"/>
      <c r="M36" s="137"/>
    </row>
    <row r="37" spans="1:13" ht="230.25" thickTop="1" thickBot="1" x14ac:dyDescent="0.25">
      <c r="A37" s="101" t="s">
        <v>1194</v>
      </c>
      <c r="B37" s="101" t="s">
        <v>1195</v>
      </c>
      <c r="C37" s="101" t="s">
        <v>1170</v>
      </c>
      <c r="D37" s="101" t="s">
        <v>1196</v>
      </c>
      <c r="E37" s="315" t="s">
        <v>1501</v>
      </c>
      <c r="F37" s="326" t="s">
        <v>1173</v>
      </c>
      <c r="G37" s="315">
        <f t="shared" si="3"/>
        <v>201100000</v>
      </c>
      <c r="H37" s="315">
        <f>((5000000+3000000+8000000+10000000)+6000000)+1074105.5+9000000</f>
        <v>42074105.5</v>
      </c>
      <c r="I37" s="315">
        <f>(((((25000000+15000000)+60500000)+25000000)-1074105.5+16000000)+10000000)+8600000</f>
        <v>159025894.5</v>
      </c>
      <c r="J37" s="315">
        <f>(((((25000000+15000000)+60500000)+25000000)-1074105.5+16000000)+10000000)+8600000</f>
        <v>159025894.5</v>
      </c>
      <c r="K37" s="95" t="b">
        <f>H37+H39+H38='d3'!E38</f>
        <v>1</v>
      </c>
      <c r="L37" s="456" t="b">
        <f>I37+I39+I38='d3'!J38</f>
        <v>1</v>
      </c>
      <c r="M37" s="456" t="b">
        <f>J37+J39+J38='d3'!K38</f>
        <v>1</v>
      </c>
    </row>
    <row r="38" spans="1:13" ht="138.75" hidden="1" thickTop="1" thickBot="1" x14ac:dyDescent="0.25">
      <c r="A38" s="101" t="s">
        <v>1194</v>
      </c>
      <c r="B38" s="101" t="s">
        <v>1195</v>
      </c>
      <c r="C38" s="101" t="s">
        <v>1170</v>
      </c>
      <c r="D38" s="101" t="s">
        <v>1196</v>
      </c>
      <c r="E38" s="101" t="s">
        <v>1492</v>
      </c>
      <c r="F38" s="315" t="s">
        <v>1518</v>
      </c>
      <c r="G38" s="315">
        <f t="shared" ref="G38" si="4">H38+I38</f>
        <v>0</v>
      </c>
      <c r="H38" s="315">
        <v>0</v>
      </c>
      <c r="I38" s="315">
        <v>0</v>
      </c>
      <c r="J38" s="315">
        <v>0</v>
      </c>
      <c r="K38" s="677"/>
      <c r="L38" s="677"/>
      <c r="M38" s="677"/>
    </row>
    <row r="39" spans="1:13" ht="321.75" hidden="1" thickTop="1" thickBot="1" x14ac:dyDescent="0.25">
      <c r="A39" s="126" t="s">
        <v>1194</v>
      </c>
      <c r="B39" s="126" t="s">
        <v>1195</v>
      </c>
      <c r="C39" s="126" t="s">
        <v>1170</v>
      </c>
      <c r="D39" s="126" t="s">
        <v>1196</v>
      </c>
      <c r="E39" s="194" t="s">
        <v>1370</v>
      </c>
      <c r="F39" s="194" t="s">
        <v>855</v>
      </c>
      <c r="G39" s="194">
        <f t="shared" si="3"/>
        <v>0</v>
      </c>
      <c r="H39" s="194">
        <v>0</v>
      </c>
      <c r="I39" s="194">
        <v>0</v>
      </c>
      <c r="J39" s="194">
        <v>0</v>
      </c>
      <c r="K39" s="137"/>
      <c r="L39" s="137"/>
      <c r="M39" s="137"/>
    </row>
    <row r="40" spans="1:13" ht="138.75" thickTop="1" thickBot="1" x14ac:dyDescent="0.25">
      <c r="A40" s="101" t="s">
        <v>1171</v>
      </c>
      <c r="B40" s="101" t="s">
        <v>1172</v>
      </c>
      <c r="C40" s="101" t="s">
        <v>1170</v>
      </c>
      <c r="D40" s="101" t="s">
        <v>1169</v>
      </c>
      <c r="E40" s="101" t="s">
        <v>1596</v>
      </c>
      <c r="F40" s="315" t="s">
        <v>1518</v>
      </c>
      <c r="G40" s="315">
        <f t="shared" si="3"/>
        <v>282000</v>
      </c>
      <c r="H40" s="315">
        <f>(5000000)-4718000</f>
        <v>282000</v>
      </c>
      <c r="I40" s="315">
        <v>0</v>
      </c>
      <c r="J40" s="315">
        <v>0</v>
      </c>
      <c r="K40" s="95" t="b">
        <f>H40+H41='d3'!E39</f>
        <v>1</v>
      </c>
      <c r="L40" s="456" t="b">
        <f>I40+I41='d3'!J39</f>
        <v>1</v>
      </c>
      <c r="M40" s="456" t="b">
        <f>J40+J41='d3'!K39</f>
        <v>1</v>
      </c>
    </row>
    <row r="41" spans="1:13" ht="138.75" thickTop="1" thickBot="1" x14ac:dyDescent="0.25">
      <c r="A41" s="101" t="s">
        <v>1171</v>
      </c>
      <c r="B41" s="101" t="s">
        <v>1172</v>
      </c>
      <c r="C41" s="101" t="s">
        <v>1170</v>
      </c>
      <c r="D41" s="101" t="s">
        <v>1169</v>
      </c>
      <c r="E41" s="315" t="s">
        <v>1519</v>
      </c>
      <c r="F41" s="315" t="s">
        <v>1520</v>
      </c>
      <c r="G41" s="315">
        <f>H41+I41</f>
        <v>10232405.34</v>
      </c>
      <c r="H41" s="315">
        <f>((((3862000)+760769+200000+370480+40000+435000+49750)+230000)+365000+200000+39000)+60000</f>
        <v>6611999</v>
      </c>
      <c r="I41" s="315">
        <f>(((0)+739231+1266175.34+1250000+124000+25000+485000)-230000)-39000</f>
        <v>3620406.34</v>
      </c>
      <c r="J41" s="315">
        <f>(((0)+739231+1266175.34+1250000+124000+25000+485000)-230000)-39000</f>
        <v>3620406.34</v>
      </c>
      <c r="K41" s="13"/>
      <c r="L41" s="13"/>
      <c r="M41" s="13"/>
    </row>
    <row r="42" spans="1:13" ht="138.75" thickTop="1" thickBot="1" x14ac:dyDescent="0.25">
      <c r="A42" s="101" t="s">
        <v>241</v>
      </c>
      <c r="B42" s="101" t="s">
        <v>242</v>
      </c>
      <c r="C42" s="101" t="s">
        <v>243</v>
      </c>
      <c r="D42" s="101" t="s">
        <v>244</v>
      </c>
      <c r="E42" s="315" t="s">
        <v>1521</v>
      </c>
      <c r="F42" s="315" t="s">
        <v>1522</v>
      </c>
      <c r="G42" s="315">
        <f t="shared" si="3"/>
        <v>10420000</v>
      </c>
      <c r="H42" s="315">
        <f>'d3'!E41</f>
        <v>10420000</v>
      </c>
      <c r="I42" s="315">
        <f>'d3'!J41</f>
        <v>0</v>
      </c>
      <c r="J42" s="315">
        <f>'d3'!K41</f>
        <v>0</v>
      </c>
      <c r="K42" s="95" t="b">
        <f>H42='d3'!E41</f>
        <v>1</v>
      </c>
      <c r="L42" s="456" t="b">
        <f>I42='d3'!J41</f>
        <v>1</v>
      </c>
      <c r="M42" s="544" t="b">
        <f>J42='d3'!K41</f>
        <v>1</v>
      </c>
    </row>
    <row r="43" spans="1:13" ht="184.5" thickTop="1" thickBot="1" x14ac:dyDescent="0.25">
      <c r="A43" s="101" t="s">
        <v>245</v>
      </c>
      <c r="B43" s="101" t="s">
        <v>246</v>
      </c>
      <c r="C43" s="101" t="s">
        <v>43</v>
      </c>
      <c r="D43" s="101" t="s">
        <v>442</v>
      </c>
      <c r="E43" s="318" t="s">
        <v>1491</v>
      </c>
      <c r="F43" s="315" t="s">
        <v>1517</v>
      </c>
      <c r="G43" s="315">
        <f t="shared" si="3"/>
        <v>1178000</v>
      </c>
      <c r="H43" s="319">
        <f>'d3'!E44</f>
        <v>1178000</v>
      </c>
      <c r="I43" s="315">
        <f>'d3'!J44</f>
        <v>0</v>
      </c>
      <c r="J43" s="315">
        <f>'d3'!K44</f>
        <v>0</v>
      </c>
      <c r="K43" s="95" t="b">
        <f>H43='d3'!E44</f>
        <v>1</v>
      </c>
      <c r="L43" s="456" t="b">
        <f>I43='d3'!J44</f>
        <v>1</v>
      </c>
      <c r="M43" s="456" t="b">
        <f>J43='d3'!K44</f>
        <v>1</v>
      </c>
    </row>
    <row r="44" spans="1:13" ht="138.75" thickTop="1" thickBot="1" x14ac:dyDescent="0.25">
      <c r="A44" s="101" t="s">
        <v>574</v>
      </c>
      <c r="B44" s="101" t="s">
        <v>363</v>
      </c>
      <c r="C44" s="101" t="s">
        <v>43</v>
      </c>
      <c r="D44" s="101" t="s">
        <v>364</v>
      </c>
      <c r="E44" s="318" t="s">
        <v>1491</v>
      </c>
      <c r="F44" s="315" t="s">
        <v>1517</v>
      </c>
      <c r="G44" s="315">
        <f t="shared" si="3"/>
        <v>155600</v>
      </c>
      <c r="H44" s="319">
        <f>'d3'!E45</f>
        <v>155600</v>
      </c>
      <c r="I44" s="315">
        <f>'d3'!J45</f>
        <v>0</v>
      </c>
      <c r="J44" s="315">
        <f>'d3'!K45</f>
        <v>0</v>
      </c>
      <c r="K44" s="95" t="b">
        <f>H44='d3'!E45</f>
        <v>1</v>
      </c>
      <c r="L44" s="456" t="b">
        <f>I44='d3'!J45</f>
        <v>1</v>
      </c>
      <c r="M44" s="456" t="b">
        <f>J44='d3'!K45</f>
        <v>1</v>
      </c>
    </row>
    <row r="45" spans="1:13" ht="230.25" thickTop="1" thickBot="1" x14ac:dyDescent="0.25">
      <c r="A45" s="101" t="s">
        <v>512</v>
      </c>
      <c r="B45" s="101" t="s">
        <v>513</v>
      </c>
      <c r="C45" s="101" t="s">
        <v>43</v>
      </c>
      <c r="D45" s="101" t="s">
        <v>514</v>
      </c>
      <c r="E45" s="315" t="s">
        <v>1501</v>
      </c>
      <c r="F45" s="326" t="s">
        <v>1173</v>
      </c>
      <c r="G45" s="315">
        <f t="shared" ref="G45:G57" si="5">H45+I45</f>
        <v>285675857.00000006</v>
      </c>
      <c r="H45" s="315">
        <f>((((((35873318.14-300000+2000000)+43144600)+500000-600000-400000-200000-6000000+6000000+72800+106000+60000-2000000+2000000-3000000+3000000+12000+1000+600000+264000+76418+225000-600000)-579000+280000)+11147686.62+3559500-6000000+500000-3147686.62+5000000-1559500+2000000+1300000+1000000)-13000-8260.6+8607+200000-3000000+1000000+150000+100000+150000+150000+199000+199000+52000+60000+1000000-927200)+1000000+1720000+500000+500000+2000000</f>
        <v>99376282.540000007</v>
      </c>
      <c r="I45" s="315">
        <f>((((((26816681.86-700000)+94834900)+3000000+7300000+3000000+900000+6954220+45780+1000000+2000000+400000+1200000+506250+280000-10025000+9800000+600000+300000)+7761000-280000)-3000000+2228283.13+771716.87-495000+494550-100000+90765-600000+537000-46400+119085+4000000+1200000+800000+200000+420000+1000000+6000000+8000000+2119159-5000000-3120000-2000000)-1986250+1999250+3276301.58-9900-139500.98-117000-200-1440-3000000-119085+110478+4656730+1000000+1000000+1600000+3000000+190000+927200)-5536907+2744178.2+1000000+1792728.8+6600000-2000000</f>
        <v>186299574.46000004</v>
      </c>
      <c r="J45" s="315">
        <f>((((((26816681.86-700000)+94834900)+3000000+7300000+3000000+900000+6954220+45780+1000000+2000000+400000+1200000+506250+280000-10025000+9800000+600000+300000)+7761000-280000)-3000000+2228283.13+771716.87-495000+494550-100000+90765-600000+537000-46400+119085+4000000+1200000+800000+200000+420000+1000000+6000000+8000000+2119159-5000000-3120000-2000000)-1986250+1999250+3276301.58-9900-139500.98-117000-200-1440-3000000-119085+110478+4656730+1000000+1000000+1600000+3000000+190000+927200)-5536907+2744178.2+1000000+1792728.8+6600000-2000000</f>
        <v>186299574.46000004</v>
      </c>
      <c r="K45" s="95" t="b">
        <f>H45+H46+H47+H48+H49+H50+H56+H51+H53+H55+H52+H57+H54='d3'!E46</f>
        <v>1</v>
      </c>
      <c r="L45" s="456" t="b">
        <f>I45+I46+I47+I48+I49+I50+I56+I53+I55+I51+I52+I57+I54='d3'!J46</f>
        <v>1</v>
      </c>
      <c r="M45" s="456" t="b">
        <f>J45+J46+J47+J48+J49+J50+J56+J53+J55+J51+J52+J57+J54='d3'!K46</f>
        <v>1</v>
      </c>
    </row>
    <row r="46" spans="1:13" ht="321.75" thickTop="1" thickBot="1" x14ac:dyDescent="0.25">
      <c r="A46" s="101" t="s">
        <v>512</v>
      </c>
      <c r="B46" s="101" t="s">
        <v>513</v>
      </c>
      <c r="C46" s="101" t="s">
        <v>43</v>
      </c>
      <c r="D46" s="101" t="s">
        <v>514</v>
      </c>
      <c r="E46" s="315" t="s">
        <v>1370</v>
      </c>
      <c r="F46" s="315" t="s">
        <v>855</v>
      </c>
      <c r="G46" s="315">
        <f t="shared" si="5"/>
        <v>5100000</v>
      </c>
      <c r="H46" s="315">
        <f>(((2900000)+880000+120000)+500000)+600000</f>
        <v>5000000</v>
      </c>
      <c r="I46" s="315">
        <v>100000</v>
      </c>
      <c r="J46" s="315">
        <v>100000</v>
      </c>
      <c r="K46" s="252"/>
      <c r="L46" s="259"/>
      <c r="M46" s="260"/>
    </row>
    <row r="47" spans="1:13" ht="230.25" thickTop="1" thickBot="1" x14ac:dyDescent="0.25">
      <c r="A47" s="101" t="s">
        <v>512</v>
      </c>
      <c r="B47" s="101" t="s">
        <v>513</v>
      </c>
      <c r="C47" s="101" t="s">
        <v>43</v>
      </c>
      <c r="D47" s="101" t="s">
        <v>514</v>
      </c>
      <c r="E47" s="315" t="s">
        <v>1025</v>
      </c>
      <c r="F47" s="315" t="s">
        <v>929</v>
      </c>
      <c r="G47" s="315">
        <f t="shared" si="5"/>
        <v>9464000</v>
      </c>
      <c r="H47" s="315">
        <f>(4214000)+2464000+732035</f>
        <v>7410035</v>
      </c>
      <c r="I47" s="315">
        <f>((786000)+1000000)+267965</f>
        <v>2053965</v>
      </c>
      <c r="J47" s="315">
        <f>((786000)+1000000)+267965</f>
        <v>2053965</v>
      </c>
      <c r="K47" s="252"/>
      <c r="L47" s="259"/>
      <c r="M47" s="260"/>
    </row>
    <row r="48" spans="1:13" ht="138.75" thickTop="1" thickBot="1" x14ac:dyDescent="0.25">
      <c r="A48" s="101" t="s">
        <v>512</v>
      </c>
      <c r="B48" s="101" t="s">
        <v>513</v>
      </c>
      <c r="C48" s="101" t="s">
        <v>43</v>
      </c>
      <c r="D48" s="101" t="s">
        <v>514</v>
      </c>
      <c r="E48" s="315" t="s">
        <v>1362</v>
      </c>
      <c r="F48" s="315" t="s">
        <v>1292</v>
      </c>
      <c r="G48" s="315">
        <f t="shared" si="5"/>
        <v>15220000</v>
      </c>
      <c r="H48" s="315">
        <f>((5000000)+7020000)+2700000</f>
        <v>14720000</v>
      </c>
      <c r="I48" s="315">
        <f>(0)+500000</f>
        <v>500000</v>
      </c>
      <c r="J48" s="315">
        <f>(0)+500000</f>
        <v>500000</v>
      </c>
      <c r="K48" s="252"/>
      <c r="L48" s="259"/>
      <c r="M48" s="260"/>
    </row>
    <row r="49" spans="1:13" ht="321.75" thickTop="1" thickBot="1" x14ac:dyDescent="0.25">
      <c r="A49" s="101" t="s">
        <v>512</v>
      </c>
      <c r="B49" s="101" t="s">
        <v>513</v>
      </c>
      <c r="C49" s="101" t="s">
        <v>43</v>
      </c>
      <c r="D49" s="101" t="s">
        <v>514</v>
      </c>
      <c r="E49" s="315" t="s">
        <v>1324</v>
      </c>
      <c r="F49" s="315" t="s">
        <v>1291</v>
      </c>
      <c r="G49" s="315">
        <f t="shared" si="5"/>
        <v>4500000</v>
      </c>
      <c r="H49" s="315">
        <v>0</v>
      </c>
      <c r="I49" s="315">
        <f>(4000000)+500000</f>
        <v>4500000</v>
      </c>
      <c r="J49" s="315">
        <f>(4000000)+500000</f>
        <v>4500000</v>
      </c>
      <c r="K49" s="252"/>
      <c r="L49" s="259"/>
      <c r="M49" s="260"/>
    </row>
    <row r="50" spans="1:13" ht="230.25" thickTop="1" thickBot="1" x14ac:dyDescent="0.25">
      <c r="A50" s="101" t="s">
        <v>512</v>
      </c>
      <c r="B50" s="101" t="s">
        <v>513</v>
      </c>
      <c r="C50" s="101" t="s">
        <v>43</v>
      </c>
      <c r="D50" s="101" t="s">
        <v>514</v>
      </c>
      <c r="E50" s="315" t="s">
        <v>1363</v>
      </c>
      <c r="F50" s="315" t="s">
        <v>1329</v>
      </c>
      <c r="G50" s="315">
        <f>H50+I50</f>
        <v>1500000</v>
      </c>
      <c r="H50" s="315">
        <v>1435000</v>
      </c>
      <c r="I50" s="315">
        <v>65000</v>
      </c>
      <c r="J50" s="315">
        <v>65000</v>
      </c>
      <c r="K50" s="252"/>
      <c r="L50" s="259"/>
      <c r="M50" s="260"/>
    </row>
    <row r="51" spans="1:13" ht="276" thickTop="1" thickBot="1" x14ac:dyDescent="0.25">
      <c r="A51" s="101" t="s">
        <v>512</v>
      </c>
      <c r="B51" s="101" t="s">
        <v>513</v>
      </c>
      <c r="C51" s="101" t="s">
        <v>43</v>
      </c>
      <c r="D51" s="101" t="s">
        <v>514</v>
      </c>
      <c r="E51" s="315" t="s">
        <v>1563</v>
      </c>
      <c r="F51" s="315" t="s">
        <v>1597</v>
      </c>
      <c r="G51" s="315">
        <f t="shared" si="5"/>
        <v>1085000</v>
      </c>
      <c r="H51" s="315">
        <f>1000000-400000</f>
        <v>600000</v>
      </c>
      <c r="I51" s="315">
        <v>485000</v>
      </c>
      <c r="J51" s="315">
        <v>485000</v>
      </c>
      <c r="K51" s="252"/>
      <c r="L51" s="259"/>
      <c r="M51" s="260"/>
    </row>
    <row r="52" spans="1:13" ht="230.25" hidden="1" thickTop="1" thickBot="1" x14ac:dyDescent="0.25">
      <c r="A52" s="126" t="s">
        <v>512</v>
      </c>
      <c r="B52" s="126" t="s">
        <v>513</v>
      </c>
      <c r="C52" s="126" t="s">
        <v>43</v>
      </c>
      <c r="D52" s="126" t="s">
        <v>514</v>
      </c>
      <c r="E52" s="194" t="s">
        <v>1385</v>
      </c>
      <c r="F52" s="194" t="s">
        <v>1386</v>
      </c>
      <c r="G52" s="194">
        <f t="shared" si="5"/>
        <v>0</v>
      </c>
      <c r="H52" s="194"/>
      <c r="I52" s="194"/>
      <c r="J52" s="194"/>
      <c r="K52" s="252"/>
      <c r="L52" s="259"/>
      <c r="M52" s="260"/>
    </row>
    <row r="53" spans="1:13" ht="230.25" hidden="1" thickTop="1" thickBot="1" x14ac:dyDescent="0.25">
      <c r="A53" s="101" t="s">
        <v>512</v>
      </c>
      <c r="B53" s="101" t="s">
        <v>513</v>
      </c>
      <c r="C53" s="101" t="s">
        <v>43</v>
      </c>
      <c r="D53" s="101" t="s">
        <v>514</v>
      </c>
      <c r="E53" s="315" t="s">
        <v>1562</v>
      </c>
      <c r="F53" s="315"/>
      <c r="G53" s="315">
        <f t="shared" si="5"/>
        <v>0</v>
      </c>
      <c r="H53" s="315">
        <v>0</v>
      </c>
      <c r="I53" s="315">
        <f>800000-800000</f>
        <v>0</v>
      </c>
      <c r="J53" s="315">
        <f>800000-800000</f>
        <v>0</v>
      </c>
      <c r="K53" s="252"/>
      <c r="L53" s="259"/>
      <c r="M53" s="260"/>
    </row>
    <row r="54" spans="1:13" ht="230.25" thickTop="1" thickBot="1" x14ac:dyDescent="0.25">
      <c r="A54" s="101" t="s">
        <v>512</v>
      </c>
      <c r="B54" s="101" t="s">
        <v>513</v>
      </c>
      <c r="C54" s="101" t="s">
        <v>43</v>
      </c>
      <c r="D54" s="101" t="s">
        <v>514</v>
      </c>
      <c r="E54" s="315" t="s">
        <v>1608</v>
      </c>
      <c r="F54" s="315" t="s">
        <v>1598</v>
      </c>
      <c r="G54" s="315">
        <f t="shared" si="5"/>
        <v>70000</v>
      </c>
      <c r="H54" s="315">
        <f>(24000+20000+15000+11000)</f>
        <v>70000</v>
      </c>
      <c r="I54" s="315">
        <v>0</v>
      </c>
      <c r="J54" s="315">
        <v>0</v>
      </c>
      <c r="K54" s="252"/>
      <c r="L54" s="259"/>
      <c r="M54" s="260"/>
    </row>
    <row r="55" spans="1:13" ht="313.5" thickTop="1" thickBot="1" x14ac:dyDescent="0.25">
      <c r="A55" s="101" t="s">
        <v>512</v>
      </c>
      <c r="B55" s="101" t="s">
        <v>513</v>
      </c>
      <c r="C55" s="101" t="s">
        <v>43</v>
      </c>
      <c r="D55" s="101" t="s">
        <v>514</v>
      </c>
      <c r="E55" s="706" t="s">
        <v>1312</v>
      </c>
      <c r="F55" s="315" t="s">
        <v>1313</v>
      </c>
      <c r="G55" s="315">
        <f t="shared" si="5"/>
        <v>200000</v>
      </c>
      <c r="H55" s="315">
        <v>200000</v>
      </c>
      <c r="I55" s="315">
        <v>0</v>
      </c>
      <c r="J55" s="315">
        <v>0</v>
      </c>
      <c r="K55" s="252"/>
      <c r="L55" s="259"/>
      <c r="M55" s="260"/>
    </row>
    <row r="56" spans="1:13" ht="184.5" thickTop="1" thickBot="1" x14ac:dyDescent="0.25">
      <c r="A56" s="101" t="s">
        <v>512</v>
      </c>
      <c r="B56" s="101" t="s">
        <v>513</v>
      </c>
      <c r="C56" s="101" t="s">
        <v>43</v>
      </c>
      <c r="D56" s="101" t="s">
        <v>514</v>
      </c>
      <c r="E56" s="315" t="s">
        <v>1280</v>
      </c>
      <c r="F56" s="315" t="s">
        <v>946</v>
      </c>
      <c r="G56" s="315">
        <f t="shared" si="5"/>
        <v>250000</v>
      </c>
      <c r="H56" s="315">
        <v>250000</v>
      </c>
      <c r="I56" s="315">
        <v>0</v>
      </c>
      <c r="J56" s="315">
        <v>0</v>
      </c>
      <c r="K56" s="252"/>
      <c r="L56" s="259"/>
      <c r="M56" s="260"/>
    </row>
    <row r="57" spans="1:13" ht="230.25" hidden="1" thickTop="1" thickBot="1" x14ac:dyDescent="0.25">
      <c r="A57" s="126" t="s">
        <v>512</v>
      </c>
      <c r="B57" s="126" t="s">
        <v>513</v>
      </c>
      <c r="C57" s="126" t="s">
        <v>43</v>
      </c>
      <c r="D57" s="126" t="s">
        <v>514</v>
      </c>
      <c r="E57" s="194" t="s">
        <v>1425</v>
      </c>
      <c r="F57" s="194" t="s">
        <v>1426</v>
      </c>
      <c r="G57" s="194">
        <f t="shared" si="5"/>
        <v>0</v>
      </c>
      <c r="H57" s="194"/>
      <c r="I57" s="194"/>
      <c r="J57" s="194"/>
      <c r="K57" s="252"/>
      <c r="L57" s="259"/>
      <c r="M57" s="260"/>
    </row>
    <row r="58" spans="1:13" ht="170.25" customHeight="1" thickTop="1" thickBot="1" x14ac:dyDescent="0.25">
      <c r="A58" s="689" t="s">
        <v>152</v>
      </c>
      <c r="B58" s="689"/>
      <c r="C58" s="689"/>
      <c r="D58" s="690" t="s">
        <v>0</v>
      </c>
      <c r="E58" s="689"/>
      <c r="F58" s="689"/>
      <c r="G58" s="692">
        <f>G59</f>
        <v>2554690274.6900001</v>
      </c>
      <c r="H58" s="692">
        <f t="shared" ref="H58:J58" si="6">H59</f>
        <v>2159938074.4100003</v>
      </c>
      <c r="I58" s="692">
        <f t="shared" si="6"/>
        <v>394752200.27999997</v>
      </c>
      <c r="J58" s="692">
        <f t="shared" si="6"/>
        <v>168132646.13000003</v>
      </c>
      <c r="K58" s="95" t="b">
        <f>H58='d3'!E48</f>
        <v>1</v>
      </c>
      <c r="L58" s="456" t="b">
        <f>I58='d3'!J48</f>
        <v>1</v>
      </c>
      <c r="M58" s="544" t="b">
        <f>J58='d3'!K47</f>
        <v>1</v>
      </c>
    </row>
    <row r="59" spans="1:13" ht="170.25" customHeight="1" thickTop="1" thickBot="1" x14ac:dyDescent="0.25">
      <c r="A59" s="693" t="s">
        <v>153</v>
      </c>
      <c r="B59" s="693"/>
      <c r="C59" s="693"/>
      <c r="D59" s="694" t="s">
        <v>1</v>
      </c>
      <c r="E59" s="695"/>
      <c r="F59" s="695"/>
      <c r="G59" s="695">
        <f>SUM(G60:G105)</f>
        <v>2554690274.6900001</v>
      </c>
      <c r="H59" s="695">
        <f>SUM(H60:H105)</f>
        <v>2159938074.4100003</v>
      </c>
      <c r="I59" s="695">
        <f>SUM(I60:I105)</f>
        <v>394752200.27999997</v>
      </c>
      <c r="J59" s="695">
        <f>SUM(J60:J105)</f>
        <v>168132646.13000003</v>
      </c>
      <c r="K59" s="137"/>
      <c r="L59" s="137"/>
      <c r="M59" s="137"/>
    </row>
    <row r="60" spans="1:13" ht="138.75" thickTop="1" thickBot="1" x14ac:dyDescent="0.25">
      <c r="A60" s="101" t="s">
        <v>198</v>
      </c>
      <c r="B60" s="101" t="s">
        <v>199</v>
      </c>
      <c r="C60" s="101" t="s">
        <v>201</v>
      </c>
      <c r="D60" s="101" t="s">
        <v>202</v>
      </c>
      <c r="E60" s="318" t="s">
        <v>1378</v>
      </c>
      <c r="F60" s="315" t="s">
        <v>1150</v>
      </c>
      <c r="G60" s="315">
        <f t="shared" ref="G60:G79" si="7">H60+I60</f>
        <v>690111676.47000003</v>
      </c>
      <c r="H60" s="315">
        <f>'d3'!E50-H61-H62</f>
        <v>593676222.47000003</v>
      </c>
      <c r="I60" s="315">
        <f>'d3'!J50-I61-I62</f>
        <v>96435454</v>
      </c>
      <c r="J60" s="315">
        <f>'d3'!K50-J61-J62</f>
        <v>748784</v>
      </c>
      <c r="K60" s="95" t="b">
        <f>H60+H61+H62='d3'!E50</f>
        <v>1</v>
      </c>
      <c r="L60" s="456" t="b">
        <f>I60+I61+I62='d3'!J50</f>
        <v>1</v>
      </c>
      <c r="M60" s="456" t="b">
        <f>J60+J61+J62='d3'!K50</f>
        <v>1</v>
      </c>
    </row>
    <row r="61" spans="1:13" ht="184.5" thickTop="1" thickBot="1" x14ac:dyDescent="0.25">
      <c r="A61" s="101" t="s">
        <v>198</v>
      </c>
      <c r="B61" s="101" t="s">
        <v>199</v>
      </c>
      <c r="C61" s="101" t="s">
        <v>201</v>
      </c>
      <c r="D61" s="101" t="s">
        <v>202</v>
      </c>
      <c r="E61" s="318" t="s">
        <v>1587</v>
      </c>
      <c r="F61" s="315" t="s">
        <v>1588</v>
      </c>
      <c r="G61" s="315">
        <f>H61+I61</f>
        <v>669968</v>
      </c>
      <c r="H61" s="315">
        <f>(235238+334730)+28003.98</f>
        <v>597971.98</v>
      </c>
      <c r="I61" s="315">
        <f>(100000)-28003.98</f>
        <v>71996.02</v>
      </c>
      <c r="J61" s="315">
        <f>(100000)-28003.98</f>
        <v>71996.02</v>
      </c>
      <c r="K61" s="137"/>
      <c r="L61" s="137"/>
      <c r="M61" s="137"/>
    </row>
    <row r="62" spans="1:13" ht="321.75" thickTop="1" thickBot="1" x14ac:dyDescent="0.25">
      <c r="A62" s="101" t="s">
        <v>198</v>
      </c>
      <c r="B62" s="101" t="s">
        <v>199</v>
      </c>
      <c r="C62" s="101" t="s">
        <v>201</v>
      </c>
      <c r="D62" s="101" t="s">
        <v>202</v>
      </c>
      <c r="E62" s="315" t="s">
        <v>1370</v>
      </c>
      <c r="F62" s="315" t="s">
        <v>855</v>
      </c>
      <c r="G62" s="315">
        <f t="shared" si="7"/>
        <v>100000</v>
      </c>
      <c r="H62" s="315">
        <v>100000</v>
      </c>
      <c r="I62" s="315"/>
      <c r="J62" s="315"/>
      <c r="K62" s="137"/>
      <c r="L62" s="137"/>
      <c r="M62" s="137"/>
    </row>
    <row r="63" spans="1:13" ht="138.75" thickTop="1" thickBot="1" x14ac:dyDescent="0.25">
      <c r="A63" s="101" t="s">
        <v>639</v>
      </c>
      <c r="B63" s="101" t="s">
        <v>640</v>
      </c>
      <c r="C63" s="101" t="s">
        <v>204</v>
      </c>
      <c r="D63" s="101" t="s">
        <v>1257</v>
      </c>
      <c r="E63" s="318" t="s">
        <v>1378</v>
      </c>
      <c r="F63" s="315" t="s">
        <v>1150</v>
      </c>
      <c r="G63" s="315">
        <f t="shared" si="7"/>
        <v>577043756.84000003</v>
      </c>
      <c r="H63" s="315">
        <f>'d3'!E52-H64-H65-H66</f>
        <v>472823475.72000003</v>
      </c>
      <c r="I63" s="315">
        <f>'d3'!J52-I64-I65-I66</f>
        <v>104220281.12</v>
      </c>
      <c r="J63" s="315">
        <f>'d3'!K52-J64-J65-J66</f>
        <v>26598061.120000001</v>
      </c>
      <c r="K63" s="95" t="b">
        <f>H63+H64+H65+H66='d3'!E52</f>
        <v>1</v>
      </c>
      <c r="L63" s="456" t="b">
        <f>I63+I64+I65+I66='d3'!J52</f>
        <v>1</v>
      </c>
      <c r="M63" s="456" t="b">
        <f>J63+J64+J65='d3'!K52</f>
        <v>1</v>
      </c>
    </row>
    <row r="64" spans="1:13" ht="184.5" thickTop="1" thickBot="1" x14ac:dyDescent="0.25">
      <c r="A64" s="101" t="s">
        <v>639</v>
      </c>
      <c r="B64" s="101" t="s">
        <v>640</v>
      </c>
      <c r="C64" s="101" t="s">
        <v>204</v>
      </c>
      <c r="D64" s="101" t="s">
        <v>1257</v>
      </c>
      <c r="E64" s="318" t="s">
        <v>1587</v>
      </c>
      <c r="F64" s="315" t="s">
        <v>1588</v>
      </c>
      <c r="G64" s="315">
        <f t="shared" si="7"/>
        <v>854242</v>
      </c>
      <c r="H64" s="315">
        <f>(6400+252942)-252942</f>
        <v>6400</v>
      </c>
      <c r="I64" s="315">
        <f>(594900)+252942</f>
        <v>847842</v>
      </c>
      <c r="J64" s="315">
        <f>(594900)+252942</f>
        <v>847842</v>
      </c>
      <c r="K64" s="256"/>
      <c r="L64" s="137"/>
      <c r="M64" s="137"/>
    </row>
    <row r="65" spans="1:13" ht="138.75" hidden="1" thickTop="1" thickBot="1" x14ac:dyDescent="0.25">
      <c r="A65" s="41" t="s">
        <v>639</v>
      </c>
      <c r="B65" s="41" t="s">
        <v>640</v>
      </c>
      <c r="C65" s="41" t="s">
        <v>204</v>
      </c>
      <c r="D65" s="126" t="s">
        <v>1257</v>
      </c>
      <c r="E65" s="253" t="s">
        <v>1149</v>
      </c>
      <c r="F65" s="194" t="s">
        <v>1150</v>
      </c>
      <c r="G65" s="73">
        <f>H65+I65</f>
        <v>0</v>
      </c>
      <c r="H65" s="73">
        <v>0</v>
      </c>
      <c r="I65" s="73">
        <v>0</v>
      </c>
      <c r="J65" s="73">
        <v>0</v>
      </c>
      <c r="K65" s="137"/>
      <c r="L65" s="137"/>
      <c r="M65" s="137"/>
    </row>
    <row r="66" spans="1:13" ht="321.75" thickTop="1" thickBot="1" x14ac:dyDescent="0.25">
      <c r="A66" s="101" t="s">
        <v>639</v>
      </c>
      <c r="B66" s="101" t="s">
        <v>640</v>
      </c>
      <c r="C66" s="101" t="s">
        <v>204</v>
      </c>
      <c r="D66" s="101" t="s">
        <v>1257</v>
      </c>
      <c r="E66" s="315" t="s">
        <v>1370</v>
      </c>
      <c r="F66" s="315" t="s">
        <v>855</v>
      </c>
      <c r="G66" s="315">
        <f t="shared" si="7"/>
        <v>200000</v>
      </c>
      <c r="H66" s="315">
        <v>200000</v>
      </c>
      <c r="I66" s="315"/>
      <c r="J66" s="315"/>
      <c r="K66" s="137"/>
      <c r="L66" s="137"/>
      <c r="M66" s="137"/>
    </row>
    <row r="67" spans="1:13" ht="230.25" thickTop="1" thickBot="1" x14ac:dyDescent="0.25">
      <c r="A67" s="101" t="s">
        <v>648</v>
      </c>
      <c r="B67" s="101" t="s">
        <v>649</v>
      </c>
      <c r="C67" s="101" t="s">
        <v>207</v>
      </c>
      <c r="D67" s="101" t="s">
        <v>1258</v>
      </c>
      <c r="E67" s="318" t="s">
        <v>1378</v>
      </c>
      <c r="F67" s="315" t="s">
        <v>1150</v>
      </c>
      <c r="G67" s="315">
        <f t="shared" si="7"/>
        <v>29588404</v>
      </c>
      <c r="H67" s="315">
        <f>'d3'!E53-H68</f>
        <v>29318388</v>
      </c>
      <c r="I67" s="315">
        <f>'d3'!J53-I68</f>
        <v>270016</v>
      </c>
      <c r="J67" s="315">
        <f>'d3'!K53-J68</f>
        <v>97866</v>
      </c>
      <c r="K67" s="95" t="b">
        <f>H67+H68='d3'!E53</f>
        <v>1</v>
      </c>
      <c r="L67" s="95" t="b">
        <f>I67+I68='d3'!J53</f>
        <v>1</v>
      </c>
      <c r="M67" s="95" t="b">
        <f>J67+J68='d3'!K53</f>
        <v>1</v>
      </c>
    </row>
    <row r="68" spans="1:13" ht="184.5" hidden="1" thickTop="1" thickBot="1" x14ac:dyDescent="0.25">
      <c r="A68" s="41" t="s">
        <v>648</v>
      </c>
      <c r="B68" s="41" t="s">
        <v>649</v>
      </c>
      <c r="C68" s="41" t="s">
        <v>207</v>
      </c>
      <c r="D68" s="41" t="s">
        <v>496</v>
      </c>
      <c r="E68" s="256" t="s">
        <v>582</v>
      </c>
      <c r="F68" s="73" t="s">
        <v>407</v>
      </c>
      <c r="G68" s="73">
        <f t="shared" si="7"/>
        <v>0</v>
      </c>
      <c r="H68" s="73">
        <v>0</v>
      </c>
      <c r="I68" s="73"/>
      <c r="J68" s="73"/>
      <c r="K68" s="256" t="s">
        <v>562</v>
      </c>
      <c r="L68" s="137"/>
      <c r="M68" s="137"/>
    </row>
    <row r="69" spans="1:13" ht="138.75" thickTop="1" thickBot="1" x14ac:dyDescent="0.25">
      <c r="A69" s="101" t="s">
        <v>989</v>
      </c>
      <c r="B69" s="101" t="s">
        <v>990</v>
      </c>
      <c r="C69" s="101" t="s">
        <v>207</v>
      </c>
      <c r="D69" s="101" t="s">
        <v>1259</v>
      </c>
      <c r="E69" s="318" t="s">
        <v>1378</v>
      </c>
      <c r="F69" s="315" t="s">
        <v>1150</v>
      </c>
      <c r="G69" s="315">
        <f t="shared" si="7"/>
        <v>19529291</v>
      </c>
      <c r="H69" s="315">
        <f>'d3'!E54</f>
        <v>18779291</v>
      </c>
      <c r="I69" s="315">
        <f>'d3'!J54</f>
        <v>750000</v>
      </c>
      <c r="J69" s="315">
        <f>'d3'!K54</f>
        <v>750000</v>
      </c>
      <c r="K69" s="262"/>
      <c r="L69" s="137"/>
      <c r="M69" s="137"/>
    </row>
    <row r="70" spans="1:13" ht="138.75" thickTop="1" thickBot="1" x14ac:dyDescent="0.25">
      <c r="A70" s="101" t="s">
        <v>655</v>
      </c>
      <c r="B70" s="101" t="s">
        <v>656</v>
      </c>
      <c r="C70" s="101" t="s">
        <v>204</v>
      </c>
      <c r="D70" s="101" t="s">
        <v>1260</v>
      </c>
      <c r="E70" s="318" t="s">
        <v>1378</v>
      </c>
      <c r="F70" s="315" t="s">
        <v>1150</v>
      </c>
      <c r="G70" s="315">
        <f t="shared" si="7"/>
        <v>726545553</v>
      </c>
      <c r="H70" s="315">
        <f>'d3'!E56</f>
        <v>726545553</v>
      </c>
      <c r="I70" s="315">
        <f>'d3'!J56</f>
        <v>0</v>
      </c>
      <c r="J70" s="315">
        <f>'d3'!K56</f>
        <v>0</v>
      </c>
      <c r="K70" s="262"/>
      <c r="L70" s="137"/>
      <c r="M70" s="137"/>
    </row>
    <row r="71" spans="1:13" ht="138.75" thickTop="1" thickBot="1" x14ac:dyDescent="0.25">
      <c r="A71" s="101" t="s">
        <v>1112</v>
      </c>
      <c r="B71" s="101" t="s">
        <v>1113</v>
      </c>
      <c r="C71" s="101" t="s">
        <v>207</v>
      </c>
      <c r="D71" s="101" t="s">
        <v>1261</v>
      </c>
      <c r="E71" s="318" t="s">
        <v>1378</v>
      </c>
      <c r="F71" s="315" t="s">
        <v>1150</v>
      </c>
      <c r="G71" s="315">
        <f t="shared" ref="G71" si="8">H71+I71</f>
        <v>9475350</v>
      </c>
      <c r="H71" s="315">
        <f>'d3'!E57</f>
        <v>9475350</v>
      </c>
      <c r="I71" s="315">
        <f>'d3'!J57</f>
        <v>0</v>
      </c>
      <c r="J71" s="315">
        <f>'d3'!K57</f>
        <v>0</v>
      </c>
      <c r="K71" s="262"/>
      <c r="L71" s="137"/>
      <c r="M71" s="137"/>
    </row>
    <row r="72" spans="1:13" ht="359.25" thickTop="1" thickBot="1" x14ac:dyDescent="0.25">
      <c r="A72" s="101" t="s">
        <v>926</v>
      </c>
      <c r="B72" s="101" t="s">
        <v>927</v>
      </c>
      <c r="C72" s="101" t="s">
        <v>204</v>
      </c>
      <c r="D72" s="625" t="s">
        <v>1539</v>
      </c>
      <c r="E72" s="318" t="s">
        <v>1378</v>
      </c>
      <c r="F72" s="315" t="s">
        <v>1150</v>
      </c>
      <c r="G72" s="315">
        <f t="shared" si="7"/>
        <v>128512.77</v>
      </c>
      <c r="H72" s="315">
        <f>'d3'!E59</f>
        <v>128512.77</v>
      </c>
      <c r="I72" s="315">
        <f>'d3'!J59</f>
        <v>0</v>
      </c>
      <c r="J72" s="315">
        <f>'d3'!K59</f>
        <v>0</v>
      </c>
      <c r="K72" s="265"/>
      <c r="L72" s="137"/>
      <c r="M72" s="137"/>
    </row>
    <row r="73" spans="1:13" ht="138.75" thickTop="1" thickBot="1" x14ac:dyDescent="0.25">
      <c r="A73" s="101" t="s">
        <v>657</v>
      </c>
      <c r="B73" s="101" t="s">
        <v>206</v>
      </c>
      <c r="C73" s="101" t="s">
        <v>181</v>
      </c>
      <c r="D73" s="101" t="s">
        <v>498</v>
      </c>
      <c r="E73" s="318" t="s">
        <v>1378</v>
      </c>
      <c r="F73" s="315" t="s">
        <v>1150</v>
      </c>
      <c r="G73" s="315">
        <f t="shared" si="7"/>
        <v>37545018</v>
      </c>
      <c r="H73" s="315">
        <f>'d3'!E60-H75-H74</f>
        <v>34141358</v>
      </c>
      <c r="I73" s="315">
        <f>'d3'!J60-I75-I74</f>
        <v>3403660</v>
      </c>
      <c r="J73" s="315">
        <f>'d3'!K60-J75-J74</f>
        <v>2300000</v>
      </c>
      <c r="K73" s="95" t="b">
        <f>H73+H75+H74='d3'!E60</f>
        <v>1</v>
      </c>
      <c r="L73" s="95" t="b">
        <f>I73+I75+I74='d3'!J60</f>
        <v>1</v>
      </c>
      <c r="M73" s="95" t="b">
        <f>J73+J75+J74='d3'!K60</f>
        <v>1</v>
      </c>
    </row>
    <row r="74" spans="1:13" ht="184.5" thickTop="1" thickBot="1" x14ac:dyDescent="0.25">
      <c r="A74" s="101" t="s">
        <v>657</v>
      </c>
      <c r="B74" s="101" t="s">
        <v>206</v>
      </c>
      <c r="C74" s="101" t="s">
        <v>181</v>
      </c>
      <c r="D74" s="101" t="s">
        <v>498</v>
      </c>
      <c r="E74" s="318" t="s">
        <v>1587</v>
      </c>
      <c r="F74" s="315" t="s">
        <v>1588</v>
      </c>
      <c r="G74" s="315">
        <f t="shared" si="7"/>
        <v>563672</v>
      </c>
      <c r="H74" s="315">
        <f>487838</f>
        <v>487838</v>
      </c>
      <c r="I74" s="315">
        <v>75834</v>
      </c>
      <c r="J74" s="315">
        <v>75834</v>
      </c>
      <c r="K74" s="677"/>
      <c r="L74" s="677"/>
      <c r="M74" s="677"/>
    </row>
    <row r="75" spans="1:13" ht="321.75" thickTop="1" thickBot="1" x14ac:dyDescent="0.25">
      <c r="A75" s="101" t="s">
        <v>657</v>
      </c>
      <c r="B75" s="101" t="s">
        <v>206</v>
      </c>
      <c r="C75" s="101" t="s">
        <v>181</v>
      </c>
      <c r="D75" s="101" t="s">
        <v>498</v>
      </c>
      <c r="E75" s="315" t="s">
        <v>1370</v>
      </c>
      <c r="F75" s="315" t="s">
        <v>855</v>
      </c>
      <c r="G75" s="315">
        <f t="shared" si="7"/>
        <v>50000</v>
      </c>
      <c r="H75" s="315">
        <v>50000</v>
      </c>
      <c r="I75" s="315"/>
      <c r="J75" s="315"/>
      <c r="K75" s="137"/>
      <c r="L75" s="137"/>
      <c r="M75" s="137"/>
    </row>
    <row r="76" spans="1:13" ht="184.5" thickTop="1" thickBot="1" x14ac:dyDescent="0.25">
      <c r="A76" s="101" t="s">
        <v>658</v>
      </c>
      <c r="B76" s="101" t="s">
        <v>659</v>
      </c>
      <c r="C76" s="101" t="s">
        <v>209</v>
      </c>
      <c r="D76" s="101" t="s">
        <v>660</v>
      </c>
      <c r="E76" s="318" t="s">
        <v>1378</v>
      </c>
      <c r="F76" s="315" t="s">
        <v>1150</v>
      </c>
      <c r="G76" s="315">
        <f t="shared" si="7"/>
        <v>202997435.19999996</v>
      </c>
      <c r="H76" s="315">
        <f>'d3'!E62-H78-H77</f>
        <v>165980254.19999996</v>
      </c>
      <c r="I76" s="315">
        <f>'d3'!J62-I78-I77</f>
        <v>37017181</v>
      </c>
      <c r="J76" s="315">
        <f>'d3'!K62-J78-J77</f>
        <v>1979121</v>
      </c>
      <c r="K76" s="95" t="b">
        <f>H76+H78+H77='d3'!E62</f>
        <v>1</v>
      </c>
      <c r="L76" s="95" t="b">
        <f>I76+I78+I77='d3'!J62</f>
        <v>1</v>
      </c>
      <c r="M76" s="95" t="b">
        <f>J76+J78+J77='d3'!K62</f>
        <v>1</v>
      </c>
    </row>
    <row r="77" spans="1:13" ht="184.5" thickTop="1" thickBot="1" x14ac:dyDescent="0.25">
      <c r="A77" s="101" t="s">
        <v>658</v>
      </c>
      <c r="B77" s="101" t="s">
        <v>659</v>
      </c>
      <c r="C77" s="101" t="s">
        <v>209</v>
      </c>
      <c r="D77" s="101" t="s">
        <v>660</v>
      </c>
      <c r="E77" s="318" t="s">
        <v>1587</v>
      </c>
      <c r="F77" s="315" t="s">
        <v>1588</v>
      </c>
      <c r="G77" s="315">
        <f t="shared" si="7"/>
        <v>347124</v>
      </c>
      <c r="H77" s="315">
        <v>26316</v>
      </c>
      <c r="I77" s="315">
        <v>320808</v>
      </c>
      <c r="J77" s="315">
        <v>320808</v>
      </c>
      <c r="K77" s="677"/>
      <c r="L77" s="677"/>
      <c r="M77" s="677"/>
    </row>
    <row r="78" spans="1:13" ht="321.75" thickTop="1" thickBot="1" x14ac:dyDescent="0.25">
      <c r="A78" s="101" t="s">
        <v>658</v>
      </c>
      <c r="B78" s="101" t="s">
        <v>659</v>
      </c>
      <c r="C78" s="101" t="s">
        <v>209</v>
      </c>
      <c r="D78" s="101" t="s">
        <v>660</v>
      </c>
      <c r="E78" s="315" t="s">
        <v>1370</v>
      </c>
      <c r="F78" s="315" t="s">
        <v>855</v>
      </c>
      <c r="G78" s="315">
        <f t="shared" si="7"/>
        <v>50000</v>
      </c>
      <c r="H78" s="315">
        <v>50000</v>
      </c>
      <c r="I78" s="315"/>
      <c r="J78" s="315"/>
      <c r="K78" s="137"/>
      <c r="L78" s="137"/>
      <c r="M78" s="137"/>
    </row>
    <row r="79" spans="1:13" ht="138.75" thickTop="1" thickBot="1" x14ac:dyDescent="0.25">
      <c r="A79" s="101" t="s">
        <v>662</v>
      </c>
      <c r="B79" s="101" t="s">
        <v>661</v>
      </c>
      <c r="C79" s="101" t="s">
        <v>209</v>
      </c>
      <c r="D79" s="101" t="s">
        <v>663</v>
      </c>
      <c r="E79" s="318" t="s">
        <v>1378</v>
      </c>
      <c r="F79" s="315" t="s">
        <v>1150</v>
      </c>
      <c r="G79" s="315">
        <f t="shared" si="7"/>
        <v>23935400</v>
      </c>
      <c r="H79" s="315">
        <f>'d3'!E63</f>
        <v>23935400</v>
      </c>
      <c r="I79" s="315">
        <f>'d3'!J63</f>
        <v>0</v>
      </c>
      <c r="J79" s="315">
        <f>'d3'!K63</f>
        <v>0</v>
      </c>
      <c r="K79" s="137"/>
      <c r="L79" s="137"/>
      <c r="M79" s="137"/>
    </row>
    <row r="80" spans="1:13" ht="138.75" thickTop="1" thickBot="1" x14ac:dyDescent="0.25">
      <c r="A80" s="101" t="s">
        <v>667</v>
      </c>
      <c r="B80" s="101" t="s">
        <v>668</v>
      </c>
      <c r="C80" s="101" t="s">
        <v>210</v>
      </c>
      <c r="D80" s="101" t="s">
        <v>500</v>
      </c>
      <c r="E80" s="318" t="s">
        <v>1378</v>
      </c>
      <c r="F80" s="315" t="s">
        <v>1150</v>
      </c>
      <c r="G80" s="315">
        <f t="shared" ref="G80" si="9">H80+I80</f>
        <v>28196630.129999999</v>
      </c>
      <c r="H80" s="315">
        <f>'d3'!E65</f>
        <v>27558034</v>
      </c>
      <c r="I80" s="315">
        <f>'d3'!J65</f>
        <v>638596.13000000012</v>
      </c>
      <c r="J80" s="315">
        <f>'d3'!K65</f>
        <v>426756.13000000012</v>
      </c>
      <c r="K80" s="137"/>
      <c r="L80" s="137"/>
      <c r="M80" s="137"/>
    </row>
    <row r="81" spans="1:13" ht="138.75" thickTop="1" thickBot="1" x14ac:dyDescent="0.25">
      <c r="A81" s="101" t="s">
        <v>669</v>
      </c>
      <c r="B81" s="101" t="s">
        <v>670</v>
      </c>
      <c r="C81" s="101" t="s">
        <v>210</v>
      </c>
      <c r="D81" s="101" t="s">
        <v>337</v>
      </c>
      <c r="E81" s="318" t="s">
        <v>1378</v>
      </c>
      <c r="F81" s="315" t="s">
        <v>1150</v>
      </c>
      <c r="G81" s="315">
        <f>H81+I81</f>
        <v>652300</v>
      </c>
      <c r="H81" s="315">
        <f>'d3'!E66-H82</f>
        <v>652300</v>
      </c>
      <c r="I81" s="315">
        <f>'d3'!J66-I82</f>
        <v>0</v>
      </c>
      <c r="J81" s="315">
        <f>'d3'!K66-J82</f>
        <v>0</v>
      </c>
      <c r="K81" s="542" t="b">
        <f>H81+H82='d3'!E66</f>
        <v>1</v>
      </c>
      <c r="L81" s="543" t="b">
        <f>I81+I82='d3'!J66</f>
        <v>1</v>
      </c>
      <c r="M81" s="543" t="b">
        <f>J81+J82='d3'!K66</f>
        <v>1</v>
      </c>
    </row>
    <row r="82" spans="1:13" ht="230.25" hidden="1" customHeight="1" thickTop="1" thickBot="1" x14ac:dyDescent="0.25">
      <c r="A82" s="540" t="s">
        <v>669</v>
      </c>
      <c r="B82" s="540" t="s">
        <v>670</v>
      </c>
      <c r="C82" s="540" t="s">
        <v>210</v>
      </c>
      <c r="D82" s="540" t="s">
        <v>337</v>
      </c>
      <c r="E82" s="318" t="s">
        <v>1149</v>
      </c>
      <c r="F82" s="315" t="s">
        <v>1150</v>
      </c>
      <c r="G82" s="541">
        <f>H82+I82</f>
        <v>0</v>
      </c>
      <c r="H82" s="541"/>
      <c r="I82" s="541"/>
      <c r="J82" s="541"/>
      <c r="K82" s="256" t="s">
        <v>563</v>
      </c>
      <c r="L82" s="137"/>
      <c r="M82" s="137"/>
    </row>
    <row r="83" spans="1:13" ht="138.75" thickTop="1" thickBot="1" x14ac:dyDescent="0.25">
      <c r="A83" s="101" t="s">
        <v>673</v>
      </c>
      <c r="B83" s="101" t="s">
        <v>674</v>
      </c>
      <c r="C83" s="101" t="s">
        <v>210</v>
      </c>
      <c r="D83" s="101" t="s">
        <v>675</v>
      </c>
      <c r="E83" s="318" t="s">
        <v>1378</v>
      </c>
      <c r="F83" s="315" t="s">
        <v>1150</v>
      </c>
      <c r="G83" s="315">
        <f t="shared" ref="G83:G84" si="10">H83+I83</f>
        <v>1386942</v>
      </c>
      <c r="H83" s="315">
        <f>'d3'!E68</f>
        <v>1365823</v>
      </c>
      <c r="I83" s="315">
        <f>'d3'!J68</f>
        <v>21119</v>
      </c>
      <c r="J83" s="315">
        <f>'d3'!K68</f>
        <v>21119</v>
      </c>
      <c r="K83" s="137"/>
      <c r="L83" s="137"/>
      <c r="M83" s="137"/>
    </row>
    <row r="84" spans="1:13" ht="138.75" thickTop="1" thickBot="1" x14ac:dyDescent="0.25">
      <c r="A84" s="101" t="s">
        <v>676</v>
      </c>
      <c r="B84" s="101" t="s">
        <v>677</v>
      </c>
      <c r="C84" s="101" t="s">
        <v>210</v>
      </c>
      <c r="D84" s="101" t="s">
        <v>678</v>
      </c>
      <c r="E84" s="318" t="s">
        <v>1378</v>
      </c>
      <c r="F84" s="315" t="s">
        <v>1150</v>
      </c>
      <c r="G84" s="315">
        <f t="shared" si="10"/>
        <v>4927300</v>
      </c>
      <c r="H84" s="315">
        <f>'d3'!E69</f>
        <v>4927300</v>
      </c>
      <c r="I84" s="315">
        <f>'d3'!J69</f>
        <v>0</v>
      </c>
      <c r="J84" s="315">
        <f>'d3'!K69</f>
        <v>0</v>
      </c>
      <c r="K84" s="137"/>
      <c r="L84" s="137"/>
      <c r="M84" s="137"/>
    </row>
    <row r="85" spans="1:13" ht="138.75" thickTop="1" thickBot="1" x14ac:dyDescent="0.25">
      <c r="A85" s="101" t="s">
        <v>645</v>
      </c>
      <c r="B85" s="101" t="s">
        <v>646</v>
      </c>
      <c r="C85" s="101" t="s">
        <v>210</v>
      </c>
      <c r="D85" s="101" t="s">
        <v>647</v>
      </c>
      <c r="E85" s="318" t="s">
        <v>1378</v>
      </c>
      <c r="F85" s="315" t="s">
        <v>1150</v>
      </c>
      <c r="G85" s="315">
        <f t="shared" ref="G85:G86" si="11">H85+I85</f>
        <v>3159813</v>
      </c>
      <c r="H85" s="315">
        <f>'d3'!E70</f>
        <v>3159813</v>
      </c>
      <c r="I85" s="315">
        <f>'d3'!J70</f>
        <v>0</v>
      </c>
      <c r="J85" s="315">
        <f>'d3'!K70</f>
        <v>0</v>
      </c>
      <c r="K85" s="137"/>
      <c r="L85" s="137"/>
      <c r="M85" s="137"/>
    </row>
    <row r="86" spans="1:13" ht="230.25" thickTop="1" thickBot="1" x14ac:dyDescent="0.25">
      <c r="A86" s="101" t="s">
        <v>652</v>
      </c>
      <c r="B86" s="101" t="s">
        <v>653</v>
      </c>
      <c r="C86" s="101" t="s">
        <v>210</v>
      </c>
      <c r="D86" s="101" t="s">
        <v>1611</v>
      </c>
      <c r="E86" s="318" t="s">
        <v>1378</v>
      </c>
      <c r="F86" s="315" t="s">
        <v>1150</v>
      </c>
      <c r="G86" s="315">
        <f t="shared" si="11"/>
        <v>4409682</v>
      </c>
      <c r="H86" s="315">
        <f>'d3'!E72</f>
        <v>0</v>
      </c>
      <c r="I86" s="315">
        <f>'d3'!J72</f>
        <v>4409682</v>
      </c>
      <c r="J86" s="315">
        <f>'d3'!K72</f>
        <v>4409682</v>
      </c>
      <c r="K86" s="137"/>
      <c r="L86" s="137"/>
      <c r="M86" s="137"/>
    </row>
    <row r="87" spans="1:13" ht="230.25" thickTop="1" thickBot="1" x14ac:dyDescent="0.25">
      <c r="A87" s="101" t="s">
        <v>974</v>
      </c>
      <c r="B87" s="101" t="s">
        <v>975</v>
      </c>
      <c r="C87" s="101" t="s">
        <v>210</v>
      </c>
      <c r="D87" s="101" t="s">
        <v>1612</v>
      </c>
      <c r="E87" s="318" t="s">
        <v>1378</v>
      </c>
      <c r="F87" s="315" t="s">
        <v>1150</v>
      </c>
      <c r="G87" s="315">
        <f t="shared" ref="G87" si="12">H87+I87</f>
        <v>10289256</v>
      </c>
      <c r="H87" s="315">
        <f>'d3'!E73</f>
        <v>0</v>
      </c>
      <c r="I87" s="315">
        <f>'d3'!J73</f>
        <v>10289256</v>
      </c>
      <c r="J87" s="315">
        <f>'d3'!K73</f>
        <v>10289256</v>
      </c>
      <c r="K87" s="137"/>
      <c r="L87" s="137"/>
      <c r="M87" s="137"/>
    </row>
    <row r="88" spans="1:13" ht="184.5" thickTop="1" thickBot="1" x14ac:dyDescent="0.25">
      <c r="A88" s="101" t="s">
        <v>642</v>
      </c>
      <c r="B88" s="101" t="s">
        <v>643</v>
      </c>
      <c r="C88" s="101" t="s">
        <v>210</v>
      </c>
      <c r="D88" s="101" t="s">
        <v>644</v>
      </c>
      <c r="E88" s="318" t="s">
        <v>1378</v>
      </c>
      <c r="F88" s="315" t="s">
        <v>1150</v>
      </c>
      <c r="G88" s="315">
        <f t="shared" ref="G88:G105" si="13">H88+I88</f>
        <v>7005709</v>
      </c>
      <c r="H88" s="315">
        <f>'d3'!E74</f>
        <v>7005709</v>
      </c>
      <c r="I88" s="315">
        <f>'d3'!J74</f>
        <v>0</v>
      </c>
      <c r="J88" s="315">
        <f>'d3'!K74</f>
        <v>0</v>
      </c>
      <c r="K88" s="137"/>
      <c r="L88" s="137"/>
      <c r="M88" s="137"/>
    </row>
    <row r="89" spans="1:13" ht="230.25" thickTop="1" thickBot="1" x14ac:dyDescent="0.25">
      <c r="A89" s="101" t="s">
        <v>936</v>
      </c>
      <c r="B89" s="101" t="s">
        <v>937</v>
      </c>
      <c r="C89" s="101" t="s">
        <v>210</v>
      </c>
      <c r="D89" s="101" t="s">
        <v>1427</v>
      </c>
      <c r="E89" s="318" t="s">
        <v>1378</v>
      </c>
      <c r="F89" s="315" t="s">
        <v>1150</v>
      </c>
      <c r="G89" s="315">
        <f t="shared" si="13"/>
        <v>532739</v>
      </c>
      <c r="H89" s="315">
        <f>'d3'!E75</f>
        <v>532739</v>
      </c>
      <c r="I89" s="315">
        <f>'d3'!J75</f>
        <v>0</v>
      </c>
      <c r="J89" s="315">
        <f>'d3'!K75</f>
        <v>0</v>
      </c>
      <c r="K89" s="137"/>
      <c r="L89" s="137"/>
      <c r="M89" s="137"/>
    </row>
    <row r="90" spans="1:13" ht="230.25" thickTop="1" thickBot="1" x14ac:dyDescent="0.25">
      <c r="A90" s="101" t="s">
        <v>992</v>
      </c>
      <c r="B90" s="101" t="s">
        <v>994</v>
      </c>
      <c r="C90" s="101" t="s">
        <v>210</v>
      </c>
      <c r="D90" s="101" t="s">
        <v>1233</v>
      </c>
      <c r="E90" s="318" t="s">
        <v>1378</v>
      </c>
      <c r="F90" s="315" t="s">
        <v>1150</v>
      </c>
      <c r="G90" s="315">
        <f t="shared" si="13"/>
        <v>5766600</v>
      </c>
      <c r="H90" s="315">
        <f>'d3'!E77</f>
        <v>0</v>
      </c>
      <c r="I90" s="315">
        <f>'d3'!J77</f>
        <v>5766600</v>
      </c>
      <c r="J90" s="315">
        <f>'d3'!K77</f>
        <v>5766600</v>
      </c>
      <c r="K90" s="137"/>
      <c r="L90" s="137"/>
      <c r="M90" s="137"/>
    </row>
    <row r="91" spans="1:13" ht="263.25" customHeight="1" thickTop="1" thickBot="1" x14ac:dyDescent="0.25">
      <c r="A91" s="101" t="s">
        <v>1032</v>
      </c>
      <c r="B91" s="101" t="s">
        <v>1033</v>
      </c>
      <c r="C91" s="101" t="s">
        <v>210</v>
      </c>
      <c r="D91" s="101" t="s">
        <v>1564</v>
      </c>
      <c r="E91" s="318" t="s">
        <v>1378</v>
      </c>
      <c r="F91" s="315" t="s">
        <v>1150</v>
      </c>
      <c r="G91" s="315">
        <f t="shared" si="13"/>
        <v>8649900</v>
      </c>
      <c r="H91" s="315">
        <f>'d3'!E78</f>
        <v>0</v>
      </c>
      <c r="I91" s="315">
        <f>'d3'!J78</f>
        <v>8649900</v>
      </c>
      <c r="J91" s="315">
        <f>'d3'!K78</f>
        <v>8649900</v>
      </c>
      <c r="K91" s="137"/>
      <c r="L91" s="137"/>
      <c r="M91" s="137"/>
    </row>
    <row r="92" spans="1:13" ht="321.75" thickTop="1" thickBot="1" x14ac:dyDescent="0.25">
      <c r="A92" s="101" t="s">
        <v>1373</v>
      </c>
      <c r="B92" s="101" t="s">
        <v>1374</v>
      </c>
      <c r="C92" s="101" t="s">
        <v>210</v>
      </c>
      <c r="D92" s="101" t="s">
        <v>1528</v>
      </c>
      <c r="E92" s="315" t="s">
        <v>1370</v>
      </c>
      <c r="F92" s="315" t="s">
        <v>855</v>
      </c>
      <c r="G92" s="315">
        <f t="shared" si="13"/>
        <v>19000000</v>
      </c>
      <c r="H92" s="315">
        <f>'d3'!E80</f>
        <v>0</v>
      </c>
      <c r="I92" s="315">
        <f>'d3'!J80</f>
        <v>19000000</v>
      </c>
      <c r="J92" s="315">
        <f>'d3'!K80</f>
        <v>19000000</v>
      </c>
      <c r="K92" s="137"/>
      <c r="L92" s="137"/>
      <c r="M92" s="137"/>
    </row>
    <row r="93" spans="1:13" ht="321.75" hidden="1" thickTop="1" thickBot="1" x14ac:dyDescent="0.25">
      <c r="A93" s="126" t="s">
        <v>1375</v>
      </c>
      <c r="B93" s="126" t="s">
        <v>1376</v>
      </c>
      <c r="C93" s="126" t="s">
        <v>210</v>
      </c>
      <c r="D93" s="126" t="s">
        <v>1377</v>
      </c>
      <c r="E93" s="194" t="s">
        <v>1370</v>
      </c>
      <c r="F93" s="194" t="s">
        <v>855</v>
      </c>
      <c r="G93" s="194">
        <f t="shared" si="13"/>
        <v>0</v>
      </c>
      <c r="H93" s="194">
        <f>'d3'!E81</f>
        <v>0</v>
      </c>
      <c r="I93" s="194">
        <f>'d3'!J81</f>
        <v>0</v>
      </c>
      <c r="J93" s="194">
        <f>'d3'!K81</f>
        <v>0</v>
      </c>
      <c r="K93" s="137"/>
      <c r="L93" s="137"/>
      <c r="M93" s="137"/>
    </row>
    <row r="94" spans="1:13" ht="184.5" hidden="1" thickTop="1" thickBot="1" x14ac:dyDescent="0.25">
      <c r="A94" s="126" t="s">
        <v>1442</v>
      </c>
      <c r="B94" s="126" t="s">
        <v>1443</v>
      </c>
      <c r="C94" s="126" t="s">
        <v>210</v>
      </c>
      <c r="D94" s="126" t="s">
        <v>1447</v>
      </c>
      <c r="E94" s="253" t="s">
        <v>1378</v>
      </c>
      <c r="F94" s="194" t="s">
        <v>1150</v>
      </c>
      <c r="G94" s="194">
        <f t="shared" si="13"/>
        <v>0</v>
      </c>
      <c r="H94" s="194">
        <f>'d3'!E83</f>
        <v>0</v>
      </c>
      <c r="I94" s="194">
        <f>'d3'!J83</f>
        <v>0</v>
      </c>
      <c r="J94" s="194">
        <f>'d3'!K83</f>
        <v>0</v>
      </c>
      <c r="K94" s="137"/>
      <c r="L94" s="137"/>
      <c r="M94" s="137"/>
    </row>
    <row r="95" spans="1:13" ht="184.5" hidden="1" thickTop="1" thickBot="1" x14ac:dyDescent="0.25">
      <c r="A95" s="126" t="s">
        <v>1444</v>
      </c>
      <c r="B95" s="126" t="s">
        <v>1445</v>
      </c>
      <c r="C95" s="126" t="s">
        <v>210</v>
      </c>
      <c r="D95" s="126" t="s">
        <v>1446</v>
      </c>
      <c r="E95" s="253" t="s">
        <v>1378</v>
      </c>
      <c r="F95" s="194" t="s">
        <v>1150</v>
      </c>
      <c r="G95" s="194">
        <f t="shared" si="13"/>
        <v>0</v>
      </c>
      <c r="H95" s="194">
        <f>'d3'!E84</f>
        <v>0</v>
      </c>
      <c r="I95" s="194">
        <f>'d3'!J84</f>
        <v>0</v>
      </c>
      <c r="J95" s="194">
        <f>'d3'!K84</f>
        <v>0</v>
      </c>
      <c r="K95" s="137"/>
      <c r="L95" s="137"/>
      <c r="M95" s="137"/>
    </row>
    <row r="96" spans="1:13" ht="321.75" thickTop="1" thickBot="1" x14ac:dyDescent="0.25">
      <c r="A96" s="101" t="s">
        <v>1544</v>
      </c>
      <c r="B96" s="101" t="s">
        <v>1542</v>
      </c>
      <c r="C96" s="101" t="s">
        <v>210</v>
      </c>
      <c r="D96" s="101" t="s">
        <v>1545</v>
      </c>
      <c r="E96" s="318" t="s">
        <v>1378</v>
      </c>
      <c r="F96" s="315" t="s">
        <v>1150</v>
      </c>
      <c r="G96" s="315">
        <f t="shared" si="13"/>
        <v>7059713.8500000006</v>
      </c>
      <c r="H96" s="315">
        <f>'d3'!E86</f>
        <v>1385303.4500000002</v>
      </c>
      <c r="I96" s="315">
        <f>'d3'!J86</f>
        <v>5674410.4000000004</v>
      </c>
      <c r="J96" s="315">
        <f>'d3'!K86</f>
        <v>5674410.4000000004</v>
      </c>
      <c r="K96" s="137"/>
      <c r="L96" s="137"/>
      <c r="M96" s="137"/>
    </row>
    <row r="97" spans="1:13" ht="321.75" thickTop="1" thickBot="1" x14ac:dyDescent="0.25">
      <c r="A97" s="101" t="s">
        <v>1546</v>
      </c>
      <c r="B97" s="101" t="s">
        <v>1547</v>
      </c>
      <c r="C97" s="101" t="s">
        <v>210</v>
      </c>
      <c r="D97" s="101" t="s">
        <v>1548</v>
      </c>
      <c r="E97" s="318" t="s">
        <v>1378</v>
      </c>
      <c r="F97" s="315" t="s">
        <v>1150</v>
      </c>
      <c r="G97" s="315">
        <f>H97+I97</f>
        <v>16784954.149999999</v>
      </c>
      <c r="H97" s="315">
        <f>'d3'!E87</f>
        <v>0</v>
      </c>
      <c r="I97" s="315">
        <f>'d3'!J87</f>
        <v>16784954.149999999</v>
      </c>
      <c r="J97" s="315">
        <f>'d3'!K87</f>
        <v>0</v>
      </c>
      <c r="K97" s="137"/>
      <c r="L97" s="137"/>
      <c r="M97" s="137"/>
    </row>
    <row r="98" spans="1:13" ht="184.5" thickTop="1" thickBot="1" x14ac:dyDescent="0.25">
      <c r="A98" s="101" t="s">
        <v>1617</v>
      </c>
      <c r="B98" s="101" t="s">
        <v>1618</v>
      </c>
      <c r="C98" s="101" t="s">
        <v>210</v>
      </c>
      <c r="D98" s="101" t="s">
        <v>1621</v>
      </c>
      <c r="E98" s="318" t="s">
        <v>1378</v>
      </c>
      <c r="F98" s="315" t="s">
        <v>1150</v>
      </c>
      <c r="G98" s="315">
        <f>H98+I98</f>
        <v>35417600</v>
      </c>
      <c r="H98" s="315">
        <f>'d3'!E89</f>
        <v>35417600</v>
      </c>
      <c r="I98" s="315">
        <f>'d3'!J89</f>
        <v>0</v>
      </c>
      <c r="J98" s="315">
        <f>'d3'!K89</f>
        <v>0</v>
      </c>
      <c r="K98" s="137"/>
      <c r="L98" s="137"/>
      <c r="M98" s="137"/>
    </row>
    <row r="99" spans="1:13" ht="230.25" thickTop="1" thickBot="1" x14ac:dyDescent="0.25">
      <c r="A99" s="101" t="s">
        <v>430</v>
      </c>
      <c r="B99" s="101" t="s">
        <v>431</v>
      </c>
      <c r="C99" s="101" t="s">
        <v>185</v>
      </c>
      <c r="D99" s="101" t="s">
        <v>429</v>
      </c>
      <c r="E99" s="318" t="s">
        <v>1378</v>
      </c>
      <c r="F99" s="315" t="s">
        <v>1150</v>
      </c>
      <c r="G99" s="315">
        <f t="shared" si="13"/>
        <v>715000</v>
      </c>
      <c r="H99" s="315">
        <f>'d3'!E91</f>
        <v>715000</v>
      </c>
      <c r="I99" s="315">
        <f>'d3'!J91</f>
        <v>0</v>
      </c>
      <c r="J99" s="315">
        <f>'d3'!K91</f>
        <v>0</v>
      </c>
      <c r="K99" s="137"/>
      <c r="L99" s="137"/>
      <c r="M99" s="137"/>
    </row>
    <row r="100" spans="1:13" ht="138.75" thickTop="1" thickBot="1" x14ac:dyDescent="0.25">
      <c r="A100" s="101" t="s">
        <v>1215</v>
      </c>
      <c r="B100" s="101" t="s">
        <v>1182</v>
      </c>
      <c r="C100" s="101" t="s">
        <v>206</v>
      </c>
      <c r="D100" s="461" t="s">
        <v>1183</v>
      </c>
      <c r="E100" s="318" t="s">
        <v>1174</v>
      </c>
      <c r="F100" s="315" t="s">
        <v>1148</v>
      </c>
      <c r="G100" s="315">
        <f t="shared" si="13"/>
        <v>896121.82</v>
      </c>
      <c r="H100" s="315">
        <f>'d3'!E92</f>
        <v>896121.82</v>
      </c>
      <c r="I100" s="315">
        <f>'d3'!J92</f>
        <v>0</v>
      </c>
      <c r="J100" s="315">
        <f>'d3'!K92</f>
        <v>0</v>
      </c>
      <c r="K100" s="137"/>
      <c r="L100" s="137"/>
      <c r="M100" s="137"/>
    </row>
    <row r="101" spans="1:13" ht="138.75" thickTop="1" thickBot="1" x14ac:dyDescent="0.25">
      <c r="A101" s="101" t="s">
        <v>1085</v>
      </c>
      <c r="B101" s="101" t="s">
        <v>311</v>
      </c>
      <c r="C101" s="101" t="s">
        <v>304</v>
      </c>
      <c r="D101" s="101" t="s">
        <v>1479</v>
      </c>
      <c r="E101" s="318" t="s">
        <v>1378</v>
      </c>
      <c r="F101" s="315" t="s">
        <v>1150</v>
      </c>
      <c r="G101" s="315">
        <f t="shared" si="13"/>
        <v>108534.57</v>
      </c>
      <c r="H101" s="315">
        <v>0</v>
      </c>
      <c r="I101" s="315">
        <f>(0)+108534.57</f>
        <v>108534.57</v>
      </c>
      <c r="J101" s="315">
        <f>(0)+108534.57</f>
        <v>108534.57</v>
      </c>
    </row>
    <row r="102" spans="1:13" ht="321.75" thickTop="1" thickBot="1" x14ac:dyDescent="0.25">
      <c r="A102" s="101" t="s">
        <v>1085</v>
      </c>
      <c r="B102" s="101" t="s">
        <v>311</v>
      </c>
      <c r="C102" s="101" t="s">
        <v>304</v>
      </c>
      <c r="D102" s="101" t="s">
        <v>1479</v>
      </c>
      <c r="E102" s="315" t="s">
        <v>1370</v>
      </c>
      <c r="F102" s="315" t="s">
        <v>855</v>
      </c>
      <c r="G102" s="315">
        <f t="shared" si="13"/>
        <v>42403000.670000002</v>
      </c>
      <c r="H102" s="315">
        <v>0</v>
      </c>
      <c r="I102" s="315">
        <f>(((((11000000)+20260227.26)-400000)+6500000)+10000000)-4957226.59</f>
        <v>42403000.670000002</v>
      </c>
      <c r="J102" s="315">
        <f>(((((11000000)+20260227.26)-400000)+6500000)+10000000)-4957226.59</f>
        <v>42403000.670000002</v>
      </c>
      <c r="K102" s="95" t="b">
        <f>H101+H102='d3'!E96</f>
        <v>1</v>
      </c>
      <c r="L102" s="456" t="b">
        <f>I101+I102='d3'!J96</f>
        <v>1</v>
      </c>
      <c r="M102" s="456" t="b">
        <f>J101+J102='d3'!K96</f>
        <v>1</v>
      </c>
    </row>
    <row r="103" spans="1:13" ht="138.75" thickTop="1" thickBot="1" x14ac:dyDescent="0.25">
      <c r="A103" s="101" t="s">
        <v>1075</v>
      </c>
      <c r="B103" s="101" t="s">
        <v>212</v>
      </c>
      <c r="C103" s="101" t="s">
        <v>213</v>
      </c>
      <c r="D103" s="101" t="s">
        <v>41</v>
      </c>
      <c r="E103" s="318" t="s">
        <v>1378</v>
      </c>
      <c r="F103" s="315" t="s">
        <v>1150</v>
      </c>
      <c r="G103" s="315">
        <f t="shared" si="13"/>
        <v>37593075.220000006</v>
      </c>
      <c r="H103" s="315">
        <f>'d3'!E98</f>
        <v>0</v>
      </c>
      <c r="I103" s="315">
        <f>'d3'!J98</f>
        <v>37593075.220000006</v>
      </c>
      <c r="J103" s="315">
        <f>'d3'!K98</f>
        <v>37593075.220000006</v>
      </c>
      <c r="K103" s="137"/>
      <c r="L103" s="137"/>
      <c r="M103" s="137"/>
    </row>
    <row r="104" spans="1:13" ht="138.75" hidden="1" thickTop="1" thickBot="1" x14ac:dyDescent="0.25">
      <c r="A104" s="126" t="s">
        <v>1208</v>
      </c>
      <c r="B104" s="126" t="s">
        <v>1172</v>
      </c>
      <c r="C104" s="126" t="s">
        <v>1170</v>
      </c>
      <c r="D104" s="126" t="s">
        <v>1169</v>
      </c>
      <c r="E104" s="126" t="s">
        <v>1364</v>
      </c>
      <c r="F104" s="194" t="s">
        <v>1265</v>
      </c>
      <c r="G104" s="194">
        <f t="shared" si="13"/>
        <v>0</v>
      </c>
      <c r="H104" s="194">
        <f>'d3'!E101</f>
        <v>0</v>
      </c>
      <c r="I104" s="194">
        <f>'d3'!J101</f>
        <v>0</v>
      </c>
      <c r="J104" s="194">
        <f>'d3'!K101</f>
        <v>0</v>
      </c>
      <c r="K104" s="137"/>
      <c r="L104" s="137"/>
      <c r="M104" s="137"/>
    </row>
    <row r="105" spans="1:13" ht="138.75" hidden="1" thickTop="1" thickBot="1" x14ac:dyDescent="0.25">
      <c r="A105" s="41" t="s">
        <v>1014</v>
      </c>
      <c r="B105" s="41" t="s">
        <v>363</v>
      </c>
      <c r="C105" s="41" t="s">
        <v>43</v>
      </c>
      <c r="D105" s="41" t="s">
        <v>364</v>
      </c>
      <c r="E105" s="256" t="s">
        <v>581</v>
      </c>
      <c r="F105" s="73" t="s">
        <v>410</v>
      </c>
      <c r="G105" s="73">
        <f t="shared" si="13"/>
        <v>0</v>
      </c>
      <c r="H105" s="73">
        <f>'d3'!E104</f>
        <v>0</v>
      </c>
      <c r="I105" s="73">
        <f>'d3'!J104</f>
        <v>0</v>
      </c>
      <c r="J105" s="73">
        <f>'d3'!K104</f>
        <v>0</v>
      </c>
      <c r="K105" s="137"/>
      <c r="L105" s="137"/>
      <c r="M105" s="137"/>
    </row>
    <row r="106" spans="1:13" ht="170.25" customHeight="1" thickTop="1" thickBot="1" x14ac:dyDescent="0.25">
      <c r="A106" s="689" t="s">
        <v>154</v>
      </c>
      <c r="B106" s="689"/>
      <c r="C106" s="689"/>
      <c r="D106" s="690" t="s">
        <v>18</v>
      </c>
      <c r="E106" s="689"/>
      <c r="F106" s="689"/>
      <c r="G106" s="692">
        <f>G107</f>
        <v>146560495.37</v>
      </c>
      <c r="H106" s="692">
        <f t="shared" ref="H106:J106" si="14">H107</f>
        <v>107963536</v>
      </c>
      <c r="I106" s="692">
        <f t="shared" si="14"/>
        <v>38596959.370000005</v>
      </c>
      <c r="J106" s="692">
        <f t="shared" si="14"/>
        <v>38596959.370000005</v>
      </c>
      <c r="K106" s="95" t="b">
        <f>H106='d3'!E106-'d3'!E108+H108+H109</f>
        <v>1</v>
      </c>
      <c r="L106" s="95" t="b">
        <f>I106='d3'!J106-'d3'!J108+'d7'!I108+I109</f>
        <v>1</v>
      </c>
      <c r="M106" s="95" t="b">
        <f>J106='d3'!K106-'d3'!K108+'d7'!J108+J109</f>
        <v>1</v>
      </c>
    </row>
    <row r="107" spans="1:13" ht="170.25" customHeight="1" thickTop="1" thickBot="1" x14ac:dyDescent="0.25">
      <c r="A107" s="693" t="s">
        <v>155</v>
      </c>
      <c r="B107" s="693"/>
      <c r="C107" s="693"/>
      <c r="D107" s="694" t="s">
        <v>36</v>
      </c>
      <c r="E107" s="695"/>
      <c r="F107" s="695"/>
      <c r="G107" s="695">
        <f>SUM(G108:G131)</f>
        <v>146560495.37</v>
      </c>
      <c r="H107" s="695">
        <f>SUM(H108:H131)</f>
        <v>107963536</v>
      </c>
      <c r="I107" s="695">
        <f>SUM(I108:I131)</f>
        <v>38596959.370000005</v>
      </c>
      <c r="J107" s="695">
        <f>SUM(J108:J131)</f>
        <v>38596959.370000005</v>
      </c>
      <c r="K107" s="137"/>
      <c r="L107" s="137"/>
      <c r="M107" s="137"/>
    </row>
    <row r="108" spans="1:13" ht="172.5" hidden="1" customHeight="1" thickTop="1" thickBot="1" x14ac:dyDescent="0.25">
      <c r="A108" s="126" t="s">
        <v>415</v>
      </c>
      <c r="B108" s="126" t="s">
        <v>236</v>
      </c>
      <c r="C108" s="126" t="s">
        <v>234</v>
      </c>
      <c r="D108" s="126" t="s">
        <v>235</v>
      </c>
      <c r="E108" s="253" t="s">
        <v>1263</v>
      </c>
      <c r="F108" s="194" t="s">
        <v>1264</v>
      </c>
      <c r="G108" s="267">
        <f>H108+I108</f>
        <v>0</v>
      </c>
      <c r="H108" s="267"/>
      <c r="I108" s="267">
        <v>0</v>
      </c>
      <c r="J108" s="267">
        <v>0</v>
      </c>
      <c r="K108" s="137"/>
      <c r="L108" s="137"/>
      <c r="M108" s="137"/>
    </row>
    <row r="109" spans="1:13" ht="172.5" hidden="1" customHeight="1" thickTop="1" thickBot="1" x14ac:dyDescent="0.25">
      <c r="A109" s="126" t="s">
        <v>415</v>
      </c>
      <c r="B109" s="126" t="s">
        <v>236</v>
      </c>
      <c r="C109" s="126" t="s">
        <v>234</v>
      </c>
      <c r="D109" s="126" t="s">
        <v>235</v>
      </c>
      <c r="E109" s="253" t="s">
        <v>1021</v>
      </c>
      <c r="F109" s="194" t="s">
        <v>853</v>
      </c>
      <c r="G109" s="267">
        <f>H109+I109</f>
        <v>0</v>
      </c>
      <c r="H109" s="267"/>
      <c r="I109" s="267">
        <v>0</v>
      </c>
      <c r="J109" s="267">
        <v>0</v>
      </c>
      <c r="K109" s="137"/>
      <c r="L109" s="137"/>
      <c r="M109" s="137"/>
    </row>
    <row r="110" spans="1:13" ht="321.75" hidden="1" thickTop="1" thickBot="1" x14ac:dyDescent="0.25">
      <c r="A110" s="126" t="s">
        <v>1239</v>
      </c>
      <c r="B110" s="126" t="s">
        <v>362</v>
      </c>
      <c r="C110" s="126" t="s">
        <v>623</v>
      </c>
      <c r="D110" s="126" t="s">
        <v>624</v>
      </c>
      <c r="E110" s="253" t="s">
        <v>1277</v>
      </c>
      <c r="F110" s="194" t="s">
        <v>1278</v>
      </c>
      <c r="G110" s="267">
        <f>H110+I110</f>
        <v>0</v>
      </c>
      <c r="H110" s="267">
        <f>'d3'!E109</f>
        <v>0</v>
      </c>
      <c r="I110" s="267">
        <f>'d3'!J109</f>
        <v>0</v>
      </c>
      <c r="J110" s="267">
        <f>'d3'!K109</f>
        <v>0</v>
      </c>
      <c r="K110" s="137"/>
      <c r="L110" s="137"/>
      <c r="M110" s="137"/>
    </row>
    <row r="111" spans="1:13" ht="276" thickTop="1" thickBot="1" x14ac:dyDescent="0.25">
      <c r="A111" s="101" t="s">
        <v>214</v>
      </c>
      <c r="B111" s="101" t="s">
        <v>211</v>
      </c>
      <c r="C111" s="101" t="s">
        <v>215</v>
      </c>
      <c r="D111" s="101" t="s">
        <v>19</v>
      </c>
      <c r="E111" s="315" t="s">
        <v>1523</v>
      </c>
      <c r="F111" s="315" t="s">
        <v>1524</v>
      </c>
      <c r="G111" s="323">
        <f>H111+I111</f>
        <v>47773455</v>
      </c>
      <c r="H111" s="323">
        <f>'d3'!E111-H112</f>
        <v>26157355</v>
      </c>
      <c r="I111" s="323">
        <f>'d3'!J111-I112</f>
        <v>21616100</v>
      </c>
      <c r="J111" s="323">
        <f>'d3'!K111-J112</f>
        <v>21616100</v>
      </c>
      <c r="K111" s="137"/>
      <c r="L111" s="137"/>
      <c r="M111" s="137"/>
    </row>
    <row r="112" spans="1:13" ht="184.5" thickTop="1" thickBot="1" x14ac:dyDescent="0.25">
      <c r="A112" s="101" t="s">
        <v>214</v>
      </c>
      <c r="B112" s="101" t="s">
        <v>211</v>
      </c>
      <c r="C112" s="101" t="s">
        <v>215</v>
      </c>
      <c r="D112" s="101" t="s">
        <v>19</v>
      </c>
      <c r="E112" s="318" t="s">
        <v>1587</v>
      </c>
      <c r="F112" s="315" t="s">
        <v>1588</v>
      </c>
      <c r="G112" s="315">
        <f t="shared" ref="G112" si="15">H112+I112</f>
        <v>326180</v>
      </c>
      <c r="H112" s="315">
        <v>71480</v>
      </c>
      <c r="I112" s="315">
        <f>254700</f>
        <v>254700</v>
      </c>
      <c r="J112" s="315">
        <f>254700</f>
        <v>254700</v>
      </c>
      <c r="K112" s="137"/>
      <c r="L112" s="137"/>
      <c r="M112" s="137"/>
    </row>
    <row r="113" spans="1:13" ht="276" thickTop="1" thickBot="1" x14ac:dyDescent="0.25">
      <c r="A113" s="101" t="s">
        <v>504</v>
      </c>
      <c r="B113" s="101" t="s">
        <v>507</v>
      </c>
      <c r="C113" s="101" t="s">
        <v>506</v>
      </c>
      <c r="D113" s="101" t="s">
        <v>505</v>
      </c>
      <c r="E113" s="315" t="s">
        <v>1523</v>
      </c>
      <c r="F113" s="315" t="s">
        <v>1524</v>
      </c>
      <c r="G113" s="323">
        <f>H113+I113</f>
        <v>14036600</v>
      </c>
      <c r="H113" s="323">
        <f>'d3'!E112</f>
        <v>14036600</v>
      </c>
      <c r="I113" s="323">
        <f>'d3'!J112</f>
        <v>0</v>
      </c>
      <c r="J113" s="323">
        <f>'d3'!K112</f>
        <v>0</v>
      </c>
      <c r="K113" s="137"/>
      <c r="L113" s="137"/>
      <c r="M113" s="137"/>
    </row>
    <row r="114" spans="1:13" ht="276" thickTop="1" thickBot="1" x14ac:dyDescent="0.25">
      <c r="A114" s="101" t="s">
        <v>216</v>
      </c>
      <c r="B114" s="101" t="s">
        <v>217</v>
      </c>
      <c r="C114" s="101" t="s">
        <v>218</v>
      </c>
      <c r="D114" s="101" t="s">
        <v>219</v>
      </c>
      <c r="E114" s="315" t="s">
        <v>1523</v>
      </c>
      <c r="F114" s="315" t="s">
        <v>1524</v>
      </c>
      <c r="G114" s="323">
        <f t="shared" ref="G114:G121" si="16">H114+I114</f>
        <v>26510775.380000003</v>
      </c>
      <c r="H114" s="323">
        <f>'d3'!E113</f>
        <v>14721900</v>
      </c>
      <c r="I114" s="323">
        <f>'d3'!J113</f>
        <v>11788875.380000001</v>
      </c>
      <c r="J114" s="323">
        <f>'d3'!K113</f>
        <v>11788875.380000001</v>
      </c>
      <c r="K114" s="137"/>
      <c r="L114" s="137"/>
      <c r="M114" s="137"/>
    </row>
    <row r="115" spans="1:13" ht="276" thickTop="1" thickBot="1" x14ac:dyDescent="0.25">
      <c r="A115" s="101" t="s">
        <v>220</v>
      </c>
      <c r="B115" s="101" t="s">
        <v>221</v>
      </c>
      <c r="C115" s="101" t="s">
        <v>222</v>
      </c>
      <c r="D115" s="101" t="s">
        <v>345</v>
      </c>
      <c r="E115" s="315" t="s">
        <v>1523</v>
      </c>
      <c r="F115" s="315" t="s">
        <v>1524</v>
      </c>
      <c r="G115" s="323">
        <f t="shared" si="16"/>
        <v>24830971</v>
      </c>
      <c r="H115" s="323">
        <f>'d3'!E114-H116</f>
        <v>24479900</v>
      </c>
      <c r="I115" s="323">
        <f>'d3'!J114-I116</f>
        <v>351071</v>
      </c>
      <c r="J115" s="323">
        <f>'d3'!K114-J116</f>
        <v>351071</v>
      </c>
      <c r="K115" s="137"/>
      <c r="L115" s="137"/>
      <c r="M115" s="137"/>
    </row>
    <row r="116" spans="1:13" ht="184.5" thickTop="1" thickBot="1" x14ac:dyDescent="0.25">
      <c r="A116" s="101" t="s">
        <v>220</v>
      </c>
      <c r="B116" s="101" t="s">
        <v>221</v>
      </c>
      <c r="C116" s="101" t="s">
        <v>222</v>
      </c>
      <c r="D116" s="101" t="s">
        <v>345</v>
      </c>
      <c r="E116" s="318" t="s">
        <v>1587</v>
      </c>
      <c r="F116" s="315" t="s">
        <v>1588</v>
      </c>
      <c r="G116" s="315">
        <f t="shared" si="16"/>
        <v>581034</v>
      </c>
      <c r="H116" s="315">
        <v>39246</v>
      </c>
      <c r="I116" s="315">
        <f>308038+233750</f>
        <v>541788</v>
      </c>
      <c r="J116" s="315">
        <f>308038+233750</f>
        <v>541788</v>
      </c>
      <c r="K116" s="137"/>
      <c r="L116" s="137"/>
      <c r="M116" s="137"/>
    </row>
    <row r="117" spans="1:13" ht="300.75" hidden="1" thickTop="1" thickBot="1" x14ac:dyDescent="0.25">
      <c r="A117" s="126" t="s">
        <v>223</v>
      </c>
      <c r="B117" s="126" t="s">
        <v>224</v>
      </c>
      <c r="C117" s="126" t="s">
        <v>225</v>
      </c>
      <c r="D117" s="126" t="s">
        <v>226</v>
      </c>
      <c r="E117" s="266" t="s">
        <v>1184</v>
      </c>
      <c r="F117" s="194" t="s">
        <v>866</v>
      </c>
      <c r="G117" s="267"/>
      <c r="H117" s="267"/>
      <c r="I117" s="267"/>
      <c r="J117" s="267"/>
      <c r="K117" s="137"/>
      <c r="L117" s="137"/>
      <c r="M117" s="137"/>
    </row>
    <row r="118" spans="1:13" ht="184.5" hidden="1" thickTop="1" thickBot="1" x14ac:dyDescent="0.25">
      <c r="A118" s="126" t="s">
        <v>223</v>
      </c>
      <c r="B118" s="126" t="s">
        <v>224</v>
      </c>
      <c r="C118" s="126" t="s">
        <v>225</v>
      </c>
      <c r="D118" s="126" t="s">
        <v>226</v>
      </c>
      <c r="E118" s="253" t="s">
        <v>1209</v>
      </c>
      <c r="F118" s="194" t="s">
        <v>864</v>
      </c>
      <c r="G118" s="194"/>
      <c r="H118" s="194"/>
      <c r="I118" s="194"/>
      <c r="J118" s="194"/>
      <c r="K118" s="137"/>
      <c r="L118" s="137"/>
      <c r="M118" s="137"/>
    </row>
    <row r="119" spans="1:13" ht="276" thickTop="1" thickBot="1" x14ac:dyDescent="0.25">
      <c r="A119" s="101" t="s">
        <v>227</v>
      </c>
      <c r="B119" s="101" t="s">
        <v>228</v>
      </c>
      <c r="C119" s="101" t="s">
        <v>346</v>
      </c>
      <c r="D119" s="101" t="s">
        <v>229</v>
      </c>
      <c r="E119" s="315" t="s">
        <v>1523</v>
      </c>
      <c r="F119" s="315" t="s">
        <v>1524</v>
      </c>
      <c r="G119" s="323">
        <f t="shared" si="16"/>
        <v>20427800</v>
      </c>
      <c r="H119" s="323">
        <f>'d3'!E117</f>
        <v>19427800</v>
      </c>
      <c r="I119" s="323">
        <f>'d3'!J117</f>
        <v>1000000</v>
      </c>
      <c r="J119" s="323">
        <f>'d3'!K117</f>
        <v>1000000</v>
      </c>
      <c r="K119" s="137"/>
      <c r="L119" s="137"/>
      <c r="M119" s="137"/>
    </row>
    <row r="120" spans="1:13" ht="258" hidden="1" thickTop="1" thickBot="1" x14ac:dyDescent="0.25">
      <c r="A120" s="41" t="s">
        <v>474</v>
      </c>
      <c r="B120" s="41" t="s">
        <v>475</v>
      </c>
      <c r="C120" s="41" t="s">
        <v>230</v>
      </c>
      <c r="D120" s="41" t="s">
        <v>476</v>
      </c>
      <c r="E120" s="268" t="s">
        <v>865</v>
      </c>
      <c r="F120" s="73" t="s">
        <v>866</v>
      </c>
      <c r="G120" s="269">
        <f t="shared" si="16"/>
        <v>0</v>
      </c>
      <c r="H120" s="269">
        <f>'d3'!E119</f>
        <v>0</v>
      </c>
      <c r="I120" s="269">
        <f>'d3'!J119</f>
        <v>0</v>
      </c>
      <c r="J120" s="269">
        <f>'d3'!K119</f>
        <v>0</v>
      </c>
      <c r="K120" s="137"/>
      <c r="L120" s="137"/>
      <c r="M120" s="137"/>
    </row>
    <row r="121" spans="1:13" s="5" customFormat="1" ht="409.6" customHeight="1" thickTop="1" thickBot="1" x14ac:dyDescent="0.25">
      <c r="A121" s="101" t="s">
        <v>321</v>
      </c>
      <c r="B121" s="101" t="s">
        <v>323</v>
      </c>
      <c r="C121" s="101" t="s">
        <v>230</v>
      </c>
      <c r="D121" s="461" t="s">
        <v>319</v>
      </c>
      <c r="E121" s="315" t="s">
        <v>1523</v>
      </c>
      <c r="F121" s="315" t="s">
        <v>1524</v>
      </c>
      <c r="G121" s="323">
        <f t="shared" si="16"/>
        <v>3823055</v>
      </c>
      <c r="H121" s="323">
        <f>'d3'!E121</f>
        <v>3823055</v>
      </c>
      <c r="I121" s="323">
        <f>'d3'!J121</f>
        <v>0</v>
      </c>
      <c r="J121" s="323">
        <f>'d3'!K121</f>
        <v>0</v>
      </c>
      <c r="K121" s="136"/>
      <c r="L121" s="136"/>
      <c r="M121" s="136"/>
    </row>
    <row r="122" spans="1:13" s="5" customFormat="1" ht="276" thickTop="1" thickBot="1" x14ac:dyDescent="0.25">
      <c r="A122" s="101" t="s">
        <v>322</v>
      </c>
      <c r="B122" s="101" t="s">
        <v>324</v>
      </c>
      <c r="C122" s="101" t="s">
        <v>230</v>
      </c>
      <c r="D122" s="461" t="s">
        <v>320</v>
      </c>
      <c r="E122" s="315" t="s">
        <v>1523</v>
      </c>
      <c r="F122" s="315" t="s">
        <v>1524</v>
      </c>
      <c r="G122" s="323">
        <f>H122+I122</f>
        <v>5106200</v>
      </c>
      <c r="H122" s="323">
        <f>'d3'!E122</f>
        <v>5106200</v>
      </c>
      <c r="I122" s="323">
        <f>'d3'!J122</f>
        <v>0</v>
      </c>
      <c r="J122" s="323">
        <f>'d3'!K122</f>
        <v>0</v>
      </c>
      <c r="K122" s="136"/>
      <c r="L122" s="136"/>
      <c r="M122" s="136"/>
    </row>
    <row r="123" spans="1:13" s="5" customFormat="1" ht="276" hidden="1" thickTop="1" thickBot="1" x14ac:dyDescent="0.25">
      <c r="A123" s="101" t="s">
        <v>1569</v>
      </c>
      <c r="B123" s="101" t="s">
        <v>1570</v>
      </c>
      <c r="C123" s="101" t="s">
        <v>230</v>
      </c>
      <c r="D123" s="461" t="s">
        <v>1568</v>
      </c>
      <c r="E123" s="315" t="s">
        <v>1523</v>
      </c>
      <c r="F123" s="315" t="s">
        <v>1524</v>
      </c>
      <c r="G123" s="323">
        <f>H123+I123</f>
        <v>0</v>
      </c>
      <c r="H123" s="323">
        <f>'d3'!E124</f>
        <v>0</v>
      </c>
      <c r="I123" s="323">
        <f>'d3'!J124</f>
        <v>0</v>
      </c>
      <c r="J123" s="323">
        <f>'d3'!K124</f>
        <v>0</v>
      </c>
      <c r="K123" s="136"/>
      <c r="L123" s="136"/>
      <c r="M123" s="136"/>
    </row>
    <row r="124" spans="1:13" s="5" customFormat="1" ht="276" thickTop="1" thickBot="1" x14ac:dyDescent="0.25">
      <c r="A124" s="101" t="s">
        <v>1181</v>
      </c>
      <c r="B124" s="101" t="s">
        <v>1182</v>
      </c>
      <c r="C124" s="101" t="s">
        <v>206</v>
      </c>
      <c r="D124" s="461" t="s">
        <v>1183</v>
      </c>
      <c r="E124" s="315" t="s">
        <v>1523</v>
      </c>
      <c r="F124" s="315" t="s">
        <v>1524</v>
      </c>
      <c r="G124" s="323">
        <f t="shared" ref="G124:G128" si="17">H124+I124</f>
        <v>100000</v>
      </c>
      <c r="H124" s="323">
        <f>'d3'!E126</f>
        <v>100000</v>
      </c>
      <c r="I124" s="323">
        <f>'d3'!J126</f>
        <v>0</v>
      </c>
      <c r="J124" s="323">
        <f>'d3'!K126</f>
        <v>0</v>
      </c>
      <c r="K124" s="136"/>
      <c r="L124" s="136"/>
      <c r="M124" s="136"/>
    </row>
    <row r="125" spans="1:13" s="5" customFormat="1" ht="276" thickTop="1" thickBot="1" x14ac:dyDescent="0.25">
      <c r="A125" s="101" t="s">
        <v>1161</v>
      </c>
      <c r="B125" s="101" t="s">
        <v>1163</v>
      </c>
      <c r="C125" s="101" t="s">
        <v>304</v>
      </c>
      <c r="D125" s="101" t="s">
        <v>1505</v>
      </c>
      <c r="E125" s="315" t="s">
        <v>1523</v>
      </c>
      <c r="F125" s="315" t="s">
        <v>1524</v>
      </c>
      <c r="G125" s="315">
        <f t="shared" si="17"/>
        <v>3044424.99</v>
      </c>
      <c r="H125" s="315">
        <f>'d3'!E130</f>
        <v>0</v>
      </c>
      <c r="I125" s="315">
        <f>'d3'!J130</f>
        <v>3044424.99</v>
      </c>
      <c r="J125" s="315">
        <f>'d3'!K130</f>
        <v>3044424.99</v>
      </c>
      <c r="K125" s="136"/>
      <c r="L125" s="136"/>
      <c r="M125" s="136"/>
    </row>
    <row r="126" spans="1:13" s="5" customFormat="1" ht="258" hidden="1" thickTop="1" thickBot="1" x14ac:dyDescent="0.25">
      <c r="A126" s="41" t="s">
        <v>1038</v>
      </c>
      <c r="B126" s="41" t="s">
        <v>1039</v>
      </c>
      <c r="C126" s="41" t="s">
        <v>170</v>
      </c>
      <c r="D126" s="41" t="s">
        <v>1040</v>
      </c>
      <c r="E126" s="579" t="s">
        <v>1506</v>
      </c>
      <c r="F126" s="315"/>
      <c r="G126" s="73">
        <f t="shared" si="17"/>
        <v>0</v>
      </c>
      <c r="H126" s="73">
        <f>'d3'!E132</f>
        <v>0</v>
      </c>
      <c r="I126" s="73">
        <f>'d3'!J132</f>
        <v>0</v>
      </c>
      <c r="J126" s="73">
        <f>'d3'!K132</f>
        <v>0</v>
      </c>
      <c r="K126" s="136"/>
      <c r="L126" s="136"/>
      <c r="M126" s="136"/>
    </row>
    <row r="127" spans="1:13" s="5" customFormat="1" ht="276" hidden="1" thickTop="1" thickBot="1" x14ac:dyDescent="0.25">
      <c r="A127" s="101" t="s">
        <v>1237</v>
      </c>
      <c r="B127" s="101" t="s">
        <v>212</v>
      </c>
      <c r="C127" s="101" t="s">
        <v>213</v>
      </c>
      <c r="D127" s="101" t="s">
        <v>41</v>
      </c>
      <c r="E127" s="315" t="s">
        <v>1523</v>
      </c>
      <c r="F127" s="315" t="s">
        <v>1524</v>
      </c>
      <c r="G127" s="315">
        <f t="shared" si="17"/>
        <v>0</v>
      </c>
      <c r="H127" s="315">
        <f>'d3'!E134</f>
        <v>0</v>
      </c>
      <c r="I127" s="315">
        <f>'d3'!J134</f>
        <v>0</v>
      </c>
      <c r="J127" s="315">
        <f>'d3'!K134</f>
        <v>0</v>
      </c>
      <c r="K127" s="136"/>
      <c r="L127" s="136"/>
      <c r="M127" s="136"/>
    </row>
    <row r="128" spans="1:13" s="5" customFormat="1" ht="138.75" hidden="1" thickTop="1" thickBot="1" x14ac:dyDescent="0.25">
      <c r="A128" s="41" t="s">
        <v>434</v>
      </c>
      <c r="B128" s="41" t="s">
        <v>197</v>
      </c>
      <c r="C128" s="41" t="s">
        <v>170</v>
      </c>
      <c r="D128" s="41" t="s">
        <v>34</v>
      </c>
      <c r="E128" s="73" t="s">
        <v>435</v>
      </c>
      <c r="F128" s="73" t="s">
        <v>409</v>
      </c>
      <c r="G128" s="860">
        <f t="shared" si="17"/>
        <v>0</v>
      </c>
      <c r="H128" s="860">
        <v>0</v>
      </c>
      <c r="I128" s="860">
        <f>'d3'!J135-I130</f>
        <v>0</v>
      </c>
      <c r="J128" s="860">
        <f>'d3'!K135-J130</f>
        <v>0</v>
      </c>
      <c r="K128" s="136"/>
      <c r="L128" s="136"/>
      <c r="M128" s="136"/>
    </row>
    <row r="129" spans="1:13" s="5" customFormat="1" ht="258" hidden="1" thickTop="1" thickBot="1" x14ac:dyDescent="0.25">
      <c r="A129" s="41" t="s">
        <v>434</v>
      </c>
      <c r="B129" s="41" t="s">
        <v>197</v>
      </c>
      <c r="C129" s="41" t="s">
        <v>170</v>
      </c>
      <c r="D129" s="41" t="s">
        <v>34</v>
      </c>
      <c r="E129" s="268" t="s">
        <v>865</v>
      </c>
      <c r="F129" s="73" t="s">
        <v>866</v>
      </c>
      <c r="G129" s="861"/>
      <c r="H129" s="861"/>
      <c r="I129" s="861"/>
      <c r="J129" s="861"/>
      <c r="K129" s="136"/>
      <c r="L129" s="136"/>
      <c r="M129" s="136"/>
    </row>
    <row r="130" spans="1:13" s="5" customFormat="1" ht="138.75" hidden="1" thickTop="1" thickBot="1" x14ac:dyDescent="0.25">
      <c r="A130" s="41" t="s">
        <v>434</v>
      </c>
      <c r="B130" s="41" t="s">
        <v>197</v>
      </c>
      <c r="C130" s="41" t="s">
        <v>170</v>
      </c>
      <c r="D130" s="41" t="s">
        <v>34</v>
      </c>
      <c r="E130" s="256" t="s">
        <v>448</v>
      </c>
      <c r="F130" s="261" t="s">
        <v>449</v>
      </c>
      <c r="G130" s="73">
        <f>H130+I130</f>
        <v>0</v>
      </c>
      <c r="H130" s="73">
        <v>0</v>
      </c>
      <c r="I130" s="73"/>
      <c r="J130" s="73"/>
      <c r="K130" s="136"/>
      <c r="L130" s="136"/>
      <c r="M130" s="136"/>
    </row>
    <row r="131" spans="1:13" s="5" customFormat="1" ht="138.75" hidden="1" thickTop="1" thickBot="1" x14ac:dyDescent="0.25">
      <c r="A131" s="41" t="s">
        <v>508</v>
      </c>
      <c r="B131" s="41" t="s">
        <v>363</v>
      </c>
      <c r="C131" s="41" t="s">
        <v>43</v>
      </c>
      <c r="D131" s="41" t="s">
        <v>364</v>
      </c>
      <c r="E131" s="73" t="s">
        <v>435</v>
      </c>
      <c r="F131" s="73" t="s">
        <v>409</v>
      </c>
      <c r="G131" s="73">
        <f>H131+I131</f>
        <v>0</v>
      </c>
      <c r="H131" s="73">
        <f>'d3'!F136</f>
        <v>0</v>
      </c>
      <c r="I131" s="73">
        <f>'d3'!J136</f>
        <v>0</v>
      </c>
      <c r="J131" s="73">
        <f>'d3'!K136</f>
        <v>0</v>
      </c>
      <c r="K131" s="136"/>
      <c r="L131" s="136"/>
      <c r="M131" s="136"/>
    </row>
    <row r="132" spans="1:13" ht="170.25" customHeight="1" thickTop="1" thickBot="1" x14ac:dyDescent="0.25">
      <c r="A132" s="689" t="s">
        <v>156</v>
      </c>
      <c r="B132" s="689"/>
      <c r="C132" s="689"/>
      <c r="D132" s="690" t="s">
        <v>37</v>
      </c>
      <c r="E132" s="689"/>
      <c r="F132" s="689"/>
      <c r="G132" s="692">
        <f>G133</f>
        <v>458735905.17000002</v>
      </c>
      <c r="H132" s="692">
        <f t="shared" ref="H132:J132" si="18">H133</f>
        <v>322695543.01999998</v>
      </c>
      <c r="I132" s="692">
        <f t="shared" si="18"/>
        <v>136040362.15000001</v>
      </c>
      <c r="J132" s="692">
        <f t="shared" si="18"/>
        <v>129777102.14999999</v>
      </c>
      <c r="K132" s="95" t="b">
        <f>H132='d3'!E138-'d3'!E140+H134+H135+H136</f>
        <v>0</v>
      </c>
      <c r="L132" s="456" t="b">
        <f>I132='d3'!J138-'d3'!J140-'d3'!J166+'d7'!I134+I135+I136</f>
        <v>1</v>
      </c>
      <c r="M132" s="456" t="b">
        <f>J132='d3'!K138-'d3'!K140-'d3'!K166+'d7'!J134+J135+J136</f>
        <v>1</v>
      </c>
    </row>
    <row r="133" spans="1:13" ht="170.25" customHeight="1" thickTop="1" thickBot="1" x14ac:dyDescent="0.25">
      <c r="A133" s="693" t="s">
        <v>157</v>
      </c>
      <c r="B133" s="693"/>
      <c r="C133" s="693"/>
      <c r="D133" s="694" t="s">
        <v>38</v>
      </c>
      <c r="E133" s="695"/>
      <c r="F133" s="695"/>
      <c r="G133" s="695">
        <f>SUM(G134:G175)</f>
        <v>458735905.17000002</v>
      </c>
      <c r="H133" s="695">
        <f>SUM(H134:H175)</f>
        <v>322695543.01999998</v>
      </c>
      <c r="I133" s="695">
        <f>SUM(I134:I175)</f>
        <v>136040362.15000001</v>
      </c>
      <c r="J133" s="695">
        <f>SUM(J134:J175)</f>
        <v>129777102.14999999</v>
      </c>
      <c r="K133" s="137"/>
      <c r="L133" s="47"/>
      <c r="M133" s="137"/>
    </row>
    <row r="134" spans="1:13" ht="138.75" hidden="1" thickTop="1" thickBot="1" x14ac:dyDescent="0.25">
      <c r="A134" s="126" t="s">
        <v>414</v>
      </c>
      <c r="B134" s="126" t="s">
        <v>236</v>
      </c>
      <c r="C134" s="126" t="s">
        <v>234</v>
      </c>
      <c r="D134" s="126" t="s">
        <v>235</v>
      </c>
      <c r="E134" s="253" t="s">
        <v>1021</v>
      </c>
      <c r="F134" s="194" t="s">
        <v>853</v>
      </c>
      <c r="G134" s="194">
        <f t="shared" ref="G134:G173" si="19">H134+I134</f>
        <v>0</v>
      </c>
      <c r="H134" s="194">
        <v>0</v>
      </c>
      <c r="I134" s="194">
        <v>0</v>
      </c>
      <c r="J134" s="194">
        <v>0</v>
      </c>
      <c r="K134" s="137"/>
      <c r="L134" s="47"/>
      <c r="M134" s="137"/>
    </row>
    <row r="135" spans="1:13" ht="138.75" hidden="1" thickTop="1" thickBot="1" x14ac:dyDescent="0.25">
      <c r="A135" s="126" t="s">
        <v>414</v>
      </c>
      <c r="B135" s="126" t="s">
        <v>236</v>
      </c>
      <c r="C135" s="126" t="s">
        <v>234</v>
      </c>
      <c r="D135" s="126" t="s">
        <v>235</v>
      </c>
      <c r="E135" s="253" t="s">
        <v>1263</v>
      </c>
      <c r="F135" s="194" t="s">
        <v>1264</v>
      </c>
      <c r="G135" s="194">
        <f t="shared" si="19"/>
        <v>0</v>
      </c>
      <c r="H135" s="194">
        <v>0</v>
      </c>
      <c r="I135" s="194">
        <v>0</v>
      </c>
      <c r="J135" s="194">
        <v>0</v>
      </c>
      <c r="K135" s="137"/>
      <c r="L135" s="47"/>
      <c r="M135" s="137"/>
    </row>
    <row r="136" spans="1:13" ht="138.75" thickTop="1" thickBot="1" x14ac:dyDescent="0.25">
      <c r="A136" s="101" t="s">
        <v>414</v>
      </c>
      <c r="B136" s="101" t="s">
        <v>236</v>
      </c>
      <c r="C136" s="101" t="s">
        <v>234</v>
      </c>
      <c r="D136" s="101" t="s">
        <v>235</v>
      </c>
      <c r="E136" s="318" t="s">
        <v>1174</v>
      </c>
      <c r="F136" s="315" t="s">
        <v>1148</v>
      </c>
      <c r="G136" s="315">
        <f t="shared" ref="G136" si="20">H136+I136</f>
        <v>579000</v>
      </c>
      <c r="H136" s="315">
        <v>0</v>
      </c>
      <c r="I136" s="315">
        <f>(700000)-121000</f>
        <v>579000</v>
      </c>
      <c r="J136" s="315">
        <f>(700000)-121000</f>
        <v>579000</v>
      </c>
      <c r="K136" s="137"/>
      <c r="L136" s="47"/>
      <c r="M136" s="137"/>
    </row>
    <row r="137" spans="1:13" ht="321.75" hidden="1" thickTop="1" thickBot="1" x14ac:dyDescent="0.25">
      <c r="A137" s="126" t="s">
        <v>626</v>
      </c>
      <c r="B137" s="126" t="s">
        <v>362</v>
      </c>
      <c r="C137" s="126" t="s">
        <v>623</v>
      </c>
      <c r="D137" s="126" t="s">
        <v>624</v>
      </c>
      <c r="E137" s="253" t="s">
        <v>1277</v>
      </c>
      <c r="F137" s="194" t="s">
        <v>1278</v>
      </c>
      <c r="G137" s="194">
        <f t="shared" si="19"/>
        <v>0</v>
      </c>
      <c r="H137" s="194">
        <f>'d3'!E141</f>
        <v>0</v>
      </c>
      <c r="I137" s="194">
        <f>'d3'!J141</f>
        <v>0</v>
      </c>
      <c r="J137" s="194">
        <f>'d3'!K141</f>
        <v>0</v>
      </c>
      <c r="K137" s="137"/>
      <c r="L137" s="47"/>
      <c r="M137" s="137"/>
    </row>
    <row r="138" spans="1:13" ht="138.75" thickTop="1" thickBot="1" x14ac:dyDescent="0.25">
      <c r="A138" s="101" t="s">
        <v>914</v>
      </c>
      <c r="B138" s="101" t="s">
        <v>43</v>
      </c>
      <c r="C138" s="101" t="s">
        <v>42</v>
      </c>
      <c r="D138" s="101" t="s">
        <v>248</v>
      </c>
      <c r="E138" s="318" t="s">
        <v>951</v>
      </c>
      <c r="F138" s="315" t="s">
        <v>947</v>
      </c>
      <c r="G138" s="315">
        <f t="shared" si="19"/>
        <v>30000</v>
      </c>
      <c r="H138" s="315">
        <f>'d3'!E142</f>
        <v>30000</v>
      </c>
      <c r="I138" s="315">
        <f>'d3'!J142</f>
        <v>0</v>
      </c>
      <c r="J138" s="315">
        <f>'d3'!K142</f>
        <v>0</v>
      </c>
      <c r="K138" s="137"/>
      <c r="L138" s="47"/>
      <c r="M138" s="137"/>
    </row>
    <row r="139" spans="1:13" s="5" customFormat="1" ht="138.75" thickTop="1" thickBot="1" x14ac:dyDescent="0.25">
      <c r="A139" s="101" t="s">
        <v>269</v>
      </c>
      <c r="B139" s="101" t="s">
        <v>270</v>
      </c>
      <c r="C139" s="101" t="s">
        <v>205</v>
      </c>
      <c r="D139" s="326" t="s">
        <v>271</v>
      </c>
      <c r="E139" s="318" t="s">
        <v>1174</v>
      </c>
      <c r="F139" s="315" t="s">
        <v>1148</v>
      </c>
      <c r="G139" s="315">
        <f t="shared" si="19"/>
        <v>908000</v>
      </c>
      <c r="H139" s="315">
        <f>'d3'!E145</f>
        <v>858000</v>
      </c>
      <c r="I139" s="315">
        <f>'d3'!J145</f>
        <v>50000</v>
      </c>
      <c r="J139" s="315">
        <f>'d3'!K145</f>
        <v>50000</v>
      </c>
      <c r="K139" s="136"/>
      <c r="L139" s="136"/>
      <c r="M139" s="136"/>
    </row>
    <row r="140" spans="1:13" s="5" customFormat="1" ht="138.75" thickTop="1" thickBot="1" x14ac:dyDescent="0.25">
      <c r="A140" s="101" t="s">
        <v>272</v>
      </c>
      <c r="B140" s="101" t="s">
        <v>273</v>
      </c>
      <c r="C140" s="101" t="s">
        <v>206</v>
      </c>
      <c r="D140" s="101" t="s">
        <v>6</v>
      </c>
      <c r="E140" s="318" t="s">
        <v>1174</v>
      </c>
      <c r="F140" s="315" t="s">
        <v>1148</v>
      </c>
      <c r="G140" s="315">
        <f t="shared" si="19"/>
        <v>650000</v>
      </c>
      <c r="H140" s="315">
        <f>'d3'!E146</f>
        <v>650000</v>
      </c>
      <c r="I140" s="315">
        <f>'d3'!J146</f>
        <v>0</v>
      </c>
      <c r="J140" s="315">
        <f>'d3'!K146</f>
        <v>0</v>
      </c>
      <c r="K140" s="136"/>
      <c r="L140" s="136"/>
      <c r="M140" s="136"/>
    </row>
    <row r="141" spans="1:13" s="5" customFormat="1" ht="138.75" thickTop="1" thickBot="1" x14ac:dyDescent="0.25">
      <c r="A141" s="101" t="s">
        <v>275</v>
      </c>
      <c r="B141" s="101" t="s">
        <v>276</v>
      </c>
      <c r="C141" s="101" t="s">
        <v>206</v>
      </c>
      <c r="D141" s="101" t="s">
        <v>7</v>
      </c>
      <c r="E141" s="318" t="s">
        <v>1174</v>
      </c>
      <c r="F141" s="315" t="s">
        <v>1148</v>
      </c>
      <c r="G141" s="315">
        <f t="shared" si="19"/>
        <v>30200000</v>
      </c>
      <c r="H141" s="315">
        <f>'d3'!E147</f>
        <v>30200000</v>
      </c>
      <c r="I141" s="315">
        <f>'d3'!J147</f>
        <v>0</v>
      </c>
      <c r="J141" s="315">
        <f>'d3'!K147</f>
        <v>0</v>
      </c>
      <c r="K141" s="136"/>
      <c r="L141" s="136"/>
      <c r="M141" s="136"/>
    </row>
    <row r="142" spans="1:13" s="5" customFormat="1" ht="138.75" thickTop="1" thickBot="1" x14ac:dyDescent="0.25">
      <c r="A142" s="101" t="s">
        <v>277</v>
      </c>
      <c r="B142" s="101" t="s">
        <v>274</v>
      </c>
      <c r="C142" s="101" t="s">
        <v>206</v>
      </c>
      <c r="D142" s="101" t="s">
        <v>8</v>
      </c>
      <c r="E142" s="318" t="s">
        <v>1174</v>
      </c>
      <c r="F142" s="315" t="s">
        <v>1148</v>
      </c>
      <c r="G142" s="315">
        <f t="shared" si="19"/>
        <v>700000</v>
      </c>
      <c r="H142" s="315">
        <f>'d3'!E148</f>
        <v>700000</v>
      </c>
      <c r="I142" s="315">
        <f>'d3'!J148</f>
        <v>0</v>
      </c>
      <c r="J142" s="315">
        <f>'d3'!K148</f>
        <v>0</v>
      </c>
      <c r="K142" s="136"/>
      <c r="L142" s="136"/>
      <c r="M142" s="136"/>
    </row>
    <row r="143" spans="1:13" s="5" customFormat="1" ht="138.75" thickTop="1" thickBot="1" x14ac:dyDescent="0.25">
      <c r="A143" s="101" t="s">
        <v>278</v>
      </c>
      <c r="B143" s="101" t="s">
        <v>279</v>
      </c>
      <c r="C143" s="101" t="s">
        <v>206</v>
      </c>
      <c r="D143" s="101" t="s">
        <v>9</v>
      </c>
      <c r="E143" s="318" t="s">
        <v>1174</v>
      </c>
      <c r="F143" s="315" t="s">
        <v>1148</v>
      </c>
      <c r="G143" s="315">
        <f t="shared" si="19"/>
        <v>50000000</v>
      </c>
      <c r="H143" s="315">
        <f>'d3'!E149</f>
        <v>50000000</v>
      </c>
      <c r="I143" s="315">
        <f>'d3'!J149</f>
        <v>0</v>
      </c>
      <c r="J143" s="315">
        <f>'d3'!K149</f>
        <v>0</v>
      </c>
      <c r="K143" s="136"/>
      <c r="L143" s="136"/>
      <c r="M143" s="136"/>
    </row>
    <row r="144" spans="1:13" s="5" customFormat="1" ht="138.75" thickTop="1" thickBot="1" x14ac:dyDescent="0.25">
      <c r="A144" s="101" t="s">
        <v>477</v>
      </c>
      <c r="B144" s="101" t="s">
        <v>478</v>
      </c>
      <c r="C144" s="101" t="s">
        <v>206</v>
      </c>
      <c r="D144" s="101" t="s">
        <v>479</v>
      </c>
      <c r="E144" s="318" t="s">
        <v>1174</v>
      </c>
      <c r="F144" s="315" t="s">
        <v>1148</v>
      </c>
      <c r="G144" s="315">
        <f t="shared" si="19"/>
        <v>362971</v>
      </c>
      <c r="H144" s="315">
        <f>'d3'!E150</f>
        <v>362971</v>
      </c>
      <c r="I144" s="315">
        <f>'d3'!J150</f>
        <v>0</v>
      </c>
      <c r="J144" s="315">
        <f>'d3'!K150</f>
        <v>0</v>
      </c>
      <c r="K144" s="136"/>
      <c r="L144" s="136"/>
      <c r="M144" s="136"/>
    </row>
    <row r="145" spans="1:13" s="5" customFormat="1" ht="138.75" thickTop="1" thickBot="1" x14ac:dyDescent="0.25">
      <c r="A145" s="101" t="s">
        <v>915</v>
      </c>
      <c r="B145" s="101" t="s">
        <v>916</v>
      </c>
      <c r="C145" s="101" t="s">
        <v>206</v>
      </c>
      <c r="D145" s="101" t="s">
        <v>917</v>
      </c>
      <c r="E145" s="318" t="s">
        <v>1174</v>
      </c>
      <c r="F145" s="315" t="s">
        <v>1148</v>
      </c>
      <c r="G145" s="315">
        <f t="shared" ref="G145" si="21">H145+I145</f>
        <v>1893100</v>
      </c>
      <c r="H145" s="315">
        <f>'d3'!E151</f>
        <v>1893100</v>
      </c>
      <c r="I145" s="315">
        <f>'d3'!J151</f>
        <v>0</v>
      </c>
      <c r="J145" s="315">
        <f>'d3'!K151</f>
        <v>0</v>
      </c>
      <c r="K145" s="136"/>
      <c r="L145" s="136"/>
      <c r="M145" s="136"/>
    </row>
    <row r="146" spans="1:13" s="5" customFormat="1" ht="138.75" thickTop="1" thickBot="1" x14ac:dyDescent="0.25">
      <c r="A146" s="101" t="s">
        <v>480</v>
      </c>
      <c r="B146" s="101" t="s">
        <v>481</v>
      </c>
      <c r="C146" s="101" t="s">
        <v>205</v>
      </c>
      <c r="D146" s="101" t="s">
        <v>482</v>
      </c>
      <c r="E146" s="318" t="s">
        <v>1174</v>
      </c>
      <c r="F146" s="315" t="s">
        <v>1148</v>
      </c>
      <c r="G146" s="315">
        <f t="shared" si="19"/>
        <v>470456</v>
      </c>
      <c r="H146" s="315">
        <f>'d3'!E152</f>
        <v>470456</v>
      </c>
      <c r="I146" s="315">
        <f>'d3'!J152</f>
        <v>0</v>
      </c>
      <c r="J146" s="315">
        <f>'d3'!K152</f>
        <v>0</v>
      </c>
      <c r="K146" s="136"/>
      <c r="L146" s="136"/>
      <c r="M146" s="136"/>
    </row>
    <row r="147" spans="1:13" ht="184.5" thickTop="1" thickBot="1" x14ac:dyDescent="0.25">
      <c r="A147" s="101" t="s">
        <v>267</v>
      </c>
      <c r="B147" s="101" t="s">
        <v>265</v>
      </c>
      <c r="C147" s="101" t="s">
        <v>200</v>
      </c>
      <c r="D147" s="101" t="s">
        <v>17</v>
      </c>
      <c r="E147" s="318" t="s">
        <v>1174</v>
      </c>
      <c r="F147" s="315" t="s">
        <v>1148</v>
      </c>
      <c r="G147" s="315">
        <f t="shared" si="19"/>
        <v>54216625.919999994</v>
      </c>
      <c r="H147" s="315">
        <f>'d3'!E154-H148</f>
        <v>52945625.919999994</v>
      </c>
      <c r="I147" s="315">
        <f>'d3'!J154-I148</f>
        <v>1271000</v>
      </c>
      <c r="J147" s="315">
        <f>'d3'!K154-J148</f>
        <v>0</v>
      </c>
      <c r="K147" s="95" t="b">
        <f>H147+H148='d3'!E154</f>
        <v>1</v>
      </c>
      <c r="L147" s="95" t="b">
        <f>I147+I148='d3'!J154</f>
        <v>1</v>
      </c>
      <c r="M147" s="95" t="b">
        <f>J147+J148='d3'!K154</f>
        <v>1</v>
      </c>
    </row>
    <row r="148" spans="1:13" ht="184.5" thickTop="1" thickBot="1" x14ac:dyDescent="0.25">
      <c r="A148" s="101" t="s">
        <v>267</v>
      </c>
      <c r="B148" s="101" t="s">
        <v>265</v>
      </c>
      <c r="C148" s="101" t="s">
        <v>200</v>
      </c>
      <c r="D148" s="101" t="s">
        <v>17</v>
      </c>
      <c r="E148" s="318" t="s">
        <v>1587</v>
      </c>
      <c r="F148" s="315" t="s">
        <v>1588</v>
      </c>
      <c r="G148" s="315">
        <f t="shared" si="19"/>
        <v>290740</v>
      </c>
      <c r="H148" s="315">
        <f>134471+91942</f>
        <v>226413</v>
      </c>
      <c r="I148" s="315">
        <v>64327</v>
      </c>
      <c r="J148" s="315">
        <v>64327</v>
      </c>
      <c r="K148" s="137"/>
      <c r="L148" s="137"/>
      <c r="M148" s="137"/>
    </row>
    <row r="149" spans="1:13" ht="138.75" thickTop="1" thickBot="1" x14ac:dyDescent="0.25">
      <c r="A149" s="101" t="s">
        <v>268</v>
      </c>
      <c r="B149" s="101" t="s">
        <v>266</v>
      </c>
      <c r="C149" s="101" t="s">
        <v>199</v>
      </c>
      <c r="D149" s="101" t="s">
        <v>454</v>
      </c>
      <c r="E149" s="318" t="s">
        <v>1174</v>
      </c>
      <c r="F149" s="315" t="s">
        <v>1148</v>
      </c>
      <c r="G149" s="315">
        <f t="shared" si="19"/>
        <v>11964994.439999999</v>
      </c>
      <c r="H149" s="315">
        <f>'d3'!E155-H150</f>
        <v>11525602</v>
      </c>
      <c r="I149" s="315">
        <f>'d3'!J155-I150</f>
        <v>439392.44</v>
      </c>
      <c r="J149" s="315">
        <f>'d3'!K155-J150</f>
        <v>439392.44</v>
      </c>
      <c r="K149" s="137"/>
      <c r="L149" s="137"/>
      <c r="M149" s="137"/>
    </row>
    <row r="150" spans="1:13" ht="184.5" hidden="1" thickTop="1" thickBot="1" x14ac:dyDescent="0.25">
      <c r="A150" s="126" t="s">
        <v>268</v>
      </c>
      <c r="B150" s="126" t="s">
        <v>266</v>
      </c>
      <c r="C150" s="126" t="s">
        <v>199</v>
      </c>
      <c r="D150" s="126" t="s">
        <v>454</v>
      </c>
      <c r="E150" s="253" t="s">
        <v>1366</v>
      </c>
      <c r="F150" s="194" t="s">
        <v>449</v>
      </c>
      <c r="G150" s="194">
        <f t="shared" si="19"/>
        <v>0</v>
      </c>
      <c r="H150" s="194">
        <v>0</v>
      </c>
      <c r="I150" s="315">
        <v>0</v>
      </c>
      <c r="J150" s="315">
        <v>0</v>
      </c>
      <c r="K150" s="137"/>
      <c r="L150" s="137"/>
      <c r="M150" s="137"/>
    </row>
    <row r="151" spans="1:13" ht="138.75" thickTop="1" thickBot="1" x14ac:dyDescent="0.25">
      <c r="A151" s="101" t="s">
        <v>1197</v>
      </c>
      <c r="B151" s="101" t="s">
        <v>184</v>
      </c>
      <c r="C151" s="101" t="s">
        <v>185</v>
      </c>
      <c r="D151" s="101" t="s">
        <v>636</v>
      </c>
      <c r="E151" s="318" t="s">
        <v>1174</v>
      </c>
      <c r="F151" s="315" t="s">
        <v>1148</v>
      </c>
      <c r="G151" s="315">
        <f>H151+I151</f>
        <v>10779936.51</v>
      </c>
      <c r="H151" s="315">
        <f>'d3'!E157-H152</f>
        <v>10766741.51</v>
      </c>
      <c r="I151" s="315">
        <f>'d3'!J157-I152</f>
        <v>13195</v>
      </c>
      <c r="J151" s="315">
        <f>'d3'!K157-J152</f>
        <v>13195</v>
      </c>
      <c r="K151" s="137"/>
      <c r="L151" s="137"/>
      <c r="M151" s="137"/>
    </row>
    <row r="152" spans="1:13" ht="184.5" hidden="1" thickTop="1" thickBot="1" x14ac:dyDescent="0.25">
      <c r="A152" s="126" t="s">
        <v>1197</v>
      </c>
      <c r="B152" s="126" t="s">
        <v>184</v>
      </c>
      <c r="C152" s="126" t="s">
        <v>185</v>
      </c>
      <c r="D152" s="126" t="s">
        <v>636</v>
      </c>
      <c r="E152" s="253" t="s">
        <v>1366</v>
      </c>
      <c r="F152" s="194" t="s">
        <v>449</v>
      </c>
      <c r="G152" s="194">
        <f>H152+I152</f>
        <v>0</v>
      </c>
      <c r="H152" s="194">
        <v>0</v>
      </c>
      <c r="I152" s="194">
        <v>0</v>
      </c>
      <c r="J152" s="194">
        <v>0</v>
      </c>
      <c r="K152" s="137"/>
      <c r="L152" s="137"/>
      <c r="M152" s="137"/>
    </row>
    <row r="153" spans="1:13" ht="184.5" thickTop="1" thickBot="1" x14ac:dyDescent="0.25">
      <c r="A153" s="101" t="s">
        <v>1005</v>
      </c>
      <c r="B153" s="101" t="s">
        <v>1006</v>
      </c>
      <c r="C153" s="101" t="s">
        <v>185</v>
      </c>
      <c r="D153" s="101" t="s">
        <v>1007</v>
      </c>
      <c r="E153" s="318" t="s">
        <v>1174</v>
      </c>
      <c r="F153" s="315" t="s">
        <v>1148</v>
      </c>
      <c r="G153" s="315">
        <f t="shared" si="19"/>
        <v>2256506</v>
      </c>
      <c r="H153" s="315">
        <f>'d3'!E158</f>
        <v>1382385.9999999998</v>
      </c>
      <c r="I153" s="315">
        <f>'d3'!J158</f>
        <v>874120</v>
      </c>
      <c r="J153" s="315">
        <f>'d3'!K158</f>
        <v>874120</v>
      </c>
      <c r="K153" s="137"/>
      <c r="L153" s="137"/>
      <c r="M153" s="137"/>
    </row>
    <row r="154" spans="1:13" ht="276" thickTop="1" thickBot="1" x14ac:dyDescent="0.25">
      <c r="A154" s="101" t="s">
        <v>263</v>
      </c>
      <c r="B154" s="101" t="s">
        <v>264</v>
      </c>
      <c r="C154" s="101" t="s">
        <v>199</v>
      </c>
      <c r="D154" s="101" t="s">
        <v>452</v>
      </c>
      <c r="E154" s="318" t="s">
        <v>1174</v>
      </c>
      <c r="F154" s="315" t="s">
        <v>1148</v>
      </c>
      <c r="G154" s="315">
        <f t="shared" si="19"/>
        <v>6626500</v>
      </c>
      <c r="H154" s="315">
        <f>'d3'!E159</f>
        <v>6626500</v>
      </c>
      <c r="I154" s="315">
        <f>'d3'!J159</f>
        <v>0</v>
      </c>
      <c r="J154" s="315">
        <f>'d3'!K159</f>
        <v>0</v>
      </c>
      <c r="K154" s="137"/>
      <c r="L154" s="137"/>
      <c r="M154" s="137"/>
    </row>
    <row r="155" spans="1:13" ht="184.5" thickTop="1" thickBot="1" x14ac:dyDescent="0.25">
      <c r="A155" s="101" t="s">
        <v>483</v>
      </c>
      <c r="B155" s="101" t="s">
        <v>484</v>
      </c>
      <c r="C155" s="101" t="s">
        <v>199</v>
      </c>
      <c r="D155" s="101" t="s">
        <v>485</v>
      </c>
      <c r="E155" s="318" t="s">
        <v>1174</v>
      </c>
      <c r="F155" s="315" t="s">
        <v>1148</v>
      </c>
      <c r="G155" s="315">
        <f t="shared" si="19"/>
        <v>184607</v>
      </c>
      <c r="H155" s="315">
        <f>'d3'!E161</f>
        <v>184607</v>
      </c>
      <c r="I155" s="315">
        <f>'d3'!J161</f>
        <v>0</v>
      </c>
      <c r="J155" s="315">
        <f>'d3'!K161</f>
        <v>0</v>
      </c>
      <c r="K155" s="137"/>
      <c r="L155" s="137"/>
      <c r="M155" s="137"/>
    </row>
    <row r="156" spans="1:13" ht="230.25" thickTop="1" thickBot="1" x14ac:dyDescent="0.25">
      <c r="A156" s="101" t="s">
        <v>348</v>
      </c>
      <c r="B156" s="101" t="s">
        <v>347</v>
      </c>
      <c r="C156" s="101" t="s">
        <v>50</v>
      </c>
      <c r="D156" s="101" t="s">
        <v>453</v>
      </c>
      <c r="E156" s="318" t="s">
        <v>1174</v>
      </c>
      <c r="F156" s="315" t="s">
        <v>1148</v>
      </c>
      <c r="G156" s="315">
        <f t="shared" si="19"/>
        <v>1245437.28</v>
      </c>
      <c r="H156" s="315">
        <v>1245437.28</v>
      </c>
      <c r="I156" s="315">
        <f>'d3'!J162-I157-I158</f>
        <v>0</v>
      </c>
      <c r="J156" s="315">
        <f>'d3'!K162-J157-J158</f>
        <v>0</v>
      </c>
      <c r="K156" s="95" t="b">
        <f>H156+H157+H158='d3'!E162</f>
        <v>1</v>
      </c>
      <c r="L156" s="95" t="b">
        <f>I156+I157+I158='d3'!J162</f>
        <v>1</v>
      </c>
      <c r="M156" s="95" t="b">
        <f>J156+J157+J158='d3'!K162</f>
        <v>1</v>
      </c>
    </row>
    <row r="157" spans="1:13" ht="230.25" thickTop="1" thickBot="1" x14ac:dyDescent="0.25">
      <c r="A157" s="101" t="s">
        <v>348</v>
      </c>
      <c r="B157" s="101" t="s">
        <v>347</v>
      </c>
      <c r="C157" s="101" t="s">
        <v>50</v>
      </c>
      <c r="D157" s="101" t="s">
        <v>453</v>
      </c>
      <c r="E157" s="318" t="s">
        <v>1209</v>
      </c>
      <c r="F157" s="315" t="s">
        <v>864</v>
      </c>
      <c r="G157" s="315">
        <f t="shared" si="19"/>
        <v>799824</v>
      </c>
      <c r="H157" s="315">
        <v>799824</v>
      </c>
      <c r="I157" s="315">
        <v>0</v>
      </c>
      <c r="J157" s="315">
        <v>0</v>
      </c>
      <c r="K157" s="137"/>
      <c r="L157" s="137"/>
      <c r="M157" s="137"/>
    </row>
    <row r="158" spans="1:13" ht="276" thickTop="1" thickBot="1" x14ac:dyDescent="0.25">
      <c r="A158" s="101" t="s">
        <v>348</v>
      </c>
      <c r="B158" s="101" t="s">
        <v>347</v>
      </c>
      <c r="C158" s="101" t="s">
        <v>50</v>
      </c>
      <c r="D158" s="101" t="s">
        <v>453</v>
      </c>
      <c r="E158" s="318" t="s">
        <v>1365</v>
      </c>
      <c r="F158" s="315" t="s">
        <v>1328</v>
      </c>
      <c r="G158" s="315">
        <f t="shared" si="19"/>
        <v>642672</v>
      </c>
      <c r="H158" s="315">
        <v>642672</v>
      </c>
      <c r="I158" s="315">
        <v>0</v>
      </c>
      <c r="J158" s="315">
        <v>0</v>
      </c>
      <c r="K158" s="137"/>
      <c r="L158" s="137"/>
      <c r="M158" s="137"/>
    </row>
    <row r="159" spans="1:13" ht="138.75" thickTop="1" thickBot="1" x14ac:dyDescent="0.25">
      <c r="A159" s="101" t="s">
        <v>325</v>
      </c>
      <c r="B159" s="101" t="s">
        <v>326</v>
      </c>
      <c r="C159" s="101" t="s">
        <v>205</v>
      </c>
      <c r="D159" s="101" t="s">
        <v>633</v>
      </c>
      <c r="E159" s="318" t="s">
        <v>1174</v>
      </c>
      <c r="F159" s="315" t="s">
        <v>1148</v>
      </c>
      <c r="G159" s="315">
        <f t="shared" si="19"/>
        <v>1100000</v>
      </c>
      <c r="H159" s="315">
        <f>'d3'!E164</f>
        <v>1100000</v>
      </c>
      <c r="I159" s="315">
        <f>'d3'!J164</f>
        <v>0</v>
      </c>
      <c r="J159" s="315">
        <f>'d3'!K164</f>
        <v>0</v>
      </c>
      <c r="K159" s="137"/>
      <c r="L159" s="137"/>
      <c r="M159" s="137"/>
    </row>
    <row r="160" spans="1:13" ht="138.75" thickTop="1" thickBot="1" x14ac:dyDescent="0.25">
      <c r="A160" s="101" t="s">
        <v>427</v>
      </c>
      <c r="B160" s="101" t="s">
        <v>372</v>
      </c>
      <c r="C160" s="101" t="s">
        <v>373</v>
      </c>
      <c r="D160" s="101" t="s">
        <v>371</v>
      </c>
      <c r="E160" s="318" t="s">
        <v>1497</v>
      </c>
      <c r="F160" s="315" t="s">
        <v>1561</v>
      </c>
      <c r="G160" s="315">
        <f t="shared" si="19"/>
        <v>117000</v>
      </c>
      <c r="H160" s="315">
        <f>'d3'!E165</f>
        <v>117000</v>
      </c>
      <c r="I160" s="315">
        <f>'d3'!J165</f>
        <v>0</v>
      </c>
      <c r="J160" s="315">
        <f>'d3'!K165</f>
        <v>0</v>
      </c>
      <c r="K160" s="137"/>
      <c r="L160" s="137"/>
      <c r="M160" s="137"/>
    </row>
    <row r="161" spans="1:14" ht="138.75" thickTop="1" thickBot="1" x14ac:dyDescent="0.25">
      <c r="A161" s="101" t="s">
        <v>1185</v>
      </c>
      <c r="B161" s="101" t="s">
        <v>1182</v>
      </c>
      <c r="C161" s="101" t="s">
        <v>206</v>
      </c>
      <c r="D161" s="461" t="s">
        <v>1183</v>
      </c>
      <c r="E161" s="318" t="s">
        <v>1174</v>
      </c>
      <c r="F161" s="315" t="s">
        <v>1148</v>
      </c>
      <c r="G161" s="315">
        <f>H161+I161</f>
        <v>58794250.159999996</v>
      </c>
      <c r="H161" s="319">
        <f>'d3'!E181</f>
        <v>6550760.2199999997</v>
      </c>
      <c r="I161" s="315">
        <f>'d3'!J181</f>
        <v>52243489.939999998</v>
      </c>
      <c r="J161" s="315">
        <f>'d3'!K181</f>
        <v>52243489.939999998</v>
      </c>
      <c r="K161" s="137"/>
      <c r="L161" s="137"/>
      <c r="M161" s="137"/>
    </row>
    <row r="162" spans="1:14" ht="138.75" thickTop="1" thickBot="1" x14ac:dyDescent="0.25">
      <c r="A162" s="101" t="s">
        <v>327</v>
      </c>
      <c r="B162" s="101" t="s">
        <v>329</v>
      </c>
      <c r="C162" s="101" t="s">
        <v>191</v>
      </c>
      <c r="D162" s="461" t="s">
        <v>331</v>
      </c>
      <c r="E162" s="318" t="s">
        <v>1174</v>
      </c>
      <c r="F162" s="315" t="s">
        <v>1148</v>
      </c>
      <c r="G162" s="315">
        <f t="shared" si="19"/>
        <v>40865743.560000002</v>
      </c>
      <c r="H162" s="319">
        <f>'d3'!E183-H163</f>
        <v>32872465.57</v>
      </c>
      <c r="I162" s="315">
        <f>'d3'!J183-I163</f>
        <v>7993277.9900000002</v>
      </c>
      <c r="J162" s="315">
        <f>'d3'!K183-J163</f>
        <v>3001017.99</v>
      </c>
      <c r="L162" s="137"/>
      <c r="M162" s="137"/>
    </row>
    <row r="163" spans="1:14" ht="184.5" thickTop="1" thickBot="1" x14ac:dyDescent="0.25">
      <c r="A163" s="101" t="s">
        <v>327</v>
      </c>
      <c r="B163" s="101" t="s">
        <v>329</v>
      </c>
      <c r="C163" s="101" t="s">
        <v>191</v>
      </c>
      <c r="D163" s="461" t="s">
        <v>331</v>
      </c>
      <c r="E163" s="318" t="s">
        <v>1587</v>
      </c>
      <c r="F163" s="315" t="s">
        <v>1588</v>
      </c>
      <c r="G163" s="315">
        <f>H163+I163</f>
        <v>244500</v>
      </c>
      <c r="H163" s="319">
        <v>29500</v>
      </c>
      <c r="I163" s="315">
        <v>215000</v>
      </c>
      <c r="J163" s="315">
        <v>215000</v>
      </c>
      <c r="K163" s="137"/>
      <c r="L163" s="137"/>
      <c r="M163" s="137"/>
    </row>
    <row r="164" spans="1:14" ht="138.75" thickTop="1" thickBot="1" x14ac:dyDescent="0.25">
      <c r="A164" s="101" t="s">
        <v>328</v>
      </c>
      <c r="B164" s="101" t="s">
        <v>330</v>
      </c>
      <c r="C164" s="101" t="s">
        <v>191</v>
      </c>
      <c r="D164" s="461" t="s">
        <v>332</v>
      </c>
      <c r="E164" s="318" t="s">
        <v>1174</v>
      </c>
      <c r="F164" s="315" t="s">
        <v>1148</v>
      </c>
      <c r="G164" s="315">
        <f>H164+I164</f>
        <v>36769422.920000002</v>
      </c>
      <c r="H164" s="315">
        <f>(((((22958830)+409190+1800000+5000000)+5000000)+780000+500000)+294000)+1000000-100000-52244.6-50000-27380-300000-383000-253572.48</f>
        <v>36575822.920000002</v>
      </c>
      <c r="I164" s="315">
        <f>(102600)+91000</f>
        <v>193600</v>
      </c>
      <c r="J164" s="315">
        <f>(102600)+91000</f>
        <v>193600</v>
      </c>
      <c r="K164" s="879" t="b">
        <f>H164+H166+H167+H168+H169+H165='d3'!E184</f>
        <v>0</v>
      </c>
      <c r="L164" s="879" t="b">
        <f>I164+I166+I167+I168+I169+I165='d3'!J184</f>
        <v>1</v>
      </c>
      <c r="M164" s="879" t="b">
        <f>J164+J166+J167+J168+J169+J165='d3'!K184</f>
        <v>1</v>
      </c>
    </row>
    <row r="165" spans="1:14" ht="321.75" thickTop="1" thickBot="1" x14ac:dyDescent="0.25">
      <c r="A165" s="101" t="s">
        <v>328</v>
      </c>
      <c r="B165" s="101" t="s">
        <v>330</v>
      </c>
      <c r="C165" s="101" t="s">
        <v>191</v>
      </c>
      <c r="D165" s="461" t="s">
        <v>332</v>
      </c>
      <c r="E165" s="315" t="s">
        <v>1370</v>
      </c>
      <c r="F165" s="315" t="s">
        <v>855</v>
      </c>
      <c r="G165" s="315">
        <f t="shared" si="19"/>
        <v>2000000</v>
      </c>
      <c r="H165" s="315">
        <v>2000000</v>
      </c>
      <c r="I165" s="315">
        <v>0</v>
      </c>
      <c r="J165" s="315">
        <v>0</v>
      </c>
      <c r="K165" s="879"/>
      <c r="L165" s="879"/>
      <c r="M165" s="879"/>
    </row>
    <row r="166" spans="1:14" ht="138.75" thickTop="1" thickBot="1" x14ac:dyDescent="0.25">
      <c r="A166" s="101" t="s">
        <v>328</v>
      </c>
      <c r="B166" s="101" t="s">
        <v>330</v>
      </c>
      <c r="C166" s="101" t="s">
        <v>191</v>
      </c>
      <c r="D166" s="461" t="s">
        <v>332</v>
      </c>
      <c r="E166" s="315" t="s">
        <v>1496</v>
      </c>
      <c r="F166" s="315" t="s">
        <v>863</v>
      </c>
      <c r="G166" s="315">
        <f t="shared" si="19"/>
        <v>595850</v>
      </c>
      <c r="H166" s="315">
        <f>(((981500)-575600)+189950)-23999</f>
        <v>571851</v>
      </c>
      <c r="I166" s="315">
        <v>23999</v>
      </c>
      <c r="J166" s="315">
        <v>23999</v>
      </c>
      <c r="K166" s="880"/>
      <c r="L166" s="880"/>
      <c r="M166" s="880"/>
      <c r="N166" s="252"/>
    </row>
    <row r="167" spans="1:14" ht="251.45" customHeight="1" thickTop="1" thickBot="1" x14ac:dyDescent="0.25">
      <c r="A167" s="101" t="s">
        <v>328</v>
      </c>
      <c r="B167" s="101" t="s">
        <v>330</v>
      </c>
      <c r="C167" s="101" t="s">
        <v>191</v>
      </c>
      <c r="D167" s="461" t="s">
        <v>332</v>
      </c>
      <c r="E167" s="318" t="s">
        <v>1209</v>
      </c>
      <c r="F167" s="315" t="s">
        <v>864</v>
      </c>
      <c r="G167" s="315">
        <f t="shared" si="19"/>
        <v>57794097.600000001</v>
      </c>
      <c r="H167" s="315">
        <f>((((14432260)+10000000)+15000000+684000+1400000+200000)+300000+10000000)+6000000-25002.4-197160</f>
        <v>57794097.600000001</v>
      </c>
      <c r="I167" s="315">
        <v>0</v>
      </c>
      <c r="J167" s="315">
        <v>0</v>
      </c>
      <c r="K167" s="880"/>
      <c r="L167" s="880"/>
      <c r="M167" s="880"/>
    </row>
    <row r="168" spans="1:14" ht="138.75" thickTop="1" thickBot="1" x14ac:dyDescent="0.25">
      <c r="A168" s="101" t="s">
        <v>328</v>
      </c>
      <c r="B168" s="101" t="s">
        <v>330</v>
      </c>
      <c r="C168" s="101" t="s">
        <v>191</v>
      </c>
      <c r="D168" s="461" t="s">
        <v>332</v>
      </c>
      <c r="E168" s="318" t="s">
        <v>1448</v>
      </c>
      <c r="F168" s="315" t="s">
        <v>1449</v>
      </c>
      <c r="G168" s="315">
        <f t="shared" si="19"/>
        <v>2710000</v>
      </c>
      <c r="H168" s="315">
        <f>2610000+100000</f>
        <v>2710000</v>
      </c>
      <c r="I168" s="315">
        <v>0</v>
      </c>
      <c r="J168" s="315">
        <v>0</v>
      </c>
      <c r="K168" s="13"/>
      <c r="L168" s="13"/>
      <c r="M168" s="13"/>
    </row>
    <row r="169" spans="1:14" ht="276" thickTop="1" thickBot="1" x14ac:dyDescent="0.25">
      <c r="A169" s="101" t="s">
        <v>328</v>
      </c>
      <c r="B169" s="101" t="s">
        <v>330</v>
      </c>
      <c r="C169" s="101" t="s">
        <v>191</v>
      </c>
      <c r="D169" s="461" t="s">
        <v>332</v>
      </c>
      <c r="E169" s="318" t="s">
        <v>1365</v>
      </c>
      <c r="F169" s="315" t="s">
        <v>1328</v>
      </c>
      <c r="G169" s="315">
        <f t="shared" si="19"/>
        <v>39493146.640000001</v>
      </c>
      <c r="H169" s="315">
        <f>(((670500)+166410)+5026800)+5000000</f>
        <v>10863710</v>
      </c>
      <c r="I169" s="315">
        <f>(24000000)+4629436.64</f>
        <v>28629436.640000001</v>
      </c>
      <c r="J169" s="315">
        <f>(24000000)+4629436.64</f>
        <v>28629436.640000001</v>
      </c>
      <c r="K169" s="13"/>
      <c r="L169" s="13"/>
      <c r="M169" s="13"/>
    </row>
    <row r="170" spans="1:14" ht="184.5" thickTop="1" thickBot="1" x14ac:dyDescent="0.25">
      <c r="A170" s="101" t="s">
        <v>367</v>
      </c>
      <c r="B170" s="101" t="s">
        <v>365</v>
      </c>
      <c r="C170" s="101" t="s">
        <v>340</v>
      </c>
      <c r="D170" s="461" t="s">
        <v>366</v>
      </c>
      <c r="E170" s="318" t="s">
        <v>1209</v>
      </c>
      <c r="F170" s="315" t="s">
        <v>864</v>
      </c>
      <c r="G170" s="315">
        <f t="shared" si="19"/>
        <v>26451003.59</v>
      </c>
      <c r="H170" s="315">
        <f>'d3'!E187</f>
        <v>0</v>
      </c>
      <c r="I170" s="315">
        <f>'d3'!J187</f>
        <v>26451003.59</v>
      </c>
      <c r="J170" s="315">
        <f>'d3'!K187</f>
        <v>26451003.59</v>
      </c>
      <c r="K170" s="137"/>
      <c r="L170" s="137"/>
      <c r="M170" s="137"/>
    </row>
    <row r="171" spans="1:14" ht="276" thickTop="1" thickBot="1" x14ac:dyDescent="0.25">
      <c r="A171" s="101" t="s">
        <v>1057</v>
      </c>
      <c r="B171" s="101" t="s">
        <v>1058</v>
      </c>
      <c r="C171" s="101" t="s">
        <v>340</v>
      </c>
      <c r="D171" s="461" t="s">
        <v>1059</v>
      </c>
      <c r="E171" s="318" t="s">
        <v>1496</v>
      </c>
      <c r="F171" s="315" t="s">
        <v>863</v>
      </c>
      <c r="G171" s="315">
        <f t="shared" si="19"/>
        <v>6996382</v>
      </c>
      <c r="H171" s="315">
        <f>'d3'!E188</f>
        <v>0</v>
      </c>
      <c r="I171" s="315">
        <f>'d3'!J188</f>
        <v>6996382</v>
      </c>
      <c r="J171" s="315">
        <f>'d3'!K188</f>
        <v>6996382</v>
      </c>
      <c r="K171" s="137"/>
      <c r="L171" s="137"/>
      <c r="M171" s="137"/>
    </row>
    <row r="172" spans="1:14" ht="138.75" thickTop="1" thickBot="1" x14ac:dyDescent="0.25">
      <c r="A172" s="101" t="s">
        <v>919</v>
      </c>
      <c r="B172" s="101" t="s">
        <v>920</v>
      </c>
      <c r="C172" s="101" t="s">
        <v>304</v>
      </c>
      <c r="D172" s="101" t="s">
        <v>1583</v>
      </c>
      <c r="E172" s="318" t="s">
        <v>1174</v>
      </c>
      <c r="F172" s="315" t="s">
        <v>1148</v>
      </c>
      <c r="G172" s="315">
        <f t="shared" si="19"/>
        <v>3685673.2</v>
      </c>
      <c r="H172" s="323">
        <f>'d3'!E192</f>
        <v>0</v>
      </c>
      <c r="I172" s="323">
        <f>'d3'!J192</f>
        <v>3685673.2</v>
      </c>
      <c r="J172" s="323">
        <f>'d3'!K192</f>
        <v>3685673.2</v>
      </c>
      <c r="K172" s="137"/>
      <c r="L172" s="137"/>
      <c r="M172" s="137"/>
    </row>
    <row r="173" spans="1:14" ht="138.75" thickTop="1" thickBot="1" x14ac:dyDescent="0.25">
      <c r="A173" s="101" t="s">
        <v>1290</v>
      </c>
      <c r="B173" s="101" t="s">
        <v>212</v>
      </c>
      <c r="C173" s="101" t="s">
        <v>213</v>
      </c>
      <c r="D173" s="101" t="s">
        <v>41</v>
      </c>
      <c r="E173" s="318" t="s">
        <v>1174</v>
      </c>
      <c r="F173" s="315" t="s">
        <v>1148</v>
      </c>
      <c r="G173" s="315">
        <f t="shared" si="19"/>
        <v>6317465.3499999996</v>
      </c>
      <c r="H173" s="323">
        <f>'d3'!E194</f>
        <v>0</v>
      </c>
      <c r="I173" s="323">
        <f>'d3'!J194</f>
        <v>6317465.3499999996</v>
      </c>
      <c r="J173" s="323">
        <f>'d3'!K194</f>
        <v>6317465.3499999996</v>
      </c>
      <c r="K173" s="137"/>
      <c r="L173" s="137"/>
      <c r="M173" s="137"/>
    </row>
    <row r="174" spans="1:14" ht="276" hidden="1" thickTop="1" thickBot="1" x14ac:dyDescent="0.7">
      <c r="A174" s="744" t="s">
        <v>422</v>
      </c>
      <c r="B174" s="744" t="s">
        <v>338</v>
      </c>
      <c r="C174" s="744" t="s">
        <v>170</v>
      </c>
      <c r="D174" s="153" t="s">
        <v>439</v>
      </c>
      <c r="E174" s="744" t="s">
        <v>1143</v>
      </c>
      <c r="F174" s="744" t="s">
        <v>1144</v>
      </c>
      <c r="G174" s="862">
        <f>H174+I174</f>
        <v>0</v>
      </c>
      <c r="H174" s="862">
        <f>'d3'!E196</f>
        <v>0</v>
      </c>
      <c r="I174" s="862">
        <f>'d3'!J196</f>
        <v>0</v>
      </c>
      <c r="J174" s="862">
        <f>'d3'!K196</f>
        <v>0</v>
      </c>
      <c r="K174" s="137"/>
      <c r="L174" s="137"/>
      <c r="M174" s="137"/>
    </row>
    <row r="175" spans="1:14" ht="138.75" hidden="1" thickTop="1" thickBot="1" x14ac:dyDescent="0.25">
      <c r="A175" s="747"/>
      <c r="B175" s="747"/>
      <c r="C175" s="747"/>
      <c r="D175" s="154" t="s">
        <v>440</v>
      </c>
      <c r="E175" s="747"/>
      <c r="F175" s="747"/>
      <c r="G175" s="863"/>
      <c r="H175" s="870"/>
      <c r="I175" s="863"/>
      <c r="J175" s="863"/>
      <c r="K175" s="252"/>
      <c r="L175" s="259"/>
      <c r="M175" s="259"/>
    </row>
    <row r="176" spans="1:14" ht="170.25" customHeight="1" thickTop="1" thickBot="1" x14ac:dyDescent="0.25">
      <c r="A176" s="689">
        <v>1000000</v>
      </c>
      <c r="B176" s="689"/>
      <c r="C176" s="689"/>
      <c r="D176" s="690" t="s">
        <v>24</v>
      </c>
      <c r="E176" s="689"/>
      <c r="F176" s="689"/>
      <c r="G176" s="692">
        <f>G177</f>
        <v>183668627</v>
      </c>
      <c r="H176" s="692">
        <f t="shared" ref="H176:J176" si="22">H177</f>
        <v>171010135</v>
      </c>
      <c r="I176" s="692">
        <f t="shared" si="22"/>
        <v>12658492</v>
      </c>
      <c r="J176" s="692">
        <f t="shared" si="22"/>
        <v>1524642</v>
      </c>
      <c r="K176" s="95" t="b">
        <f>H176='d3'!E199</f>
        <v>1</v>
      </c>
      <c r="L176" s="456" t="b">
        <f>I176='d3'!J199</f>
        <v>1</v>
      </c>
      <c r="M176" s="456" t="b">
        <f>J176='d3'!K199</f>
        <v>1</v>
      </c>
    </row>
    <row r="177" spans="1:13" ht="170.25" customHeight="1" thickTop="1" thickBot="1" x14ac:dyDescent="0.25">
      <c r="A177" s="693">
        <v>1010000</v>
      </c>
      <c r="B177" s="693"/>
      <c r="C177" s="693"/>
      <c r="D177" s="694" t="s">
        <v>39</v>
      </c>
      <c r="E177" s="695"/>
      <c r="F177" s="695"/>
      <c r="G177" s="695">
        <f>SUM(G178:G196)</f>
        <v>183668627</v>
      </c>
      <c r="H177" s="695">
        <f>SUM(H178:H196)</f>
        <v>171010135</v>
      </c>
      <c r="I177" s="695">
        <f>SUM(I178:I196)</f>
        <v>12658492</v>
      </c>
      <c r="J177" s="695">
        <f>SUM(J178:J196)</f>
        <v>1524642</v>
      </c>
      <c r="K177" s="137"/>
      <c r="L177" s="137"/>
      <c r="M177" s="137"/>
    </row>
    <row r="178" spans="1:13" ht="138.75" thickTop="1" thickBot="1" x14ac:dyDescent="0.25">
      <c r="A178" s="101" t="s">
        <v>634</v>
      </c>
      <c r="B178" s="101" t="s">
        <v>635</v>
      </c>
      <c r="C178" s="101" t="s">
        <v>181</v>
      </c>
      <c r="D178" s="101" t="s">
        <v>1103</v>
      </c>
      <c r="E178" s="315" t="s">
        <v>861</v>
      </c>
      <c r="F178" s="315" t="s">
        <v>862</v>
      </c>
      <c r="G178" s="315">
        <f>H178+I178</f>
        <v>104199238</v>
      </c>
      <c r="H178" s="315">
        <f>'d3'!E201-H179</f>
        <v>93962228</v>
      </c>
      <c r="I178" s="315">
        <f>'d3'!J201-I179</f>
        <v>10237010</v>
      </c>
      <c r="J178" s="315">
        <f>'d3'!K201-J179</f>
        <v>322350</v>
      </c>
      <c r="K178" s="137"/>
      <c r="L178" s="137"/>
      <c r="M178" s="137"/>
    </row>
    <row r="179" spans="1:13" ht="184.5" hidden="1" thickTop="1" thickBot="1" x14ac:dyDescent="0.25">
      <c r="A179" s="126" t="s">
        <v>634</v>
      </c>
      <c r="B179" s="126" t="s">
        <v>635</v>
      </c>
      <c r="C179" s="126" t="s">
        <v>181</v>
      </c>
      <c r="D179" s="126" t="s">
        <v>1103</v>
      </c>
      <c r="E179" s="253" t="s">
        <v>1366</v>
      </c>
      <c r="F179" s="194" t="s">
        <v>449</v>
      </c>
      <c r="G179" s="194">
        <f t="shared" ref="G179" si="23">H179+I179</f>
        <v>0</v>
      </c>
      <c r="H179" s="194">
        <v>0</v>
      </c>
      <c r="I179" s="194">
        <v>0</v>
      </c>
      <c r="J179" s="194">
        <v>0</v>
      </c>
      <c r="K179" s="137"/>
      <c r="L179" s="137"/>
      <c r="M179" s="137"/>
    </row>
    <row r="180" spans="1:13" ht="138.75" thickTop="1" thickBot="1" x14ac:dyDescent="0.25">
      <c r="A180" s="101" t="s">
        <v>172</v>
      </c>
      <c r="B180" s="101" t="s">
        <v>173</v>
      </c>
      <c r="C180" s="101" t="s">
        <v>174</v>
      </c>
      <c r="D180" s="101" t="s">
        <v>175</v>
      </c>
      <c r="E180" s="315" t="s">
        <v>861</v>
      </c>
      <c r="F180" s="315" t="s">
        <v>862</v>
      </c>
      <c r="G180" s="315">
        <f t="shared" ref="G180:G196" si="24">H180+I180</f>
        <v>18579225</v>
      </c>
      <c r="H180" s="315">
        <f>'d3'!E203-H181-H182</f>
        <v>18011225</v>
      </c>
      <c r="I180" s="315">
        <f>'d3'!J203-I181-I182</f>
        <v>568000</v>
      </c>
      <c r="J180" s="315">
        <f>'d3'!K203-J181-J182</f>
        <v>399000</v>
      </c>
      <c r="K180" s="137"/>
      <c r="L180" s="137"/>
      <c r="M180" s="137"/>
    </row>
    <row r="181" spans="1:13" ht="184.5" thickTop="1" thickBot="1" x14ac:dyDescent="0.25">
      <c r="A181" s="101" t="s">
        <v>172</v>
      </c>
      <c r="B181" s="101" t="s">
        <v>173</v>
      </c>
      <c r="C181" s="101" t="s">
        <v>174</v>
      </c>
      <c r="D181" s="101" t="s">
        <v>175</v>
      </c>
      <c r="E181" s="318" t="s">
        <v>1587</v>
      </c>
      <c r="F181" s="315" t="s">
        <v>1588</v>
      </c>
      <c r="G181" s="315">
        <f>H181+I181</f>
        <v>700000</v>
      </c>
      <c r="H181" s="319">
        <f>130000+85000+182500</f>
        <v>397500</v>
      </c>
      <c r="I181" s="315">
        <f>135000+167500</f>
        <v>302500</v>
      </c>
      <c r="J181" s="315">
        <f>135000+167500</f>
        <v>302500</v>
      </c>
      <c r="K181" s="137"/>
      <c r="L181" s="137"/>
      <c r="M181" s="137"/>
    </row>
    <row r="182" spans="1:13" ht="184.5" hidden="1" thickTop="1" thickBot="1" x14ac:dyDescent="0.25">
      <c r="A182" s="101" t="s">
        <v>172</v>
      </c>
      <c r="B182" s="101" t="s">
        <v>173</v>
      </c>
      <c r="C182" s="101" t="s">
        <v>174</v>
      </c>
      <c r="D182" s="101" t="s">
        <v>175</v>
      </c>
      <c r="E182" s="315" t="s">
        <v>859</v>
      </c>
      <c r="F182" s="315" t="s">
        <v>860</v>
      </c>
      <c r="G182" s="315">
        <f>H182+I182</f>
        <v>0</v>
      </c>
      <c r="H182" s="319">
        <v>0</v>
      </c>
      <c r="I182" s="315">
        <v>0</v>
      </c>
      <c r="J182" s="315">
        <v>0</v>
      </c>
      <c r="K182" s="137"/>
      <c r="L182" s="137"/>
      <c r="M182" s="137"/>
    </row>
    <row r="183" spans="1:13" ht="138.75" thickTop="1" thickBot="1" x14ac:dyDescent="0.25">
      <c r="A183" s="101" t="s">
        <v>176</v>
      </c>
      <c r="B183" s="101" t="s">
        <v>177</v>
      </c>
      <c r="C183" s="101" t="s">
        <v>174</v>
      </c>
      <c r="D183" s="101" t="s">
        <v>462</v>
      </c>
      <c r="E183" s="315" t="s">
        <v>861</v>
      </c>
      <c r="F183" s="315" t="s">
        <v>862</v>
      </c>
      <c r="G183" s="315">
        <f t="shared" si="24"/>
        <v>3010612</v>
      </c>
      <c r="H183" s="315">
        <f>'d3'!E204-H184</f>
        <v>2896822</v>
      </c>
      <c r="I183" s="315">
        <f>'d3'!J204-I184</f>
        <v>113790</v>
      </c>
      <c r="J183" s="315">
        <f>'d3'!K204-J184</f>
        <v>0</v>
      </c>
      <c r="K183" s="137"/>
      <c r="L183" s="137"/>
      <c r="M183" s="137"/>
    </row>
    <row r="184" spans="1:13" ht="184.5" hidden="1" thickTop="1" thickBot="1" x14ac:dyDescent="0.25">
      <c r="A184" s="126" t="s">
        <v>176</v>
      </c>
      <c r="B184" s="126" t="s">
        <v>177</v>
      </c>
      <c r="C184" s="126" t="s">
        <v>174</v>
      </c>
      <c r="D184" s="126" t="s">
        <v>462</v>
      </c>
      <c r="E184" s="253" t="s">
        <v>1366</v>
      </c>
      <c r="F184" s="194" t="s">
        <v>449</v>
      </c>
      <c r="G184" s="194">
        <f t="shared" si="24"/>
        <v>0</v>
      </c>
      <c r="H184" s="194">
        <v>0</v>
      </c>
      <c r="I184" s="194">
        <v>0</v>
      </c>
      <c r="J184" s="194">
        <v>0</v>
      </c>
      <c r="K184" s="137"/>
      <c r="L184" s="137"/>
      <c r="M184" s="137"/>
    </row>
    <row r="185" spans="1:13" ht="138.75" thickTop="1" thickBot="1" x14ac:dyDescent="0.25">
      <c r="A185" s="101" t="s">
        <v>178</v>
      </c>
      <c r="B185" s="101" t="s">
        <v>171</v>
      </c>
      <c r="C185" s="101" t="s">
        <v>179</v>
      </c>
      <c r="D185" s="101" t="s">
        <v>180</v>
      </c>
      <c r="E185" s="315" t="s">
        <v>861</v>
      </c>
      <c r="F185" s="315" t="s">
        <v>862</v>
      </c>
      <c r="G185" s="315">
        <f t="shared" si="24"/>
        <v>22602907</v>
      </c>
      <c r="H185" s="315">
        <f>'d3'!E205-H186</f>
        <v>21840907</v>
      </c>
      <c r="I185" s="315">
        <f>'d3'!J205-I186</f>
        <v>762000</v>
      </c>
      <c r="J185" s="315">
        <f>'d3'!K205-J186</f>
        <v>0</v>
      </c>
      <c r="K185" s="137"/>
      <c r="L185" s="137"/>
      <c r="M185" s="137"/>
    </row>
    <row r="186" spans="1:13" ht="138.75" hidden="1" thickTop="1" thickBot="1" x14ac:dyDescent="0.25">
      <c r="A186" s="41" t="s">
        <v>178</v>
      </c>
      <c r="B186" s="41" t="s">
        <v>171</v>
      </c>
      <c r="C186" s="41" t="s">
        <v>179</v>
      </c>
      <c r="D186" s="41" t="s">
        <v>180</v>
      </c>
      <c r="E186" s="256" t="s">
        <v>448</v>
      </c>
      <c r="F186" s="261" t="s">
        <v>449</v>
      </c>
      <c r="G186" s="73">
        <f>H186+I186</f>
        <v>0</v>
      </c>
      <c r="H186" s="257">
        <v>0</v>
      </c>
      <c r="I186" s="73">
        <v>0</v>
      </c>
      <c r="J186" s="73">
        <v>0</v>
      </c>
      <c r="K186" s="137"/>
      <c r="L186" s="137"/>
      <c r="M186" s="137"/>
    </row>
    <row r="187" spans="1:13" ht="138.75" hidden="1" thickTop="1" thickBot="1" x14ac:dyDescent="0.25">
      <c r="A187" s="101" t="s">
        <v>1176</v>
      </c>
      <c r="B187" s="101" t="s">
        <v>1177</v>
      </c>
      <c r="C187" s="101" t="s">
        <v>1179</v>
      </c>
      <c r="D187" s="101" t="s">
        <v>1178</v>
      </c>
      <c r="E187" s="315" t="s">
        <v>861</v>
      </c>
      <c r="F187" s="315" t="s">
        <v>862</v>
      </c>
      <c r="G187" s="315">
        <f>H187+I187</f>
        <v>0</v>
      </c>
      <c r="H187" s="319">
        <f>'d3'!E206</f>
        <v>0</v>
      </c>
      <c r="I187" s="315">
        <f>'d3'!J206</f>
        <v>0</v>
      </c>
      <c r="J187" s="315">
        <f>'d3'!K206</f>
        <v>0</v>
      </c>
      <c r="K187" s="137"/>
      <c r="L187" s="137"/>
      <c r="M187" s="137"/>
    </row>
    <row r="188" spans="1:13" ht="138.75" thickTop="1" thickBot="1" x14ac:dyDescent="0.25">
      <c r="A188" s="101" t="s">
        <v>333</v>
      </c>
      <c r="B188" s="101" t="s">
        <v>334</v>
      </c>
      <c r="C188" s="101" t="s">
        <v>182</v>
      </c>
      <c r="D188" s="101" t="s">
        <v>463</v>
      </c>
      <c r="E188" s="315" t="s">
        <v>861</v>
      </c>
      <c r="F188" s="315" t="s">
        <v>862</v>
      </c>
      <c r="G188" s="315">
        <f>H188+I188</f>
        <v>27296403</v>
      </c>
      <c r="H188" s="315">
        <f>'d3'!E208-H189</f>
        <v>27122003</v>
      </c>
      <c r="I188" s="315">
        <f>'d3'!J208-I189</f>
        <v>174400</v>
      </c>
      <c r="J188" s="315">
        <f>'d3'!K208-J189</f>
        <v>0</v>
      </c>
      <c r="K188" s="137"/>
      <c r="L188" s="137"/>
      <c r="M188" s="137"/>
    </row>
    <row r="189" spans="1:13" ht="138.75" thickTop="1" thickBot="1" x14ac:dyDescent="0.25">
      <c r="A189" s="101" t="s">
        <v>333</v>
      </c>
      <c r="B189" s="101" t="s">
        <v>334</v>
      </c>
      <c r="C189" s="101" t="s">
        <v>182</v>
      </c>
      <c r="D189" s="101" t="s">
        <v>463</v>
      </c>
      <c r="E189" s="315" t="s">
        <v>1241</v>
      </c>
      <c r="F189" s="315" t="s">
        <v>406</v>
      </c>
      <c r="G189" s="315">
        <f t="shared" si="24"/>
        <v>1399500</v>
      </c>
      <c r="H189" s="315">
        <v>1399500</v>
      </c>
      <c r="I189" s="315">
        <v>0</v>
      </c>
      <c r="J189" s="315">
        <v>0</v>
      </c>
      <c r="K189" s="137"/>
      <c r="L189" s="137"/>
      <c r="M189" s="137"/>
    </row>
    <row r="190" spans="1:13" ht="138.75" thickTop="1" thickBot="1" x14ac:dyDescent="0.25">
      <c r="A190" s="101" t="s">
        <v>335</v>
      </c>
      <c r="B190" s="101" t="s">
        <v>336</v>
      </c>
      <c r="C190" s="101" t="s">
        <v>182</v>
      </c>
      <c r="D190" s="101" t="s">
        <v>464</v>
      </c>
      <c r="E190" s="315" t="s">
        <v>861</v>
      </c>
      <c r="F190" s="315" t="s">
        <v>862</v>
      </c>
      <c r="G190" s="315">
        <f t="shared" si="24"/>
        <v>3450000</v>
      </c>
      <c r="H190" s="315">
        <f>'d3'!E209-H191-H192</f>
        <v>3450000</v>
      </c>
      <c r="I190" s="315">
        <f>'d3'!J209-I191-I192</f>
        <v>0</v>
      </c>
      <c r="J190" s="315">
        <f>'d3'!K209-J191-J192</f>
        <v>0</v>
      </c>
      <c r="K190" s="137"/>
      <c r="L190" s="137"/>
      <c r="M190" s="137"/>
    </row>
    <row r="191" spans="1:13" ht="138.75" thickTop="1" thickBot="1" x14ac:dyDescent="0.25">
      <c r="A191" s="101" t="s">
        <v>335</v>
      </c>
      <c r="B191" s="101" t="s">
        <v>336</v>
      </c>
      <c r="C191" s="101" t="s">
        <v>182</v>
      </c>
      <c r="D191" s="101" t="s">
        <v>464</v>
      </c>
      <c r="E191" s="315" t="s">
        <v>1241</v>
      </c>
      <c r="F191" s="315" t="s">
        <v>406</v>
      </c>
      <c r="G191" s="315">
        <f t="shared" si="24"/>
        <v>653100</v>
      </c>
      <c r="H191" s="315">
        <v>653100</v>
      </c>
      <c r="I191" s="315">
        <v>0</v>
      </c>
      <c r="J191" s="315">
        <v>0</v>
      </c>
      <c r="K191" s="137"/>
      <c r="L191" s="137"/>
      <c r="M191" s="137"/>
    </row>
    <row r="192" spans="1:13" ht="184.5" thickTop="1" thickBot="1" x14ac:dyDescent="0.25">
      <c r="A192" s="101" t="s">
        <v>335</v>
      </c>
      <c r="B192" s="101" t="s">
        <v>336</v>
      </c>
      <c r="C192" s="101" t="s">
        <v>182</v>
      </c>
      <c r="D192" s="101" t="s">
        <v>464</v>
      </c>
      <c r="E192" s="315" t="s">
        <v>859</v>
      </c>
      <c r="F192" s="315" t="s">
        <v>860</v>
      </c>
      <c r="G192" s="315">
        <f t="shared" si="24"/>
        <v>250000</v>
      </c>
      <c r="H192" s="315">
        <v>250000</v>
      </c>
      <c r="I192" s="315">
        <v>0</v>
      </c>
      <c r="J192" s="315">
        <v>0</v>
      </c>
      <c r="K192" s="137"/>
      <c r="L192" s="137"/>
      <c r="M192" s="137"/>
    </row>
    <row r="193" spans="1:13" ht="138.75" thickTop="1" thickBot="1" x14ac:dyDescent="0.25">
      <c r="A193" s="101" t="s">
        <v>1019</v>
      </c>
      <c r="B193" s="101" t="s">
        <v>1020</v>
      </c>
      <c r="C193" s="101" t="s">
        <v>213</v>
      </c>
      <c r="D193" s="101" t="s">
        <v>1018</v>
      </c>
      <c r="E193" s="315" t="s">
        <v>1525</v>
      </c>
      <c r="F193" s="315" t="s">
        <v>1526</v>
      </c>
      <c r="G193" s="315">
        <f t="shared" si="24"/>
        <v>1026850</v>
      </c>
      <c r="H193" s="315">
        <f>'d3'!E213</f>
        <v>1026850</v>
      </c>
      <c r="I193" s="315">
        <f>'d3'!J213</f>
        <v>0</v>
      </c>
      <c r="J193" s="315">
        <f>'d3'!K213</f>
        <v>0</v>
      </c>
      <c r="K193" s="270"/>
      <c r="L193" s="270"/>
      <c r="M193" s="137"/>
    </row>
    <row r="194" spans="1:13" ht="138.75" hidden="1" thickTop="1" thickBot="1" x14ac:dyDescent="0.25">
      <c r="A194" s="126" t="s">
        <v>1247</v>
      </c>
      <c r="B194" s="126" t="s">
        <v>212</v>
      </c>
      <c r="C194" s="126" t="s">
        <v>213</v>
      </c>
      <c r="D194" s="126" t="s">
        <v>41</v>
      </c>
      <c r="E194" s="194" t="s">
        <v>861</v>
      </c>
      <c r="F194" s="194" t="s">
        <v>862</v>
      </c>
      <c r="G194" s="194">
        <f t="shared" si="24"/>
        <v>0</v>
      </c>
      <c r="H194" s="194">
        <f>'d3'!E214</f>
        <v>0</v>
      </c>
      <c r="I194" s="194">
        <f>'d3'!J214</f>
        <v>0</v>
      </c>
      <c r="J194" s="194">
        <f>'d3'!K214</f>
        <v>0</v>
      </c>
      <c r="K194" s="270"/>
      <c r="L194" s="270"/>
      <c r="M194" s="137"/>
    </row>
    <row r="195" spans="1:13" ht="138.75" thickTop="1" thickBot="1" x14ac:dyDescent="0.25">
      <c r="A195" s="101" t="s">
        <v>912</v>
      </c>
      <c r="B195" s="101" t="s">
        <v>197</v>
      </c>
      <c r="C195" s="101" t="s">
        <v>170</v>
      </c>
      <c r="D195" s="101" t="s">
        <v>34</v>
      </c>
      <c r="E195" s="315" t="s">
        <v>861</v>
      </c>
      <c r="F195" s="315" t="s">
        <v>862</v>
      </c>
      <c r="G195" s="315">
        <f t="shared" si="24"/>
        <v>500792</v>
      </c>
      <c r="H195" s="315">
        <f>'d3'!E215</f>
        <v>0</v>
      </c>
      <c r="I195" s="315">
        <f>'d3'!J215</f>
        <v>500792</v>
      </c>
      <c r="J195" s="315">
        <f>'d3'!K215</f>
        <v>500792</v>
      </c>
      <c r="K195" s="270"/>
      <c r="L195" s="270"/>
      <c r="M195" s="137"/>
    </row>
    <row r="196" spans="1:13" ht="138.75" hidden="1" thickTop="1" thickBot="1" x14ac:dyDescent="0.25">
      <c r="A196" s="41" t="s">
        <v>585</v>
      </c>
      <c r="B196" s="41" t="s">
        <v>363</v>
      </c>
      <c r="C196" s="41" t="s">
        <v>43</v>
      </c>
      <c r="D196" s="41" t="s">
        <v>364</v>
      </c>
      <c r="E196" s="256" t="s">
        <v>856</v>
      </c>
      <c r="F196" s="73" t="s">
        <v>857</v>
      </c>
      <c r="G196" s="73">
        <f t="shared" si="24"/>
        <v>0</v>
      </c>
      <c r="H196" s="73">
        <f>'d3'!E218</f>
        <v>0</v>
      </c>
      <c r="I196" s="73">
        <f>'d3'!J218</f>
        <v>0</v>
      </c>
      <c r="J196" s="73">
        <f>'d3'!K218</f>
        <v>0</v>
      </c>
      <c r="K196" s="270"/>
      <c r="L196" s="270"/>
      <c r="M196" s="137"/>
    </row>
    <row r="197" spans="1:13" ht="170.25" customHeight="1" thickTop="1" thickBot="1" x14ac:dyDescent="0.25">
      <c r="A197" s="689" t="s">
        <v>22</v>
      </c>
      <c r="B197" s="689"/>
      <c r="C197" s="689"/>
      <c r="D197" s="690" t="s">
        <v>23</v>
      </c>
      <c r="E197" s="689"/>
      <c r="F197" s="689"/>
      <c r="G197" s="692">
        <f>G198</f>
        <v>136689070</v>
      </c>
      <c r="H197" s="692">
        <f t="shared" ref="H197:J197" si="25">H198</f>
        <v>131028428</v>
      </c>
      <c r="I197" s="692">
        <f t="shared" si="25"/>
        <v>5660642</v>
      </c>
      <c r="J197" s="692">
        <f t="shared" si="25"/>
        <v>3747200</v>
      </c>
      <c r="K197" s="95" t="b">
        <f>H197='d3'!E220+'d4'!F12</f>
        <v>1</v>
      </c>
      <c r="L197" s="456" t="b">
        <f>I197='d3'!J219+'d4'!G12</f>
        <v>1</v>
      </c>
      <c r="M197" s="456" t="b">
        <f>J197='d3'!K219+'d4'!H12</f>
        <v>1</v>
      </c>
    </row>
    <row r="198" spans="1:13" ht="170.25" customHeight="1" thickTop="1" thickBot="1" x14ac:dyDescent="0.25">
      <c r="A198" s="693" t="s">
        <v>21</v>
      </c>
      <c r="B198" s="693"/>
      <c r="C198" s="693"/>
      <c r="D198" s="694" t="s">
        <v>35</v>
      </c>
      <c r="E198" s="695"/>
      <c r="F198" s="695"/>
      <c r="G198" s="695">
        <f>SUM(G199:G218)</f>
        <v>136689070</v>
      </c>
      <c r="H198" s="695">
        <f>SUM(H199:H218)</f>
        <v>131028428</v>
      </c>
      <c r="I198" s="695">
        <f>SUM(I199:I218)</f>
        <v>5660642</v>
      </c>
      <c r="J198" s="695">
        <f>SUM(J199:J218)</f>
        <v>3747200</v>
      </c>
      <c r="K198" s="137"/>
      <c r="L198" s="137"/>
      <c r="M198" s="137"/>
    </row>
    <row r="199" spans="1:13" ht="184.5" hidden="1" thickTop="1" thickBot="1" x14ac:dyDescent="0.25">
      <c r="A199" s="126" t="s">
        <v>183</v>
      </c>
      <c r="B199" s="126" t="s">
        <v>184</v>
      </c>
      <c r="C199" s="126" t="s">
        <v>185</v>
      </c>
      <c r="D199" s="126" t="s">
        <v>636</v>
      </c>
      <c r="E199" s="253" t="s">
        <v>1146</v>
      </c>
      <c r="F199" s="194" t="s">
        <v>1147</v>
      </c>
      <c r="G199" s="194">
        <f t="shared" ref="G199:G201" si="26">H199+I199</f>
        <v>0</v>
      </c>
      <c r="H199" s="254">
        <f>'d3'!E223</f>
        <v>0</v>
      </c>
      <c r="I199" s="271">
        <f>'d3'!J223</f>
        <v>0</v>
      </c>
      <c r="J199" s="194">
        <f>'d3'!K223</f>
        <v>0</v>
      </c>
      <c r="K199" s="137"/>
      <c r="L199" s="137"/>
      <c r="M199" s="137"/>
    </row>
    <row r="200" spans="1:13" ht="184.5" thickTop="1" thickBot="1" x14ac:dyDescent="0.25">
      <c r="A200" s="101" t="s">
        <v>189</v>
      </c>
      <c r="B200" s="101" t="s">
        <v>190</v>
      </c>
      <c r="C200" s="101" t="s">
        <v>185</v>
      </c>
      <c r="D200" s="101" t="s">
        <v>10</v>
      </c>
      <c r="E200" s="318" t="s">
        <v>1234</v>
      </c>
      <c r="F200" s="315" t="s">
        <v>1147</v>
      </c>
      <c r="G200" s="315">
        <f t="shared" si="26"/>
        <v>6931761</v>
      </c>
      <c r="H200" s="319">
        <f>'d3'!E225-H201</f>
        <v>5976842</v>
      </c>
      <c r="I200" s="451">
        <f>'d3'!J225-I201</f>
        <v>954919</v>
      </c>
      <c r="J200" s="315">
        <f>'d3'!K225-J201</f>
        <v>533719</v>
      </c>
      <c r="K200" s="137"/>
      <c r="L200" s="137"/>
      <c r="M200" s="137"/>
    </row>
    <row r="201" spans="1:13" ht="184.5" hidden="1" thickTop="1" thickBot="1" x14ac:dyDescent="0.25">
      <c r="A201" s="126" t="s">
        <v>189</v>
      </c>
      <c r="B201" s="126" t="s">
        <v>190</v>
      </c>
      <c r="C201" s="126" t="s">
        <v>185</v>
      </c>
      <c r="D201" s="126" t="s">
        <v>10</v>
      </c>
      <c r="E201" s="253" t="s">
        <v>1366</v>
      </c>
      <c r="F201" s="194" t="s">
        <v>449</v>
      </c>
      <c r="G201" s="194">
        <f t="shared" si="26"/>
        <v>0</v>
      </c>
      <c r="H201" s="254"/>
      <c r="I201" s="271"/>
      <c r="J201" s="194"/>
      <c r="K201" s="137"/>
      <c r="L201" s="137"/>
      <c r="M201" s="137"/>
    </row>
    <row r="202" spans="1:13" ht="184.5" thickTop="1" thickBot="1" x14ac:dyDescent="0.25">
      <c r="A202" s="101" t="s">
        <v>351</v>
      </c>
      <c r="B202" s="101" t="s">
        <v>352</v>
      </c>
      <c r="C202" s="101" t="s">
        <v>185</v>
      </c>
      <c r="D202" s="101" t="s">
        <v>353</v>
      </c>
      <c r="E202" s="318" t="s">
        <v>1234</v>
      </c>
      <c r="F202" s="315" t="s">
        <v>1147</v>
      </c>
      <c r="G202" s="315">
        <f t="shared" ref="G202:G206" si="27">H202+I202</f>
        <v>7684986</v>
      </c>
      <c r="H202" s="319">
        <f>'d3'!E226</f>
        <v>7630486</v>
      </c>
      <c r="I202" s="451">
        <f>'d3'!J226</f>
        <v>54500</v>
      </c>
      <c r="J202" s="315">
        <f>'d3'!K226</f>
        <v>54500</v>
      </c>
      <c r="K202" s="137"/>
      <c r="L202" s="137"/>
      <c r="M202" s="137"/>
    </row>
    <row r="203" spans="1:13" ht="184.5" thickTop="1" thickBot="1" x14ac:dyDescent="0.25">
      <c r="A203" s="101" t="s">
        <v>44</v>
      </c>
      <c r="B203" s="101" t="s">
        <v>186</v>
      </c>
      <c r="C203" s="101" t="s">
        <v>195</v>
      </c>
      <c r="D203" s="101" t="s">
        <v>45</v>
      </c>
      <c r="E203" s="318" t="s">
        <v>1234</v>
      </c>
      <c r="F203" s="315" t="s">
        <v>1147</v>
      </c>
      <c r="G203" s="315">
        <f t="shared" si="27"/>
        <v>33412777</v>
      </c>
      <c r="H203" s="315">
        <f>'d3'!E229</f>
        <v>33412777</v>
      </c>
      <c r="I203" s="451">
        <f>'d3'!J229</f>
        <v>0</v>
      </c>
      <c r="J203" s="315">
        <f>'d3'!K229</f>
        <v>0</v>
      </c>
      <c r="K203" s="137"/>
      <c r="L203" s="137"/>
      <c r="M203" s="137"/>
    </row>
    <row r="204" spans="1:13" ht="184.5" thickTop="1" thickBot="1" x14ac:dyDescent="0.25">
      <c r="A204" s="101" t="s">
        <v>46</v>
      </c>
      <c r="B204" s="101" t="s">
        <v>187</v>
      </c>
      <c r="C204" s="101" t="s">
        <v>195</v>
      </c>
      <c r="D204" s="101" t="s">
        <v>4</v>
      </c>
      <c r="E204" s="318" t="s">
        <v>1234</v>
      </c>
      <c r="F204" s="315" t="s">
        <v>1147</v>
      </c>
      <c r="G204" s="315">
        <f t="shared" si="27"/>
        <v>4699823</v>
      </c>
      <c r="H204" s="315">
        <f>'d3'!E230</f>
        <v>4699823</v>
      </c>
      <c r="I204" s="451">
        <f>'d3'!J230</f>
        <v>0</v>
      </c>
      <c r="J204" s="315">
        <f>'d3'!K230</f>
        <v>0</v>
      </c>
      <c r="K204" s="137"/>
      <c r="L204" s="137"/>
      <c r="M204" s="137"/>
    </row>
    <row r="205" spans="1:13" ht="184.5" thickTop="1" thickBot="1" x14ac:dyDescent="0.25">
      <c r="A205" s="101" t="s">
        <v>47</v>
      </c>
      <c r="B205" s="101" t="s">
        <v>188</v>
      </c>
      <c r="C205" s="101" t="s">
        <v>195</v>
      </c>
      <c r="D205" s="101" t="s">
        <v>349</v>
      </c>
      <c r="E205" s="318" t="s">
        <v>1234</v>
      </c>
      <c r="F205" s="315" t="s">
        <v>1147</v>
      </c>
      <c r="G205" s="315">
        <f t="shared" si="27"/>
        <v>41300</v>
      </c>
      <c r="H205" s="315">
        <f>'d3'!E232</f>
        <v>41300</v>
      </c>
      <c r="I205" s="451">
        <f>'d3'!J232</f>
        <v>0</v>
      </c>
      <c r="J205" s="315">
        <f>'d3'!K232</f>
        <v>0</v>
      </c>
      <c r="K205" s="137"/>
      <c r="L205" s="137"/>
      <c r="M205" s="137"/>
    </row>
    <row r="206" spans="1:13" ht="184.5" thickTop="1" thickBot="1" x14ac:dyDescent="0.25">
      <c r="A206" s="101" t="s">
        <v>28</v>
      </c>
      <c r="B206" s="101" t="s">
        <v>192</v>
      </c>
      <c r="C206" s="101" t="s">
        <v>195</v>
      </c>
      <c r="D206" s="101" t="s">
        <v>48</v>
      </c>
      <c r="E206" s="318" t="s">
        <v>1234</v>
      </c>
      <c r="F206" s="315" t="s">
        <v>1147</v>
      </c>
      <c r="G206" s="315">
        <f t="shared" si="27"/>
        <v>69070963</v>
      </c>
      <c r="H206" s="315">
        <f>'d3'!E234-H207</f>
        <v>64524739</v>
      </c>
      <c r="I206" s="451">
        <f>'d3'!J234-I207</f>
        <v>4546224</v>
      </c>
      <c r="J206" s="315">
        <f>'d3'!K234-J207</f>
        <v>3103982</v>
      </c>
      <c r="K206" s="137"/>
      <c r="L206" s="137"/>
      <c r="M206" s="137"/>
    </row>
    <row r="207" spans="1:13" ht="184.5" thickTop="1" thickBot="1" x14ac:dyDescent="0.25">
      <c r="A207" s="101" t="s">
        <v>28</v>
      </c>
      <c r="B207" s="101" t="s">
        <v>192</v>
      </c>
      <c r="C207" s="101" t="s">
        <v>195</v>
      </c>
      <c r="D207" s="101" t="s">
        <v>48</v>
      </c>
      <c r="E207" s="318" t="s">
        <v>1587</v>
      </c>
      <c r="F207" s="315" t="s">
        <v>1588</v>
      </c>
      <c r="G207" s="315">
        <f>H207+I207</f>
        <v>291599</v>
      </c>
      <c r="H207" s="319">
        <f>236600</f>
        <v>236600</v>
      </c>
      <c r="I207" s="315">
        <v>54999</v>
      </c>
      <c r="J207" s="315">
        <v>54999</v>
      </c>
      <c r="K207" s="137"/>
      <c r="L207" s="137"/>
      <c r="M207" s="137"/>
    </row>
    <row r="208" spans="1:13" ht="184.5" thickTop="1" thickBot="1" x14ac:dyDescent="0.25">
      <c r="A208" s="101" t="s">
        <v>29</v>
      </c>
      <c r="B208" s="101" t="s">
        <v>193</v>
      </c>
      <c r="C208" s="101" t="s">
        <v>195</v>
      </c>
      <c r="D208" s="101" t="s">
        <v>49</v>
      </c>
      <c r="E208" s="318" t="s">
        <v>1234</v>
      </c>
      <c r="F208" s="315" t="s">
        <v>1147</v>
      </c>
      <c r="G208" s="315">
        <f t="shared" ref="G208:G218" si="28">H208+I208</f>
        <v>6961691</v>
      </c>
      <c r="H208" s="315">
        <f>'d3'!E235</f>
        <v>6961691</v>
      </c>
      <c r="I208" s="451">
        <f>'d3'!J235</f>
        <v>0</v>
      </c>
      <c r="J208" s="315">
        <f>'d3'!K235</f>
        <v>0</v>
      </c>
      <c r="K208" s="137"/>
      <c r="L208" s="137"/>
      <c r="M208" s="137"/>
    </row>
    <row r="209" spans="1:13" ht="184.5" thickTop="1" thickBot="1" x14ac:dyDescent="0.25">
      <c r="A209" s="101" t="s">
        <v>1359</v>
      </c>
      <c r="B209" s="101" t="s">
        <v>1360</v>
      </c>
      <c r="C209" s="101" t="s">
        <v>195</v>
      </c>
      <c r="D209" s="101" t="s">
        <v>1361</v>
      </c>
      <c r="E209" s="318" t="s">
        <v>1234</v>
      </c>
      <c r="F209" s="315" t="s">
        <v>1147</v>
      </c>
      <c r="G209" s="315">
        <f t="shared" si="28"/>
        <v>93550</v>
      </c>
      <c r="H209" s="315">
        <f>'d3'!E237</f>
        <v>93550</v>
      </c>
      <c r="I209" s="451">
        <f>'d3'!J237</f>
        <v>0</v>
      </c>
      <c r="J209" s="451">
        <f>'d3'!K237</f>
        <v>0</v>
      </c>
      <c r="K209" s="137"/>
      <c r="L209" s="137"/>
      <c r="M209" s="137"/>
    </row>
    <row r="210" spans="1:13" ht="184.5" thickTop="1" thickBot="1" x14ac:dyDescent="0.25">
      <c r="A210" s="574" t="s">
        <v>30</v>
      </c>
      <c r="B210" s="574" t="s">
        <v>194</v>
      </c>
      <c r="C210" s="574" t="s">
        <v>195</v>
      </c>
      <c r="D210" s="101" t="s">
        <v>31</v>
      </c>
      <c r="E210" s="318" t="s">
        <v>1234</v>
      </c>
      <c r="F210" s="315" t="s">
        <v>1147</v>
      </c>
      <c r="G210" s="315">
        <f t="shared" si="28"/>
        <v>775354</v>
      </c>
      <c r="H210" s="315">
        <f>'d3'!E239</f>
        <v>775354</v>
      </c>
      <c r="I210" s="451">
        <f>'d3'!J239</f>
        <v>0</v>
      </c>
      <c r="J210" s="315">
        <f>'d3'!K239</f>
        <v>0</v>
      </c>
      <c r="K210" s="137"/>
      <c r="L210" s="137"/>
      <c r="M210" s="137"/>
    </row>
    <row r="211" spans="1:13" ht="184.5" thickTop="1" thickBot="1" x14ac:dyDescent="0.25">
      <c r="A211" s="574" t="s">
        <v>511</v>
      </c>
      <c r="B211" s="574" t="s">
        <v>509</v>
      </c>
      <c r="C211" s="574" t="s">
        <v>195</v>
      </c>
      <c r="D211" s="101" t="s">
        <v>510</v>
      </c>
      <c r="E211" s="318" t="s">
        <v>1234</v>
      </c>
      <c r="F211" s="315" t="s">
        <v>1147</v>
      </c>
      <c r="G211" s="315">
        <f t="shared" si="28"/>
        <v>4276585</v>
      </c>
      <c r="H211" s="315">
        <f>'d3'!E240</f>
        <v>4276585</v>
      </c>
      <c r="I211" s="451">
        <f>'d3'!J240</f>
        <v>0</v>
      </c>
      <c r="J211" s="451">
        <f>'d3'!K240</f>
        <v>0</v>
      </c>
      <c r="K211" s="137"/>
      <c r="L211" s="137"/>
      <c r="M211" s="137"/>
    </row>
    <row r="212" spans="1:13" ht="184.5" thickTop="1" thickBot="1" x14ac:dyDescent="0.25">
      <c r="A212" s="574" t="s">
        <v>32</v>
      </c>
      <c r="B212" s="574" t="s">
        <v>196</v>
      </c>
      <c r="C212" s="574" t="s">
        <v>195</v>
      </c>
      <c r="D212" s="101" t="s">
        <v>33</v>
      </c>
      <c r="E212" s="318" t="s">
        <v>1234</v>
      </c>
      <c r="F212" s="315" t="s">
        <v>1147</v>
      </c>
      <c r="G212" s="315">
        <f t="shared" si="28"/>
        <v>2198681</v>
      </c>
      <c r="H212" s="315">
        <f>'d3'!E241</f>
        <v>2148681</v>
      </c>
      <c r="I212" s="451">
        <f>'d3'!J241</f>
        <v>50000</v>
      </c>
      <c r="J212" s="315">
        <f>'d3'!K241</f>
        <v>0</v>
      </c>
      <c r="K212" s="137"/>
      <c r="L212" s="137"/>
      <c r="M212" s="137"/>
    </row>
    <row r="213" spans="1:13" ht="184.5" hidden="1" thickTop="1" thickBot="1" x14ac:dyDescent="0.25">
      <c r="A213" s="402" t="s">
        <v>342</v>
      </c>
      <c r="B213" s="402" t="s">
        <v>341</v>
      </c>
      <c r="C213" s="402" t="s">
        <v>340</v>
      </c>
      <c r="D213" s="126" t="s">
        <v>637</v>
      </c>
      <c r="E213" s="253" t="s">
        <v>1234</v>
      </c>
      <c r="F213" s="194" t="s">
        <v>1147</v>
      </c>
      <c r="G213" s="194">
        <f t="shared" si="28"/>
        <v>0</v>
      </c>
      <c r="H213" s="194">
        <f>'d3'!E244</f>
        <v>0</v>
      </c>
      <c r="I213" s="271">
        <f>'d3'!J244</f>
        <v>0</v>
      </c>
      <c r="J213" s="271">
        <f>'d3'!K244</f>
        <v>0</v>
      </c>
      <c r="K213" s="137"/>
      <c r="L213" s="137"/>
      <c r="M213" s="137"/>
    </row>
    <row r="214" spans="1:13" ht="184.5" hidden="1" thickTop="1" thickBot="1" x14ac:dyDescent="0.25">
      <c r="A214" s="126" t="s">
        <v>1084</v>
      </c>
      <c r="B214" s="126" t="s">
        <v>313</v>
      </c>
      <c r="C214" s="126" t="s">
        <v>304</v>
      </c>
      <c r="D214" s="126" t="s">
        <v>1219</v>
      </c>
      <c r="E214" s="253" t="s">
        <v>1234</v>
      </c>
      <c r="F214" s="194" t="s">
        <v>1147</v>
      </c>
      <c r="G214" s="194">
        <f t="shared" si="28"/>
        <v>0</v>
      </c>
      <c r="H214" s="194">
        <f>'d3'!E248</f>
        <v>0</v>
      </c>
      <c r="I214" s="271">
        <f>'d3'!J248</f>
        <v>0</v>
      </c>
      <c r="J214" s="271">
        <f>'d3'!K248</f>
        <v>0</v>
      </c>
      <c r="K214" s="137"/>
      <c r="L214" s="137"/>
      <c r="M214" s="137"/>
    </row>
    <row r="215" spans="1:13" ht="184.5" hidden="1" thickTop="1" thickBot="1" x14ac:dyDescent="0.25">
      <c r="A215" s="126" t="s">
        <v>1316</v>
      </c>
      <c r="B215" s="126" t="s">
        <v>212</v>
      </c>
      <c r="C215" s="126" t="s">
        <v>213</v>
      </c>
      <c r="D215" s="126" t="s">
        <v>41</v>
      </c>
      <c r="E215" s="253" t="s">
        <v>1234</v>
      </c>
      <c r="F215" s="194" t="s">
        <v>1147</v>
      </c>
      <c r="G215" s="194">
        <f t="shared" si="28"/>
        <v>0</v>
      </c>
      <c r="H215" s="194">
        <f>'d3'!E250</f>
        <v>0</v>
      </c>
      <c r="I215" s="271">
        <f>'d3'!J250</f>
        <v>0</v>
      </c>
      <c r="J215" s="271">
        <f>'d3'!K250</f>
        <v>0</v>
      </c>
      <c r="K215" s="137"/>
      <c r="L215" s="137"/>
      <c r="M215" s="137"/>
    </row>
    <row r="216" spans="1:13" ht="184.5" hidden="1" thickTop="1" thickBot="1" x14ac:dyDescent="0.25">
      <c r="A216" s="126" t="s">
        <v>605</v>
      </c>
      <c r="B216" s="126" t="s">
        <v>197</v>
      </c>
      <c r="C216" s="126" t="s">
        <v>170</v>
      </c>
      <c r="D216" s="126" t="s">
        <v>34</v>
      </c>
      <c r="E216" s="253" t="s">
        <v>1234</v>
      </c>
      <c r="F216" s="194" t="s">
        <v>1147</v>
      </c>
      <c r="G216" s="194">
        <f t="shared" ref="G216" si="29">H216+I216</f>
        <v>0</v>
      </c>
      <c r="H216" s="194">
        <f>'d3'!E251</f>
        <v>0</v>
      </c>
      <c r="I216" s="271">
        <f>'d3'!J251</f>
        <v>0</v>
      </c>
      <c r="J216" s="271">
        <f>'d3'!K251</f>
        <v>0</v>
      </c>
      <c r="K216" s="137"/>
      <c r="L216" s="137"/>
      <c r="M216" s="137"/>
    </row>
    <row r="217" spans="1:13" ht="184.5" hidden="1" thickTop="1" thickBot="1" x14ac:dyDescent="0.25">
      <c r="A217" s="402" t="s">
        <v>456</v>
      </c>
      <c r="B217" s="402" t="s">
        <v>458</v>
      </c>
      <c r="C217" s="402" t="s">
        <v>50</v>
      </c>
      <c r="D217" s="126" t="s">
        <v>455</v>
      </c>
      <c r="E217" s="253" t="s">
        <v>1234</v>
      </c>
      <c r="F217" s="194" t="s">
        <v>1147</v>
      </c>
      <c r="G217" s="194">
        <f t="shared" si="28"/>
        <v>0</v>
      </c>
      <c r="H217" s="194">
        <f>'d4'!F17</f>
        <v>0</v>
      </c>
      <c r="I217" s="271">
        <f>'d4'!G17</f>
        <v>0</v>
      </c>
      <c r="J217" s="271">
        <f>'d4'!H17</f>
        <v>0</v>
      </c>
      <c r="K217" s="137"/>
      <c r="L217" s="137"/>
      <c r="M217" s="137"/>
    </row>
    <row r="218" spans="1:13" ht="184.5" thickTop="1" thickBot="1" x14ac:dyDescent="0.25">
      <c r="A218" s="101" t="s">
        <v>1092</v>
      </c>
      <c r="B218" s="101" t="s">
        <v>363</v>
      </c>
      <c r="C218" s="101" t="s">
        <v>43</v>
      </c>
      <c r="D218" s="101" t="s">
        <v>364</v>
      </c>
      <c r="E218" s="318" t="s">
        <v>1234</v>
      </c>
      <c r="F218" s="315" t="s">
        <v>1147</v>
      </c>
      <c r="G218" s="315">
        <f t="shared" si="28"/>
        <v>250000</v>
      </c>
      <c r="H218" s="315">
        <f>'d3'!E254</f>
        <v>250000</v>
      </c>
      <c r="I218" s="451">
        <f>'d3'!J254</f>
        <v>0</v>
      </c>
      <c r="J218" s="451">
        <f>'d3'!K254</f>
        <v>0</v>
      </c>
      <c r="K218" s="137"/>
      <c r="L218" s="137"/>
      <c r="M218" s="137"/>
    </row>
    <row r="219" spans="1:13" ht="170.25" customHeight="1" thickTop="1" thickBot="1" x14ac:dyDescent="0.25">
      <c r="A219" s="689" t="s">
        <v>158</v>
      </c>
      <c r="B219" s="689"/>
      <c r="C219" s="689"/>
      <c r="D219" s="690" t="s">
        <v>560</v>
      </c>
      <c r="E219" s="689"/>
      <c r="F219" s="689"/>
      <c r="G219" s="692">
        <f>G220</f>
        <v>47998140.129999995</v>
      </c>
      <c r="H219" s="692">
        <f t="shared" ref="H219:J219" si="30">H220</f>
        <v>35063853.980000004</v>
      </c>
      <c r="I219" s="692">
        <f t="shared" si="30"/>
        <v>12934286.15</v>
      </c>
      <c r="J219" s="692">
        <f t="shared" si="30"/>
        <v>12934286.15</v>
      </c>
      <c r="K219" s="95" t="b">
        <f>H219='d3'!E255-'d3'!E258+'d7'!H221</f>
        <v>1</v>
      </c>
      <c r="L219" s="95" t="b">
        <f>I219='d3'!J255-'d3'!J258+I221</f>
        <v>1</v>
      </c>
      <c r="M219" s="95" t="b">
        <f>J219='d3'!K255-'d3'!K258+J221</f>
        <v>1</v>
      </c>
    </row>
    <row r="220" spans="1:13" ht="170.25" customHeight="1" thickTop="1" thickBot="1" x14ac:dyDescent="0.25">
      <c r="A220" s="693" t="s">
        <v>159</v>
      </c>
      <c r="B220" s="693"/>
      <c r="C220" s="693"/>
      <c r="D220" s="694" t="s">
        <v>561</v>
      </c>
      <c r="E220" s="695"/>
      <c r="F220" s="695"/>
      <c r="G220" s="695">
        <f>SUM(G221:G247)</f>
        <v>47998140.129999995</v>
      </c>
      <c r="H220" s="695">
        <f>SUM(H221:H247)</f>
        <v>35063853.980000004</v>
      </c>
      <c r="I220" s="695">
        <f>SUM(I221:I247)</f>
        <v>12934286.15</v>
      </c>
      <c r="J220" s="695">
        <f>SUM(J221:J247)</f>
        <v>12934286.15</v>
      </c>
      <c r="K220" s="137"/>
      <c r="L220" s="137"/>
      <c r="M220" s="137"/>
    </row>
    <row r="221" spans="1:13" ht="138.75" hidden="1" thickTop="1" thickBot="1" x14ac:dyDescent="0.25">
      <c r="A221" s="126" t="s">
        <v>420</v>
      </c>
      <c r="B221" s="126" t="s">
        <v>236</v>
      </c>
      <c r="C221" s="126" t="s">
        <v>234</v>
      </c>
      <c r="D221" s="126" t="s">
        <v>235</v>
      </c>
      <c r="E221" s="253" t="s">
        <v>1021</v>
      </c>
      <c r="F221" s="194" t="s">
        <v>853</v>
      </c>
      <c r="G221" s="194">
        <f t="shared" ref="G221:G287" si="31">H221+I221</f>
        <v>0</v>
      </c>
      <c r="H221" s="254">
        <v>0</v>
      </c>
      <c r="I221" s="271">
        <v>0</v>
      </c>
      <c r="J221" s="271">
        <v>0</v>
      </c>
      <c r="K221" s="137"/>
      <c r="L221" s="137"/>
      <c r="M221" s="137"/>
    </row>
    <row r="222" spans="1:13" ht="321.75" hidden="1" thickTop="1" thickBot="1" x14ac:dyDescent="0.25">
      <c r="A222" s="126" t="s">
        <v>625</v>
      </c>
      <c r="B222" s="126" t="s">
        <v>362</v>
      </c>
      <c r="C222" s="126" t="s">
        <v>623</v>
      </c>
      <c r="D222" s="126" t="s">
        <v>624</v>
      </c>
      <c r="E222" s="253" t="s">
        <v>1277</v>
      </c>
      <c r="F222" s="194" t="s">
        <v>1278</v>
      </c>
      <c r="G222" s="194">
        <f t="shared" si="31"/>
        <v>0</v>
      </c>
      <c r="H222" s="254">
        <f>'d3'!E259</f>
        <v>0</v>
      </c>
      <c r="I222" s="271">
        <v>0</v>
      </c>
      <c r="J222" s="271">
        <v>0</v>
      </c>
      <c r="K222" s="137"/>
      <c r="L222" s="137"/>
      <c r="M222" s="137"/>
    </row>
    <row r="223" spans="1:13" ht="184.5" thickTop="1" thickBot="1" x14ac:dyDescent="0.25">
      <c r="A223" s="339" t="s">
        <v>280</v>
      </c>
      <c r="B223" s="339" t="s">
        <v>281</v>
      </c>
      <c r="C223" s="339" t="s">
        <v>340</v>
      </c>
      <c r="D223" s="339" t="s">
        <v>282</v>
      </c>
      <c r="E223" s="318" t="s">
        <v>1216</v>
      </c>
      <c r="F223" s="315" t="s">
        <v>1152</v>
      </c>
      <c r="G223" s="323">
        <f t="shared" si="31"/>
        <v>160000</v>
      </c>
      <c r="H223" s="323">
        <f>(110000)+50000</f>
        <v>160000</v>
      </c>
      <c r="I223" s="323">
        <f>(200000)-200000</f>
        <v>0</v>
      </c>
      <c r="J223" s="323">
        <f>(200000)-200000</f>
        <v>0</v>
      </c>
      <c r="K223" s="95" t="b">
        <f>H223+H224+H225='d3'!E263</f>
        <v>1</v>
      </c>
      <c r="L223" s="452" t="b">
        <f>I223+I224+I225='d3'!J263</f>
        <v>1</v>
      </c>
      <c r="M223" s="452" t="b">
        <f>J223+J224+J225='d3'!K263</f>
        <v>1</v>
      </c>
    </row>
    <row r="224" spans="1:13" ht="184.5" thickTop="1" thickBot="1" x14ac:dyDescent="0.25">
      <c r="A224" s="339" t="s">
        <v>280</v>
      </c>
      <c r="B224" s="339" t="s">
        <v>281</v>
      </c>
      <c r="C224" s="339" t="s">
        <v>340</v>
      </c>
      <c r="D224" s="339" t="s">
        <v>282</v>
      </c>
      <c r="E224" s="326" t="s">
        <v>1244</v>
      </c>
      <c r="F224" s="326" t="s">
        <v>584</v>
      </c>
      <c r="G224" s="323">
        <f t="shared" si="31"/>
        <v>10807413</v>
      </c>
      <c r="H224" s="319">
        <f>(((1662200)+3431400)+1800000)+300000</f>
        <v>7193600</v>
      </c>
      <c r="I224" s="451">
        <f>((1134400)+200000+896065+1583348)-200000</f>
        <v>3613813</v>
      </c>
      <c r="J224" s="451">
        <f>((1134400)+200000+896065+1583348)-200000</f>
        <v>3613813</v>
      </c>
      <c r="K224" s="137"/>
      <c r="L224" s="137"/>
      <c r="M224" s="137"/>
    </row>
    <row r="225" spans="1:13" ht="321.75" thickTop="1" thickBot="1" x14ac:dyDescent="0.25">
      <c r="A225" s="339" t="s">
        <v>280</v>
      </c>
      <c r="B225" s="339" t="s">
        <v>281</v>
      </c>
      <c r="C225" s="339" t="s">
        <v>340</v>
      </c>
      <c r="D225" s="339" t="s">
        <v>282</v>
      </c>
      <c r="E225" s="315" t="s">
        <v>1370</v>
      </c>
      <c r="F225" s="315" t="s">
        <v>855</v>
      </c>
      <c r="G225" s="315">
        <f t="shared" si="31"/>
        <v>1500000</v>
      </c>
      <c r="H225" s="319">
        <v>1500000</v>
      </c>
      <c r="I225" s="451">
        <v>0</v>
      </c>
      <c r="J225" s="451">
        <v>0</v>
      </c>
      <c r="K225" s="137"/>
      <c r="L225" s="137"/>
      <c r="M225" s="137"/>
    </row>
    <row r="226" spans="1:13" ht="184.5" thickTop="1" thickBot="1" x14ac:dyDescent="0.25">
      <c r="A226" s="101" t="s">
        <v>1614</v>
      </c>
      <c r="B226" s="101" t="s">
        <v>286</v>
      </c>
      <c r="C226" s="101" t="s">
        <v>283</v>
      </c>
      <c r="D226" s="101" t="s">
        <v>287</v>
      </c>
      <c r="E226" s="318" t="s">
        <v>1216</v>
      </c>
      <c r="F226" s="315" t="s">
        <v>1152</v>
      </c>
      <c r="G226" s="315">
        <f t="shared" si="31"/>
        <v>119200</v>
      </c>
      <c r="H226" s="319">
        <f>'d3'!E264</f>
        <v>119200</v>
      </c>
      <c r="I226" s="451">
        <f>'d3'!J264</f>
        <v>0</v>
      </c>
      <c r="J226" s="451">
        <f>'d3'!K264</f>
        <v>0</v>
      </c>
      <c r="K226" s="137"/>
      <c r="L226" s="137"/>
      <c r="M226" s="137"/>
    </row>
    <row r="227" spans="1:13" ht="184.5" thickTop="1" thickBot="1" x14ac:dyDescent="0.25">
      <c r="A227" s="101" t="s">
        <v>301</v>
      </c>
      <c r="B227" s="101" t="s">
        <v>302</v>
      </c>
      <c r="C227" s="101" t="s">
        <v>283</v>
      </c>
      <c r="D227" s="101" t="s">
        <v>303</v>
      </c>
      <c r="E227" s="318" t="s">
        <v>1216</v>
      </c>
      <c r="F227" s="315" t="s">
        <v>1152</v>
      </c>
      <c r="G227" s="315">
        <f t="shared" si="31"/>
        <v>6200000</v>
      </c>
      <c r="H227" s="319">
        <f>'d3'!E265</f>
        <v>0</v>
      </c>
      <c r="I227" s="451">
        <f>'d3'!J265</f>
        <v>6200000</v>
      </c>
      <c r="J227" s="451">
        <f>'d3'!K265</f>
        <v>6200000</v>
      </c>
      <c r="K227" s="137"/>
      <c r="L227" s="137"/>
      <c r="M227" s="137"/>
    </row>
    <row r="228" spans="1:13" ht="184.5" hidden="1" thickTop="1" thickBot="1" x14ac:dyDescent="0.25">
      <c r="A228" s="365" t="s">
        <v>284</v>
      </c>
      <c r="B228" s="365" t="s">
        <v>285</v>
      </c>
      <c r="C228" s="365" t="s">
        <v>283</v>
      </c>
      <c r="D228" s="365" t="s">
        <v>465</v>
      </c>
      <c r="E228" s="253" t="s">
        <v>1216</v>
      </c>
      <c r="F228" s="194" t="s">
        <v>1152</v>
      </c>
      <c r="G228" s="194">
        <f t="shared" si="31"/>
        <v>0</v>
      </c>
      <c r="H228" s="444">
        <f>2500000-2500000</f>
        <v>0</v>
      </c>
      <c r="I228" s="271">
        <f>2800000-2800000</f>
        <v>0</v>
      </c>
      <c r="J228" s="271">
        <f>2800000-2800000</f>
        <v>0</v>
      </c>
      <c r="K228" s="137"/>
      <c r="L228" s="137"/>
      <c r="M228" s="137"/>
    </row>
    <row r="229" spans="1:13" ht="184.5" hidden="1" thickTop="1" thickBot="1" x14ac:dyDescent="0.25">
      <c r="A229" s="365" t="s">
        <v>284</v>
      </c>
      <c r="B229" s="365" t="s">
        <v>285</v>
      </c>
      <c r="C229" s="365" t="s">
        <v>283</v>
      </c>
      <c r="D229" s="365" t="s">
        <v>465</v>
      </c>
      <c r="E229" s="253" t="s">
        <v>1366</v>
      </c>
      <c r="F229" s="194" t="s">
        <v>449</v>
      </c>
      <c r="G229" s="194">
        <f t="shared" si="31"/>
        <v>0</v>
      </c>
      <c r="H229" s="444">
        <f>'d3'!E266-H228</f>
        <v>0</v>
      </c>
      <c r="I229" s="271">
        <f>'d3'!J266-I228</f>
        <v>0</v>
      </c>
      <c r="J229" s="271">
        <f>'d3'!K266-J228</f>
        <v>0</v>
      </c>
      <c r="K229" s="137"/>
      <c r="L229" s="137"/>
      <c r="M229" s="137"/>
    </row>
    <row r="230" spans="1:13" ht="184.5" thickTop="1" thickBot="1" x14ac:dyDescent="0.25">
      <c r="A230" s="101" t="s">
        <v>924</v>
      </c>
      <c r="B230" s="101" t="s">
        <v>297</v>
      </c>
      <c r="C230" s="101" t="s">
        <v>283</v>
      </c>
      <c r="D230" s="101" t="s">
        <v>298</v>
      </c>
      <c r="E230" s="318" t="s">
        <v>1388</v>
      </c>
      <c r="F230" s="315" t="s">
        <v>1330</v>
      </c>
      <c r="G230" s="315">
        <f t="shared" ref="G230:G237" si="32">H230+I230</f>
        <v>1583513</v>
      </c>
      <c r="H230" s="319">
        <f>'d3'!E267-H232-H231</f>
        <v>1583513</v>
      </c>
      <c r="I230" s="451">
        <f>'d3'!J267-I232-I231</f>
        <v>0</v>
      </c>
      <c r="J230" s="451">
        <f>'d3'!K267-J232-J231</f>
        <v>0</v>
      </c>
      <c r="K230" s="137"/>
      <c r="L230" s="137"/>
      <c r="M230" s="137"/>
    </row>
    <row r="231" spans="1:13" ht="184.5" thickTop="1" thickBot="1" x14ac:dyDescent="0.25">
      <c r="A231" s="101" t="s">
        <v>924</v>
      </c>
      <c r="B231" s="101" t="s">
        <v>297</v>
      </c>
      <c r="C231" s="101" t="s">
        <v>283</v>
      </c>
      <c r="D231" s="101" t="s">
        <v>298</v>
      </c>
      <c r="E231" s="318" t="s">
        <v>1576</v>
      </c>
      <c r="F231" s="315" t="s">
        <v>1577</v>
      </c>
      <c r="G231" s="315">
        <f t="shared" si="32"/>
        <v>819000</v>
      </c>
      <c r="H231" s="319">
        <f>(399000+21000+420000)-21000</f>
        <v>819000</v>
      </c>
      <c r="I231" s="451">
        <v>0</v>
      </c>
      <c r="J231" s="451">
        <v>0</v>
      </c>
      <c r="K231" s="137"/>
      <c r="L231" s="137"/>
      <c r="M231" s="137"/>
    </row>
    <row r="232" spans="1:13" ht="321.75" thickTop="1" thickBot="1" x14ac:dyDescent="0.25">
      <c r="A232" s="101" t="s">
        <v>924</v>
      </c>
      <c r="B232" s="101" t="s">
        <v>297</v>
      </c>
      <c r="C232" s="101" t="s">
        <v>283</v>
      </c>
      <c r="D232" s="101" t="s">
        <v>298</v>
      </c>
      <c r="E232" s="315" t="s">
        <v>1370</v>
      </c>
      <c r="F232" s="315" t="s">
        <v>855</v>
      </c>
      <c r="G232" s="315">
        <f t="shared" si="32"/>
        <v>5000000</v>
      </c>
      <c r="H232" s="319">
        <v>5000000</v>
      </c>
      <c r="I232" s="451">
        <v>0</v>
      </c>
      <c r="J232" s="451">
        <v>0</v>
      </c>
      <c r="K232" s="137"/>
      <c r="L232" s="137"/>
      <c r="M232" s="137"/>
    </row>
    <row r="233" spans="1:13" ht="184.5" thickTop="1" thickBot="1" x14ac:dyDescent="0.25">
      <c r="A233" s="101" t="s">
        <v>288</v>
      </c>
      <c r="B233" s="101" t="s">
        <v>289</v>
      </c>
      <c r="C233" s="101" t="s">
        <v>283</v>
      </c>
      <c r="D233" s="101" t="s">
        <v>290</v>
      </c>
      <c r="E233" s="318" t="s">
        <v>1216</v>
      </c>
      <c r="F233" s="315" t="s">
        <v>1152</v>
      </c>
      <c r="G233" s="315">
        <f t="shared" si="31"/>
        <v>7747000</v>
      </c>
      <c r="H233" s="319">
        <f>'d3'!E268</f>
        <v>7477000</v>
      </c>
      <c r="I233" s="451">
        <f>'d3'!J268</f>
        <v>270000</v>
      </c>
      <c r="J233" s="451">
        <f>'d3'!K268</f>
        <v>270000</v>
      </c>
      <c r="K233" s="137"/>
      <c r="L233" s="137"/>
      <c r="M233" s="137"/>
    </row>
    <row r="234" spans="1:13" ht="184.5" thickTop="1" thickBot="1" x14ac:dyDescent="0.25">
      <c r="A234" s="101" t="s">
        <v>1243</v>
      </c>
      <c r="B234" s="101" t="s">
        <v>1131</v>
      </c>
      <c r="C234" s="101" t="s">
        <v>1132</v>
      </c>
      <c r="D234" s="101" t="s">
        <v>1129</v>
      </c>
      <c r="E234" s="318" t="s">
        <v>1216</v>
      </c>
      <c r="F234" s="315" t="s">
        <v>1152</v>
      </c>
      <c r="G234" s="315">
        <f t="shared" si="32"/>
        <v>4054800.98</v>
      </c>
      <c r="H234" s="344">
        <f>'d3'!E269-H237-H236-H235</f>
        <v>4054800.98</v>
      </c>
      <c r="I234" s="454">
        <f>'d3'!J269-I237-I236-I235</f>
        <v>0</v>
      </c>
      <c r="J234" s="454">
        <f>'d3'!K269-J237-J236-J235</f>
        <v>0</v>
      </c>
      <c r="K234" s="137"/>
      <c r="L234" s="137"/>
      <c r="M234" s="137"/>
    </row>
    <row r="235" spans="1:13" ht="93" hidden="1" thickTop="1" thickBot="1" x14ac:dyDescent="0.25">
      <c r="A235" s="101" t="s">
        <v>1243</v>
      </c>
      <c r="B235" s="101" t="s">
        <v>1131</v>
      </c>
      <c r="C235" s="101" t="s">
        <v>1132</v>
      </c>
      <c r="D235" s="101" t="s">
        <v>1129</v>
      </c>
      <c r="E235" s="318"/>
      <c r="F235" s="315"/>
      <c r="G235" s="315">
        <f t="shared" si="32"/>
        <v>0</v>
      </c>
      <c r="H235" s="344"/>
      <c r="I235" s="454"/>
      <c r="J235" s="454"/>
      <c r="K235" s="137"/>
      <c r="L235" s="137"/>
      <c r="M235" s="137"/>
    </row>
    <row r="236" spans="1:13" ht="230.25" thickTop="1" thickBot="1" x14ac:dyDescent="0.25">
      <c r="A236" s="101" t="s">
        <v>1243</v>
      </c>
      <c r="B236" s="101" t="s">
        <v>1131</v>
      </c>
      <c r="C236" s="101" t="s">
        <v>1132</v>
      </c>
      <c r="D236" s="101" t="s">
        <v>1129</v>
      </c>
      <c r="E236" s="318" t="s">
        <v>1615</v>
      </c>
      <c r="F236" s="315" t="s">
        <v>1266</v>
      </c>
      <c r="G236" s="315">
        <f t="shared" si="32"/>
        <v>55000</v>
      </c>
      <c r="H236" s="344">
        <v>55000</v>
      </c>
      <c r="I236" s="454">
        <v>0</v>
      </c>
      <c r="J236" s="454">
        <v>0</v>
      </c>
      <c r="K236" s="137"/>
      <c r="L236" s="137"/>
      <c r="M236" s="137"/>
    </row>
    <row r="237" spans="1:13" ht="230.25" hidden="1" thickTop="1" thickBot="1" x14ac:dyDescent="0.25">
      <c r="A237" s="126" t="s">
        <v>1243</v>
      </c>
      <c r="B237" s="126" t="s">
        <v>1131</v>
      </c>
      <c r="C237" s="126" t="s">
        <v>1132</v>
      </c>
      <c r="D237" s="126" t="s">
        <v>1129</v>
      </c>
      <c r="E237" s="253" t="s">
        <v>1432</v>
      </c>
      <c r="F237" s="194" t="s">
        <v>1433</v>
      </c>
      <c r="G237" s="194">
        <f t="shared" si="32"/>
        <v>0</v>
      </c>
      <c r="H237" s="273"/>
      <c r="I237" s="274">
        <v>0</v>
      </c>
      <c r="J237" s="274">
        <v>0</v>
      </c>
      <c r="K237" s="137"/>
      <c r="L237" s="137"/>
      <c r="M237" s="137"/>
    </row>
    <row r="238" spans="1:13" ht="184.5" thickTop="1" thickBot="1" x14ac:dyDescent="0.25">
      <c r="A238" s="101" t="s">
        <v>1128</v>
      </c>
      <c r="B238" s="101" t="s">
        <v>305</v>
      </c>
      <c r="C238" s="101" t="s">
        <v>304</v>
      </c>
      <c r="D238" s="101" t="s">
        <v>1477</v>
      </c>
      <c r="E238" s="318" t="s">
        <v>1331</v>
      </c>
      <c r="F238" s="315" t="s">
        <v>1332</v>
      </c>
      <c r="G238" s="315">
        <f t="shared" si="31"/>
        <v>800000</v>
      </c>
      <c r="H238" s="344">
        <f>'d3'!E272-H240-H239</f>
        <v>0</v>
      </c>
      <c r="I238" s="454">
        <f>'d3'!J272-I240-I239</f>
        <v>800000</v>
      </c>
      <c r="J238" s="454">
        <f>'d3'!K272-J240-J239</f>
        <v>800000</v>
      </c>
      <c r="K238" s="137"/>
      <c r="L238" s="137"/>
      <c r="M238" s="137"/>
    </row>
    <row r="239" spans="1:13" ht="321.75" thickTop="1" thickBot="1" x14ac:dyDescent="0.25">
      <c r="A239" s="101" t="s">
        <v>1128</v>
      </c>
      <c r="B239" s="101" t="s">
        <v>305</v>
      </c>
      <c r="C239" s="101" t="s">
        <v>304</v>
      </c>
      <c r="D239" s="101" t="s">
        <v>1477</v>
      </c>
      <c r="E239" s="315" t="s">
        <v>1370</v>
      </c>
      <c r="F239" s="315" t="s">
        <v>855</v>
      </c>
      <c r="G239" s="315">
        <f t="shared" si="31"/>
        <v>500000</v>
      </c>
      <c r="H239" s="344">
        <v>0</v>
      </c>
      <c r="I239" s="454">
        <f>(300000)+200000</f>
        <v>500000</v>
      </c>
      <c r="J239" s="454">
        <f>(300000)+200000</f>
        <v>500000</v>
      </c>
      <c r="K239" s="137"/>
      <c r="L239" s="137"/>
      <c r="M239" s="137"/>
    </row>
    <row r="240" spans="1:13" ht="184.5" hidden="1" thickTop="1" thickBot="1" x14ac:dyDescent="0.25">
      <c r="A240" s="126" t="s">
        <v>1128</v>
      </c>
      <c r="B240" s="126" t="s">
        <v>305</v>
      </c>
      <c r="C240" s="126" t="s">
        <v>304</v>
      </c>
      <c r="D240" s="126" t="s">
        <v>1470</v>
      </c>
      <c r="E240" s="253" t="s">
        <v>1216</v>
      </c>
      <c r="F240" s="194" t="s">
        <v>1152</v>
      </c>
      <c r="G240" s="194">
        <f t="shared" si="31"/>
        <v>0</v>
      </c>
      <c r="H240" s="273">
        <v>0</v>
      </c>
      <c r="I240" s="274">
        <v>0</v>
      </c>
      <c r="J240" s="274">
        <v>0</v>
      </c>
      <c r="K240" s="137"/>
      <c r="L240" s="137"/>
      <c r="M240" s="137"/>
    </row>
    <row r="241" spans="1:13" ht="138.75" thickTop="1" thickBot="1" x14ac:dyDescent="0.25">
      <c r="A241" s="101" t="s">
        <v>296</v>
      </c>
      <c r="B241" s="101" t="s">
        <v>212</v>
      </c>
      <c r="C241" s="101" t="s">
        <v>213</v>
      </c>
      <c r="D241" s="101" t="s">
        <v>41</v>
      </c>
      <c r="E241" s="318" t="s">
        <v>1605</v>
      </c>
      <c r="F241" s="315" t="s">
        <v>1466</v>
      </c>
      <c r="G241" s="323">
        <f>H241+I241</f>
        <v>4174517</v>
      </c>
      <c r="H241" s="323">
        <f>((((2000000)+1674517)+1000000)-200000)-300000</f>
        <v>4174517</v>
      </c>
      <c r="I241" s="323">
        <v>0</v>
      </c>
      <c r="J241" s="323">
        <v>0</v>
      </c>
      <c r="K241" s="95" t="b">
        <f>H241='d3'!E274</f>
        <v>1</v>
      </c>
      <c r="L241" s="456" t="b">
        <f>I241='d3'!J274</f>
        <v>1</v>
      </c>
      <c r="M241" s="456" t="b">
        <f>J241='d3'!K274</f>
        <v>1</v>
      </c>
    </row>
    <row r="242" spans="1:13" ht="184.5" thickTop="1" thickBot="1" x14ac:dyDescent="0.25">
      <c r="A242" s="101" t="s">
        <v>913</v>
      </c>
      <c r="B242" s="101" t="s">
        <v>197</v>
      </c>
      <c r="C242" s="101" t="s">
        <v>170</v>
      </c>
      <c r="D242" s="101" t="s">
        <v>34</v>
      </c>
      <c r="E242" s="318" t="s">
        <v>1216</v>
      </c>
      <c r="F242" s="315" t="s">
        <v>1152</v>
      </c>
      <c r="G242" s="315">
        <f t="shared" si="31"/>
        <v>1250473.1499999999</v>
      </c>
      <c r="H242" s="319">
        <f>'d3'!E275-H243</f>
        <v>0</v>
      </c>
      <c r="I242" s="451">
        <f>'d3'!J275-I243</f>
        <v>1250473.1499999999</v>
      </c>
      <c r="J242" s="451">
        <f>'d3'!K275-J243</f>
        <v>1250473.1499999999</v>
      </c>
      <c r="K242" s="137"/>
      <c r="L242" s="137"/>
      <c r="M242" s="137"/>
    </row>
    <row r="243" spans="1:13" ht="138.75" thickTop="1" thickBot="1" x14ac:dyDescent="0.25">
      <c r="A243" s="101" t="s">
        <v>913</v>
      </c>
      <c r="B243" s="101" t="s">
        <v>197</v>
      </c>
      <c r="C243" s="101" t="s">
        <v>170</v>
      </c>
      <c r="D243" s="101" t="s">
        <v>34</v>
      </c>
      <c r="E243" s="455" t="s">
        <v>1388</v>
      </c>
      <c r="F243" s="315" t="s">
        <v>1330</v>
      </c>
      <c r="G243" s="315">
        <f t="shared" si="31"/>
        <v>300000</v>
      </c>
      <c r="H243" s="344">
        <v>0</v>
      </c>
      <c r="I243" s="454">
        <v>300000</v>
      </c>
      <c r="J243" s="454">
        <v>300000</v>
      </c>
      <c r="K243" s="137"/>
      <c r="L243" s="137"/>
      <c r="M243" s="137"/>
    </row>
    <row r="244" spans="1:13" ht="321.75" hidden="1" customHeight="1" thickTop="1" thickBot="1" x14ac:dyDescent="0.7">
      <c r="A244" s="744" t="s">
        <v>423</v>
      </c>
      <c r="B244" s="744" t="s">
        <v>338</v>
      </c>
      <c r="C244" s="744" t="s">
        <v>170</v>
      </c>
      <c r="D244" s="395" t="s">
        <v>439</v>
      </c>
      <c r="E244" s="869" t="s">
        <v>1263</v>
      </c>
      <c r="F244" s="869" t="s">
        <v>1264</v>
      </c>
      <c r="G244" s="862">
        <f t="shared" si="31"/>
        <v>0</v>
      </c>
      <c r="H244" s="862">
        <f>'d3'!E277</f>
        <v>0</v>
      </c>
      <c r="I244" s="862">
        <f>'d3'!J277</f>
        <v>0</v>
      </c>
      <c r="J244" s="862">
        <f>'d3'!K277</f>
        <v>0</v>
      </c>
      <c r="K244" s="137"/>
      <c r="L244" s="137"/>
      <c r="M244" s="137"/>
    </row>
    <row r="245" spans="1:13" ht="138.75" hidden="1" thickTop="1" thickBot="1" x14ac:dyDescent="0.25">
      <c r="A245" s="747"/>
      <c r="B245" s="747"/>
      <c r="C245" s="747"/>
      <c r="D245" s="396" t="s">
        <v>440</v>
      </c>
      <c r="E245" s="791"/>
      <c r="F245" s="791"/>
      <c r="G245" s="870"/>
      <c r="H245" s="870"/>
      <c r="I245" s="870"/>
      <c r="J245" s="870"/>
      <c r="K245" s="137"/>
      <c r="L245" s="137"/>
      <c r="M245" s="137"/>
    </row>
    <row r="246" spans="1:13" ht="321.75" thickTop="1" thickBot="1" x14ac:dyDescent="0.25">
      <c r="A246" s="101" t="s">
        <v>1476</v>
      </c>
      <c r="B246" s="101" t="s">
        <v>517</v>
      </c>
      <c r="C246" s="101" t="s">
        <v>251</v>
      </c>
      <c r="D246" s="101" t="s">
        <v>518</v>
      </c>
      <c r="E246" s="315" t="s">
        <v>1370</v>
      </c>
      <c r="F246" s="315" t="s">
        <v>855</v>
      </c>
      <c r="G246" s="315">
        <f t="shared" si="31"/>
        <v>2927223</v>
      </c>
      <c r="H246" s="344">
        <f>'d3'!E281</f>
        <v>2927223</v>
      </c>
      <c r="I246" s="454">
        <f>'d3'!J281</f>
        <v>0</v>
      </c>
      <c r="J246" s="454">
        <f>'d3'!K281</f>
        <v>0</v>
      </c>
      <c r="K246" s="137"/>
      <c r="L246" s="137"/>
      <c r="M246" s="137"/>
    </row>
    <row r="247" spans="1:13" ht="321.75" hidden="1" thickTop="1" thickBot="1" x14ac:dyDescent="0.25">
      <c r="A247" s="126" t="s">
        <v>1214</v>
      </c>
      <c r="B247" s="126" t="s">
        <v>1195</v>
      </c>
      <c r="C247" s="126" t="s">
        <v>1170</v>
      </c>
      <c r="D247" s="126" t="s">
        <v>1196</v>
      </c>
      <c r="E247" s="194" t="s">
        <v>1193</v>
      </c>
      <c r="F247" s="194" t="s">
        <v>855</v>
      </c>
      <c r="G247" s="267">
        <f>H247+I247</f>
        <v>0</v>
      </c>
      <c r="H247" s="273">
        <f>'d3'!E283</f>
        <v>0</v>
      </c>
      <c r="I247" s="274">
        <f>'d3'!J283</f>
        <v>0</v>
      </c>
      <c r="J247" s="274">
        <f>'d3'!K283</f>
        <v>0</v>
      </c>
      <c r="K247" s="137"/>
      <c r="L247" s="137"/>
      <c r="M247" s="137"/>
    </row>
    <row r="248" spans="1:13" ht="170.25" customHeight="1" thickTop="1" thickBot="1" x14ac:dyDescent="0.25">
      <c r="A248" s="689" t="s">
        <v>539</v>
      </c>
      <c r="B248" s="689"/>
      <c r="C248" s="689"/>
      <c r="D248" s="690" t="s">
        <v>558</v>
      </c>
      <c r="E248" s="689"/>
      <c r="F248" s="689"/>
      <c r="G248" s="692">
        <f>H248+I248</f>
        <v>503489328.20000005</v>
      </c>
      <c r="H248" s="692">
        <f>H249</f>
        <v>468950907.85000002</v>
      </c>
      <c r="I248" s="692">
        <f>I249</f>
        <v>34538420.350000001</v>
      </c>
      <c r="J248" s="692">
        <f>J249</f>
        <v>34538420.350000001</v>
      </c>
      <c r="K248" s="95" t="b">
        <f>H248='d3'!E285-'d3'!E287+'d7'!H250</f>
        <v>1</v>
      </c>
      <c r="L248" s="95" t="b">
        <f>I248='d3'!J285-'d3'!J287+'d7'!I250</f>
        <v>1</v>
      </c>
      <c r="M248" s="95" t="b">
        <f>J248='d3'!K285-'d3'!K287+'d7'!J250</f>
        <v>1</v>
      </c>
    </row>
    <row r="249" spans="1:13" ht="170.25" customHeight="1" thickTop="1" thickBot="1" x14ac:dyDescent="0.25">
      <c r="A249" s="693" t="s">
        <v>540</v>
      </c>
      <c r="B249" s="693"/>
      <c r="C249" s="693"/>
      <c r="D249" s="694" t="s">
        <v>559</v>
      </c>
      <c r="E249" s="695"/>
      <c r="F249" s="695"/>
      <c r="G249" s="695">
        <f>SUM(G250:G288)</f>
        <v>503489328.20000005</v>
      </c>
      <c r="H249" s="695">
        <f>SUM(H250:H288)</f>
        <v>468950907.85000002</v>
      </c>
      <c r="I249" s="695">
        <f>SUM(I250:I288)</f>
        <v>34538420.350000001</v>
      </c>
      <c r="J249" s="695">
        <f>SUM(J250:J288)</f>
        <v>34538420.350000001</v>
      </c>
      <c r="K249" s="275"/>
      <c r="L249" s="137"/>
      <c r="M249" s="137"/>
    </row>
    <row r="250" spans="1:13" ht="138.75" thickTop="1" thickBot="1" x14ac:dyDescent="0.25">
      <c r="A250" s="101" t="s">
        <v>541</v>
      </c>
      <c r="B250" s="101" t="s">
        <v>236</v>
      </c>
      <c r="C250" s="101" t="s">
        <v>234</v>
      </c>
      <c r="D250" s="101" t="s">
        <v>235</v>
      </c>
      <c r="E250" s="318" t="s">
        <v>1021</v>
      </c>
      <c r="F250" s="315" t="s">
        <v>853</v>
      </c>
      <c r="G250" s="315">
        <f t="shared" si="31"/>
        <v>39000</v>
      </c>
      <c r="H250" s="315">
        <v>0</v>
      </c>
      <c r="I250" s="315">
        <v>39000</v>
      </c>
      <c r="J250" s="315">
        <v>39000</v>
      </c>
      <c r="K250" s="137"/>
      <c r="L250" s="137"/>
      <c r="M250" s="137"/>
    </row>
    <row r="251" spans="1:13" ht="321.75" hidden="1" thickTop="1" thickBot="1" x14ac:dyDescent="0.25">
      <c r="A251" s="126" t="s">
        <v>627</v>
      </c>
      <c r="B251" s="126" t="s">
        <v>362</v>
      </c>
      <c r="C251" s="126" t="s">
        <v>623</v>
      </c>
      <c r="D251" s="126" t="s">
        <v>624</v>
      </c>
      <c r="E251" s="253" t="s">
        <v>1158</v>
      </c>
      <c r="F251" s="194" t="s">
        <v>1159</v>
      </c>
      <c r="G251" s="194">
        <f t="shared" ref="G251" si="33">H251+I251</f>
        <v>0</v>
      </c>
      <c r="H251" s="254">
        <f>'d3'!E288</f>
        <v>0</v>
      </c>
      <c r="I251" s="271">
        <v>0</v>
      </c>
      <c r="J251" s="271">
        <v>0</v>
      </c>
      <c r="K251" s="137"/>
      <c r="L251" s="137"/>
      <c r="M251" s="137"/>
    </row>
    <row r="252" spans="1:13" ht="184.5" hidden="1" thickTop="1" thickBot="1" x14ac:dyDescent="0.25">
      <c r="A252" s="126" t="s">
        <v>542</v>
      </c>
      <c r="B252" s="126" t="s">
        <v>43</v>
      </c>
      <c r="C252" s="126" t="s">
        <v>42</v>
      </c>
      <c r="D252" s="126" t="s">
        <v>248</v>
      </c>
      <c r="E252" s="253" t="s">
        <v>1216</v>
      </c>
      <c r="F252" s="194" t="s">
        <v>1152</v>
      </c>
      <c r="G252" s="194">
        <f t="shared" si="31"/>
        <v>0</v>
      </c>
      <c r="H252" s="194">
        <f>'d3'!E289</f>
        <v>0</v>
      </c>
      <c r="I252" s="194">
        <f>'d3'!J289</f>
        <v>0</v>
      </c>
      <c r="J252" s="194">
        <f>'d3'!K289</f>
        <v>0</v>
      </c>
      <c r="K252" s="137"/>
      <c r="L252" s="137"/>
      <c r="M252" s="137"/>
    </row>
    <row r="253" spans="1:13" ht="205.5" customHeight="1" thickTop="1" thickBot="1" x14ac:dyDescent="0.25">
      <c r="A253" s="101" t="s">
        <v>543</v>
      </c>
      <c r="B253" s="101" t="s">
        <v>376</v>
      </c>
      <c r="C253" s="101" t="s">
        <v>283</v>
      </c>
      <c r="D253" s="101" t="s">
        <v>377</v>
      </c>
      <c r="E253" s="318" t="s">
        <v>1393</v>
      </c>
      <c r="F253" s="315" t="s">
        <v>1333</v>
      </c>
      <c r="G253" s="315">
        <f t="shared" si="31"/>
        <v>90000000</v>
      </c>
      <c r="H253" s="319">
        <f>'d3'!E292</f>
        <v>90000000</v>
      </c>
      <c r="I253" s="315">
        <f>'d3'!J292</f>
        <v>0</v>
      </c>
      <c r="J253" s="315">
        <f>'d3'!K292</f>
        <v>0</v>
      </c>
      <c r="K253" s="137"/>
      <c r="L253" s="137"/>
      <c r="M253" s="137"/>
    </row>
    <row r="254" spans="1:13" ht="184.5" thickTop="1" thickBot="1" x14ac:dyDescent="0.25">
      <c r="A254" s="101" t="s">
        <v>544</v>
      </c>
      <c r="B254" s="101" t="s">
        <v>286</v>
      </c>
      <c r="C254" s="101" t="s">
        <v>283</v>
      </c>
      <c r="D254" s="101" t="s">
        <v>287</v>
      </c>
      <c r="E254" s="318" t="s">
        <v>1216</v>
      </c>
      <c r="F254" s="315" t="s">
        <v>1152</v>
      </c>
      <c r="G254" s="315">
        <f t="shared" si="31"/>
        <v>953993</v>
      </c>
      <c r="H254" s="319">
        <v>0</v>
      </c>
      <c r="I254" s="451">
        <f>'d3'!J293</f>
        <v>953993</v>
      </c>
      <c r="J254" s="451">
        <f>'d3'!K293</f>
        <v>953993</v>
      </c>
      <c r="K254" s="95" t="b">
        <f>'d3'!E293='d7'!H254+'d7'!H255</f>
        <v>1</v>
      </c>
      <c r="L254" s="95" t="b">
        <f>'d3'!J293='d7'!I254+'d7'!I255</f>
        <v>1</v>
      </c>
      <c r="M254" s="95" t="b">
        <f>'d3'!K293='d7'!J254+'d7'!J255</f>
        <v>1</v>
      </c>
    </row>
    <row r="255" spans="1:13" ht="184.5" thickTop="1" thickBot="1" x14ac:dyDescent="0.25">
      <c r="A255" s="101" t="s">
        <v>544</v>
      </c>
      <c r="B255" s="101" t="s">
        <v>286</v>
      </c>
      <c r="C255" s="101" t="s">
        <v>283</v>
      </c>
      <c r="D255" s="101" t="s">
        <v>287</v>
      </c>
      <c r="E255" s="318" t="s">
        <v>1389</v>
      </c>
      <c r="F255" s="315" t="s">
        <v>1334</v>
      </c>
      <c r="G255" s="315">
        <f t="shared" si="31"/>
        <v>53550000</v>
      </c>
      <c r="H255" s="319">
        <f>((((10550000)+15000000)+15000000)+10000000)+3000000</f>
        <v>53550000</v>
      </c>
      <c r="I255" s="451">
        <v>0</v>
      </c>
      <c r="J255" s="451">
        <v>0</v>
      </c>
      <c r="K255" s="137"/>
      <c r="L255" s="137"/>
      <c r="M255" s="137"/>
    </row>
    <row r="256" spans="1:13" ht="184.5" hidden="1" thickTop="1" thickBot="1" x14ac:dyDescent="0.25">
      <c r="A256" s="126" t="s">
        <v>1390</v>
      </c>
      <c r="B256" s="126" t="s">
        <v>1391</v>
      </c>
      <c r="C256" s="126" t="s">
        <v>283</v>
      </c>
      <c r="D256" s="126" t="s">
        <v>1392</v>
      </c>
      <c r="E256" s="253" t="s">
        <v>1389</v>
      </c>
      <c r="F256" s="194" t="s">
        <v>1334</v>
      </c>
      <c r="G256" s="194">
        <f t="shared" si="31"/>
        <v>0</v>
      </c>
      <c r="H256" s="254">
        <f>'d3'!E294</f>
        <v>0</v>
      </c>
      <c r="I256" s="271">
        <v>0</v>
      </c>
      <c r="J256" s="271">
        <v>0</v>
      </c>
      <c r="K256" s="137"/>
      <c r="L256" s="137"/>
      <c r="M256" s="137"/>
    </row>
    <row r="257" spans="1:13" ht="184.5" thickTop="1" thickBot="1" x14ac:dyDescent="0.25">
      <c r="A257" s="101" t="s">
        <v>545</v>
      </c>
      <c r="B257" s="101" t="s">
        <v>297</v>
      </c>
      <c r="C257" s="101" t="s">
        <v>283</v>
      </c>
      <c r="D257" s="101" t="s">
        <v>298</v>
      </c>
      <c r="E257" s="318" t="s">
        <v>1431</v>
      </c>
      <c r="F257" s="315" t="s">
        <v>1337</v>
      </c>
      <c r="G257" s="315">
        <f t="shared" si="31"/>
        <v>1550000</v>
      </c>
      <c r="H257" s="319">
        <f>((700000)+650000)+200000</f>
        <v>1550000</v>
      </c>
      <c r="I257" s="451">
        <f>'d3'!J295</f>
        <v>0</v>
      </c>
      <c r="J257" s="451">
        <f>'d3'!K295</f>
        <v>0</v>
      </c>
      <c r="K257" s="95" t="b">
        <f>'d3'!E295='d7'!H257+'d7'!H258</f>
        <v>1</v>
      </c>
      <c r="L257" s="95" t="b">
        <f>'d3'!J295='d7'!I257+'d7'!I258</f>
        <v>1</v>
      </c>
      <c r="M257" s="95" t="b">
        <f>'d3'!K295='d7'!J257+'d7'!J258</f>
        <v>1</v>
      </c>
    </row>
    <row r="258" spans="1:13" ht="184.5" thickTop="1" thickBot="1" x14ac:dyDescent="0.25">
      <c r="A258" s="101" t="s">
        <v>545</v>
      </c>
      <c r="B258" s="101" t="s">
        <v>297</v>
      </c>
      <c r="C258" s="101" t="s">
        <v>283</v>
      </c>
      <c r="D258" s="101" t="s">
        <v>298</v>
      </c>
      <c r="E258" s="318" t="s">
        <v>1396</v>
      </c>
      <c r="F258" s="315" t="s">
        <v>1340</v>
      </c>
      <c r="G258" s="315">
        <f t="shared" si="31"/>
        <v>5794818.8499999996</v>
      </c>
      <c r="H258" s="319">
        <f>((1987600)+7205100)-3397881.15</f>
        <v>5794818.8499999996</v>
      </c>
      <c r="I258" s="451">
        <v>0</v>
      </c>
      <c r="J258" s="451">
        <v>0</v>
      </c>
      <c r="K258" s="137"/>
      <c r="L258" s="137"/>
      <c r="M258" s="137"/>
    </row>
    <row r="259" spans="1:13" ht="138.75" hidden="1" thickTop="1" thickBot="1" x14ac:dyDescent="0.25">
      <c r="A259" s="126"/>
      <c r="B259" s="126"/>
      <c r="C259" s="126"/>
      <c r="D259" s="126"/>
      <c r="E259" s="254" t="s">
        <v>871</v>
      </c>
      <c r="F259" s="194" t="s">
        <v>869</v>
      </c>
      <c r="G259" s="73"/>
      <c r="H259" s="257"/>
      <c r="I259" s="272"/>
      <c r="J259" s="272"/>
      <c r="K259" s="137"/>
      <c r="L259" s="137"/>
      <c r="M259" s="137"/>
    </row>
    <row r="260" spans="1:13" ht="184.5" thickTop="1" thickBot="1" x14ac:dyDescent="0.25">
      <c r="A260" s="101" t="s">
        <v>546</v>
      </c>
      <c r="B260" s="101">
        <v>6030</v>
      </c>
      <c r="C260" s="101" t="s">
        <v>283</v>
      </c>
      <c r="D260" s="101" t="s">
        <v>290</v>
      </c>
      <c r="E260" s="318" t="s">
        <v>1216</v>
      </c>
      <c r="F260" s="315" t="s">
        <v>1152</v>
      </c>
      <c r="G260" s="315">
        <f t="shared" si="31"/>
        <v>306451465</v>
      </c>
      <c r="H260" s="319">
        <f>(((((273808011-H261-650000-8450000)+25359960)+4000000-2000000+895178+1000000+100000+500000+12000000)+2050000)+1253238)+2551512</f>
        <v>306451465</v>
      </c>
      <c r="I260" s="451">
        <v>0</v>
      </c>
      <c r="J260" s="451">
        <v>0</v>
      </c>
      <c r="K260" s="95" t="b">
        <f>H261+H260='d3'!E296</f>
        <v>1</v>
      </c>
      <c r="L260" s="95" t="b">
        <f>I261+I260='d3'!J296</f>
        <v>1</v>
      </c>
      <c r="M260" s="95" t="b">
        <f>J261+J260='d3'!K296</f>
        <v>1</v>
      </c>
    </row>
    <row r="261" spans="1:13" ht="184.5" thickTop="1" thickBot="1" x14ac:dyDescent="0.25">
      <c r="A261" s="101" t="s">
        <v>546</v>
      </c>
      <c r="B261" s="101">
        <v>6030</v>
      </c>
      <c r="C261" s="101" t="s">
        <v>283</v>
      </c>
      <c r="D261" s="101" t="s">
        <v>290</v>
      </c>
      <c r="E261" s="319" t="s">
        <v>1267</v>
      </c>
      <c r="F261" s="315" t="s">
        <v>1268</v>
      </c>
      <c r="G261" s="315">
        <f>H261+I261</f>
        <v>5966434</v>
      </c>
      <c r="H261" s="451">
        <f>(6438556)-472122</f>
        <v>5966434</v>
      </c>
      <c r="I261" s="451">
        <v>0</v>
      </c>
      <c r="J261" s="451">
        <v>0</v>
      </c>
      <c r="K261" s="137"/>
      <c r="L261" s="137"/>
      <c r="M261" s="137"/>
    </row>
    <row r="262" spans="1:13" ht="184.5" thickTop="1" thickBot="1" x14ac:dyDescent="0.25">
      <c r="A262" s="101" t="s">
        <v>1130</v>
      </c>
      <c r="B262" s="101" t="s">
        <v>1131</v>
      </c>
      <c r="C262" s="101" t="s">
        <v>1132</v>
      </c>
      <c r="D262" s="101" t="s">
        <v>1129</v>
      </c>
      <c r="E262" s="318" t="s">
        <v>1216</v>
      </c>
      <c r="F262" s="315" t="s">
        <v>1152</v>
      </c>
      <c r="G262" s="315">
        <f>H262+I262</f>
        <v>258800</v>
      </c>
      <c r="H262" s="451">
        <f>'d3'!E297</f>
        <v>258800</v>
      </c>
      <c r="I262" s="451">
        <f>'d3'!J297</f>
        <v>0</v>
      </c>
      <c r="J262" s="451">
        <f>'d3'!K297</f>
        <v>0</v>
      </c>
      <c r="K262" s="137"/>
      <c r="L262" s="137"/>
      <c r="M262" s="137"/>
    </row>
    <row r="263" spans="1:13" ht="184.5" thickTop="1" thickBot="1" x14ac:dyDescent="0.25">
      <c r="A263" s="101" t="s">
        <v>547</v>
      </c>
      <c r="B263" s="101" t="s">
        <v>305</v>
      </c>
      <c r="C263" s="101" t="s">
        <v>304</v>
      </c>
      <c r="D263" s="101" t="s">
        <v>468</v>
      </c>
      <c r="E263" s="318" t="s">
        <v>1216</v>
      </c>
      <c r="F263" s="315" t="s">
        <v>1152</v>
      </c>
      <c r="G263" s="315">
        <f t="shared" si="31"/>
        <v>2351756</v>
      </c>
      <c r="H263" s="319">
        <f>'d3'!E300</f>
        <v>0</v>
      </c>
      <c r="I263" s="451">
        <f>'d3'!J300</f>
        <v>2351756</v>
      </c>
      <c r="J263" s="451">
        <f>'d3'!K300</f>
        <v>2351756</v>
      </c>
      <c r="K263" s="137"/>
      <c r="L263" s="137"/>
      <c r="M263" s="137"/>
    </row>
    <row r="264" spans="1:13" ht="184.5" thickTop="1" thickBot="1" x14ac:dyDescent="0.25">
      <c r="A264" s="101" t="s">
        <v>548</v>
      </c>
      <c r="B264" s="101" t="s">
        <v>293</v>
      </c>
      <c r="C264" s="101" t="s">
        <v>295</v>
      </c>
      <c r="D264" s="686" t="s">
        <v>294</v>
      </c>
      <c r="E264" s="318" t="s">
        <v>1216</v>
      </c>
      <c r="F264" s="315" t="s">
        <v>1152</v>
      </c>
      <c r="G264" s="315">
        <f>H264+I264</f>
        <v>3278514</v>
      </c>
      <c r="H264" s="319">
        <f>'d3'!E303-H265</f>
        <v>0</v>
      </c>
      <c r="I264" s="451">
        <f>'d3'!J303-I265</f>
        <v>3278514</v>
      </c>
      <c r="J264" s="451">
        <f>'d3'!K303-J265</f>
        <v>3278514</v>
      </c>
      <c r="K264" s="95" t="b">
        <f>H264+H265='d3'!E303</f>
        <v>1</v>
      </c>
      <c r="L264" s="95" t="b">
        <f>I264+I265='d3'!J303</f>
        <v>1</v>
      </c>
      <c r="M264" s="95" t="b">
        <f>J264+J265='d3'!K303</f>
        <v>1</v>
      </c>
    </row>
    <row r="265" spans="1:13" ht="138.75" hidden="1" thickTop="1" thickBot="1" x14ac:dyDescent="0.25">
      <c r="A265" s="681" t="s">
        <v>548</v>
      </c>
      <c r="B265" s="681" t="s">
        <v>293</v>
      </c>
      <c r="C265" s="681" t="s">
        <v>295</v>
      </c>
      <c r="D265" s="687" t="s">
        <v>294</v>
      </c>
      <c r="E265" s="318" t="s">
        <v>1379</v>
      </c>
      <c r="F265" s="326" t="s">
        <v>424</v>
      </c>
      <c r="G265" s="315">
        <f>H265+I265</f>
        <v>0</v>
      </c>
      <c r="H265" s="685">
        <v>0</v>
      </c>
      <c r="I265" s="688">
        <v>0</v>
      </c>
      <c r="J265" s="688">
        <v>0</v>
      </c>
      <c r="K265" s="137"/>
      <c r="L265" s="137"/>
      <c r="M265" s="137"/>
    </row>
    <row r="266" spans="1:13" ht="138.75" hidden="1" thickTop="1" thickBot="1" x14ac:dyDescent="0.25">
      <c r="A266" s="101" t="s">
        <v>548</v>
      </c>
      <c r="B266" s="101" t="s">
        <v>293</v>
      </c>
      <c r="C266" s="101" t="s">
        <v>295</v>
      </c>
      <c r="D266" s="686" t="s">
        <v>294</v>
      </c>
      <c r="E266" s="319" t="s">
        <v>870</v>
      </c>
      <c r="F266" s="319" t="s">
        <v>885</v>
      </c>
      <c r="G266" s="315">
        <f t="shared" si="31"/>
        <v>0</v>
      </c>
      <c r="H266" s="319"/>
      <c r="I266" s="271"/>
      <c r="J266" s="271"/>
      <c r="K266" s="137"/>
      <c r="L266" s="137"/>
      <c r="M266" s="137"/>
    </row>
    <row r="267" spans="1:13" ht="184.5" thickTop="1" thickBot="1" x14ac:dyDescent="0.25">
      <c r="A267" s="101" t="s">
        <v>549</v>
      </c>
      <c r="B267" s="101" t="s">
        <v>212</v>
      </c>
      <c r="C267" s="101" t="s">
        <v>213</v>
      </c>
      <c r="D267" s="101" t="s">
        <v>41</v>
      </c>
      <c r="E267" s="318" t="s">
        <v>1216</v>
      </c>
      <c r="F267" s="315" t="s">
        <v>1152</v>
      </c>
      <c r="G267" s="319">
        <f t="shared" si="31"/>
        <v>15280170.35</v>
      </c>
      <c r="H267" s="319">
        <f>'d3'!E305</f>
        <v>0</v>
      </c>
      <c r="I267" s="319">
        <f>'d3'!J305</f>
        <v>15280170.35</v>
      </c>
      <c r="J267" s="319">
        <f>'d3'!K305</f>
        <v>15280170.35</v>
      </c>
      <c r="K267" s="137"/>
      <c r="L267" s="137"/>
      <c r="M267" s="137"/>
    </row>
    <row r="268" spans="1:13" ht="184.5" hidden="1" thickTop="1" thickBot="1" x14ac:dyDescent="0.25">
      <c r="A268" s="126" t="s">
        <v>550</v>
      </c>
      <c r="B268" s="126" t="s">
        <v>197</v>
      </c>
      <c r="C268" s="126" t="s">
        <v>170</v>
      </c>
      <c r="D268" s="126" t="s">
        <v>34</v>
      </c>
      <c r="E268" s="253" t="s">
        <v>1151</v>
      </c>
      <c r="F268" s="194" t="s">
        <v>1152</v>
      </c>
      <c r="G268" s="254">
        <f t="shared" ref="G268:G270" si="34">H268+I268</f>
        <v>0</v>
      </c>
      <c r="H268" s="254">
        <v>0</v>
      </c>
      <c r="I268" s="254">
        <v>0</v>
      </c>
      <c r="J268" s="254">
        <v>0</v>
      </c>
      <c r="K268" s="252" t="s">
        <v>1342</v>
      </c>
      <c r="L268" s="252" t="s">
        <v>1341</v>
      </c>
      <c r="M268" s="137"/>
    </row>
    <row r="269" spans="1:13" ht="138.75" hidden="1" thickTop="1" thickBot="1" x14ac:dyDescent="0.25">
      <c r="A269" s="126" t="s">
        <v>550</v>
      </c>
      <c r="B269" s="126" t="s">
        <v>197</v>
      </c>
      <c r="C269" s="126" t="s">
        <v>170</v>
      </c>
      <c r="D269" s="126" t="s">
        <v>34</v>
      </c>
      <c r="E269" s="253" t="s">
        <v>1429</v>
      </c>
      <c r="F269" s="194" t="s">
        <v>1428</v>
      </c>
      <c r="G269" s="254">
        <f t="shared" si="34"/>
        <v>0</v>
      </c>
      <c r="H269" s="254">
        <v>0</v>
      </c>
      <c r="I269" s="254">
        <v>0</v>
      </c>
      <c r="J269" s="254">
        <v>0</v>
      </c>
      <c r="K269" s="252"/>
      <c r="L269" s="252"/>
      <c r="M269" s="137"/>
    </row>
    <row r="270" spans="1:13" ht="232.5" customHeight="1" thickTop="1" thickBot="1" x14ac:dyDescent="0.25">
      <c r="A270" s="101" t="s">
        <v>550</v>
      </c>
      <c r="B270" s="101" t="s">
        <v>197</v>
      </c>
      <c r="C270" s="101" t="s">
        <v>170</v>
      </c>
      <c r="D270" s="101" t="s">
        <v>34</v>
      </c>
      <c r="E270" s="318" t="s">
        <v>1552</v>
      </c>
      <c r="F270" s="315" t="s">
        <v>1430</v>
      </c>
      <c r="G270" s="319">
        <f t="shared" si="34"/>
        <v>3789823</v>
      </c>
      <c r="H270" s="319">
        <v>0</v>
      </c>
      <c r="I270" s="319">
        <f>((2790264)+1207578-807578)+599559</f>
        <v>3789823</v>
      </c>
      <c r="J270" s="319">
        <f>((2790264)+1207578-807578)+599559</f>
        <v>3789823</v>
      </c>
      <c r="K270" s="252"/>
      <c r="L270" s="252"/>
      <c r="M270" s="137"/>
    </row>
    <row r="271" spans="1:13" ht="184.5" hidden="1" thickTop="1" thickBot="1" x14ac:dyDescent="0.25">
      <c r="A271" s="126" t="s">
        <v>550</v>
      </c>
      <c r="B271" s="126" t="s">
        <v>197</v>
      </c>
      <c r="C271" s="126" t="s">
        <v>170</v>
      </c>
      <c r="D271" s="126" t="s">
        <v>34</v>
      </c>
      <c r="E271" s="253" t="s">
        <v>1393</v>
      </c>
      <c r="F271" s="194" t="s">
        <v>1333</v>
      </c>
      <c r="G271" s="254">
        <f t="shared" si="31"/>
        <v>0</v>
      </c>
      <c r="H271" s="254">
        <v>0</v>
      </c>
      <c r="I271" s="254">
        <v>0</v>
      </c>
      <c r="J271" s="254">
        <v>0</v>
      </c>
    </row>
    <row r="272" spans="1:13" ht="184.5" thickTop="1" thickBot="1" x14ac:dyDescent="0.25">
      <c r="A272" s="101" t="s">
        <v>550</v>
      </c>
      <c r="B272" s="101" t="s">
        <v>197</v>
      </c>
      <c r="C272" s="101" t="s">
        <v>170</v>
      </c>
      <c r="D272" s="101" t="s">
        <v>34</v>
      </c>
      <c r="E272" s="318" t="s">
        <v>1389</v>
      </c>
      <c r="F272" s="315" t="s">
        <v>1334</v>
      </c>
      <c r="G272" s="319">
        <f t="shared" si="31"/>
        <v>7953945</v>
      </c>
      <c r="H272" s="319">
        <v>0</v>
      </c>
      <c r="I272" s="319">
        <f>((((0)+3501402)+663000+1744176+477161+346407)-810295)+2032094</f>
        <v>7953945</v>
      </c>
      <c r="J272" s="319">
        <f>((((0)+3501402)+663000+1744176+477161+346407)-810295)+2032094</f>
        <v>7953945</v>
      </c>
      <c r="K272" s="137"/>
      <c r="L272" s="137"/>
      <c r="M272" s="137"/>
    </row>
    <row r="273" spans="1:13" ht="250.5" customHeight="1" thickTop="1" thickBot="1" x14ac:dyDescent="0.25">
      <c r="A273" s="101" t="s">
        <v>550</v>
      </c>
      <c r="B273" s="101" t="s">
        <v>197</v>
      </c>
      <c r="C273" s="101" t="s">
        <v>170</v>
      </c>
      <c r="D273" s="101" t="s">
        <v>34</v>
      </c>
      <c r="E273" s="318" t="s">
        <v>1623</v>
      </c>
      <c r="F273" s="315" t="s">
        <v>1336</v>
      </c>
      <c r="G273" s="319">
        <f t="shared" si="31"/>
        <v>595099</v>
      </c>
      <c r="H273" s="319">
        <v>0</v>
      </c>
      <c r="I273" s="319">
        <v>595099</v>
      </c>
      <c r="J273" s="319">
        <v>595099</v>
      </c>
      <c r="K273" s="137"/>
      <c r="L273" s="137"/>
      <c r="M273" s="137"/>
    </row>
    <row r="274" spans="1:13" ht="230.25" thickTop="1" thickBot="1" x14ac:dyDescent="0.25">
      <c r="A274" s="101" t="s">
        <v>550</v>
      </c>
      <c r="B274" s="101" t="s">
        <v>197</v>
      </c>
      <c r="C274" s="101" t="s">
        <v>170</v>
      </c>
      <c r="D274" s="101" t="s">
        <v>34</v>
      </c>
      <c r="E274" s="318" t="s">
        <v>1394</v>
      </c>
      <c r="F274" s="315" t="s">
        <v>1335</v>
      </c>
      <c r="G274" s="319">
        <f t="shared" si="31"/>
        <v>200000</v>
      </c>
      <c r="H274" s="319">
        <v>0</v>
      </c>
      <c r="I274" s="319">
        <v>200000</v>
      </c>
      <c r="J274" s="319">
        <v>200000</v>
      </c>
      <c r="K274" s="137"/>
      <c r="L274" s="137"/>
      <c r="M274" s="137"/>
    </row>
    <row r="275" spans="1:13" ht="184.5" hidden="1" thickTop="1" thickBot="1" x14ac:dyDescent="0.25">
      <c r="A275" s="126" t="s">
        <v>550</v>
      </c>
      <c r="B275" s="126" t="s">
        <v>197</v>
      </c>
      <c r="C275" s="126" t="s">
        <v>170</v>
      </c>
      <c r="D275" s="126" t="s">
        <v>34</v>
      </c>
      <c r="E275" s="446" t="s">
        <v>1310</v>
      </c>
      <c r="F275" s="447"/>
      <c r="G275" s="254">
        <f t="shared" si="31"/>
        <v>0</v>
      </c>
      <c r="H275" s="254">
        <v>0</v>
      </c>
      <c r="I275" s="254">
        <f>1888075-1888075</f>
        <v>0</v>
      </c>
      <c r="J275" s="254">
        <f>1258075+630000-1888075</f>
        <v>0</v>
      </c>
      <c r="K275" s="137"/>
      <c r="L275" s="137"/>
      <c r="M275" s="137"/>
    </row>
    <row r="276" spans="1:13" ht="138.75" hidden="1" thickTop="1" thickBot="1" x14ac:dyDescent="0.25">
      <c r="A276" s="126" t="s">
        <v>550</v>
      </c>
      <c r="B276" s="126" t="s">
        <v>197</v>
      </c>
      <c r="C276" s="126" t="s">
        <v>170</v>
      </c>
      <c r="D276" s="126" t="s">
        <v>34</v>
      </c>
      <c r="E276" s="253" t="s">
        <v>1395</v>
      </c>
      <c r="F276" s="194" t="s">
        <v>1337</v>
      </c>
      <c r="G276" s="254">
        <f t="shared" si="31"/>
        <v>0</v>
      </c>
      <c r="H276" s="254">
        <v>0</v>
      </c>
      <c r="I276" s="254">
        <v>0</v>
      </c>
      <c r="J276" s="254">
        <v>0</v>
      </c>
      <c r="K276" s="137"/>
      <c r="L276" s="137"/>
      <c r="M276" s="137"/>
    </row>
    <row r="277" spans="1:13" ht="138.75" hidden="1" thickTop="1" thickBot="1" x14ac:dyDescent="0.25">
      <c r="A277" s="126" t="s">
        <v>550</v>
      </c>
      <c r="B277" s="126" t="s">
        <v>197</v>
      </c>
      <c r="C277" s="126" t="s">
        <v>170</v>
      </c>
      <c r="D277" s="126" t="s">
        <v>34</v>
      </c>
      <c r="E277" s="253" t="s">
        <v>1338</v>
      </c>
      <c r="F277" s="194" t="s">
        <v>1339</v>
      </c>
      <c r="G277" s="254">
        <f t="shared" si="31"/>
        <v>0</v>
      </c>
      <c r="H277" s="254">
        <v>0</v>
      </c>
      <c r="I277" s="254">
        <v>0</v>
      </c>
      <c r="J277" s="254">
        <v>0</v>
      </c>
      <c r="K277" s="137"/>
      <c r="L277" s="137"/>
      <c r="M277" s="137"/>
    </row>
    <row r="278" spans="1:13" ht="138.75" hidden="1" thickTop="1" thickBot="1" x14ac:dyDescent="0.25">
      <c r="A278" s="126" t="s">
        <v>550</v>
      </c>
      <c r="B278" s="126" t="s">
        <v>197</v>
      </c>
      <c r="C278" s="126" t="s">
        <v>170</v>
      </c>
      <c r="D278" s="126" t="s">
        <v>34</v>
      </c>
      <c r="E278" s="445" t="s">
        <v>1388</v>
      </c>
      <c r="F278" s="194" t="s">
        <v>1330</v>
      </c>
      <c r="G278" s="254">
        <f t="shared" si="31"/>
        <v>0</v>
      </c>
      <c r="H278" s="254">
        <v>0</v>
      </c>
      <c r="I278" s="254">
        <v>0</v>
      </c>
      <c r="J278" s="254">
        <v>0</v>
      </c>
      <c r="K278" s="137"/>
      <c r="L278" s="137"/>
      <c r="M278" s="137"/>
    </row>
    <row r="279" spans="1:13" ht="138.75" thickTop="1" thickBot="1" x14ac:dyDescent="0.25">
      <c r="A279" s="101" t="s">
        <v>550</v>
      </c>
      <c r="B279" s="101" t="s">
        <v>197</v>
      </c>
      <c r="C279" s="101" t="s">
        <v>170</v>
      </c>
      <c r="D279" s="101" t="s">
        <v>34</v>
      </c>
      <c r="E279" s="318" t="s">
        <v>1396</v>
      </c>
      <c r="F279" s="315" t="s">
        <v>1340</v>
      </c>
      <c r="G279" s="319">
        <f t="shared" si="31"/>
        <v>96120</v>
      </c>
      <c r="H279" s="319">
        <v>0</v>
      </c>
      <c r="I279" s="319">
        <v>96120</v>
      </c>
      <c r="J279" s="319">
        <v>96120</v>
      </c>
      <c r="K279" s="95" t="b">
        <f>'d3'!E306='d7'!H271+'d7'!H272+'d7'!H273+'d7'!H274+'d7'!H275+'d7'!H276+'d7'!H277+'d7'!H279+'d7'!H280+H268+H278+H269+H270</f>
        <v>1</v>
      </c>
      <c r="L279" s="95" t="b">
        <f>'d3'!J306='d7'!I271+'d7'!I272+'d7'!I273+'d7'!I274+'d7'!I275+'d7'!I276+'d7'!I277+'d7'!I279+'d7'!I280+I268+I278+I269+I270</f>
        <v>1</v>
      </c>
      <c r="M279" s="95" t="b">
        <f>'d3'!K306='d7'!J271+'d7'!J272+'d7'!J273+'d7'!J274+'d7'!J275+'d7'!J276+'d7'!J277+'d7'!J279+'d7'!J280+J268+J278+J269+J270</f>
        <v>1</v>
      </c>
    </row>
    <row r="280" spans="1:13" ht="138.75" hidden="1" thickTop="1" thickBot="1" x14ac:dyDescent="0.25">
      <c r="A280" s="126" t="s">
        <v>550</v>
      </c>
      <c r="B280" s="126" t="s">
        <v>197</v>
      </c>
      <c r="C280" s="126" t="s">
        <v>170</v>
      </c>
      <c r="D280" s="126" t="s">
        <v>34</v>
      </c>
      <c r="E280" s="446" t="s">
        <v>1311</v>
      </c>
      <c r="F280" s="447"/>
      <c r="G280" s="254">
        <f t="shared" si="31"/>
        <v>0</v>
      </c>
      <c r="H280" s="254">
        <v>0</v>
      </c>
      <c r="I280" s="254">
        <f>6007800-6007800</f>
        <v>0</v>
      </c>
      <c r="J280" s="254">
        <f>6007800-6007800</f>
        <v>0</v>
      </c>
      <c r="K280" s="137"/>
      <c r="L280" s="137"/>
      <c r="M280" s="137"/>
    </row>
    <row r="281" spans="1:13" ht="138.75" hidden="1" thickTop="1" thickBot="1" x14ac:dyDescent="0.25">
      <c r="A281" s="126" t="s">
        <v>550</v>
      </c>
      <c r="B281" s="126" t="s">
        <v>197</v>
      </c>
      <c r="C281" s="126" t="s">
        <v>170</v>
      </c>
      <c r="D281" s="126" t="s">
        <v>34</v>
      </c>
      <c r="E281" s="254" t="s">
        <v>871</v>
      </c>
      <c r="F281" s="194" t="s">
        <v>869</v>
      </c>
      <c r="G281" s="271">
        <f t="shared" si="31"/>
        <v>0</v>
      </c>
      <c r="H281" s="254">
        <v>0</v>
      </c>
      <c r="I281" s="271"/>
      <c r="J281" s="271"/>
      <c r="K281" s="137"/>
      <c r="L281" s="137"/>
      <c r="M281" s="137"/>
    </row>
    <row r="282" spans="1:13" ht="276" hidden="1" thickTop="1" thickBot="1" x14ac:dyDescent="0.7">
      <c r="A282" s="744" t="s">
        <v>551</v>
      </c>
      <c r="B282" s="744" t="s">
        <v>338</v>
      </c>
      <c r="C282" s="744" t="s">
        <v>170</v>
      </c>
      <c r="D282" s="395" t="s">
        <v>439</v>
      </c>
      <c r="E282" s="744" t="s">
        <v>1143</v>
      </c>
      <c r="F282" s="744" t="s">
        <v>1144</v>
      </c>
      <c r="G282" s="739">
        <f t="shared" si="31"/>
        <v>0</v>
      </c>
      <c r="H282" s="739">
        <f>'d3'!E308</f>
        <v>0</v>
      </c>
      <c r="I282" s="739">
        <f>'d3'!J308</f>
        <v>0</v>
      </c>
      <c r="J282" s="739">
        <f>'d3'!K308</f>
        <v>0</v>
      </c>
      <c r="K282" s="137"/>
      <c r="L282" s="137"/>
      <c r="M282" s="137"/>
    </row>
    <row r="283" spans="1:13" ht="138.75" hidden="1" thickTop="1" thickBot="1" x14ac:dyDescent="0.25">
      <c r="A283" s="747"/>
      <c r="B283" s="747"/>
      <c r="C283" s="747"/>
      <c r="D283" s="396" t="s">
        <v>440</v>
      </c>
      <c r="E283" s="747" t="s">
        <v>1143</v>
      </c>
      <c r="F283" s="747" t="s">
        <v>1144</v>
      </c>
      <c r="G283" s="747">
        <f t="shared" si="31"/>
        <v>0</v>
      </c>
      <c r="H283" s="747"/>
      <c r="I283" s="747"/>
      <c r="J283" s="747"/>
      <c r="K283" s="137"/>
      <c r="L283" s="137"/>
      <c r="M283" s="137"/>
    </row>
    <row r="284" spans="1:13" ht="184.5" hidden="1" thickTop="1" thickBot="1" x14ac:dyDescent="0.25">
      <c r="A284" s="126" t="s">
        <v>1165</v>
      </c>
      <c r="B284" s="126" t="s">
        <v>257</v>
      </c>
      <c r="C284" s="126" t="s">
        <v>170</v>
      </c>
      <c r="D284" s="126" t="s">
        <v>255</v>
      </c>
      <c r="E284" s="253" t="s">
        <v>1216</v>
      </c>
      <c r="F284" s="194" t="s">
        <v>1152</v>
      </c>
      <c r="G284" s="271">
        <f t="shared" ref="G284" si="35">H284+I284</f>
        <v>0</v>
      </c>
      <c r="H284" s="254"/>
      <c r="I284" s="271"/>
      <c r="J284" s="271"/>
      <c r="K284" s="137"/>
      <c r="L284" s="137"/>
      <c r="M284" s="137"/>
    </row>
    <row r="285" spans="1:13" ht="321.75" thickTop="1" thickBot="1" x14ac:dyDescent="0.25">
      <c r="A285" s="101" t="s">
        <v>552</v>
      </c>
      <c r="B285" s="101" t="s">
        <v>517</v>
      </c>
      <c r="C285" s="101" t="s">
        <v>251</v>
      </c>
      <c r="D285" s="461" t="s">
        <v>518</v>
      </c>
      <c r="E285" s="319" t="s">
        <v>1198</v>
      </c>
      <c r="F285" s="315" t="s">
        <v>855</v>
      </c>
      <c r="G285" s="315">
        <f t="shared" si="31"/>
        <v>2200000</v>
      </c>
      <c r="H285" s="319">
        <f>'d3'!E313</f>
        <v>2200000</v>
      </c>
      <c r="I285" s="451">
        <f>'d3'!J313</f>
        <v>0</v>
      </c>
      <c r="J285" s="451">
        <f>'d3'!K313</f>
        <v>0</v>
      </c>
      <c r="K285" s="137"/>
      <c r="L285" s="137"/>
      <c r="M285" s="137"/>
    </row>
    <row r="286" spans="1:13" ht="321.75" thickTop="1" thickBot="1" x14ac:dyDescent="0.25">
      <c r="A286" s="101" t="s">
        <v>553</v>
      </c>
      <c r="B286" s="101" t="s">
        <v>250</v>
      </c>
      <c r="C286" s="101" t="s">
        <v>251</v>
      </c>
      <c r="D286" s="101" t="s">
        <v>249</v>
      </c>
      <c r="E286" s="319" t="s">
        <v>1198</v>
      </c>
      <c r="F286" s="315" t="s">
        <v>855</v>
      </c>
      <c r="G286" s="315">
        <f t="shared" si="31"/>
        <v>2529390</v>
      </c>
      <c r="H286" s="319">
        <f>'d3'!E314</f>
        <v>2529390</v>
      </c>
      <c r="I286" s="451">
        <f>'d3'!J314</f>
        <v>0</v>
      </c>
      <c r="J286" s="451">
        <f>'d3'!K314</f>
        <v>0</v>
      </c>
      <c r="K286" s="137"/>
      <c r="L286" s="137"/>
      <c r="M286" s="137"/>
    </row>
    <row r="287" spans="1:13" ht="276" hidden="1" thickTop="1" thickBot="1" x14ac:dyDescent="0.25">
      <c r="A287" s="41" t="s">
        <v>554</v>
      </c>
      <c r="B287" s="41" t="s">
        <v>555</v>
      </c>
      <c r="C287" s="41" t="s">
        <v>251</v>
      </c>
      <c r="D287" s="41" t="s">
        <v>556</v>
      </c>
      <c r="E287" s="257" t="s">
        <v>854</v>
      </c>
      <c r="F287" s="73" t="s">
        <v>855</v>
      </c>
      <c r="G287" s="73">
        <f t="shared" si="31"/>
        <v>0</v>
      </c>
      <c r="H287" s="257">
        <f>'d3'!E315</f>
        <v>0</v>
      </c>
      <c r="I287" s="272">
        <f>'d3'!J315</f>
        <v>0</v>
      </c>
      <c r="J287" s="272">
        <f>'d3'!K315</f>
        <v>0</v>
      </c>
      <c r="K287" s="137"/>
      <c r="L287" s="137"/>
      <c r="M287" s="137"/>
    </row>
    <row r="288" spans="1:13" ht="138.75" thickTop="1" thickBot="1" x14ac:dyDescent="0.25">
      <c r="A288" s="101" t="s">
        <v>1463</v>
      </c>
      <c r="B288" s="101" t="s">
        <v>363</v>
      </c>
      <c r="C288" s="101" t="s">
        <v>43</v>
      </c>
      <c r="D288" s="101" t="s">
        <v>364</v>
      </c>
      <c r="E288" s="318" t="s">
        <v>1491</v>
      </c>
      <c r="F288" s="315" t="s">
        <v>1517</v>
      </c>
      <c r="G288" s="315">
        <f>H288+I288</f>
        <v>650000</v>
      </c>
      <c r="H288" s="319">
        <f>'d3'!E318</f>
        <v>650000</v>
      </c>
      <c r="I288" s="451">
        <f>'d3'!J318</f>
        <v>0</v>
      </c>
      <c r="J288" s="451">
        <f>'d3'!K318</f>
        <v>0</v>
      </c>
      <c r="K288" s="137"/>
      <c r="L288" s="137"/>
      <c r="M288" s="137"/>
    </row>
    <row r="289" spans="1:13" ht="170.25" customHeight="1" thickTop="1" thickBot="1" x14ac:dyDescent="0.25">
      <c r="A289" s="689" t="s">
        <v>25</v>
      </c>
      <c r="B289" s="689"/>
      <c r="C289" s="689"/>
      <c r="D289" s="690" t="s">
        <v>886</v>
      </c>
      <c r="E289" s="689"/>
      <c r="F289" s="689"/>
      <c r="G289" s="692">
        <f>G290</f>
        <v>101059898.40000001</v>
      </c>
      <c r="H289" s="692">
        <f>H290</f>
        <v>0</v>
      </c>
      <c r="I289" s="692">
        <f>I290</f>
        <v>101059898.40000001</v>
      </c>
      <c r="J289" s="692">
        <f>J290</f>
        <v>101059898.40000001</v>
      </c>
      <c r="K289" s="137"/>
      <c r="L289" s="137"/>
      <c r="M289" s="137"/>
    </row>
    <row r="290" spans="1:13" ht="170.25" customHeight="1" thickTop="1" thickBot="1" x14ac:dyDescent="0.25">
      <c r="A290" s="693" t="s">
        <v>26</v>
      </c>
      <c r="B290" s="693"/>
      <c r="C290" s="693"/>
      <c r="D290" s="694" t="s">
        <v>887</v>
      </c>
      <c r="E290" s="695"/>
      <c r="F290" s="695"/>
      <c r="G290" s="695">
        <f>SUM(G291:G309)</f>
        <v>101059898.40000001</v>
      </c>
      <c r="H290" s="695">
        <f>SUM(H291:H309)</f>
        <v>0</v>
      </c>
      <c r="I290" s="695">
        <f>SUM(I291:I309)</f>
        <v>101059898.40000001</v>
      </c>
      <c r="J290" s="695">
        <f>SUM(J291:J309)</f>
        <v>101059898.40000001</v>
      </c>
      <c r="K290" s="95" t="b">
        <f>H290='d3'!E320-'d3'!E322+H291</f>
        <v>1</v>
      </c>
      <c r="L290" s="456" t="b">
        <f>I290='d3'!J320+I291</f>
        <v>1</v>
      </c>
      <c r="M290" s="456" t="b">
        <f>J290='d3'!K320+J291</f>
        <v>1</v>
      </c>
    </row>
    <row r="291" spans="1:13" ht="138.75" hidden="1" thickTop="1" thickBot="1" x14ac:dyDescent="0.25">
      <c r="A291" s="126" t="s">
        <v>416</v>
      </c>
      <c r="B291" s="126" t="s">
        <v>236</v>
      </c>
      <c r="C291" s="126" t="s">
        <v>234</v>
      </c>
      <c r="D291" s="126" t="s">
        <v>235</v>
      </c>
      <c r="E291" s="253" t="s">
        <v>1021</v>
      </c>
      <c r="F291" s="194" t="s">
        <v>853</v>
      </c>
      <c r="G291" s="194">
        <f t="shared" ref="G291" si="36">H291+I291</f>
        <v>0</v>
      </c>
      <c r="H291" s="194">
        <v>0</v>
      </c>
      <c r="I291" s="194">
        <v>0</v>
      </c>
      <c r="J291" s="194">
        <v>0</v>
      </c>
      <c r="K291" s="255"/>
      <c r="L291" s="255"/>
      <c r="M291" s="255"/>
    </row>
    <row r="292" spans="1:13" ht="321.75" hidden="1" thickTop="1" thickBot="1" x14ac:dyDescent="0.25">
      <c r="A292" s="126" t="s">
        <v>628</v>
      </c>
      <c r="B292" s="126" t="s">
        <v>362</v>
      </c>
      <c r="C292" s="126" t="s">
        <v>623</v>
      </c>
      <c r="D292" s="126" t="s">
        <v>624</v>
      </c>
      <c r="E292" s="253" t="s">
        <v>1277</v>
      </c>
      <c r="F292" s="194" t="s">
        <v>1278</v>
      </c>
      <c r="G292" s="194">
        <f t="shared" ref="G292:G294" si="37">H292+I292</f>
        <v>0</v>
      </c>
      <c r="H292" s="254">
        <f>'d3'!E323</f>
        <v>0</v>
      </c>
      <c r="I292" s="271">
        <v>0</v>
      </c>
      <c r="J292" s="271">
        <v>0</v>
      </c>
      <c r="K292" s="255"/>
      <c r="L292" s="255"/>
      <c r="M292" s="255"/>
    </row>
    <row r="293" spans="1:13" ht="138.75" hidden="1" thickTop="1" thickBot="1" x14ac:dyDescent="0.25">
      <c r="A293" s="126" t="s">
        <v>923</v>
      </c>
      <c r="B293" s="126" t="s">
        <v>43</v>
      </c>
      <c r="C293" s="126" t="s">
        <v>42</v>
      </c>
      <c r="D293" s="126" t="s">
        <v>248</v>
      </c>
      <c r="E293" s="253" t="s">
        <v>1126</v>
      </c>
      <c r="F293" s="194"/>
      <c r="G293" s="194">
        <f t="shared" si="37"/>
        <v>0</v>
      </c>
      <c r="H293" s="254">
        <f>'d3'!E324</f>
        <v>0</v>
      </c>
      <c r="I293" s="271">
        <f>'d3'!J324</f>
        <v>0</v>
      </c>
      <c r="J293" s="271">
        <f>'d3'!K324</f>
        <v>0</v>
      </c>
      <c r="K293" s="255"/>
      <c r="L293" s="255"/>
      <c r="M293" s="255"/>
    </row>
    <row r="294" spans="1:13" ht="138.75" thickTop="1" thickBot="1" x14ac:dyDescent="0.25">
      <c r="A294" s="101" t="s">
        <v>1218</v>
      </c>
      <c r="B294" s="101" t="s">
        <v>1182</v>
      </c>
      <c r="C294" s="101" t="s">
        <v>206</v>
      </c>
      <c r="D294" s="461" t="s">
        <v>1183</v>
      </c>
      <c r="E294" s="318" t="s">
        <v>1491</v>
      </c>
      <c r="F294" s="315" t="s">
        <v>1517</v>
      </c>
      <c r="G294" s="315">
        <f t="shared" si="37"/>
        <v>7535492.0700000003</v>
      </c>
      <c r="H294" s="319">
        <f>'d3'!E326</f>
        <v>0</v>
      </c>
      <c r="I294" s="451">
        <f>'d3'!J326</f>
        <v>7535492.0700000003</v>
      </c>
      <c r="J294" s="451">
        <f>'d3'!K326</f>
        <v>7535492.0700000003</v>
      </c>
      <c r="K294" s="255"/>
      <c r="L294" s="255"/>
      <c r="M294" s="255"/>
    </row>
    <row r="295" spans="1:13" ht="230.25" hidden="1" thickTop="1" thickBot="1" x14ac:dyDescent="0.25">
      <c r="A295" s="126" t="s">
        <v>432</v>
      </c>
      <c r="B295" s="126" t="s">
        <v>433</v>
      </c>
      <c r="C295" s="126" t="s">
        <v>195</v>
      </c>
      <c r="D295" s="126" t="s">
        <v>1160</v>
      </c>
      <c r="E295" s="253" t="s">
        <v>1263</v>
      </c>
      <c r="F295" s="194" t="s">
        <v>1264</v>
      </c>
      <c r="G295" s="194">
        <f>H295+I295</f>
        <v>0</v>
      </c>
      <c r="H295" s="194">
        <f>'d3'!E329</f>
        <v>0</v>
      </c>
      <c r="I295" s="194">
        <f>'d3'!J329</f>
        <v>0</v>
      </c>
      <c r="J295" s="194">
        <f>'d3'!K329</f>
        <v>0</v>
      </c>
      <c r="K295" s="137"/>
      <c r="L295" s="137"/>
      <c r="M295" s="137"/>
    </row>
    <row r="296" spans="1:13" ht="138.75" hidden="1" thickTop="1" thickBot="1" x14ac:dyDescent="0.25">
      <c r="A296" s="126" t="s">
        <v>922</v>
      </c>
      <c r="B296" s="126" t="s">
        <v>305</v>
      </c>
      <c r="C296" s="126" t="s">
        <v>304</v>
      </c>
      <c r="D296" s="126" t="s">
        <v>1470</v>
      </c>
      <c r="E296" s="253" t="s">
        <v>1263</v>
      </c>
      <c r="F296" s="194" t="s">
        <v>1264</v>
      </c>
      <c r="G296" s="194">
        <f t="shared" ref="G296:G309" si="38">H296+I296</f>
        <v>0</v>
      </c>
      <c r="H296" s="194">
        <f>'d3'!E332</f>
        <v>0</v>
      </c>
      <c r="I296" s="194">
        <f>'d3'!J332</f>
        <v>0</v>
      </c>
      <c r="J296" s="194">
        <f>'d3'!K332</f>
        <v>0</v>
      </c>
      <c r="K296" s="137"/>
      <c r="L296" s="137"/>
      <c r="M296" s="137"/>
    </row>
    <row r="297" spans="1:13" ht="138.75" hidden="1" thickTop="1" thickBot="1" x14ac:dyDescent="0.25">
      <c r="A297" s="126" t="s">
        <v>310</v>
      </c>
      <c r="B297" s="126" t="s">
        <v>311</v>
      </c>
      <c r="C297" s="126" t="s">
        <v>304</v>
      </c>
      <c r="D297" s="126" t="s">
        <v>1469</v>
      </c>
      <c r="E297" s="253" t="s">
        <v>1263</v>
      </c>
      <c r="F297" s="194" t="s">
        <v>1264</v>
      </c>
      <c r="G297" s="194">
        <f t="shared" si="38"/>
        <v>0</v>
      </c>
      <c r="H297" s="194"/>
      <c r="I297" s="194"/>
      <c r="J297" s="194"/>
      <c r="K297" s="137"/>
      <c r="L297" s="137"/>
      <c r="M297" s="137"/>
    </row>
    <row r="298" spans="1:13" ht="321.75" thickTop="1" thickBot="1" x14ac:dyDescent="0.25">
      <c r="A298" s="101" t="s">
        <v>310</v>
      </c>
      <c r="B298" s="101" t="s">
        <v>311</v>
      </c>
      <c r="C298" s="101" t="s">
        <v>304</v>
      </c>
      <c r="D298" s="101" t="s">
        <v>1479</v>
      </c>
      <c r="E298" s="319" t="s">
        <v>1198</v>
      </c>
      <c r="F298" s="315" t="s">
        <v>855</v>
      </c>
      <c r="G298" s="315">
        <f t="shared" si="38"/>
        <v>55325424.789999999</v>
      </c>
      <c r="H298" s="315">
        <v>0</v>
      </c>
      <c r="I298" s="315">
        <f>((((((13000000)+27425815.94)+10000000-1000000)-11000000)+2500000)+10400000)+3999608.85</f>
        <v>55325424.789999999</v>
      </c>
      <c r="J298" s="315">
        <f>((((((13000000)+27425815.94)+10000000-1000000)-11000000)+2500000)+10400000)+3999608.85</f>
        <v>55325424.789999999</v>
      </c>
      <c r="K298" s="137"/>
      <c r="L298" s="137"/>
      <c r="M298" s="137"/>
    </row>
    <row r="299" spans="1:13" ht="138.75" hidden="1" thickTop="1" thickBot="1" x14ac:dyDescent="0.25">
      <c r="A299" s="126" t="s">
        <v>310</v>
      </c>
      <c r="B299" s="126" t="s">
        <v>311</v>
      </c>
      <c r="C299" s="126" t="s">
        <v>304</v>
      </c>
      <c r="D299" s="126" t="s">
        <v>1469</v>
      </c>
      <c r="E299" s="253" t="s">
        <v>1378</v>
      </c>
      <c r="F299" s="194" t="s">
        <v>1150</v>
      </c>
      <c r="G299" s="194">
        <f t="shared" si="38"/>
        <v>0</v>
      </c>
      <c r="H299" s="194">
        <v>0</v>
      </c>
      <c r="I299" s="194">
        <v>0</v>
      </c>
      <c r="J299" s="194">
        <v>0</v>
      </c>
      <c r="K299" s="137"/>
      <c r="L299" s="137"/>
      <c r="M299" s="137"/>
    </row>
    <row r="300" spans="1:13" ht="138.75" thickTop="1" thickBot="1" x14ac:dyDescent="0.25">
      <c r="A300" s="101" t="s">
        <v>515</v>
      </c>
      <c r="B300" s="101" t="s">
        <v>516</v>
      </c>
      <c r="C300" s="101" t="s">
        <v>304</v>
      </c>
      <c r="D300" s="101" t="s">
        <v>1484</v>
      </c>
      <c r="E300" s="318" t="s">
        <v>1491</v>
      </c>
      <c r="F300" s="315" t="s">
        <v>1517</v>
      </c>
      <c r="G300" s="315">
        <f t="shared" si="38"/>
        <v>1049900</v>
      </c>
      <c r="H300" s="315">
        <f>'d3'!E335</f>
        <v>0</v>
      </c>
      <c r="I300" s="315">
        <f>'d3'!J335</f>
        <v>1049900</v>
      </c>
      <c r="J300" s="315">
        <f>I300</f>
        <v>1049900</v>
      </c>
      <c r="K300" s="137"/>
      <c r="L300" s="137"/>
      <c r="M300" s="137"/>
    </row>
    <row r="301" spans="1:13" ht="138.75" hidden="1" thickTop="1" thickBot="1" x14ac:dyDescent="0.25">
      <c r="A301" s="126" t="s">
        <v>312</v>
      </c>
      <c r="B301" s="126" t="s">
        <v>313</v>
      </c>
      <c r="C301" s="126" t="s">
        <v>304</v>
      </c>
      <c r="D301" s="126" t="s">
        <v>1219</v>
      </c>
      <c r="E301" s="253" t="s">
        <v>1143</v>
      </c>
      <c r="F301" s="194" t="s">
        <v>1144</v>
      </c>
      <c r="G301" s="194">
        <f t="shared" si="38"/>
        <v>0</v>
      </c>
      <c r="H301" s="194">
        <f>'d3'!E336</f>
        <v>0</v>
      </c>
      <c r="I301" s="194">
        <f>'d3'!J336</f>
        <v>0</v>
      </c>
      <c r="J301" s="194">
        <f>I301</f>
        <v>0</v>
      </c>
      <c r="K301" s="137"/>
      <c r="L301" s="137"/>
      <c r="M301" s="137"/>
    </row>
    <row r="302" spans="1:13" ht="138.75" hidden="1" thickTop="1" thickBot="1" x14ac:dyDescent="0.25">
      <c r="A302" s="126" t="s">
        <v>314</v>
      </c>
      <c r="B302" s="126" t="s">
        <v>315</v>
      </c>
      <c r="C302" s="126" t="s">
        <v>304</v>
      </c>
      <c r="D302" s="126" t="s">
        <v>1471</v>
      </c>
      <c r="E302" s="253" t="s">
        <v>1263</v>
      </c>
      <c r="F302" s="194" t="s">
        <v>1264</v>
      </c>
      <c r="G302" s="194">
        <f t="shared" si="38"/>
        <v>0</v>
      </c>
      <c r="H302" s="194">
        <v>0</v>
      </c>
      <c r="I302" s="194">
        <v>0</v>
      </c>
      <c r="J302" s="194">
        <v>0</v>
      </c>
      <c r="K302" s="137"/>
      <c r="L302" s="137"/>
      <c r="M302" s="137"/>
    </row>
    <row r="303" spans="1:13" ht="184.5" hidden="1" thickTop="1" thickBot="1" x14ac:dyDescent="0.25">
      <c r="A303" s="126" t="s">
        <v>314</v>
      </c>
      <c r="B303" s="126" t="s">
        <v>315</v>
      </c>
      <c r="C303" s="126" t="s">
        <v>304</v>
      </c>
      <c r="D303" s="126" t="s">
        <v>1471</v>
      </c>
      <c r="E303" s="253" t="s">
        <v>1421</v>
      </c>
      <c r="F303" s="194" t="s">
        <v>1422</v>
      </c>
      <c r="G303" s="194">
        <f t="shared" si="38"/>
        <v>0</v>
      </c>
      <c r="H303" s="194">
        <v>0</v>
      </c>
      <c r="I303" s="194">
        <v>0</v>
      </c>
      <c r="J303" s="194">
        <v>0</v>
      </c>
      <c r="K303" s="137"/>
      <c r="L303" s="137"/>
      <c r="M303" s="137"/>
    </row>
    <row r="304" spans="1:13" ht="321.75" hidden="1" thickTop="1" thickBot="1" x14ac:dyDescent="0.25">
      <c r="A304" s="126" t="s">
        <v>314</v>
      </c>
      <c r="B304" s="126" t="s">
        <v>315</v>
      </c>
      <c r="C304" s="126" t="s">
        <v>304</v>
      </c>
      <c r="D304" s="126" t="s">
        <v>1471</v>
      </c>
      <c r="E304" s="254" t="s">
        <v>1198</v>
      </c>
      <c r="F304" s="194" t="s">
        <v>855</v>
      </c>
      <c r="G304" s="194">
        <f t="shared" si="38"/>
        <v>0</v>
      </c>
      <c r="H304" s="194">
        <v>0</v>
      </c>
      <c r="I304" s="194">
        <v>0</v>
      </c>
      <c r="J304" s="194">
        <v>0</v>
      </c>
      <c r="K304" s="137"/>
      <c r="L304" s="137"/>
      <c r="M304" s="137"/>
    </row>
    <row r="305" spans="1:13" ht="138.75" thickTop="1" thickBot="1" x14ac:dyDescent="0.25">
      <c r="A305" s="101" t="s">
        <v>314</v>
      </c>
      <c r="B305" s="101" t="s">
        <v>315</v>
      </c>
      <c r="C305" s="101" t="s">
        <v>304</v>
      </c>
      <c r="D305" s="101" t="s">
        <v>1480</v>
      </c>
      <c r="E305" s="318" t="s">
        <v>1379</v>
      </c>
      <c r="F305" s="326" t="s">
        <v>424</v>
      </c>
      <c r="G305" s="315">
        <f t="shared" si="38"/>
        <v>37149081.539999999</v>
      </c>
      <c r="H305" s="315">
        <v>0</v>
      </c>
      <c r="I305" s="315">
        <f>((((3000000+100000)+26578)+2600000)+36000000)-4577496.46</f>
        <v>37149081.539999999</v>
      </c>
      <c r="J305" s="315">
        <f>((((3000000+100000)+26578)+2600000)+36000000)-4577496.46</f>
        <v>37149081.539999999</v>
      </c>
      <c r="K305" s="137"/>
      <c r="L305" s="137"/>
      <c r="M305" s="137"/>
    </row>
    <row r="306" spans="1:13" ht="138.75" hidden="1" thickTop="1" thickBot="1" x14ac:dyDescent="0.25">
      <c r="A306" s="126" t="s">
        <v>436</v>
      </c>
      <c r="B306" s="126" t="s">
        <v>350</v>
      </c>
      <c r="C306" s="126" t="s">
        <v>170</v>
      </c>
      <c r="D306" s="126" t="s">
        <v>262</v>
      </c>
      <c r="E306" s="253" t="s">
        <v>1126</v>
      </c>
      <c r="F306" s="194"/>
      <c r="G306" s="194">
        <f t="shared" si="38"/>
        <v>0</v>
      </c>
      <c r="H306" s="194">
        <f>'d3'!E338</f>
        <v>0</v>
      </c>
      <c r="I306" s="194">
        <f>'d3'!J338</f>
        <v>0</v>
      </c>
      <c r="J306" s="194">
        <f>'d3'!K338</f>
        <v>0</v>
      </c>
      <c r="K306" s="137"/>
      <c r="L306" s="137"/>
      <c r="M306" s="137"/>
    </row>
    <row r="307" spans="1:13" ht="276" hidden="1" thickTop="1" thickBot="1" x14ac:dyDescent="0.7">
      <c r="A307" s="744" t="s">
        <v>983</v>
      </c>
      <c r="B307" s="744" t="s">
        <v>338</v>
      </c>
      <c r="C307" s="744" t="s">
        <v>170</v>
      </c>
      <c r="D307" s="153" t="s">
        <v>439</v>
      </c>
      <c r="E307" s="744" t="s">
        <v>1126</v>
      </c>
      <c r="F307" s="744"/>
      <c r="G307" s="194">
        <f t="shared" si="38"/>
        <v>0</v>
      </c>
      <c r="H307" s="739">
        <f>'d3'!E341</f>
        <v>0</v>
      </c>
      <c r="I307" s="739">
        <f>'d3'!J341</f>
        <v>0</v>
      </c>
      <c r="J307" s="739">
        <f>'d3'!K341</f>
        <v>0</v>
      </c>
      <c r="K307" s="137"/>
      <c r="L307" s="137"/>
      <c r="M307" s="137"/>
    </row>
    <row r="308" spans="1:13" ht="138.75" hidden="1" thickTop="1" thickBot="1" x14ac:dyDescent="0.25">
      <c r="A308" s="744"/>
      <c r="B308" s="744"/>
      <c r="C308" s="744"/>
      <c r="D308" s="154" t="s">
        <v>440</v>
      </c>
      <c r="E308" s="744"/>
      <c r="F308" s="744"/>
      <c r="G308" s="194">
        <f t="shared" si="38"/>
        <v>0</v>
      </c>
      <c r="H308" s="747"/>
      <c r="I308" s="747"/>
      <c r="J308" s="747"/>
      <c r="K308" s="137"/>
      <c r="L308" s="137"/>
      <c r="M308" s="137"/>
    </row>
    <row r="309" spans="1:13" ht="138.75" hidden="1" thickTop="1" thickBot="1" x14ac:dyDescent="0.25">
      <c r="A309" s="126" t="s">
        <v>1175</v>
      </c>
      <c r="B309" s="126" t="s">
        <v>257</v>
      </c>
      <c r="C309" s="126" t="s">
        <v>170</v>
      </c>
      <c r="D309" s="154" t="s">
        <v>255</v>
      </c>
      <c r="E309" s="253" t="s">
        <v>1143</v>
      </c>
      <c r="F309" s="194" t="s">
        <v>1144</v>
      </c>
      <c r="G309" s="194">
        <f t="shared" si="38"/>
        <v>0</v>
      </c>
      <c r="H309" s="194"/>
      <c r="I309" s="194">
        <v>0</v>
      </c>
      <c r="J309" s="194">
        <v>0</v>
      </c>
      <c r="K309" s="137"/>
      <c r="L309" s="137"/>
      <c r="M309" s="137"/>
    </row>
    <row r="310" spans="1:13" ht="170.25" customHeight="1" thickTop="1" thickBot="1" x14ac:dyDescent="0.25">
      <c r="A310" s="689" t="s">
        <v>160</v>
      </c>
      <c r="B310" s="689"/>
      <c r="C310" s="689"/>
      <c r="D310" s="690" t="s">
        <v>888</v>
      </c>
      <c r="E310" s="689"/>
      <c r="F310" s="689"/>
      <c r="G310" s="692">
        <f>G311</f>
        <v>99900</v>
      </c>
      <c r="H310" s="692">
        <f t="shared" ref="H310:J310" si="39">H311</f>
        <v>99900</v>
      </c>
      <c r="I310" s="692">
        <f t="shared" si="39"/>
        <v>0</v>
      </c>
      <c r="J310" s="692">
        <f t="shared" si="39"/>
        <v>0</v>
      </c>
      <c r="K310" s="456" t="b">
        <f>H310='d3'!E345-'d3'!E347+H312</f>
        <v>1</v>
      </c>
      <c r="L310" s="456" t="b">
        <f>I310='d3'!J345-'d3'!J347+'d7'!I312</f>
        <v>1</v>
      </c>
      <c r="M310" s="456" t="b">
        <f>J310='d3'!K345-'d3'!K347+'d7'!J312</f>
        <v>1</v>
      </c>
    </row>
    <row r="311" spans="1:13" ht="170.25" customHeight="1" thickTop="1" thickBot="1" x14ac:dyDescent="0.25">
      <c r="A311" s="693" t="s">
        <v>161</v>
      </c>
      <c r="B311" s="693"/>
      <c r="C311" s="693"/>
      <c r="D311" s="694" t="s">
        <v>893</v>
      </c>
      <c r="E311" s="695"/>
      <c r="F311" s="695"/>
      <c r="G311" s="695">
        <f>SUM(G312:G315)</f>
        <v>99900</v>
      </c>
      <c r="H311" s="695">
        <f>SUM(H312:H315)</f>
        <v>99900</v>
      </c>
      <c r="I311" s="695">
        <f>SUM(I312:I315)</f>
        <v>0</v>
      </c>
      <c r="J311" s="695">
        <f>SUM(J312:J315)</f>
        <v>0</v>
      </c>
      <c r="K311" s="137"/>
      <c r="L311" s="137"/>
      <c r="M311" s="137"/>
    </row>
    <row r="312" spans="1:13" ht="138.75" hidden="1" thickTop="1" thickBot="1" x14ac:dyDescent="0.25">
      <c r="A312" s="126" t="s">
        <v>418</v>
      </c>
      <c r="B312" s="126" t="s">
        <v>236</v>
      </c>
      <c r="C312" s="126" t="s">
        <v>234</v>
      </c>
      <c r="D312" s="126" t="s">
        <v>235</v>
      </c>
      <c r="E312" s="253" t="s">
        <v>1021</v>
      </c>
      <c r="F312" s="194" t="s">
        <v>853</v>
      </c>
      <c r="G312" s="194">
        <f>H312+I312</f>
        <v>0</v>
      </c>
      <c r="H312" s="194">
        <v>0</v>
      </c>
      <c r="I312" s="194">
        <v>0</v>
      </c>
      <c r="J312" s="194">
        <v>0</v>
      </c>
      <c r="K312" s="137"/>
      <c r="L312" s="137"/>
      <c r="M312" s="137"/>
    </row>
    <row r="313" spans="1:13" ht="321.75" hidden="1" thickTop="1" thickBot="1" x14ac:dyDescent="0.25">
      <c r="A313" s="126" t="s">
        <v>629</v>
      </c>
      <c r="B313" s="126" t="s">
        <v>362</v>
      </c>
      <c r="C313" s="126" t="s">
        <v>623</v>
      </c>
      <c r="D313" s="126" t="s">
        <v>624</v>
      </c>
      <c r="E313" s="253" t="s">
        <v>1277</v>
      </c>
      <c r="F313" s="194" t="s">
        <v>1278</v>
      </c>
      <c r="G313" s="194">
        <f t="shared" ref="G313:G315" si="40">H313+I313</f>
        <v>0</v>
      </c>
      <c r="H313" s="254">
        <f>'d3'!E348</f>
        <v>0</v>
      </c>
      <c r="I313" s="271">
        <v>0</v>
      </c>
      <c r="J313" s="271">
        <v>0</v>
      </c>
      <c r="K313" s="137"/>
      <c r="L313" s="137"/>
      <c r="M313" s="137"/>
    </row>
    <row r="314" spans="1:13" ht="138.75" thickTop="1" thickBot="1" x14ac:dyDescent="0.25">
      <c r="A314" s="101" t="s">
        <v>1242</v>
      </c>
      <c r="B314" s="101" t="s">
        <v>43</v>
      </c>
      <c r="C314" s="101" t="s">
        <v>42</v>
      </c>
      <c r="D314" s="101" t="s">
        <v>248</v>
      </c>
      <c r="E314" s="318" t="s">
        <v>1491</v>
      </c>
      <c r="F314" s="315" t="s">
        <v>1517</v>
      </c>
      <c r="G314" s="315">
        <f t="shared" si="40"/>
        <v>99900</v>
      </c>
      <c r="H314" s="319">
        <f>'d3'!E349</f>
        <v>99900</v>
      </c>
      <c r="I314" s="451">
        <f>'d3'!J349</f>
        <v>0</v>
      </c>
      <c r="J314" s="451">
        <f>'d3'!K349</f>
        <v>0</v>
      </c>
      <c r="K314" s="137"/>
      <c r="L314" s="137"/>
      <c r="M314" s="137"/>
    </row>
    <row r="315" spans="1:13" ht="138.75" hidden="1" thickTop="1" thickBot="1" x14ac:dyDescent="0.25">
      <c r="A315" s="126" t="s">
        <v>906</v>
      </c>
      <c r="B315" s="126" t="s">
        <v>907</v>
      </c>
      <c r="C315" s="126" t="s">
        <v>304</v>
      </c>
      <c r="D315" s="126" t="s">
        <v>908</v>
      </c>
      <c r="E315" s="253" t="s">
        <v>1263</v>
      </c>
      <c r="F315" s="194" t="s">
        <v>1264</v>
      </c>
      <c r="G315" s="194">
        <f t="shared" si="40"/>
        <v>0</v>
      </c>
      <c r="H315" s="254">
        <f>'d3'!E352</f>
        <v>0</v>
      </c>
      <c r="I315" s="271">
        <f>'d3'!J352</f>
        <v>0</v>
      </c>
      <c r="J315" s="271">
        <f>'d3'!K352</f>
        <v>0</v>
      </c>
      <c r="K315" s="137"/>
      <c r="L315" s="137"/>
      <c r="M315" s="137"/>
    </row>
    <row r="316" spans="1:13" ht="170.25" customHeight="1" thickTop="1" thickBot="1" x14ac:dyDescent="0.25">
      <c r="A316" s="689" t="s">
        <v>443</v>
      </c>
      <c r="B316" s="689"/>
      <c r="C316" s="689"/>
      <c r="D316" s="690" t="s">
        <v>445</v>
      </c>
      <c r="E316" s="689"/>
      <c r="F316" s="689"/>
      <c r="G316" s="692">
        <f>G317</f>
        <v>156228432</v>
      </c>
      <c r="H316" s="692">
        <f t="shared" ref="H316:J316" si="41">H317</f>
        <v>156112432</v>
      </c>
      <c r="I316" s="692">
        <f t="shared" si="41"/>
        <v>116000</v>
      </c>
      <c r="J316" s="692">
        <f t="shared" si="41"/>
        <v>116000</v>
      </c>
      <c r="K316" s="137"/>
      <c r="L316" s="137"/>
      <c r="M316" s="137"/>
    </row>
    <row r="317" spans="1:13" ht="170.25" customHeight="1" thickTop="1" thickBot="1" x14ac:dyDescent="0.25">
      <c r="A317" s="693" t="s">
        <v>444</v>
      </c>
      <c r="B317" s="693"/>
      <c r="C317" s="693"/>
      <c r="D317" s="694" t="s">
        <v>446</v>
      </c>
      <c r="E317" s="695"/>
      <c r="F317" s="695"/>
      <c r="G317" s="695">
        <f>SUM(G318:G328)</f>
        <v>156228432</v>
      </c>
      <c r="H317" s="695">
        <f t="shared" ref="H317" si="42">SUM(H318:H328)</f>
        <v>156112432</v>
      </c>
      <c r="I317" s="695">
        <f>SUM(I318:I328)</f>
        <v>116000</v>
      </c>
      <c r="J317" s="695">
        <f>SUM(J318:J328)</f>
        <v>116000</v>
      </c>
      <c r="K317" s="95" t="b">
        <f>H317='d3'!E354-'d3'!E356+'d7'!H318</f>
        <v>1</v>
      </c>
      <c r="L317" s="456" t="b">
        <f>I317='d3'!J354-'d3'!J356+'d7'!I318</f>
        <v>1</v>
      </c>
      <c r="M317" s="456" t="b">
        <f>J317='d3'!K354-'d3'!K356+'d7'!J318</f>
        <v>1</v>
      </c>
    </row>
    <row r="318" spans="1:13" ht="138.75" hidden="1" thickTop="1" thickBot="1" x14ac:dyDescent="0.25">
      <c r="A318" s="126" t="s">
        <v>447</v>
      </c>
      <c r="B318" s="126" t="s">
        <v>236</v>
      </c>
      <c r="C318" s="126" t="s">
        <v>234</v>
      </c>
      <c r="D318" s="126" t="s">
        <v>235</v>
      </c>
      <c r="E318" s="253" t="s">
        <v>1021</v>
      </c>
      <c r="F318" s="194" t="s">
        <v>853</v>
      </c>
      <c r="G318" s="194">
        <f>H318+I318</f>
        <v>0</v>
      </c>
      <c r="H318" s="254">
        <v>0</v>
      </c>
      <c r="I318" s="194">
        <v>0</v>
      </c>
      <c r="J318" s="194">
        <v>0</v>
      </c>
      <c r="K318" s="137"/>
      <c r="L318" s="137"/>
      <c r="M318" s="137"/>
    </row>
    <row r="319" spans="1:13" ht="321.75" hidden="1" thickTop="1" thickBot="1" x14ac:dyDescent="0.25">
      <c r="A319" s="126" t="s">
        <v>630</v>
      </c>
      <c r="B319" s="126" t="s">
        <v>362</v>
      </c>
      <c r="C319" s="126" t="s">
        <v>623</v>
      </c>
      <c r="D319" s="126" t="s">
        <v>624</v>
      </c>
      <c r="E319" s="253" t="s">
        <v>1277</v>
      </c>
      <c r="F319" s="194" t="s">
        <v>1278</v>
      </c>
      <c r="G319" s="194">
        <f t="shared" ref="G319:G322" si="43">H319+I319</f>
        <v>0</v>
      </c>
      <c r="H319" s="254">
        <f>'d3'!E357</f>
        <v>0</v>
      </c>
      <c r="I319" s="271">
        <f>'d3'!J357</f>
        <v>0</v>
      </c>
      <c r="J319" s="271">
        <f>'d3'!K357</f>
        <v>0</v>
      </c>
      <c r="K319" s="137"/>
      <c r="L319" s="137"/>
      <c r="M319" s="137"/>
    </row>
    <row r="320" spans="1:13" ht="138.75" thickTop="1" thickBot="1" x14ac:dyDescent="0.25">
      <c r="A320" s="101" t="s">
        <v>466</v>
      </c>
      <c r="B320" s="101" t="s">
        <v>411</v>
      </c>
      <c r="C320" s="101" t="s">
        <v>412</v>
      </c>
      <c r="D320" s="101" t="s">
        <v>413</v>
      </c>
      <c r="E320" s="101" t="s">
        <v>1596</v>
      </c>
      <c r="F320" s="315" t="s">
        <v>1518</v>
      </c>
      <c r="G320" s="315">
        <f t="shared" si="43"/>
        <v>950000</v>
      </c>
      <c r="H320" s="319">
        <v>950000</v>
      </c>
      <c r="I320" s="451">
        <f>'d3'!J361</f>
        <v>0</v>
      </c>
      <c r="J320" s="451">
        <f>'d3'!K361</f>
        <v>0</v>
      </c>
      <c r="K320" s="95" t="b">
        <f>H320+H321='d3'!E361</f>
        <v>1</v>
      </c>
      <c r="L320" s="456" t="b">
        <f>I320+I321='d3'!J361</f>
        <v>1</v>
      </c>
      <c r="M320" s="456" t="b">
        <f>J320+J321='d3'!K361</f>
        <v>1</v>
      </c>
    </row>
    <row r="321" spans="1:13" ht="184.5" hidden="1" thickTop="1" thickBot="1" x14ac:dyDescent="0.25">
      <c r="A321" s="101" t="s">
        <v>466</v>
      </c>
      <c r="B321" s="101" t="s">
        <v>411</v>
      </c>
      <c r="C321" s="101" t="s">
        <v>412</v>
      </c>
      <c r="D321" s="101" t="s">
        <v>413</v>
      </c>
      <c r="E321" s="101" t="s">
        <v>1624</v>
      </c>
      <c r="F321" s="315" t="s">
        <v>1625</v>
      </c>
      <c r="G321" s="315">
        <f t="shared" si="43"/>
        <v>0</v>
      </c>
      <c r="H321" s="319">
        <f>662000-662000</f>
        <v>0</v>
      </c>
      <c r="I321" s="451">
        <v>0</v>
      </c>
      <c r="J321" s="451">
        <v>0</v>
      </c>
      <c r="K321" s="137"/>
      <c r="L321" s="137"/>
      <c r="M321" s="137"/>
    </row>
    <row r="322" spans="1:13" ht="138.75" thickTop="1" thickBot="1" x14ac:dyDescent="0.25">
      <c r="A322" s="101" t="s">
        <v>467</v>
      </c>
      <c r="B322" s="101" t="s">
        <v>291</v>
      </c>
      <c r="C322" s="101" t="s">
        <v>1347</v>
      </c>
      <c r="D322" s="101" t="s">
        <v>292</v>
      </c>
      <c r="E322" s="318" t="s">
        <v>1248</v>
      </c>
      <c r="F322" s="315" t="s">
        <v>930</v>
      </c>
      <c r="G322" s="315">
        <f t="shared" si="43"/>
        <v>153873418</v>
      </c>
      <c r="H322" s="319">
        <f>'d3'!E363</f>
        <v>153873418</v>
      </c>
      <c r="I322" s="451">
        <f>'d3'!J363</f>
        <v>0</v>
      </c>
      <c r="J322" s="451">
        <f>'d3'!K363</f>
        <v>0</v>
      </c>
      <c r="K322" s="137"/>
      <c r="L322" s="137"/>
      <c r="M322" s="137"/>
    </row>
    <row r="323" spans="1:13" ht="138.75" hidden="1" thickTop="1" thickBot="1" x14ac:dyDescent="0.25">
      <c r="A323" s="866" t="s">
        <v>1080</v>
      </c>
      <c r="B323" s="866" t="s">
        <v>1081</v>
      </c>
      <c r="C323" s="866" t="s">
        <v>295</v>
      </c>
      <c r="D323" s="866" t="s">
        <v>1079</v>
      </c>
      <c r="E323" s="253" t="s">
        <v>1003</v>
      </c>
      <c r="F323" s="194" t="s">
        <v>488</v>
      </c>
      <c r="G323" s="862">
        <f>H323+I323</f>
        <v>0</v>
      </c>
      <c r="H323" s="864"/>
      <c r="I323" s="865">
        <v>0</v>
      </c>
      <c r="J323" s="865">
        <v>0</v>
      </c>
      <c r="K323" s="137"/>
      <c r="L323" s="137"/>
      <c r="M323" s="137"/>
    </row>
    <row r="324" spans="1:13" ht="138.75" hidden="1" thickTop="1" thickBot="1" x14ac:dyDescent="0.25">
      <c r="A324" s="791"/>
      <c r="B324" s="791" t="s">
        <v>1081</v>
      </c>
      <c r="C324" s="791"/>
      <c r="D324" s="791"/>
      <c r="E324" s="253" t="s">
        <v>1143</v>
      </c>
      <c r="F324" s="194" t="s">
        <v>1144</v>
      </c>
      <c r="G324" s="791"/>
      <c r="H324" s="791"/>
      <c r="I324" s="791"/>
      <c r="J324" s="791"/>
      <c r="K324" s="137"/>
      <c r="L324" s="137"/>
      <c r="M324" s="137"/>
    </row>
    <row r="325" spans="1:13" ht="138.75" hidden="1" thickTop="1" thickBot="1" x14ac:dyDescent="0.25">
      <c r="A325" s="126" t="s">
        <v>1156</v>
      </c>
      <c r="B325" s="126" t="s">
        <v>197</v>
      </c>
      <c r="C325" s="126" t="s">
        <v>170</v>
      </c>
      <c r="D325" s="126" t="s">
        <v>1157</v>
      </c>
      <c r="E325" s="253" t="s">
        <v>1400</v>
      </c>
      <c r="F325" s="194" t="s">
        <v>488</v>
      </c>
      <c r="G325" s="194">
        <f t="shared" ref="G325:G326" si="44">H325+I325</f>
        <v>0</v>
      </c>
      <c r="H325" s="254">
        <f>'d3'!E366-H326</f>
        <v>0</v>
      </c>
      <c r="I325" s="271">
        <v>0</v>
      </c>
      <c r="J325" s="271">
        <v>0</v>
      </c>
      <c r="K325" s="252" t="b">
        <f>H325+H326='d3'!E366</f>
        <v>1</v>
      </c>
      <c r="L325" s="259" t="b">
        <f>I325+I326='d3'!J366</f>
        <v>1</v>
      </c>
      <c r="M325" s="259" t="b">
        <f>J325+J326='d3'!K366</f>
        <v>1</v>
      </c>
    </row>
    <row r="326" spans="1:13" ht="138.75" thickTop="1" thickBot="1" x14ac:dyDescent="0.25">
      <c r="A326" s="101" t="s">
        <v>1156</v>
      </c>
      <c r="B326" s="101" t="s">
        <v>197</v>
      </c>
      <c r="C326" s="101" t="s">
        <v>170</v>
      </c>
      <c r="D326" s="101" t="s">
        <v>1157</v>
      </c>
      <c r="E326" s="318" t="s">
        <v>1581</v>
      </c>
      <c r="F326" s="315" t="s">
        <v>930</v>
      </c>
      <c r="G326" s="315">
        <f t="shared" si="44"/>
        <v>116000</v>
      </c>
      <c r="H326" s="319">
        <v>0</v>
      </c>
      <c r="I326" s="451">
        <f>((0)+116000+40500)-40500</f>
        <v>116000</v>
      </c>
      <c r="J326" s="451">
        <f>((0)+116000+40500)-40500</f>
        <v>116000</v>
      </c>
      <c r="K326" s="137"/>
      <c r="L326" s="137"/>
      <c r="M326" s="137"/>
    </row>
    <row r="327" spans="1:13" ht="138.75" thickTop="1" thickBot="1" x14ac:dyDescent="0.25">
      <c r="A327" s="101" t="s">
        <v>1203</v>
      </c>
      <c r="B327" s="101" t="s">
        <v>1204</v>
      </c>
      <c r="C327" s="101" t="s">
        <v>1170</v>
      </c>
      <c r="D327" s="101" t="s">
        <v>1205</v>
      </c>
      <c r="E327" s="101" t="s">
        <v>1596</v>
      </c>
      <c r="F327" s="315" t="s">
        <v>1518</v>
      </c>
      <c r="G327" s="315">
        <f>H327+I327</f>
        <v>1289014</v>
      </c>
      <c r="H327" s="319">
        <f>'d3'!E369</f>
        <v>1289014</v>
      </c>
      <c r="I327" s="451">
        <f>'d3'!J369</f>
        <v>0</v>
      </c>
      <c r="J327" s="451">
        <f>'d3'!K369</f>
        <v>0</v>
      </c>
      <c r="K327" s="137"/>
      <c r="L327" s="137"/>
      <c r="M327" s="137"/>
    </row>
    <row r="328" spans="1:13" ht="184.5" hidden="1" thickTop="1" thickBot="1" x14ac:dyDescent="0.25">
      <c r="A328" s="126" t="s">
        <v>1315</v>
      </c>
      <c r="B328" s="126" t="s">
        <v>513</v>
      </c>
      <c r="C328" s="126" t="s">
        <v>43</v>
      </c>
      <c r="D328" s="126" t="s">
        <v>514</v>
      </c>
      <c r="E328" s="126" t="s">
        <v>1343</v>
      </c>
      <c r="F328" s="194" t="s">
        <v>1344</v>
      </c>
      <c r="G328" s="194">
        <f>H328+I328</f>
        <v>0</v>
      </c>
      <c r="H328" s="254">
        <v>0</v>
      </c>
      <c r="I328" s="271">
        <v>0</v>
      </c>
      <c r="J328" s="271">
        <v>0</v>
      </c>
      <c r="K328" s="137"/>
      <c r="L328" s="137"/>
      <c r="M328" s="137"/>
    </row>
    <row r="329" spans="1:13" ht="170.25" customHeight="1" thickTop="1" thickBot="1" x14ac:dyDescent="0.25">
      <c r="A329" s="689" t="s">
        <v>166</v>
      </c>
      <c r="B329" s="689"/>
      <c r="C329" s="689"/>
      <c r="D329" s="690" t="s">
        <v>354</v>
      </c>
      <c r="E329" s="689"/>
      <c r="F329" s="689"/>
      <c r="G329" s="692">
        <f>G330</f>
        <v>15574300</v>
      </c>
      <c r="H329" s="692">
        <f t="shared" ref="H329:J329" si="45">H330</f>
        <v>15104342</v>
      </c>
      <c r="I329" s="692">
        <f t="shared" si="45"/>
        <v>469958</v>
      </c>
      <c r="J329" s="692">
        <f t="shared" si="45"/>
        <v>469958</v>
      </c>
      <c r="K329" s="95" t="b">
        <f>H329='d3'!E372</f>
        <v>1</v>
      </c>
      <c r="L329" s="456" t="b">
        <f>I329='d3'!J372</f>
        <v>1</v>
      </c>
      <c r="M329" s="456" t="b">
        <f>J329='d3'!K372</f>
        <v>1</v>
      </c>
    </row>
    <row r="330" spans="1:13" ht="170.25" customHeight="1" thickTop="1" thickBot="1" x14ac:dyDescent="0.25">
      <c r="A330" s="693" t="s">
        <v>167</v>
      </c>
      <c r="B330" s="693"/>
      <c r="C330" s="693"/>
      <c r="D330" s="694" t="s">
        <v>355</v>
      </c>
      <c r="E330" s="695"/>
      <c r="F330" s="695"/>
      <c r="G330" s="695">
        <f>SUM(G331:G344)</f>
        <v>15574300</v>
      </c>
      <c r="H330" s="695">
        <f>SUM(H331:H344)</f>
        <v>15104342</v>
      </c>
      <c r="I330" s="695">
        <f>SUM(I331:I344)</f>
        <v>469958</v>
      </c>
      <c r="J330" s="695">
        <f>SUM(J331:J344)</f>
        <v>469958</v>
      </c>
      <c r="K330" s="137"/>
      <c r="L330" s="137"/>
      <c r="M330" s="137"/>
    </row>
    <row r="331" spans="1:13" ht="138.75" thickTop="1" thickBot="1" x14ac:dyDescent="0.25">
      <c r="A331" s="101" t="s">
        <v>1289</v>
      </c>
      <c r="B331" s="101" t="s">
        <v>1182</v>
      </c>
      <c r="C331" s="101" t="s">
        <v>206</v>
      </c>
      <c r="D331" s="461" t="s">
        <v>1183</v>
      </c>
      <c r="E331" s="315" t="s">
        <v>1138</v>
      </c>
      <c r="F331" s="315" t="s">
        <v>1284</v>
      </c>
      <c r="G331" s="319">
        <f t="shared" ref="G331:G336" si="46">H331+I331</f>
        <v>499000</v>
      </c>
      <c r="H331" s="315">
        <f>'d3'!E375</f>
        <v>376502</v>
      </c>
      <c r="I331" s="315">
        <f>'d3'!J375</f>
        <v>122498</v>
      </c>
      <c r="J331" s="315">
        <f>'d3'!K375</f>
        <v>122498</v>
      </c>
      <c r="K331" s="137"/>
      <c r="L331" s="137"/>
      <c r="M331" s="137"/>
    </row>
    <row r="332" spans="1:13" ht="138.75" thickTop="1" thickBot="1" x14ac:dyDescent="0.25">
      <c r="A332" s="101" t="s">
        <v>1589</v>
      </c>
      <c r="B332" s="101" t="s">
        <v>330</v>
      </c>
      <c r="C332" s="101" t="s">
        <v>191</v>
      </c>
      <c r="D332" s="461" t="s">
        <v>332</v>
      </c>
      <c r="E332" s="315" t="s">
        <v>1138</v>
      </c>
      <c r="F332" s="315" t="s">
        <v>1284</v>
      </c>
      <c r="G332" s="319">
        <f t="shared" si="46"/>
        <v>851800</v>
      </c>
      <c r="H332" s="315">
        <f>'d3'!F376</f>
        <v>628300</v>
      </c>
      <c r="I332" s="315">
        <f>'d3'!J376</f>
        <v>223500</v>
      </c>
      <c r="J332" s="315">
        <f>'d3'!K376</f>
        <v>223500</v>
      </c>
      <c r="K332" s="137"/>
      <c r="L332" s="137"/>
      <c r="M332" s="137"/>
    </row>
    <row r="333" spans="1:13" ht="138.75" thickTop="1" thickBot="1" x14ac:dyDescent="0.25">
      <c r="A333" s="101" t="s">
        <v>999</v>
      </c>
      <c r="B333" s="101" t="s">
        <v>350</v>
      </c>
      <c r="C333" s="101" t="s">
        <v>170</v>
      </c>
      <c r="D333" s="101" t="s">
        <v>262</v>
      </c>
      <c r="E333" s="318" t="s">
        <v>1491</v>
      </c>
      <c r="F333" s="315" t="s">
        <v>1517</v>
      </c>
      <c r="G333" s="319">
        <f t="shared" si="46"/>
        <v>26500</v>
      </c>
      <c r="H333" s="315">
        <f>(50000)-23500</f>
        <v>26500</v>
      </c>
      <c r="I333" s="315">
        <v>0</v>
      </c>
      <c r="J333" s="315">
        <v>0</v>
      </c>
      <c r="K333" s="95" t="b">
        <f>H333+H334='d3'!E379</f>
        <v>1</v>
      </c>
      <c r="L333" s="456" t="b">
        <f>I333+I334='d3'!J379</f>
        <v>1</v>
      </c>
      <c r="M333" s="456" t="b">
        <f>J333+J334='d3'!K379</f>
        <v>1</v>
      </c>
    </row>
    <row r="334" spans="1:13" ht="184.5" hidden="1" thickTop="1" thickBot="1" x14ac:dyDescent="0.25">
      <c r="A334" s="101" t="s">
        <v>999</v>
      </c>
      <c r="B334" s="101" t="s">
        <v>350</v>
      </c>
      <c r="C334" s="101" t="s">
        <v>170</v>
      </c>
      <c r="D334" s="101" t="s">
        <v>262</v>
      </c>
      <c r="E334" s="318" t="s">
        <v>1587</v>
      </c>
      <c r="F334" s="315" t="s">
        <v>1588</v>
      </c>
      <c r="G334" s="319">
        <f t="shared" si="46"/>
        <v>0</v>
      </c>
      <c r="H334" s="315">
        <v>0</v>
      </c>
      <c r="I334" s="315">
        <f>((0)+5000000-1000000)-4000000</f>
        <v>0</v>
      </c>
      <c r="J334" s="315">
        <f>((0)+5000000-1000000)-4000000</f>
        <v>0</v>
      </c>
      <c r="K334" s="95"/>
      <c r="L334" s="456"/>
      <c r="M334" s="456"/>
    </row>
    <row r="335" spans="1:13" ht="138.75" thickTop="1" thickBot="1" x14ac:dyDescent="0.25">
      <c r="A335" s="101" t="s">
        <v>260</v>
      </c>
      <c r="B335" s="101" t="s">
        <v>261</v>
      </c>
      <c r="C335" s="101" t="s">
        <v>259</v>
      </c>
      <c r="D335" s="101" t="s">
        <v>258</v>
      </c>
      <c r="E335" s="318" t="s">
        <v>1602</v>
      </c>
      <c r="F335" s="315" t="s">
        <v>1559</v>
      </c>
      <c r="G335" s="319">
        <f t="shared" si="46"/>
        <v>10000000</v>
      </c>
      <c r="H335" s="315">
        <f>(((0)+6000000)+3000000)+1000000</f>
        <v>10000000</v>
      </c>
      <c r="I335" s="315">
        <v>0</v>
      </c>
      <c r="J335" s="315">
        <v>0</v>
      </c>
      <c r="K335" s="95"/>
      <c r="L335" s="456"/>
      <c r="M335" s="456"/>
    </row>
    <row r="336" spans="1:13" ht="138.75" thickTop="1" thickBot="1" x14ac:dyDescent="0.25">
      <c r="A336" s="101" t="s">
        <v>260</v>
      </c>
      <c r="B336" s="101" t="s">
        <v>261</v>
      </c>
      <c r="C336" s="101" t="s">
        <v>259</v>
      </c>
      <c r="D336" s="101" t="s">
        <v>258</v>
      </c>
      <c r="E336" s="318" t="s">
        <v>1279</v>
      </c>
      <c r="F336" s="315" t="s">
        <v>1145</v>
      </c>
      <c r="G336" s="319">
        <f t="shared" si="46"/>
        <v>2898500</v>
      </c>
      <c r="H336" s="315">
        <f>((1995000)+200000)+703500</f>
        <v>2898500</v>
      </c>
      <c r="I336" s="315">
        <v>0</v>
      </c>
      <c r="J336" s="315">
        <v>0</v>
      </c>
      <c r="K336" s="95" t="b">
        <f>H336+H337+H335='d3'!E381</f>
        <v>1</v>
      </c>
      <c r="L336" s="456" t="b">
        <f>I336+I337+I335='d3'!J381</f>
        <v>1</v>
      </c>
      <c r="M336" s="456" t="b">
        <f>J336+J337+J335='d3'!K381</f>
        <v>1</v>
      </c>
    </row>
    <row r="337" spans="1:13" ht="138.75" thickTop="1" thickBot="1" x14ac:dyDescent="0.25">
      <c r="A337" s="101" t="s">
        <v>260</v>
      </c>
      <c r="B337" s="101" t="s">
        <v>261</v>
      </c>
      <c r="C337" s="101" t="s">
        <v>259</v>
      </c>
      <c r="D337" s="101" t="s">
        <v>258</v>
      </c>
      <c r="E337" s="318" t="s">
        <v>1379</v>
      </c>
      <c r="F337" s="326" t="s">
        <v>424</v>
      </c>
      <c r="G337" s="319">
        <f t="shared" ref="G337:G344" si="47">H337+I337</f>
        <v>50000</v>
      </c>
      <c r="H337" s="315">
        <f>(100000)-50000</f>
        <v>50000</v>
      </c>
      <c r="I337" s="315">
        <v>0</v>
      </c>
      <c r="J337" s="315">
        <v>0</v>
      </c>
      <c r="K337" s="137"/>
      <c r="L337" s="137"/>
      <c r="M337" s="259"/>
    </row>
    <row r="338" spans="1:13" ht="184.5" thickTop="1" thickBot="1" x14ac:dyDescent="0.25">
      <c r="A338" s="101" t="s">
        <v>252</v>
      </c>
      <c r="B338" s="101" t="s">
        <v>254</v>
      </c>
      <c r="C338" s="101" t="s">
        <v>213</v>
      </c>
      <c r="D338" s="101" t="s">
        <v>253</v>
      </c>
      <c r="E338" s="315" t="s">
        <v>1253</v>
      </c>
      <c r="F338" s="315" t="s">
        <v>858</v>
      </c>
      <c r="G338" s="319">
        <f t="shared" si="47"/>
        <v>708500</v>
      </c>
      <c r="H338" s="315">
        <f>((505000)+100000)+103500</f>
        <v>708500</v>
      </c>
      <c r="I338" s="315">
        <v>0</v>
      </c>
      <c r="J338" s="315">
        <v>0</v>
      </c>
      <c r="K338" s="95" t="b">
        <f>H338='d3'!E382</f>
        <v>1</v>
      </c>
      <c r="L338" s="456" t="b">
        <f>I338='d3'!J382</f>
        <v>1</v>
      </c>
      <c r="M338" s="456" t="b">
        <f>J338='d3'!K382</f>
        <v>1</v>
      </c>
    </row>
    <row r="339" spans="1:13" ht="138.75" hidden="1" thickTop="1" thickBot="1" x14ac:dyDescent="0.25">
      <c r="A339" s="101" t="s">
        <v>1283</v>
      </c>
      <c r="B339" s="101" t="s">
        <v>212</v>
      </c>
      <c r="C339" s="101" t="s">
        <v>213</v>
      </c>
      <c r="D339" s="101" t="s">
        <v>41</v>
      </c>
      <c r="E339" s="315" t="s">
        <v>1138</v>
      </c>
      <c r="F339" s="315" t="s">
        <v>1284</v>
      </c>
      <c r="G339" s="319">
        <f t="shared" si="47"/>
        <v>0</v>
      </c>
      <c r="H339" s="315">
        <f>'d3'!E383</f>
        <v>0</v>
      </c>
      <c r="I339" s="315">
        <f>'d3'!J383</f>
        <v>0</v>
      </c>
      <c r="J339" s="315">
        <f>'d3'!K383</f>
        <v>0</v>
      </c>
      <c r="K339" s="252"/>
      <c r="L339" s="259"/>
      <c r="M339" s="259"/>
    </row>
    <row r="340" spans="1:13" ht="138.75" hidden="1" thickTop="1" thickBot="1" x14ac:dyDescent="0.25">
      <c r="A340" s="126" t="s">
        <v>256</v>
      </c>
      <c r="B340" s="126" t="s">
        <v>257</v>
      </c>
      <c r="C340" s="126" t="s">
        <v>170</v>
      </c>
      <c r="D340" s="126" t="s">
        <v>255</v>
      </c>
      <c r="E340" s="194" t="s">
        <v>1138</v>
      </c>
      <c r="F340" s="194" t="s">
        <v>586</v>
      </c>
      <c r="G340" s="254">
        <f t="shared" si="47"/>
        <v>0</v>
      </c>
      <c r="H340" s="194"/>
      <c r="I340" s="194"/>
      <c r="J340" s="194"/>
    </row>
    <row r="341" spans="1:13" ht="138.75" hidden="1" thickTop="1" thickBot="1" x14ac:dyDescent="0.25">
      <c r="A341" s="41" t="s">
        <v>256</v>
      </c>
      <c r="B341" s="41" t="s">
        <v>257</v>
      </c>
      <c r="C341" s="41" t="s">
        <v>170</v>
      </c>
      <c r="D341" s="41" t="s">
        <v>255</v>
      </c>
      <c r="E341" s="256" t="s">
        <v>949</v>
      </c>
      <c r="F341" s="73" t="s">
        <v>950</v>
      </c>
      <c r="G341" s="257">
        <f t="shared" si="47"/>
        <v>0</v>
      </c>
      <c r="H341" s="73">
        <v>0</v>
      </c>
      <c r="I341" s="73">
        <v>0</v>
      </c>
      <c r="J341" s="73">
        <v>0</v>
      </c>
      <c r="K341" s="252"/>
      <c r="L341" s="259"/>
      <c r="M341" s="260"/>
    </row>
    <row r="342" spans="1:13" ht="138.75" hidden="1" thickTop="1" thickBot="1" x14ac:dyDescent="0.25">
      <c r="A342" s="126" t="s">
        <v>256</v>
      </c>
      <c r="B342" s="126" t="s">
        <v>257</v>
      </c>
      <c r="C342" s="126" t="s">
        <v>170</v>
      </c>
      <c r="D342" s="126" t="s">
        <v>255</v>
      </c>
      <c r="E342" s="253" t="s">
        <v>1345</v>
      </c>
      <c r="F342" s="149" t="s">
        <v>1346</v>
      </c>
      <c r="G342" s="254">
        <f t="shared" si="47"/>
        <v>0</v>
      </c>
      <c r="H342" s="194">
        <v>0</v>
      </c>
      <c r="I342" s="194">
        <v>0</v>
      </c>
      <c r="J342" s="194">
        <v>0</v>
      </c>
      <c r="K342" s="252" t="b">
        <f>'d3'!E385=H340+H341+H342</f>
        <v>1</v>
      </c>
      <c r="L342" s="259" t="b">
        <f>'d3'!J385=I340+I341+I342</f>
        <v>1</v>
      </c>
      <c r="M342" s="259" t="b">
        <f>'d3'!K385=J340+J341+J342</f>
        <v>1</v>
      </c>
    </row>
    <row r="343" spans="1:13" ht="138.75" thickTop="1" thickBot="1" x14ac:dyDescent="0.25">
      <c r="A343" s="101" t="s">
        <v>1287</v>
      </c>
      <c r="B343" s="101" t="s">
        <v>1172</v>
      </c>
      <c r="C343" s="101" t="s">
        <v>1170</v>
      </c>
      <c r="D343" s="101" t="s">
        <v>1169</v>
      </c>
      <c r="E343" s="315" t="s">
        <v>1138</v>
      </c>
      <c r="F343" s="315" t="s">
        <v>1284</v>
      </c>
      <c r="G343" s="319">
        <f t="shared" ref="G343" si="48">H343+I343</f>
        <v>540000</v>
      </c>
      <c r="H343" s="315">
        <f>'d3'!E388</f>
        <v>416040</v>
      </c>
      <c r="I343" s="315">
        <f>'d3'!J388</f>
        <v>123960</v>
      </c>
      <c r="J343" s="315">
        <f>'d3'!K388</f>
        <v>123960</v>
      </c>
      <c r="K343" s="252"/>
      <c r="L343" s="259"/>
      <c r="M343" s="260"/>
    </row>
    <row r="344" spans="1:13" ht="138.75" hidden="1" thickTop="1" thickBot="1" x14ac:dyDescent="0.25">
      <c r="A344" s="126" t="s">
        <v>903</v>
      </c>
      <c r="B344" s="126" t="s">
        <v>363</v>
      </c>
      <c r="C344" s="126" t="s">
        <v>43</v>
      </c>
      <c r="D344" s="126" t="s">
        <v>364</v>
      </c>
      <c r="E344" s="253" t="s">
        <v>1263</v>
      </c>
      <c r="F344" s="194" t="s">
        <v>1264</v>
      </c>
      <c r="G344" s="254">
        <f t="shared" si="47"/>
        <v>0</v>
      </c>
      <c r="H344" s="194">
        <f>'d3'!E391</f>
        <v>0</v>
      </c>
      <c r="I344" s="194">
        <f>'d3'!J391</f>
        <v>0</v>
      </c>
      <c r="J344" s="194">
        <f>'d3'!K391</f>
        <v>0</v>
      </c>
      <c r="K344" s="252"/>
      <c r="L344" s="259"/>
      <c r="M344" s="260"/>
    </row>
    <row r="345" spans="1:13" ht="200.1" customHeight="1" thickTop="1" thickBot="1" x14ac:dyDescent="0.25">
      <c r="A345" s="689" t="s">
        <v>164</v>
      </c>
      <c r="B345" s="689"/>
      <c r="C345" s="689"/>
      <c r="D345" s="690" t="s">
        <v>883</v>
      </c>
      <c r="E345" s="689"/>
      <c r="F345" s="689"/>
      <c r="G345" s="692">
        <f>G346</f>
        <v>1200000</v>
      </c>
      <c r="H345" s="692">
        <f t="shared" ref="H345:J345" si="49">H346</f>
        <v>0</v>
      </c>
      <c r="I345" s="692">
        <f t="shared" si="49"/>
        <v>1200000</v>
      </c>
      <c r="J345" s="692">
        <f t="shared" si="49"/>
        <v>0</v>
      </c>
      <c r="K345" s="95" t="b">
        <f>H345='d3'!E393-'d3'!E395+H347</f>
        <v>1</v>
      </c>
      <c r="L345" s="456" t="b">
        <f>I345='d3'!J393-'d3'!J395+'d7'!I347</f>
        <v>1</v>
      </c>
      <c r="M345" s="456" t="b">
        <f>J345='d3'!K393-'d3'!K395+'d7'!J347</f>
        <v>1</v>
      </c>
    </row>
    <row r="346" spans="1:13" ht="200.1" customHeight="1" thickTop="1" thickBot="1" x14ac:dyDescent="0.25">
      <c r="A346" s="693" t="s">
        <v>165</v>
      </c>
      <c r="B346" s="693"/>
      <c r="C346" s="693"/>
      <c r="D346" s="694" t="s">
        <v>884</v>
      </c>
      <c r="E346" s="695"/>
      <c r="F346" s="695"/>
      <c r="G346" s="695">
        <f>SUM(G347:G351)</f>
        <v>1200000</v>
      </c>
      <c r="H346" s="695">
        <f>SUM(H347:H351)</f>
        <v>0</v>
      </c>
      <c r="I346" s="695">
        <f>SUM(I347:I351)</f>
        <v>1200000</v>
      </c>
      <c r="J346" s="695">
        <f>SUM(J347:J351)</f>
        <v>0</v>
      </c>
      <c r="K346" s="137"/>
      <c r="L346" s="137"/>
      <c r="M346" s="137"/>
    </row>
    <row r="347" spans="1:13" ht="138.75" hidden="1" thickTop="1" thickBot="1" x14ac:dyDescent="0.25">
      <c r="A347" s="126" t="s">
        <v>421</v>
      </c>
      <c r="B347" s="126" t="s">
        <v>236</v>
      </c>
      <c r="C347" s="126" t="s">
        <v>234</v>
      </c>
      <c r="D347" s="126" t="s">
        <v>235</v>
      </c>
      <c r="E347" s="253" t="s">
        <v>1021</v>
      </c>
      <c r="F347" s="194" t="s">
        <v>853</v>
      </c>
      <c r="G347" s="194">
        <f>H347+I347</f>
        <v>0</v>
      </c>
      <c r="H347" s="254"/>
      <c r="I347" s="194"/>
      <c r="J347" s="194"/>
      <c r="K347" s="137"/>
      <c r="L347" s="137"/>
      <c r="M347" s="137"/>
    </row>
    <row r="348" spans="1:13" ht="391.7" hidden="1" customHeight="1" thickTop="1" thickBot="1" x14ac:dyDescent="0.25">
      <c r="A348" s="126" t="s">
        <v>631</v>
      </c>
      <c r="B348" s="126" t="s">
        <v>362</v>
      </c>
      <c r="C348" s="126" t="s">
        <v>623</v>
      </c>
      <c r="D348" s="126" t="s">
        <v>624</v>
      </c>
      <c r="E348" s="263" t="s">
        <v>879</v>
      </c>
      <c r="F348" s="264" t="s">
        <v>880</v>
      </c>
      <c r="G348" s="194">
        <f t="shared" ref="G348" si="50">H348+I348</f>
        <v>0</v>
      </c>
      <c r="H348" s="254">
        <f>'d3'!E396</f>
        <v>0</v>
      </c>
      <c r="I348" s="271"/>
      <c r="J348" s="271"/>
      <c r="K348" s="137"/>
      <c r="L348" s="137"/>
      <c r="M348" s="137"/>
    </row>
    <row r="349" spans="1:13" ht="138.75" thickTop="1" thickBot="1" x14ac:dyDescent="0.25">
      <c r="A349" s="101" t="s">
        <v>1109</v>
      </c>
      <c r="B349" s="101" t="s">
        <v>1110</v>
      </c>
      <c r="C349" s="101" t="s">
        <v>51</v>
      </c>
      <c r="D349" s="101" t="s">
        <v>1111</v>
      </c>
      <c r="E349" s="318" t="s">
        <v>1189</v>
      </c>
      <c r="F349" s="315" t="s">
        <v>948</v>
      </c>
      <c r="G349" s="319">
        <f t="shared" ref="G349:G351" si="51">H349+I349</f>
        <v>1200000</v>
      </c>
      <c r="H349" s="315">
        <f>'d3'!E399</f>
        <v>0</v>
      </c>
      <c r="I349" s="315">
        <v>1200000</v>
      </c>
      <c r="J349" s="315">
        <f>'d3'!K399</f>
        <v>0</v>
      </c>
      <c r="K349" s="95" t="b">
        <f>H349+H350='d3'!E399</f>
        <v>1</v>
      </c>
      <c r="L349" s="95" t="b">
        <f>I349+I350='d3'!J399</f>
        <v>1</v>
      </c>
      <c r="M349" s="95" t="b">
        <f>J349+J350='d3'!K399</f>
        <v>1</v>
      </c>
    </row>
    <row r="350" spans="1:13" ht="138.75" hidden="1" thickTop="1" thickBot="1" x14ac:dyDescent="0.25">
      <c r="A350" s="126" t="s">
        <v>1109</v>
      </c>
      <c r="B350" s="126" t="s">
        <v>1110</v>
      </c>
      <c r="C350" s="126" t="s">
        <v>51</v>
      </c>
      <c r="D350" s="126" t="s">
        <v>1111</v>
      </c>
      <c r="E350" s="253" t="s">
        <v>1256</v>
      </c>
      <c r="F350" s="194" t="s">
        <v>1232</v>
      </c>
      <c r="G350" s="254">
        <f t="shared" si="51"/>
        <v>0</v>
      </c>
      <c r="H350" s="194">
        <v>0</v>
      </c>
      <c r="I350" s="194">
        <v>0</v>
      </c>
      <c r="J350" s="194">
        <v>0</v>
      </c>
      <c r="K350" s="137"/>
      <c r="L350" s="137"/>
      <c r="M350" s="137"/>
    </row>
    <row r="351" spans="1:13" ht="138.75" hidden="1" thickTop="1" thickBot="1" x14ac:dyDescent="0.25">
      <c r="A351" s="126" t="s">
        <v>1230</v>
      </c>
      <c r="B351" s="126" t="s">
        <v>513</v>
      </c>
      <c r="C351" s="126" t="s">
        <v>43</v>
      </c>
      <c r="D351" s="126" t="s">
        <v>514</v>
      </c>
      <c r="E351" s="253" t="s">
        <v>1256</v>
      </c>
      <c r="F351" s="194" t="s">
        <v>1232</v>
      </c>
      <c r="G351" s="254">
        <f t="shared" si="51"/>
        <v>0</v>
      </c>
      <c r="H351" s="194">
        <f>'d3'!E401</f>
        <v>0</v>
      </c>
      <c r="I351" s="194">
        <f>'d3'!J401</f>
        <v>0</v>
      </c>
      <c r="J351" s="194">
        <f>'d3'!K401</f>
        <v>0</v>
      </c>
      <c r="K351" s="137"/>
      <c r="L351" s="137"/>
      <c r="M351" s="137"/>
    </row>
    <row r="352" spans="1:13" ht="200.1" customHeight="1" thickTop="1" thickBot="1" x14ac:dyDescent="0.25">
      <c r="A352" s="689" t="s">
        <v>162</v>
      </c>
      <c r="B352" s="689"/>
      <c r="C352" s="689"/>
      <c r="D352" s="690" t="s">
        <v>894</v>
      </c>
      <c r="E352" s="689"/>
      <c r="F352" s="689"/>
      <c r="G352" s="692">
        <f>G353</f>
        <v>507000</v>
      </c>
      <c r="H352" s="692">
        <f t="shared" ref="H352:J352" si="52">H353</f>
        <v>333000</v>
      </c>
      <c r="I352" s="692">
        <f t="shared" si="52"/>
        <v>174000</v>
      </c>
      <c r="J352" s="692">
        <f t="shared" si="52"/>
        <v>174000</v>
      </c>
      <c r="K352" s="95" t="b">
        <f>H352='d3'!E403-'d3'!E405+H354</f>
        <v>1</v>
      </c>
      <c r="L352" s="456" t="b">
        <f>I352='d3'!J403-'d3'!J405+I354</f>
        <v>1</v>
      </c>
      <c r="M352" s="456" t="b">
        <f>J352='d3'!K403-'d3'!K405+J354</f>
        <v>1</v>
      </c>
    </row>
    <row r="353" spans="1:17" ht="199.5" customHeight="1" thickTop="1" thickBot="1" x14ac:dyDescent="0.25">
      <c r="A353" s="693" t="s">
        <v>163</v>
      </c>
      <c r="B353" s="693"/>
      <c r="C353" s="693"/>
      <c r="D353" s="694" t="s">
        <v>895</v>
      </c>
      <c r="E353" s="695"/>
      <c r="F353" s="695"/>
      <c r="G353" s="695">
        <f>SUM(G354:G357)</f>
        <v>507000</v>
      </c>
      <c r="H353" s="695">
        <f>SUM(H354:H357)</f>
        <v>333000</v>
      </c>
      <c r="I353" s="695">
        <f>SUM(I354:I357)</f>
        <v>174000</v>
      </c>
      <c r="J353" s="695">
        <f>SUM(J354:J357)</f>
        <v>174000</v>
      </c>
      <c r="K353" s="137"/>
      <c r="L353" s="137"/>
      <c r="M353" s="137"/>
    </row>
    <row r="354" spans="1:17" ht="138.75" thickTop="1" thickBot="1" x14ac:dyDescent="0.25">
      <c r="A354" s="101" t="s">
        <v>417</v>
      </c>
      <c r="B354" s="101" t="s">
        <v>236</v>
      </c>
      <c r="C354" s="101" t="s">
        <v>234</v>
      </c>
      <c r="D354" s="101" t="s">
        <v>235</v>
      </c>
      <c r="E354" s="318" t="s">
        <v>1021</v>
      </c>
      <c r="F354" s="315" t="s">
        <v>853</v>
      </c>
      <c r="G354" s="315">
        <f>H354+I354</f>
        <v>60000</v>
      </c>
      <c r="H354" s="319">
        <v>0</v>
      </c>
      <c r="I354" s="315">
        <v>60000</v>
      </c>
      <c r="J354" s="315">
        <v>60000</v>
      </c>
      <c r="K354" s="137"/>
      <c r="L354" s="137"/>
      <c r="M354" s="137"/>
    </row>
    <row r="355" spans="1:17" ht="138.75" thickTop="1" thickBot="1" x14ac:dyDescent="0.25">
      <c r="A355" s="101" t="s">
        <v>306</v>
      </c>
      <c r="B355" s="101" t="s">
        <v>307</v>
      </c>
      <c r="C355" s="101" t="s">
        <v>308</v>
      </c>
      <c r="D355" s="101" t="s">
        <v>460</v>
      </c>
      <c r="E355" s="318" t="s">
        <v>1491</v>
      </c>
      <c r="F355" s="315" t="s">
        <v>1517</v>
      </c>
      <c r="G355" s="319">
        <f t="shared" ref="G355:G357" si="53">H355+I355</f>
        <v>204080</v>
      </c>
      <c r="H355" s="315">
        <f>(184080)+20000</f>
        <v>204080</v>
      </c>
      <c r="I355" s="315">
        <f>'d3'!J408</f>
        <v>0</v>
      </c>
      <c r="J355" s="315">
        <f>'d3'!K408</f>
        <v>0</v>
      </c>
      <c r="K355" s="315"/>
      <c r="L355" s="137"/>
      <c r="M355" s="137"/>
    </row>
    <row r="356" spans="1:17" ht="138.75" thickTop="1" thickBot="1" x14ac:dyDescent="0.25">
      <c r="A356" s="101" t="s">
        <v>306</v>
      </c>
      <c r="B356" s="101" t="s">
        <v>307</v>
      </c>
      <c r="C356" s="101" t="s">
        <v>308</v>
      </c>
      <c r="D356" s="101" t="s">
        <v>460</v>
      </c>
      <c r="E356" s="318" t="s">
        <v>1189</v>
      </c>
      <c r="F356" s="315" t="s">
        <v>948</v>
      </c>
      <c r="G356" s="319">
        <f t="shared" si="53"/>
        <v>128920</v>
      </c>
      <c r="H356" s="315">
        <f>((30000)+43000+12920)+43000</f>
        <v>128920</v>
      </c>
      <c r="I356" s="315">
        <v>0</v>
      </c>
      <c r="J356" s="315">
        <v>0</v>
      </c>
      <c r="K356" s="137"/>
      <c r="L356" s="137"/>
      <c r="M356" s="137"/>
    </row>
    <row r="357" spans="1:17" ht="138.75" thickTop="1" thickBot="1" x14ac:dyDescent="1.2">
      <c r="A357" s="101" t="s">
        <v>368</v>
      </c>
      <c r="B357" s="101" t="s">
        <v>369</v>
      </c>
      <c r="C357" s="101" t="s">
        <v>170</v>
      </c>
      <c r="D357" s="101" t="s">
        <v>370</v>
      </c>
      <c r="E357" s="318" t="s">
        <v>1491</v>
      </c>
      <c r="F357" s="315" t="s">
        <v>1517</v>
      </c>
      <c r="G357" s="319">
        <f t="shared" si="53"/>
        <v>114000</v>
      </c>
      <c r="H357" s="315">
        <f>'d3'!E410</f>
        <v>0</v>
      </c>
      <c r="I357" s="315">
        <f>'d3'!J410</f>
        <v>114000</v>
      </c>
      <c r="J357" s="315">
        <f>'d3'!K410</f>
        <v>114000</v>
      </c>
      <c r="K357" s="674" t="b">
        <f>G364=G363+G362+G357+G356+G355+G349+G338+G337+G336+G333+G327+G322+G320+G305+G298+G286+G285+G279+G267+G264+G263+G262+G261+G260+G257+G255+G254+G253+G250+G246+G243+G241+G239+G234+G233+G232+G230+G227+G225+G224+G223+G212+G211+G210+G208+G206+G205+G204+G203+G202++G200+G193+G192+G191+G190+G189+G188+G187+G185+G183+G180+G178+G170+G169+G168+G167+G166+G165+G164+G162+G161+G160+G159+G158+G157+G156+G155+G154+G151+G149+G147+G146+G145+G144+G143+G142+G141+G140+G139+G138+G136+G125+G124+G122+G121+G119+G115+G114+G113+G111+G103+G102+G100+G99+G92+G85+G84+G83+G81+G80+G79+G78+G76+G75+G73+G71+G70+G69+G67+G66+G63+G62+G60+G44+G43+G42+G41+G40+G37++G36+G34+G33+G30+G28+G26+G25+G24+G45+G48+G335+G343+G339+G331+G97+G96+G72+G173+G270+G238+G272+G50+G49+G47+G46+G17+G294+G209+G89+G88+G334+G332+G326+G314+G300+G258+G242+G231+G172+G127+G123+G91+G90+G54+G53+G51+G38+G29+G101+G77+G74+G64+G61+G116+G112+G181+G207+G274+G265+G163+G153+G148+G288+G87+G86+G354+G226+G236+G195+G218+G98+G273+G321+G55+G171+G56+G360+G235</f>
        <v>1</v>
      </c>
      <c r="L357" s="674" t="b">
        <f>H364=H363+H362+H357+H356+H355+H349+H338+H337+H336+H333+H327+H322+H320+H305+H298+H286+H285+H279+H267+H264+H263+H262+H261+H260+H257+H255+H254+H253+H250+H246+H243+H241+H239+H234+H233+H232+H230+H227+H225+H224+H223+H212+H211+H210+H208+H206+H205+H204+H203+H202++H200+H193+H192+H191+H190+H189+H188+H187+H185+H183+H180+H178+H170+H169+H168+H167+H166+H165+H164+H162+H161+H160+H159+H158+H157+H156+H155+H154+H151+H149+H147+H146+H145+H144+H143+H142+H141+H140+H139+H138+H136+H125+H124+H122+H121+H119+H115+H114+H113+H111+H103+H102+H100+H99+H92+H85+H84+H83+H81+H80+H79+H78+H76+H75+H73+H71+H70+H69+H67+H66+H63+H62+H60+H44+H43+H42+H41+H40+H37++H36+H34+H33+H30+H28+H26+H25+H24+H45+H48+H335+H343+H339+H331+H97+H96+H72+H173+H270+H238+H272+H50+H49+H47+H46+H17+H294+H209+H89+H88+H334+H332+H326+H314+H300+H258+H242+H231+H172+H127+H123+H91+H90+H54+H53+H51+H38+H29+H101+H77+H74+H64+H61+H116+H112+H181+H207+H274+H265+H163+H153+H148+H288+H87+H86+H354+H226+H236+H195+H218+H98+H273+H321+H55+H171+H56+H360+H235</f>
        <v>1</v>
      </c>
      <c r="M357" s="674" t="b">
        <f>I364=I363+I362+I357+I356+I355+I349+I338+I337+I336+I333+I327+I322+I320+I305+I298+I286+I285+I279+I267+I264+I263+I262+I261+I260+I257+I255+I254+I253+I250+I246+I243+I241+I239+I234+I233+I232+I230+I227+I225+I224+I223+I212+I211+I210+I208+I206+I205+I204+I203+I202++I200+I193+I192+I191+I190+I189+I188+I187+I185+I183+I180+I178+I170+I169+I168+I167+I166+I165+I164+I162+I161+I160+I159+I158+I157+I156+I155+I154+I151+I149+I147+I146+I145+I144+I143+I142+I141+I140+I139+I138+I136+I125+I124+I122+I121+I119+I115+I114+I113+I111+I103+I102+I100+I99+I92+I85+I84+I83+I81+I80+I79+I78+I76+I75+I73+I71+I70+I69+I67+I66+I63+I62+I60+I44+I43+I42+I41+I40+I37++I36+I34+I33+I30+I28+I26+I25+I24+I45+I48+I335+I343+I339+I331+I97+I96+I72+I173+I270+I238+I272+I50+I49+I47+I46+I17+I294+I209+I89+I88+I334+I332+I326+I314+I300+I258+I242+I231+I172+I127+I123+I91+I90+I54+I53+I51+I38+I29+I101+I77+I74+I64+I61+I116+I112+I181+I207+I274+I265+I163+I153+I148+I288+I87+I86+I354+I226+I236+I195+I218+I98+I273+I321+I55+I171+I56+I360+I235</f>
        <v>1</v>
      </c>
      <c r="N357" s="674" t="b">
        <f>J364=J363+J362+J357+J356+J355+J349+J338+J337+J336+J333+J327+J322+J320+J305+J298+J286+J285+J279+J267+J264+J263+J262+J261+J260+J257+J255+J254+J253+J250+J246+J243+J241+J239+J234+J233+J232+J230+J227+J225+J224+J223+J212+J211+J210+J208+J206+J205+J204+J203+J202++J200+J193+J192+J191+J190+J189+J188+J187+J185+J183+J180+J178+J170+J169+J168+J167+J166+J165+J164+J162+J161+J160+J159+J158+J157+J156+J155+J154+J151+J149+J147+J146+J145+J144+J143+J142+J141+J140+J139+J138+J136+J125+J124+J122+J121+J119+J115+J114+J113+J111+J103+J102+J100+J99+J92+J85+J84+J83+J81+J80+J79+J78+J76+J75+J73+J71+J70+J69+J67+J66+J63+J62+J60+J44+J43+J42+J41+J40+J37++J36+J34+J33+J30+J28+J26+J25+J24+J45+J48+J335+J343+J339+J331+J97+J96+J72+J173+J270+J238+J272+J50+J49+J47+J46+J17+J294+J209+J89+J88+J334+J332+J326+J314+J300+J258+J242+J231+J172+J127+J123+J91+J90+J54+J53+J51+J38+J29+J101+J77+J74+J64+J61+J116+J112+J181+J207+J274+J265+J163+J153+J148+J288+J87+J86+J354+J226+J236+J195+J218+J98+J273+J321+J55+J171+J56+J360+J235</f>
        <v>1</v>
      </c>
    </row>
    <row r="358" spans="1:17" ht="170.25" customHeight="1" thickTop="1" thickBot="1" x14ac:dyDescent="0.25">
      <c r="A358" s="689" t="s">
        <v>168</v>
      </c>
      <c r="B358" s="689"/>
      <c r="C358" s="689"/>
      <c r="D358" s="690" t="s">
        <v>27</v>
      </c>
      <c r="E358" s="689"/>
      <c r="F358" s="689"/>
      <c r="G358" s="692">
        <f>G359</f>
        <v>18753460</v>
      </c>
      <c r="H358" s="692">
        <f t="shared" ref="H358:J358" si="54">H359</f>
        <v>835650</v>
      </c>
      <c r="I358" s="692">
        <f t="shared" si="54"/>
        <v>17917810</v>
      </c>
      <c r="J358" s="692">
        <f t="shared" si="54"/>
        <v>17917810</v>
      </c>
      <c r="K358" s="137"/>
      <c r="L358" s="137"/>
      <c r="M358" s="137"/>
    </row>
    <row r="359" spans="1:17" ht="170.25" customHeight="1" thickTop="1" thickBot="1" x14ac:dyDescent="0.25">
      <c r="A359" s="693" t="s">
        <v>169</v>
      </c>
      <c r="B359" s="693"/>
      <c r="C359" s="693"/>
      <c r="D359" s="694" t="s">
        <v>40</v>
      </c>
      <c r="E359" s="695"/>
      <c r="F359" s="695"/>
      <c r="G359" s="695">
        <f>SUM(G360:G363)</f>
        <v>18753460</v>
      </c>
      <c r="H359" s="695">
        <f t="shared" ref="H359:J359" si="55">SUM(H360:H363)</f>
        <v>835650</v>
      </c>
      <c r="I359" s="695">
        <f>SUM(I360:I363)</f>
        <v>17917810</v>
      </c>
      <c r="J359" s="695">
        <f t="shared" si="55"/>
        <v>17917810</v>
      </c>
      <c r="K359" s="137"/>
      <c r="L359" s="137"/>
      <c r="M359" s="137"/>
    </row>
    <row r="360" spans="1:17" ht="138.75" thickTop="1" thickBot="1" x14ac:dyDescent="0.25">
      <c r="A360" s="101" t="s">
        <v>419</v>
      </c>
      <c r="B360" s="101" t="s">
        <v>236</v>
      </c>
      <c r="C360" s="101" t="s">
        <v>234</v>
      </c>
      <c r="D360" s="101" t="s">
        <v>235</v>
      </c>
      <c r="E360" s="318" t="s">
        <v>1021</v>
      </c>
      <c r="F360" s="315" t="s">
        <v>853</v>
      </c>
      <c r="G360" s="315">
        <f t="shared" ref="G360:G363" si="56">H360+I360</f>
        <v>60000</v>
      </c>
      <c r="H360" s="319">
        <f>0</f>
        <v>0</v>
      </c>
      <c r="I360" s="451">
        <v>60000</v>
      </c>
      <c r="J360" s="451">
        <v>60000</v>
      </c>
      <c r="K360" s="137"/>
      <c r="L360" s="137"/>
      <c r="M360" s="137"/>
    </row>
    <row r="361" spans="1:17" ht="321.75" hidden="1" thickTop="1" thickBot="1" x14ac:dyDescent="1.2">
      <c r="A361" s="126" t="s">
        <v>632</v>
      </c>
      <c r="B361" s="126" t="s">
        <v>362</v>
      </c>
      <c r="C361" s="126" t="s">
        <v>623</v>
      </c>
      <c r="D361" s="126" t="s">
        <v>624</v>
      </c>
      <c r="E361" s="253" t="s">
        <v>1158</v>
      </c>
      <c r="F361" s="194" t="s">
        <v>1159</v>
      </c>
      <c r="G361" s="194">
        <f t="shared" si="56"/>
        <v>0</v>
      </c>
      <c r="H361" s="254">
        <f>'d3'!E415</f>
        <v>0</v>
      </c>
      <c r="I361" s="271">
        <v>0</v>
      </c>
      <c r="J361" s="271">
        <v>0</v>
      </c>
      <c r="O361" s="276"/>
    </row>
    <row r="362" spans="1:17" ht="138.75" thickTop="1" thickBot="1" x14ac:dyDescent="1.2">
      <c r="A362" s="101">
        <v>3718600</v>
      </c>
      <c r="B362" s="101">
        <v>8600</v>
      </c>
      <c r="C362" s="101" t="s">
        <v>362</v>
      </c>
      <c r="D362" s="101" t="s">
        <v>451</v>
      </c>
      <c r="E362" s="318" t="s">
        <v>1491</v>
      </c>
      <c r="F362" s="315" t="s">
        <v>1517</v>
      </c>
      <c r="G362" s="315">
        <f t="shared" si="56"/>
        <v>835650</v>
      </c>
      <c r="H362" s="319">
        <f>'d3'!E420</f>
        <v>835650</v>
      </c>
      <c r="I362" s="451">
        <f>'d3'!J420</f>
        <v>0</v>
      </c>
      <c r="J362" s="451">
        <f>'d3'!K420</f>
        <v>0</v>
      </c>
      <c r="O362" s="276"/>
    </row>
    <row r="363" spans="1:17" ht="138.75" thickTop="1" thickBot="1" x14ac:dyDescent="1.2">
      <c r="A363" s="101" t="s">
        <v>1350</v>
      </c>
      <c r="B363" s="101" t="s">
        <v>1351</v>
      </c>
      <c r="C363" s="101" t="s">
        <v>170</v>
      </c>
      <c r="D363" s="101" t="s">
        <v>1137</v>
      </c>
      <c r="E363" s="318" t="s">
        <v>1491</v>
      </c>
      <c r="F363" s="315" t="s">
        <v>1517</v>
      </c>
      <c r="G363" s="315">
        <f t="shared" si="56"/>
        <v>17857810</v>
      </c>
      <c r="H363" s="319">
        <f>'d4'!F25</f>
        <v>0</v>
      </c>
      <c r="I363" s="451">
        <f>'d4'!G26</f>
        <v>17857810</v>
      </c>
      <c r="J363" s="451">
        <f>'d4'!H26</f>
        <v>17857810</v>
      </c>
      <c r="O363" s="276"/>
    </row>
    <row r="364" spans="1:17" ht="91.5" thickTop="1" thickBot="1" x14ac:dyDescent="1.2">
      <c r="A364" s="638" t="s">
        <v>381</v>
      </c>
      <c r="B364" s="638" t="s">
        <v>381</v>
      </c>
      <c r="C364" s="638" t="s">
        <v>381</v>
      </c>
      <c r="D364" s="639" t="s">
        <v>391</v>
      </c>
      <c r="E364" s="638" t="s">
        <v>381</v>
      </c>
      <c r="F364" s="638" t="s">
        <v>381</v>
      </c>
      <c r="G364" s="640">
        <f>G16+G59+G198+G107+G133+G177+G290+G330+G346+G353+G317+G311+G249+G220+G359</f>
        <v>4919744548.3000002</v>
      </c>
      <c r="H364" s="640">
        <f>H16+H59+H198+H107+H133+H177+H290+H330+H346+H353+H317+H311+H249+H220+H359</f>
        <v>3799974679.3000002</v>
      </c>
      <c r="I364" s="640">
        <f>I16+I59+I198+I107+I133+I177+I290+I330+I346+I353+I317+I311+I249+I220+I359</f>
        <v>1119769869</v>
      </c>
      <c r="J364" s="640">
        <f>J16+J59+J198+J107+J133+J177+J290+J330+J346+J353+J317+J311+J249+J220+J359</f>
        <v>866123962.85000002</v>
      </c>
      <c r="K364" s="672" t="b">
        <f>G364=H364+I364</f>
        <v>1</v>
      </c>
      <c r="L364" s="673" t="b">
        <f>'d3'!K429-'d3'!K167-'d3'!J171-'d3'!J175+'d4'!P25=J364+25000+39800+79000</f>
        <v>1</v>
      </c>
      <c r="M364" s="137"/>
    </row>
    <row r="365" spans="1:17" ht="31.7" customHeight="1" thickTop="1" x14ac:dyDescent="0.2">
      <c r="A365" s="776" t="s">
        <v>1495</v>
      </c>
      <c r="B365" s="777"/>
      <c r="C365" s="777"/>
      <c r="D365" s="777"/>
      <c r="E365" s="777"/>
      <c r="F365" s="777"/>
      <c r="G365" s="777"/>
      <c r="H365" s="777"/>
      <c r="I365" s="777"/>
      <c r="J365" s="777"/>
      <c r="L365" s="859" t="s">
        <v>1636</v>
      </c>
      <c r="M365" s="859"/>
    </row>
    <row r="366" spans="1:17" ht="4.7" customHeight="1" x14ac:dyDescent="0.2">
      <c r="A366" s="15"/>
      <c r="B366" s="16"/>
      <c r="C366" s="16"/>
      <c r="D366" s="16"/>
      <c r="E366" s="16"/>
      <c r="F366" s="16"/>
      <c r="G366" s="16"/>
      <c r="H366" s="16"/>
      <c r="I366" s="16"/>
      <c r="J366" s="16"/>
      <c r="L366" s="859"/>
      <c r="M366" s="859"/>
    </row>
    <row r="367" spans="1:17" ht="45.75" customHeight="1" x14ac:dyDescent="0.65">
      <c r="A367" s="15"/>
      <c r="B367" s="16"/>
      <c r="C367" s="16"/>
      <c r="D367" s="868"/>
      <c r="E367" s="786"/>
      <c r="F367" s="356"/>
      <c r="G367" s="356"/>
      <c r="H367" s="17"/>
      <c r="I367" s="17"/>
      <c r="J367" s="17"/>
      <c r="K367" s="277"/>
      <c r="L367" s="859"/>
      <c r="M367" s="859"/>
      <c r="N367" s="278"/>
      <c r="O367" s="199"/>
      <c r="P367" s="199"/>
      <c r="Q367" s="279"/>
    </row>
    <row r="368" spans="1:17" ht="45.75" x14ac:dyDescent="0.65">
      <c r="A368" s="76"/>
      <c r="B368" s="76"/>
      <c r="C368" s="76"/>
      <c r="D368" s="868" t="s">
        <v>1458</v>
      </c>
      <c r="E368" s="786"/>
      <c r="F368" s="356"/>
      <c r="G368" s="356" t="s">
        <v>1459</v>
      </c>
      <c r="H368" s="2"/>
      <c r="I368" s="2"/>
      <c r="J368" s="2"/>
      <c r="K368" s="200"/>
      <c r="L368" s="859"/>
      <c r="M368" s="859"/>
      <c r="N368" s="278"/>
      <c r="O368" s="199"/>
      <c r="P368" s="199"/>
      <c r="Q368" s="279"/>
    </row>
    <row r="369" spans="1:17" ht="45.75" hidden="1" customHeight="1" x14ac:dyDescent="0.65">
      <c r="A369" s="76"/>
      <c r="B369" s="76"/>
      <c r="C369" s="76"/>
      <c r="D369" s="3" t="s">
        <v>1460</v>
      </c>
      <c r="E369" s="316"/>
      <c r="F369" s="3"/>
      <c r="G369" s="3" t="s">
        <v>1424</v>
      </c>
      <c r="H369" s="2"/>
      <c r="I369" s="2"/>
      <c r="J369" s="2"/>
      <c r="K369" s="200"/>
      <c r="L369" s="859"/>
      <c r="M369" s="859"/>
      <c r="N369" s="278"/>
      <c r="O369" s="199"/>
      <c r="P369" s="199"/>
      <c r="Q369" s="279"/>
    </row>
    <row r="370" spans="1:17" ht="120.75" customHeight="1" x14ac:dyDescent="0.65">
      <c r="A370" s="75"/>
      <c r="B370" s="75"/>
      <c r="C370" s="75"/>
      <c r="D370" s="867" t="s">
        <v>522</v>
      </c>
      <c r="E370" s="786"/>
      <c r="F370" s="3"/>
      <c r="G370" s="3" t="s">
        <v>1326</v>
      </c>
      <c r="H370" s="349"/>
      <c r="I370" s="350"/>
      <c r="J370" s="351"/>
      <c r="K370" s="122"/>
      <c r="L370" s="859"/>
      <c r="M370" s="859"/>
      <c r="N370" s="6"/>
      <c r="O370" s="6"/>
      <c r="P370" s="6"/>
      <c r="Q370" s="6"/>
    </row>
    <row r="371" spans="1:17" ht="45.75" customHeight="1" x14ac:dyDescent="0.65">
      <c r="D371" s="846"/>
      <c r="E371" s="846"/>
      <c r="F371" s="846"/>
      <c r="G371" s="846"/>
      <c r="H371" s="846"/>
      <c r="I371" s="846"/>
      <c r="J371" s="846"/>
      <c r="K371" s="122"/>
      <c r="L371" s="859"/>
      <c r="M371" s="859"/>
      <c r="N371" s="6"/>
      <c r="O371" s="6"/>
      <c r="P371" s="6"/>
      <c r="Q371" s="6"/>
    </row>
    <row r="372" spans="1:17" ht="12.75" customHeight="1" x14ac:dyDescent="0.2">
      <c r="E372" s="281"/>
      <c r="F372" s="282"/>
      <c r="L372" s="859"/>
      <c r="M372" s="859"/>
    </row>
    <row r="373" spans="1:17" ht="12.75" customHeight="1" x14ac:dyDescent="0.2">
      <c r="E373" s="281"/>
      <c r="F373" s="282"/>
      <c r="L373" s="859"/>
      <c r="M373" s="859"/>
    </row>
    <row r="374" spans="1:17" ht="62.25" customHeight="1" x14ac:dyDescent="0.8">
      <c r="A374" s="13"/>
      <c r="B374" s="13"/>
      <c r="C374" s="13"/>
      <c r="D374" s="13"/>
      <c r="E374" s="279"/>
      <c r="F374" s="278"/>
      <c r="I374" s="13"/>
      <c r="J374" s="284"/>
      <c r="L374" s="859"/>
      <c r="M374" s="859"/>
    </row>
    <row r="375" spans="1:17" ht="45.75" customHeight="1" x14ac:dyDescent="0.2">
      <c r="E375" s="285"/>
      <c r="F375" s="280"/>
      <c r="L375" s="859"/>
      <c r="M375" s="859"/>
    </row>
    <row r="376" spans="1:17" ht="45.75" x14ac:dyDescent="0.2">
      <c r="A376" s="13"/>
      <c r="B376" s="13"/>
      <c r="C376" s="13"/>
      <c r="D376" s="13"/>
      <c r="E376" s="279"/>
      <c r="F376" s="278"/>
      <c r="I376" s="13"/>
      <c r="J376" s="13"/>
      <c r="L376" s="859"/>
      <c r="M376" s="859"/>
    </row>
    <row r="377" spans="1:17" ht="45.75" x14ac:dyDescent="0.2">
      <c r="E377" s="285"/>
      <c r="F377" s="280"/>
      <c r="L377" s="859"/>
      <c r="M377" s="859"/>
    </row>
    <row r="378" spans="1:17" ht="45.75" x14ac:dyDescent="0.2">
      <c r="E378" s="285"/>
      <c r="F378" s="280"/>
      <c r="L378" s="859"/>
      <c r="M378" s="859"/>
    </row>
    <row r="379" spans="1:17" ht="45.75" x14ac:dyDescent="0.2">
      <c r="E379" s="285"/>
      <c r="F379" s="280"/>
      <c r="L379" s="859"/>
      <c r="M379" s="859"/>
    </row>
    <row r="380" spans="1:17" ht="45.75" x14ac:dyDescent="0.2">
      <c r="A380" s="13"/>
      <c r="B380" s="13"/>
      <c r="C380" s="13"/>
      <c r="D380" s="13"/>
      <c r="E380" s="285"/>
      <c r="F380" s="280"/>
      <c r="G380" s="13"/>
      <c r="H380" s="13"/>
      <c r="I380" s="13"/>
      <c r="J380" s="13"/>
      <c r="L380" s="859"/>
      <c r="M380" s="859"/>
    </row>
    <row r="381" spans="1:17" ht="45.75" x14ac:dyDescent="0.2">
      <c r="A381" s="13"/>
      <c r="B381" s="13"/>
      <c r="C381" s="13"/>
      <c r="D381" s="13"/>
      <c r="E381" s="285"/>
      <c r="F381" s="280"/>
      <c r="G381" s="13"/>
      <c r="H381" s="13"/>
      <c r="I381" s="13"/>
      <c r="J381" s="13"/>
      <c r="L381" s="859"/>
      <c r="M381" s="859"/>
    </row>
    <row r="382" spans="1:17" ht="45.75" x14ac:dyDescent="0.2">
      <c r="A382" s="13"/>
      <c r="B382" s="13"/>
      <c r="C382" s="13"/>
      <c r="D382" s="13"/>
      <c r="E382" s="285"/>
      <c r="F382" s="280"/>
      <c r="G382" s="13"/>
      <c r="H382" s="13"/>
      <c r="I382" s="13"/>
      <c r="J382" s="13"/>
      <c r="L382" s="859"/>
      <c r="M382" s="859"/>
    </row>
    <row r="383" spans="1:17" ht="45.75" x14ac:dyDescent="0.2">
      <c r="A383" s="13"/>
      <c r="B383" s="13"/>
      <c r="C383" s="13"/>
      <c r="D383" s="13"/>
      <c r="E383" s="285"/>
      <c r="F383" s="280"/>
      <c r="G383" s="13"/>
      <c r="H383" s="13"/>
      <c r="I383" s="13"/>
      <c r="J383" s="13"/>
      <c r="L383" s="859"/>
      <c r="M383" s="859"/>
    </row>
    <row r="384" spans="1:17" x14ac:dyDescent="0.2">
      <c r="L384" s="859"/>
      <c r="M384" s="859"/>
    </row>
    <row r="385" spans="12:13" x14ac:dyDescent="0.2">
      <c r="L385" s="859"/>
      <c r="M385" s="859"/>
    </row>
    <row r="386" spans="12:13" x14ac:dyDescent="0.2">
      <c r="L386" s="859"/>
      <c r="M386" s="859"/>
    </row>
    <row r="387" spans="12:13" x14ac:dyDescent="0.2">
      <c r="L387" s="859"/>
      <c r="M387" s="859"/>
    </row>
    <row r="388" spans="12:13" x14ac:dyDescent="0.2">
      <c r="L388" s="859"/>
      <c r="M388" s="859"/>
    </row>
    <row r="389" spans="12:13" x14ac:dyDescent="0.2">
      <c r="L389" s="859"/>
      <c r="M389" s="859"/>
    </row>
    <row r="390" spans="12:13" x14ac:dyDescent="0.2">
      <c r="L390" s="859"/>
      <c r="M390" s="859"/>
    </row>
    <row r="391" spans="12:13" x14ac:dyDescent="0.2">
      <c r="L391" s="859"/>
      <c r="M391" s="859"/>
    </row>
    <row r="392" spans="12:13" x14ac:dyDescent="0.2">
      <c r="L392" s="859"/>
      <c r="M392" s="859"/>
    </row>
    <row r="393" spans="12:13" x14ac:dyDescent="0.2">
      <c r="L393" s="859"/>
      <c r="M393" s="859"/>
    </row>
    <row r="394" spans="12:13" x14ac:dyDescent="0.2">
      <c r="L394" s="859"/>
      <c r="M394" s="859"/>
    </row>
    <row r="395" spans="12:13" x14ac:dyDescent="0.2">
      <c r="L395" s="859"/>
      <c r="M395" s="859"/>
    </row>
    <row r="396" spans="12:13" x14ac:dyDescent="0.2">
      <c r="L396" s="859"/>
      <c r="M396" s="859"/>
    </row>
    <row r="397" spans="12:13" x14ac:dyDescent="0.2">
      <c r="L397" s="859"/>
      <c r="M397" s="859"/>
    </row>
    <row r="398" spans="12:13" x14ac:dyDescent="0.2">
      <c r="L398" s="859"/>
      <c r="M398" s="859"/>
    </row>
    <row r="399" spans="12:13" x14ac:dyDescent="0.2">
      <c r="L399" s="859"/>
      <c r="M399" s="859"/>
    </row>
    <row r="400" spans="12:13" x14ac:dyDescent="0.2">
      <c r="L400" s="859"/>
      <c r="M400" s="859"/>
    </row>
    <row r="401" spans="12:13" x14ac:dyDescent="0.2">
      <c r="L401" s="859"/>
      <c r="M401" s="859"/>
    </row>
    <row r="402" spans="12:13" x14ac:dyDescent="0.2">
      <c r="L402" s="859"/>
      <c r="M402" s="859"/>
    </row>
    <row r="403" spans="12:13" x14ac:dyDescent="0.2">
      <c r="L403" s="859"/>
      <c r="M403" s="859"/>
    </row>
    <row r="404" spans="12:13" x14ac:dyDescent="0.2">
      <c r="L404" s="859"/>
      <c r="M404" s="859"/>
    </row>
    <row r="405" spans="12:13" x14ac:dyDescent="0.2">
      <c r="L405" s="859"/>
      <c r="M405" s="859"/>
    </row>
    <row r="406" spans="12:13" x14ac:dyDescent="0.2">
      <c r="L406" s="859"/>
      <c r="M406" s="859"/>
    </row>
    <row r="407" spans="12:13" x14ac:dyDescent="0.2">
      <c r="L407" s="859"/>
      <c r="M407" s="859"/>
    </row>
    <row r="408" spans="12:13" x14ac:dyDescent="0.2">
      <c r="L408" s="859"/>
      <c r="M408" s="859"/>
    </row>
    <row r="409" spans="12:13" x14ac:dyDescent="0.2">
      <c r="L409" s="859"/>
      <c r="M409" s="859"/>
    </row>
    <row r="410" spans="12:13" x14ac:dyDescent="0.2">
      <c r="L410" s="859"/>
      <c r="M410" s="859"/>
    </row>
    <row r="411" spans="12:13" x14ac:dyDescent="0.2">
      <c r="L411" s="859"/>
      <c r="M411" s="859"/>
    </row>
    <row r="412" spans="12:13" x14ac:dyDescent="0.2">
      <c r="L412" s="859"/>
      <c r="M412" s="859"/>
    </row>
    <row r="413" spans="12:13" x14ac:dyDescent="0.2">
      <c r="L413" s="859"/>
      <c r="M413" s="859"/>
    </row>
    <row r="414" spans="12:13" x14ac:dyDescent="0.2">
      <c r="L414" s="859"/>
      <c r="M414" s="859"/>
    </row>
    <row r="415" spans="12:13" x14ac:dyDescent="0.2">
      <c r="L415" s="859"/>
      <c r="M415" s="859"/>
    </row>
    <row r="416" spans="12:13" x14ac:dyDescent="0.2">
      <c r="L416" s="859"/>
      <c r="M416" s="859"/>
    </row>
    <row r="417" spans="12:13" x14ac:dyDescent="0.2">
      <c r="L417" s="859"/>
      <c r="M417" s="859"/>
    </row>
  </sheetData>
  <mergeCells count="86">
    <mergeCell ref="M164:M167"/>
    <mergeCell ref="I307:I308"/>
    <mergeCell ref="J307:J308"/>
    <mergeCell ref="H282:H283"/>
    <mergeCell ref="I282:I283"/>
    <mergeCell ref="J282:J283"/>
    <mergeCell ref="H307:H308"/>
    <mergeCell ref="G282:G283"/>
    <mergeCell ref="K164:K167"/>
    <mergeCell ref="J34:J35"/>
    <mergeCell ref="G34:G35"/>
    <mergeCell ref="L164:L167"/>
    <mergeCell ref="I174:I175"/>
    <mergeCell ref="J174:J175"/>
    <mergeCell ref="I244:I245"/>
    <mergeCell ref="J244:J245"/>
    <mergeCell ref="H34:H35"/>
    <mergeCell ref="I34:I35"/>
    <mergeCell ref="A282:A283"/>
    <mergeCell ref="B282:B283"/>
    <mergeCell ref="C282:C283"/>
    <mergeCell ref="E282:E283"/>
    <mergeCell ref="F282:F283"/>
    <mergeCell ref="A307:A308"/>
    <mergeCell ref="B307:B308"/>
    <mergeCell ref="C307:C308"/>
    <mergeCell ref="E307:E308"/>
    <mergeCell ref="F307:F308"/>
    <mergeCell ref="L24:L26"/>
    <mergeCell ref="M24:M26"/>
    <mergeCell ref="A6:J6"/>
    <mergeCell ref="A9:J9"/>
    <mergeCell ref="A10:J10"/>
    <mergeCell ref="F12:F13"/>
    <mergeCell ref="G12:G13"/>
    <mergeCell ref="A12:A13"/>
    <mergeCell ref="B12:B13"/>
    <mergeCell ref="C12:C13"/>
    <mergeCell ref="D12:D13"/>
    <mergeCell ref="E12:E13"/>
    <mergeCell ref="H12:H13"/>
    <mergeCell ref="I12:J12"/>
    <mergeCell ref="A7:J7"/>
    <mergeCell ref="K24:K26"/>
    <mergeCell ref="I1:J1"/>
    <mergeCell ref="I2:J2"/>
    <mergeCell ref="I3:J3"/>
    <mergeCell ref="A5:J5"/>
    <mergeCell ref="A8:J8"/>
    <mergeCell ref="A34:A35"/>
    <mergeCell ref="B34:B35"/>
    <mergeCell ref="C34:C35"/>
    <mergeCell ref="E34:E35"/>
    <mergeCell ref="F34:F35"/>
    <mergeCell ref="F244:F245"/>
    <mergeCell ref="G244:G245"/>
    <mergeCell ref="H244:H245"/>
    <mergeCell ref="A174:A175"/>
    <mergeCell ref="B174:B175"/>
    <mergeCell ref="C174:C175"/>
    <mergeCell ref="E174:E175"/>
    <mergeCell ref="F174:F175"/>
    <mergeCell ref="H174:H175"/>
    <mergeCell ref="C244:C245"/>
    <mergeCell ref="E244:E245"/>
    <mergeCell ref="C323:C324"/>
    <mergeCell ref="G323:G324"/>
    <mergeCell ref="D370:E370"/>
    <mergeCell ref="D367:E367"/>
    <mergeCell ref="D368:E368"/>
    <mergeCell ref="L365:M417"/>
    <mergeCell ref="A244:A245"/>
    <mergeCell ref="B244:B245"/>
    <mergeCell ref="G128:G129"/>
    <mergeCell ref="H128:H129"/>
    <mergeCell ref="I128:I129"/>
    <mergeCell ref="J128:J129"/>
    <mergeCell ref="G174:G175"/>
    <mergeCell ref="D371:J371"/>
    <mergeCell ref="A365:J365"/>
    <mergeCell ref="H323:H324"/>
    <mergeCell ref="I323:I324"/>
    <mergeCell ref="J323:J324"/>
    <mergeCell ref="D323:D324"/>
    <mergeCell ref="A323:A324"/>
    <mergeCell ref="B323:B324"/>
  </mergeCells>
  <pageMargins left="0.23622047244094491" right="0.27559055118110237" top="0.27559055118110237" bottom="0.15748031496062992" header="0.23622047244094491" footer="0.27559055118110237"/>
  <pageSetup paperSize="9" scale="17" fitToHeight="0" orientation="landscape" r:id="rId1"/>
  <headerFooter alignWithMargins="0">
    <oddFooter>&amp;C&amp;"Times New Roman Cyr,курсив"Сторінка &amp;P з &amp;N</oddFooter>
  </headerFooter>
  <rowBreaks count="2" manualBreakCount="2">
    <brk id="338" max="9" man="1"/>
    <brk id="370"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Аркуш6"/>
  <dimension ref="A1:J168"/>
  <sheetViews>
    <sheetView view="pageBreakPreview" topLeftCell="A30" zoomScale="85" zoomScaleNormal="85" zoomScaleSheetLayoutView="85" workbookViewId="0">
      <selection activeCell="A39" sqref="A39:XFD39"/>
    </sheetView>
  </sheetViews>
  <sheetFormatPr defaultColWidth="9.140625" defaultRowHeight="12.75" x14ac:dyDescent="0.2"/>
  <cols>
    <col min="1" max="1" width="18.140625" style="97" customWidth="1"/>
    <col min="2" max="2" width="108.42578125" style="97" customWidth="1"/>
    <col min="3" max="3" width="4" style="97" hidden="1" customWidth="1"/>
    <col min="4" max="4" width="22.85546875" style="97" customWidth="1"/>
    <col min="5" max="5" width="14.7109375" style="97" customWidth="1"/>
    <col min="6" max="6" width="21.85546875" style="97" bestFit="1" customWidth="1"/>
    <col min="7" max="7" width="18.85546875" style="97" bestFit="1" customWidth="1"/>
    <col min="8" max="9" width="9.140625" style="97"/>
    <col min="10" max="10" width="52.5703125" style="97" customWidth="1"/>
    <col min="11" max="16384" width="9.140625" style="97"/>
  </cols>
  <sheetData>
    <row r="1" spans="1:9" ht="16.5" customHeight="1" x14ac:dyDescent="0.2">
      <c r="A1" s="303"/>
      <c r="B1" s="303"/>
      <c r="C1" s="708" t="s">
        <v>590</v>
      </c>
      <c r="D1" s="708"/>
      <c r="E1" s="304"/>
      <c r="F1" s="304"/>
      <c r="G1" s="303"/>
      <c r="H1" s="303"/>
      <c r="I1" s="303"/>
    </row>
    <row r="2" spans="1:9" ht="16.5" customHeight="1" x14ac:dyDescent="0.2">
      <c r="A2" s="303"/>
      <c r="B2" s="303"/>
      <c r="C2" s="903" t="s">
        <v>1633</v>
      </c>
      <c r="D2" s="904"/>
      <c r="E2" s="904"/>
      <c r="F2" s="904"/>
      <c r="G2" s="303"/>
      <c r="H2" s="303"/>
      <c r="I2" s="303"/>
    </row>
    <row r="3" spans="1:9" ht="17.45" customHeight="1" x14ac:dyDescent="0.2">
      <c r="A3" s="303"/>
      <c r="B3" s="303"/>
      <c r="C3" s="708" t="s">
        <v>1632</v>
      </c>
      <c r="D3" s="898"/>
      <c r="E3" s="303"/>
      <c r="F3" s="303"/>
      <c r="G3" s="303"/>
      <c r="H3" s="303"/>
      <c r="I3" s="303"/>
    </row>
    <row r="4" spans="1:9" ht="12.75" customHeight="1" x14ac:dyDescent="0.2">
      <c r="A4" s="303"/>
      <c r="B4" s="303"/>
      <c r="C4" s="708"/>
      <c r="D4" s="711"/>
      <c r="E4" s="303"/>
      <c r="F4" s="303"/>
      <c r="G4" s="303"/>
      <c r="H4" s="303"/>
      <c r="I4" s="303"/>
    </row>
    <row r="5" spans="1:9" ht="16.5" x14ac:dyDescent="0.25">
      <c r="A5" s="886" t="s">
        <v>567</v>
      </c>
      <c r="B5" s="886"/>
      <c r="C5" s="886"/>
      <c r="D5" s="711"/>
      <c r="E5" s="905"/>
      <c r="F5" s="906"/>
      <c r="G5" s="906"/>
      <c r="H5" s="906"/>
      <c r="I5" s="713"/>
    </row>
    <row r="6" spans="1:9" ht="16.5" x14ac:dyDescent="0.25">
      <c r="A6" s="886" t="s">
        <v>566</v>
      </c>
      <c r="B6" s="886"/>
      <c r="C6" s="886"/>
      <c r="D6" s="711"/>
      <c r="E6" s="98"/>
      <c r="F6" s="99"/>
      <c r="G6" s="99"/>
      <c r="H6" s="99"/>
      <c r="I6" s="305"/>
    </row>
    <row r="7" spans="1:9" ht="16.5" x14ac:dyDescent="0.25">
      <c r="A7" s="887" t="s">
        <v>126</v>
      </c>
      <c r="B7" s="887"/>
      <c r="C7" s="887"/>
      <c r="D7" s="888"/>
      <c r="E7" s="905"/>
      <c r="F7" s="905"/>
      <c r="G7" s="905"/>
      <c r="H7" s="905"/>
      <c r="I7" s="709"/>
    </row>
    <row r="8" spans="1:9" ht="16.5" x14ac:dyDescent="0.2">
      <c r="A8" s="887" t="s">
        <v>1504</v>
      </c>
      <c r="B8" s="887"/>
      <c r="C8" s="887"/>
      <c r="D8" s="888"/>
      <c r="E8" s="907"/>
      <c r="F8" s="907"/>
      <c r="G8" s="907"/>
      <c r="H8" s="907"/>
      <c r="I8" s="908"/>
    </row>
    <row r="9" spans="1:9" ht="16.5" x14ac:dyDescent="0.2">
      <c r="A9" s="96"/>
      <c r="B9" s="96"/>
      <c r="C9" s="96"/>
      <c r="D9" s="306"/>
      <c r="E9" s="100"/>
      <c r="F9" s="100"/>
      <c r="G9" s="100"/>
      <c r="H9" s="100"/>
      <c r="I9" s="307"/>
    </row>
    <row r="10" spans="1:9" ht="16.5" x14ac:dyDescent="0.2">
      <c r="A10" s="465">
        <v>2256400000</v>
      </c>
      <c r="B10" s="553"/>
      <c r="C10" s="554"/>
      <c r="D10" s="306"/>
      <c r="E10" s="555"/>
      <c r="F10" s="555"/>
      <c r="G10" s="555"/>
      <c r="H10" s="100"/>
      <c r="I10" s="307"/>
    </row>
    <row r="11" spans="1:9" ht="16.5" x14ac:dyDescent="0.2">
      <c r="A11" s="458" t="s">
        <v>489</v>
      </c>
      <c r="B11" s="459"/>
      <c r="C11" s="554"/>
      <c r="D11" s="306"/>
      <c r="E11" s="555"/>
      <c r="F11" s="555"/>
      <c r="G11" s="555"/>
      <c r="H11" s="100"/>
      <c r="I11" s="307"/>
    </row>
    <row r="12" spans="1:9" ht="17.25" thickBot="1" x14ac:dyDescent="0.25">
      <c r="A12" s="556"/>
      <c r="B12" s="556"/>
      <c r="C12" s="557"/>
      <c r="D12" s="557" t="s">
        <v>404</v>
      </c>
      <c r="E12" s="555"/>
      <c r="F12" s="555"/>
      <c r="G12" s="558"/>
      <c r="H12" s="303"/>
      <c r="I12" s="303"/>
    </row>
    <row r="13" spans="1:9" s="286" customFormat="1" ht="50.25" customHeight="1" thickTop="1" thickBot="1" x14ac:dyDescent="0.25">
      <c r="A13" s="641" t="s">
        <v>127</v>
      </c>
      <c r="B13" s="899" t="s">
        <v>128</v>
      </c>
      <c r="C13" s="901"/>
      <c r="D13" s="901"/>
      <c r="E13" s="559"/>
      <c r="F13" s="559"/>
      <c r="G13" s="559"/>
      <c r="H13" s="560"/>
      <c r="I13" s="560"/>
    </row>
    <row r="14" spans="1:9" s="286" customFormat="1" ht="39.75" customHeight="1" thickTop="1" thickBot="1" x14ac:dyDescent="0.25">
      <c r="A14" s="561" t="s">
        <v>129</v>
      </c>
      <c r="B14" s="884" t="s">
        <v>130</v>
      </c>
      <c r="C14" s="885"/>
      <c r="D14" s="562">
        <v>200</v>
      </c>
      <c r="E14" s="74"/>
      <c r="F14" s="74"/>
      <c r="G14" s="74"/>
    </row>
    <row r="15" spans="1:9" s="286" customFormat="1" ht="40.700000000000003" customHeight="1" thickTop="1" thickBot="1" x14ac:dyDescent="0.25">
      <c r="A15" s="561" t="s">
        <v>131</v>
      </c>
      <c r="B15" s="884" t="s">
        <v>132</v>
      </c>
      <c r="C15" s="885"/>
      <c r="D15" s="562">
        <f>(2300000)+1000000</f>
        <v>3300000</v>
      </c>
      <c r="E15" s="74"/>
      <c r="F15" s="74"/>
      <c r="G15" s="74"/>
    </row>
    <row r="16" spans="1:9" s="286" customFormat="1" ht="66" customHeight="1" thickTop="1" thickBot="1" x14ac:dyDescent="0.25">
      <c r="A16" s="561" t="s">
        <v>133</v>
      </c>
      <c r="B16" s="884" t="s">
        <v>1224</v>
      </c>
      <c r="C16" s="885"/>
      <c r="D16" s="562">
        <f>(350000)+300000</f>
        <v>650000</v>
      </c>
      <c r="E16" s="74"/>
      <c r="F16" s="74"/>
      <c r="G16" s="74"/>
    </row>
    <row r="17" spans="1:7" s="286" customFormat="1" ht="41.25" customHeight="1" thickTop="1" thickBot="1" x14ac:dyDescent="0.25">
      <c r="A17" s="561" t="s">
        <v>996</v>
      </c>
      <c r="B17" s="884" t="s">
        <v>997</v>
      </c>
      <c r="C17" s="885"/>
      <c r="D17" s="562">
        <v>2000000</v>
      </c>
      <c r="E17" s="74"/>
      <c r="F17" s="74"/>
      <c r="G17" s="74"/>
    </row>
    <row r="18" spans="1:7" s="286" customFormat="1" ht="41.25" customHeight="1" thickTop="1" thickBot="1" x14ac:dyDescent="0.25">
      <c r="A18" s="561" t="s">
        <v>134</v>
      </c>
      <c r="B18" s="884" t="s">
        <v>135</v>
      </c>
      <c r="C18" s="885"/>
      <c r="D18" s="562">
        <v>600</v>
      </c>
      <c r="E18" s="74"/>
      <c r="F18" s="74"/>
      <c r="G18" s="74"/>
    </row>
    <row r="19" spans="1:7" s="286" customFormat="1" ht="41.25" customHeight="1" thickTop="1" thickBot="1" x14ac:dyDescent="0.25">
      <c r="A19" s="561" t="s">
        <v>1225</v>
      </c>
      <c r="B19" s="884" t="s">
        <v>1226</v>
      </c>
      <c r="C19" s="885"/>
      <c r="D19" s="562">
        <v>415000</v>
      </c>
      <c r="E19" s="74"/>
      <c r="F19" s="74"/>
      <c r="G19" s="74"/>
    </row>
    <row r="20" spans="1:7" s="286" customFormat="1" ht="41.25" customHeight="1" thickTop="1" thickBot="1" x14ac:dyDescent="0.25">
      <c r="A20" s="561" t="s">
        <v>1227</v>
      </c>
      <c r="B20" s="884" t="s">
        <v>1228</v>
      </c>
      <c r="C20" s="885"/>
      <c r="D20" s="562">
        <v>150000</v>
      </c>
      <c r="E20" s="882" t="s">
        <v>1270</v>
      </c>
      <c r="F20" s="883"/>
      <c r="G20" s="74"/>
    </row>
    <row r="21" spans="1:7" s="286" customFormat="1" ht="18.75" thickTop="1" thickBot="1" x14ac:dyDescent="0.25">
      <c r="A21" s="561"/>
      <c r="B21" s="894" t="s">
        <v>136</v>
      </c>
      <c r="C21" s="885"/>
      <c r="D21" s="563">
        <f>SUM(D14:D20)</f>
        <v>6515800</v>
      </c>
      <c r="E21" s="74"/>
      <c r="F21" s="74"/>
      <c r="G21" s="74"/>
    </row>
    <row r="22" spans="1:7" s="286" customFormat="1" ht="18.75" hidden="1" thickTop="1" thickBot="1" x14ac:dyDescent="0.25">
      <c r="A22" s="287"/>
      <c r="B22" s="892" t="s">
        <v>438</v>
      </c>
      <c r="C22" s="893"/>
      <c r="D22" s="448"/>
      <c r="E22" s="74"/>
      <c r="F22" s="74"/>
      <c r="G22" s="74"/>
    </row>
    <row r="23" spans="1:7" s="286" customFormat="1" ht="18.75" hidden="1" thickTop="1" thickBot="1" x14ac:dyDescent="0.25">
      <c r="A23" s="287"/>
      <c r="B23" s="892" t="s">
        <v>1223</v>
      </c>
      <c r="C23" s="893"/>
      <c r="D23" s="448">
        <v>0</v>
      </c>
      <c r="E23" s="74"/>
      <c r="F23" s="74"/>
      <c r="G23" s="74"/>
    </row>
    <row r="24" spans="1:7" s="286" customFormat="1" ht="26.45" customHeight="1" thickTop="1" thickBot="1" x14ac:dyDescent="0.25">
      <c r="A24" s="642" t="s">
        <v>381</v>
      </c>
      <c r="B24" s="895" t="s">
        <v>493</v>
      </c>
      <c r="C24" s="902"/>
      <c r="D24" s="643">
        <f>D21+D23</f>
        <v>6515800</v>
      </c>
      <c r="E24" s="671" t="b">
        <f>D24='d1'!E111+D23</f>
        <v>1</v>
      </c>
      <c r="G24" s="74"/>
    </row>
    <row r="25" spans="1:7" s="286" customFormat="1" ht="47.25" customHeight="1" thickTop="1" thickBot="1" x14ac:dyDescent="0.25">
      <c r="A25" s="641" t="s">
        <v>127</v>
      </c>
      <c r="B25" s="899" t="s">
        <v>137</v>
      </c>
      <c r="C25" s="900"/>
      <c r="D25" s="900"/>
      <c r="E25" s="74"/>
      <c r="F25" s="74"/>
      <c r="G25" s="74"/>
    </row>
    <row r="26" spans="1:7" s="286" customFormat="1" ht="43.5" customHeight="1" thickTop="1" thickBot="1" x14ac:dyDescent="0.25">
      <c r="A26" s="561" t="s">
        <v>138</v>
      </c>
      <c r="B26" s="884" t="s">
        <v>139</v>
      </c>
      <c r="C26" s="885"/>
      <c r="D26" s="562">
        <v>30000</v>
      </c>
      <c r="E26" s="74"/>
      <c r="F26" s="74"/>
      <c r="G26" s="74"/>
    </row>
    <row r="27" spans="1:7" s="286" customFormat="1" ht="44.45" customHeight="1" thickTop="1" thickBot="1" x14ac:dyDescent="0.25">
      <c r="A27" s="561" t="s">
        <v>140</v>
      </c>
      <c r="B27" s="884" t="s">
        <v>141</v>
      </c>
      <c r="C27" s="885"/>
      <c r="D27" s="562">
        <v>150600</v>
      </c>
      <c r="E27" s="74"/>
      <c r="F27" s="74"/>
      <c r="G27" s="74"/>
    </row>
    <row r="28" spans="1:7" s="286" customFormat="1" ht="44.45" hidden="1" customHeight="1" thickTop="1" thickBot="1" x14ac:dyDescent="0.25">
      <c r="A28" s="561" t="s">
        <v>469</v>
      </c>
      <c r="B28" s="884" t="s">
        <v>408</v>
      </c>
      <c r="C28" s="885"/>
      <c r="D28" s="562">
        <v>0</v>
      </c>
      <c r="E28" s="74"/>
      <c r="F28" s="74"/>
      <c r="G28" s="74"/>
    </row>
    <row r="29" spans="1:7" s="286" customFormat="1" ht="32.25" customHeight="1" thickTop="1" thickBot="1" x14ac:dyDescent="0.25">
      <c r="A29" s="561" t="s">
        <v>142</v>
      </c>
      <c r="B29" s="884" t="s">
        <v>144</v>
      </c>
      <c r="C29" s="885"/>
      <c r="D29" s="562">
        <v>330000</v>
      </c>
      <c r="E29" s="74"/>
      <c r="F29" s="74"/>
      <c r="G29" s="74"/>
    </row>
    <row r="30" spans="1:7" s="286" customFormat="1" ht="55.5" customHeight="1" thickTop="1" thickBot="1" x14ac:dyDescent="0.25">
      <c r="A30" s="561" t="s">
        <v>143</v>
      </c>
      <c r="B30" s="884" t="s">
        <v>1465</v>
      </c>
      <c r="C30" s="885"/>
      <c r="D30" s="562">
        <f>(4205200)-500000-1500000-50000-50000</f>
        <v>2105200</v>
      </c>
      <c r="E30" s="74"/>
      <c r="F30" s="74"/>
      <c r="G30" s="74"/>
    </row>
    <row r="31" spans="1:7" s="286" customFormat="1" ht="104.25" hidden="1" customHeight="1" thickTop="1" thickBot="1" x14ac:dyDescent="0.25">
      <c r="A31" s="561" t="s">
        <v>145</v>
      </c>
      <c r="B31" s="884" t="s">
        <v>1192</v>
      </c>
      <c r="C31" s="885"/>
      <c r="D31" s="562">
        <v>0</v>
      </c>
      <c r="E31" s="74"/>
      <c r="F31" s="74"/>
      <c r="G31" s="74"/>
    </row>
    <row r="32" spans="1:7" s="286" customFormat="1" ht="51" hidden="1" thickTop="1" thickBot="1" x14ac:dyDescent="0.25">
      <c r="A32" s="564" t="s">
        <v>984</v>
      </c>
      <c r="B32" s="565" t="s">
        <v>985</v>
      </c>
      <c r="C32" s="566"/>
      <c r="D32" s="567">
        <v>0</v>
      </c>
      <c r="E32" s="74"/>
      <c r="F32" s="74"/>
      <c r="G32" s="74"/>
    </row>
    <row r="33" spans="1:7" s="286" customFormat="1" ht="17.25" hidden="1" thickTop="1" thickBot="1" x14ac:dyDescent="0.25">
      <c r="A33" s="561" t="s">
        <v>470</v>
      </c>
      <c r="B33" s="884" t="s">
        <v>146</v>
      </c>
      <c r="C33" s="885"/>
      <c r="D33" s="562">
        <f>(20000)-20000</f>
        <v>0</v>
      </c>
      <c r="E33" s="74"/>
      <c r="F33" s="74"/>
      <c r="G33" s="74"/>
    </row>
    <row r="34" spans="1:7" s="286" customFormat="1" ht="17.25" hidden="1" thickTop="1" thickBot="1" x14ac:dyDescent="0.25">
      <c r="A34" s="561" t="s">
        <v>470</v>
      </c>
      <c r="B34" s="884" t="s">
        <v>146</v>
      </c>
      <c r="C34" s="885"/>
      <c r="D34" s="562"/>
      <c r="E34" s="74"/>
      <c r="F34" s="74"/>
      <c r="G34" s="74"/>
    </row>
    <row r="35" spans="1:7" s="286" customFormat="1" ht="157.69999999999999" customHeight="1" thickTop="1" thickBot="1" x14ac:dyDescent="0.25">
      <c r="A35" s="561" t="s">
        <v>471</v>
      </c>
      <c r="B35" s="897" t="s">
        <v>1229</v>
      </c>
      <c r="C35" s="711"/>
      <c r="D35" s="568">
        <f>(500000)+3400000</f>
        <v>3900000</v>
      </c>
      <c r="E35" s="74"/>
      <c r="F35" s="74"/>
      <c r="G35" s="74"/>
    </row>
    <row r="36" spans="1:7" s="286" customFormat="1" ht="27.75" customHeight="1" thickTop="1" thickBot="1" x14ac:dyDescent="0.25">
      <c r="A36" s="642" t="s">
        <v>381</v>
      </c>
      <c r="B36" s="895" t="s">
        <v>493</v>
      </c>
      <c r="C36" s="896"/>
      <c r="D36" s="643">
        <f>SUM(D26:D35)</f>
        <v>6515800</v>
      </c>
      <c r="E36" s="671" t="b">
        <f>D24=D36</f>
        <v>1</v>
      </c>
      <c r="F36" s="671" t="b">
        <f>D36='d3'!J33+'d3'!J196+'d3'!J277+'d3'!J308+'d3'!J341</f>
        <v>1</v>
      </c>
      <c r="G36" s="671" t="b">
        <f>D36='d7'!G282+'d7'!G244+'d7'!G174+'d7'!G34+'d7'!G307</f>
        <v>1</v>
      </c>
    </row>
    <row r="37" spans="1:7" s="292" customFormat="1" ht="27.75" customHeight="1" thickTop="1" x14ac:dyDescent="0.2">
      <c r="A37" s="288"/>
      <c r="B37" s="289"/>
      <c r="C37" s="290"/>
      <c r="D37" s="291"/>
      <c r="E37" s="10"/>
      <c r="F37" s="10"/>
    </row>
    <row r="38" spans="1:7" ht="15.75" x14ac:dyDescent="0.25">
      <c r="B38" s="858" t="s">
        <v>1458</v>
      </c>
      <c r="C38" s="853"/>
      <c r="D38" s="364" t="s">
        <v>1459</v>
      </c>
      <c r="E38" s="1"/>
      <c r="F38" s="364"/>
    </row>
    <row r="39" spans="1:7" ht="15.75" hidden="1" x14ac:dyDescent="0.25">
      <c r="B39" s="340" t="s">
        <v>1423</v>
      </c>
      <c r="C39" s="341"/>
      <c r="D39" s="340" t="s">
        <v>1424</v>
      </c>
      <c r="E39" s="1"/>
      <c r="F39" s="364"/>
    </row>
    <row r="40" spans="1:7" ht="15" x14ac:dyDescent="0.25">
      <c r="B40" s="340"/>
      <c r="C40" s="340"/>
      <c r="D40" s="340"/>
      <c r="E40" s="11"/>
    </row>
    <row r="41" spans="1:7" ht="22.7" customHeight="1" x14ac:dyDescent="0.65">
      <c r="A41" s="293" t="s">
        <v>524</v>
      </c>
      <c r="B41" s="858" t="s">
        <v>522</v>
      </c>
      <c r="C41" s="853"/>
      <c r="D41" s="340" t="s">
        <v>1326</v>
      </c>
      <c r="E41" s="3"/>
    </row>
    <row r="42" spans="1:7" ht="18.75" x14ac:dyDescent="0.2">
      <c r="A42" s="293"/>
      <c r="B42" s="293"/>
      <c r="C42" s="293"/>
    </row>
    <row r="43" spans="1:7" ht="18.75" x14ac:dyDescent="0.2">
      <c r="A43" s="891"/>
      <c r="B43" s="891"/>
      <c r="C43" s="294"/>
    </row>
    <row r="49" spans="1:4" ht="16.5" x14ac:dyDescent="0.2">
      <c r="A49" s="890"/>
      <c r="B49" s="295"/>
      <c r="C49" s="296"/>
      <c r="D49" s="297"/>
    </row>
    <row r="50" spans="1:4" ht="16.5" x14ac:dyDescent="0.2">
      <c r="A50" s="890"/>
      <c r="B50" s="298"/>
      <c r="C50" s="296"/>
      <c r="D50" s="297"/>
    </row>
    <row r="51" spans="1:4" ht="16.5" x14ac:dyDescent="0.2">
      <c r="A51" s="890"/>
      <c r="B51" s="299"/>
      <c r="C51" s="296"/>
      <c r="D51" s="297"/>
    </row>
    <row r="52" spans="1:4" ht="16.5" x14ac:dyDescent="0.2">
      <c r="A52" s="890"/>
      <c r="B52" s="295"/>
      <c r="C52" s="296"/>
      <c r="D52" s="297"/>
    </row>
    <row r="53" spans="1:4" ht="16.5" x14ac:dyDescent="0.2">
      <c r="A53" s="890"/>
      <c r="B53" s="295" t="s">
        <v>1595</v>
      </c>
      <c r="C53" s="296"/>
      <c r="D53" s="297"/>
    </row>
    <row r="84" spans="6:6" x14ac:dyDescent="0.2">
      <c r="F84" s="889"/>
    </row>
    <row r="85" spans="6:6" x14ac:dyDescent="0.2">
      <c r="F85" s="800"/>
    </row>
    <row r="121" spans="4:6" x14ac:dyDescent="0.2">
      <c r="D121" s="97">
        <f>SUM(D122:D134)+D141</f>
        <v>88281</v>
      </c>
      <c r="F121" s="97">
        <f>G121+H121</f>
        <v>0</v>
      </c>
    </row>
    <row r="123" spans="4:6" x14ac:dyDescent="0.2">
      <c r="F123" s="97">
        <f t="shared" ref="F123:F133" si="0">G123+H123</f>
        <v>0</v>
      </c>
    </row>
    <row r="124" spans="4:6" x14ac:dyDescent="0.2">
      <c r="F124" s="97">
        <f t="shared" si="0"/>
        <v>0</v>
      </c>
    </row>
    <row r="125" spans="4:6" x14ac:dyDescent="0.2">
      <c r="F125" s="97">
        <f t="shared" si="0"/>
        <v>0</v>
      </c>
    </row>
    <row r="126" spans="4:6" x14ac:dyDescent="0.2">
      <c r="F126" s="97">
        <f t="shared" si="0"/>
        <v>0</v>
      </c>
    </row>
    <row r="127" spans="4:6" x14ac:dyDescent="0.2">
      <c r="F127" s="97">
        <f t="shared" si="0"/>
        <v>0</v>
      </c>
    </row>
    <row r="128" spans="4:6" x14ac:dyDescent="0.2">
      <c r="F128" s="97">
        <f t="shared" si="0"/>
        <v>0</v>
      </c>
    </row>
    <row r="129" spans="1:10" x14ac:dyDescent="0.2">
      <c r="F129" s="97">
        <f t="shared" si="0"/>
        <v>0</v>
      </c>
    </row>
    <row r="130" spans="1:10" x14ac:dyDescent="0.2">
      <c r="F130" s="97">
        <f t="shared" si="0"/>
        <v>0</v>
      </c>
    </row>
    <row r="131" spans="1:10" x14ac:dyDescent="0.2">
      <c r="F131" s="97">
        <f t="shared" si="0"/>
        <v>0</v>
      </c>
    </row>
    <row r="132" spans="1:10" x14ac:dyDescent="0.2">
      <c r="F132" s="97">
        <f t="shared" si="0"/>
        <v>0</v>
      </c>
    </row>
    <row r="133" spans="1:10" x14ac:dyDescent="0.2">
      <c r="F133" s="97">
        <f t="shared" si="0"/>
        <v>0</v>
      </c>
    </row>
    <row r="135" spans="1:10" x14ac:dyDescent="0.2">
      <c r="F135" s="97">
        <f>G136+H136</f>
        <v>0</v>
      </c>
    </row>
    <row r="136" spans="1:10" x14ac:dyDescent="0.2">
      <c r="F136" s="97">
        <f t="shared" ref="F136" si="1">G136+H136</f>
        <v>0</v>
      </c>
    </row>
    <row r="137" spans="1:10" x14ac:dyDescent="0.2">
      <c r="F137" s="97">
        <f>G137+H137</f>
        <v>0</v>
      </c>
    </row>
    <row r="138" spans="1:10" x14ac:dyDescent="0.2">
      <c r="F138" s="97">
        <f>G138+H138</f>
        <v>0</v>
      </c>
    </row>
    <row r="139" spans="1:10" x14ac:dyDescent="0.2">
      <c r="F139" s="97">
        <f>G139+H139</f>
        <v>0</v>
      </c>
    </row>
    <row r="140" spans="1:10" x14ac:dyDescent="0.2">
      <c r="F140" s="97">
        <f>G140+H140</f>
        <v>0</v>
      </c>
    </row>
    <row r="141" spans="1:10" x14ac:dyDescent="0.2">
      <c r="A141" s="97">
        <v>41057700</v>
      </c>
      <c r="B141" s="97" t="s">
        <v>1357</v>
      </c>
      <c r="D141" s="97">
        <v>88281</v>
      </c>
    </row>
    <row r="142" spans="1:10" x14ac:dyDescent="0.2">
      <c r="G142" s="97" t="b">
        <f>C142=C138+C137+C136+C116+C110+C104+C98+C97+C93+C92+C91+C90+C87+C86+C85+C84+C82+C81+C79+C77+C76+C75+C72+C71+C70+C68+C67+C63+C62+C61+C58+C57+C56+C54+C53+C49+C48+C47+C46+C45+C44+C43+C42+C41+C40+C35+C33+C30+C28+C26+C23+C21+C20+C19+C18+C102+C101+C36+C51+C127+C126+C108+C141</f>
        <v>1</v>
      </c>
      <c r="H142" s="97" t="e">
        <f>D142=D138+D137+D136+D116+D110+D104+D98+D97+D93+D92+D91+D90+D87+D86+D85+D84+D82+D81+D79+D77+D76+D75+D72+D71+D70+D68+D67+D63+D62+D61+D58+D57+D56+D54+D53+D49+D48+D47+D46+D45+D44+D43+D42+D41+D40+D35+D33+D30+D28+D26+D23+D21+D20+D19+D18+D102+D101+D36+D51+D127+D126+D108+D141</f>
        <v>#VALUE!</v>
      </c>
      <c r="I142" s="97" t="e">
        <f>E142=E138+E137+E136+E116+E110+E104+E98+E97+E93+E92+E91+E90+E87+E86+E85+E84+E82+E81+E79+E77+E76+E75+E72+E71+E70+E68+E67+E63+E62+E61+E58+E57+E56+E54+E53+E49+E48+E47+E46+E45+E44+E43+E42+E41+E40+E35+E33+E30+E28+E26+E23+E21+E20+E19+E18+E102+E101+E36+E51+E127+E126+E108+E141</f>
        <v>#VALUE!</v>
      </c>
      <c r="J142" s="97" t="b">
        <f>F142=F138+F137+F136+F116+F110+F104+F98+F97+F93+F92+F91+F90+F87+F86+F85+F84+F82+F81+F79+F77+F76+F75+F72+F71+F70+F68+F67+F63+F62+F61+F58+F57+F56+F54+F53+F49+F48+F47+F46+F45+F44+F43+F42+F41+F40+F35+F33+F30+F28+F26+F23+F21+F20+F19+F18+F102+F101+F36+F51+F127+F126+F108+F141</f>
        <v>0</v>
      </c>
    </row>
    <row r="143" spans="1:10" x14ac:dyDescent="0.2">
      <c r="G143" s="97" t="b">
        <f>(3453807039-'d2'!C37+7423154+961639+622418100+3715400+4544686)+16400+4309689+6350319+16579700+88281=C142</f>
        <v>0</v>
      </c>
    </row>
    <row r="146" spans="6:9" ht="46.5" x14ac:dyDescent="0.2">
      <c r="I146" s="12"/>
    </row>
    <row r="149" spans="6:9" ht="46.5" x14ac:dyDescent="0.2">
      <c r="F149" s="12">
        <f>G149+H149</f>
        <v>0</v>
      </c>
      <c r="I149" s="12"/>
    </row>
    <row r="168" spans="10:10" ht="90" x14ac:dyDescent="0.2">
      <c r="J168" s="300" t="b">
        <f>F168=G168+H168</f>
        <v>1</v>
      </c>
    </row>
  </sheetData>
  <mergeCells count="40">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 ref="F84:F85"/>
    <mergeCell ref="A49:A53"/>
    <mergeCell ref="A43:B43"/>
    <mergeCell ref="B22:C22"/>
    <mergeCell ref="B21:C21"/>
    <mergeCell ref="B36:C36"/>
    <mergeCell ref="B35:C35"/>
    <mergeCell ref="B33:C33"/>
    <mergeCell ref="B31:C31"/>
    <mergeCell ref="B30:C30"/>
    <mergeCell ref="B23:C23"/>
    <mergeCell ref="B41:C41"/>
    <mergeCell ref="B38:C38"/>
    <mergeCell ref="B16:C16"/>
    <mergeCell ref="B15:C15"/>
    <mergeCell ref="B14:C14"/>
    <mergeCell ref="A5:D5"/>
    <mergeCell ref="A7:D7"/>
    <mergeCell ref="A6:D6"/>
    <mergeCell ref="E20:F20"/>
    <mergeCell ref="B17:C17"/>
    <mergeCell ref="B19:C19"/>
    <mergeCell ref="B20:C20"/>
    <mergeCell ref="B34:C34"/>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1"/>
  <sheetViews>
    <sheetView view="pageBreakPreview" zoomScale="70" zoomScaleNormal="85" zoomScaleSheetLayoutView="70" workbookViewId="0">
      <selection activeCell="A26" sqref="A26:XFD26"/>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69"/>
      <c r="B1" s="469"/>
      <c r="C1" s="469"/>
      <c r="D1" s="469"/>
      <c r="E1" s="469"/>
      <c r="F1" s="469" t="s">
        <v>591</v>
      </c>
      <c r="G1"/>
      <c r="H1"/>
      <c r="I1"/>
    </row>
    <row r="2" spans="1:10" x14ac:dyDescent="0.2">
      <c r="A2" s="469"/>
      <c r="B2" s="469"/>
      <c r="C2" s="469"/>
      <c r="D2" s="469"/>
      <c r="E2" s="469"/>
      <c r="F2" s="469" t="s">
        <v>956</v>
      </c>
      <c r="G2"/>
      <c r="H2"/>
      <c r="I2"/>
    </row>
    <row r="3" spans="1:10" x14ac:dyDescent="0.2">
      <c r="A3" s="469"/>
      <c r="B3" s="469"/>
      <c r="C3" s="469"/>
      <c r="D3" s="469"/>
      <c r="E3" s="469"/>
      <c r="F3" s="911" t="s">
        <v>1631</v>
      </c>
      <c r="G3" s="821"/>
      <c r="H3" s="821"/>
      <c r="I3" s="821"/>
    </row>
    <row r="4" spans="1:10" ht="15.75" x14ac:dyDescent="0.25">
      <c r="A4" s="912" t="s">
        <v>569</v>
      </c>
      <c r="B4" s="725"/>
      <c r="C4" s="725"/>
      <c r="D4" s="725"/>
      <c r="E4" s="725"/>
      <c r="F4" s="725"/>
      <c r="G4"/>
      <c r="H4"/>
      <c r="I4"/>
    </row>
    <row r="5" spans="1:10" ht="15.75" x14ac:dyDescent="0.25">
      <c r="A5" s="912" t="s">
        <v>568</v>
      </c>
      <c r="B5" s="725"/>
      <c r="C5" s="725"/>
      <c r="D5" s="725"/>
      <c r="E5" s="725"/>
      <c r="F5" s="725"/>
      <c r="G5"/>
      <c r="H5"/>
      <c r="I5"/>
    </row>
    <row r="6" spans="1:10" ht="15.75" x14ac:dyDescent="0.25">
      <c r="A6" s="912" t="s">
        <v>892</v>
      </c>
      <c r="B6" s="725"/>
      <c r="C6" s="725"/>
      <c r="D6" s="725"/>
      <c r="E6" s="725"/>
      <c r="F6" s="725"/>
      <c r="G6"/>
      <c r="H6"/>
      <c r="I6"/>
    </row>
    <row r="7" spans="1:10" ht="15.75" x14ac:dyDescent="0.25">
      <c r="A7"/>
      <c r="B7"/>
      <c r="C7" s="912" t="s">
        <v>1486</v>
      </c>
      <c r="D7" s="725"/>
      <c r="E7" s="725"/>
      <c r="F7"/>
      <c r="G7"/>
      <c r="H7"/>
      <c r="I7"/>
    </row>
    <row r="8" spans="1:10" ht="12.75" customHeight="1" x14ac:dyDescent="0.25">
      <c r="A8" s="470"/>
      <c r="B8" s="470"/>
      <c r="C8" s="470"/>
      <c r="D8" s="470"/>
      <c r="E8" s="470"/>
      <c r="F8" s="470"/>
      <c r="G8" s="470"/>
      <c r="H8" s="470"/>
      <c r="I8" s="470"/>
      <c r="J8" s="301"/>
    </row>
    <row r="9" spans="1:10" x14ac:dyDescent="0.2">
      <c r="A9" s="795">
        <v>2256400000</v>
      </c>
      <c r="B9" s="725"/>
      <c r="C9" s="466"/>
      <c r="D9" s="466"/>
      <c r="E9" s="466"/>
      <c r="F9" s="466"/>
      <c r="G9"/>
      <c r="H9"/>
      <c r="I9"/>
    </row>
    <row r="10" spans="1:10" x14ac:dyDescent="0.2">
      <c r="A10" s="797" t="s">
        <v>489</v>
      </c>
      <c r="B10" s="909"/>
      <c r="C10" s="466"/>
      <c r="D10" s="466"/>
      <c r="E10" s="466"/>
      <c r="F10" s="466"/>
      <c r="G10"/>
      <c r="H10"/>
      <c r="I10"/>
    </row>
    <row r="11" spans="1:10" ht="13.5" thickBot="1" x14ac:dyDescent="0.25">
      <c r="A11" s="458"/>
      <c r="B11" s="458"/>
      <c r="C11" s="466"/>
      <c r="D11" s="466"/>
      <c r="E11" s="466"/>
      <c r="F11" s="466"/>
      <c r="G11"/>
      <c r="H11"/>
      <c r="I11"/>
    </row>
    <row r="12" spans="1:10" ht="48" customHeight="1" thickTop="1" thickBot="1" x14ac:dyDescent="0.25">
      <c r="A12" s="474" t="s">
        <v>316</v>
      </c>
      <c r="B12" s="475" t="s">
        <v>317</v>
      </c>
      <c r="C12" s="475" t="s">
        <v>20</v>
      </c>
      <c r="D12" s="475" t="s">
        <v>16</v>
      </c>
      <c r="E12" s="474" t="s">
        <v>318</v>
      </c>
      <c r="F12" s="476" t="s">
        <v>405</v>
      </c>
      <c r="G12" s="20"/>
    </row>
    <row r="13" spans="1:10" ht="17.25" thickTop="1" thickBot="1" x14ac:dyDescent="0.25">
      <c r="A13" s="477">
        <v>1</v>
      </c>
      <c r="B13" s="478" t="s">
        <v>1109</v>
      </c>
      <c r="C13" s="478" t="s">
        <v>1110</v>
      </c>
      <c r="D13" s="478" t="s">
        <v>51</v>
      </c>
      <c r="E13" s="479" t="s">
        <v>1487</v>
      </c>
      <c r="F13" s="471">
        <v>80000</v>
      </c>
      <c r="G13" s="20"/>
    </row>
    <row r="14" spans="1:10" ht="87" customHeight="1" thickTop="1" thickBot="1" x14ac:dyDescent="0.25">
      <c r="A14" s="477">
        <v>2</v>
      </c>
      <c r="B14" s="478" t="s">
        <v>1109</v>
      </c>
      <c r="C14" s="478" t="s">
        <v>1110</v>
      </c>
      <c r="D14" s="478" t="s">
        <v>51</v>
      </c>
      <c r="E14" s="479" t="s">
        <v>1488</v>
      </c>
      <c r="F14" s="471">
        <v>120000</v>
      </c>
      <c r="G14" s="20"/>
    </row>
    <row r="15" spans="1:10" ht="17.25" thickTop="1" thickBot="1" x14ac:dyDescent="0.25">
      <c r="A15" s="477">
        <v>3</v>
      </c>
      <c r="B15" s="478" t="s">
        <v>1109</v>
      </c>
      <c r="C15" s="478" t="s">
        <v>1110</v>
      </c>
      <c r="D15" s="478" t="s">
        <v>51</v>
      </c>
      <c r="E15" s="479" t="s">
        <v>1591</v>
      </c>
      <c r="F15" s="472">
        <f>(100000)+200000</f>
        <v>300000</v>
      </c>
      <c r="G15" s="20"/>
    </row>
    <row r="16" spans="1:10" ht="53.45" customHeight="1" thickTop="1" thickBot="1" x14ac:dyDescent="0.25">
      <c r="A16" s="477">
        <v>4</v>
      </c>
      <c r="B16" s="478" t="s">
        <v>1109</v>
      </c>
      <c r="C16" s="478" t="s">
        <v>1110</v>
      </c>
      <c r="D16" s="478" t="s">
        <v>51</v>
      </c>
      <c r="E16" s="479" t="s">
        <v>1489</v>
      </c>
      <c r="F16" s="472">
        <f>(600000)-550000</f>
        <v>50000</v>
      </c>
      <c r="G16" s="20"/>
    </row>
    <row r="17" spans="1:7" ht="80.25" thickTop="1" thickBot="1" x14ac:dyDescent="0.25">
      <c r="A17" s="477">
        <v>5</v>
      </c>
      <c r="B17" s="478" t="s">
        <v>1109</v>
      </c>
      <c r="C17" s="478" t="s">
        <v>1110</v>
      </c>
      <c r="D17" s="478" t="s">
        <v>51</v>
      </c>
      <c r="E17" s="479" t="s">
        <v>1590</v>
      </c>
      <c r="F17" s="472">
        <v>450000</v>
      </c>
      <c r="G17" s="20"/>
    </row>
    <row r="18" spans="1:7" ht="80.25" thickTop="1" thickBot="1" x14ac:dyDescent="0.25">
      <c r="A18" s="477">
        <v>6</v>
      </c>
      <c r="B18" s="478" t="s">
        <v>1109</v>
      </c>
      <c r="C18" s="478" t="s">
        <v>1110</v>
      </c>
      <c r="D18" s="478" t="s">
        <v>51</v>
      </c>
      <c r="E18" s="479" t="s">
        <v>1582</v>
      </c>
      <c r="F18" s="472">
        <v>100000</v>
      </c>
      <c r="G18" s="20"/>
    </row>
    <row r="19" spans="1:7" ht="39.75" customHeight="1" thickTop="1" thickBot="1" x14ac:dyDescent="0.25">
      <c r="A19" s="477">
        <v>7</v>
      </c>
      <c r="B19" s="478" t="s">
        <v>1109</v>
      </c>
      <c r="C19" s="478" t="s">
        <v>1110</v>
      </c>
      <c r="D19" s="478" t="s">
        <v>51</v>
      </c>
      <c r="E19" s="479" t="s">
        <v>1490</v>
      </c>
      <c r="F19" s="473">
        <f>(300000)-200000</f>
        <v>100000</v>
      </c>
      <c r="G19" s="20"/>
    </row>
    <row r="20" spans="1:7" ht="32.25" customHeight="1" thickTop="1" thickBot="1" x14ac:dyDescent="0.25">
      <c r="A20" s="644" t="s">
        <v>381</v>
      </c>
      <c r="B20" s="644" t="s">
        <v>381</v>
      </c>
      <c r="C20" s="644" t="s">
        <v>381</v>
      </c>
      <c r="D20" s="644" t="s">
        <v>381</v>
      </c>
      <c r="E20" s="644" t="s">
        <v>391</v>
      </c>
      <c r="F20" s="645">
        <f>SUM(F13:F19)</f>
        <v>1200000</v>
      </c>
      <c r="G20" s="670" t="b">
        <f>F20='d3'!P399</f>
        <v>1</v>
      </c>
    </row>
    <row r="21" spans="1:7" ht="15" customHeight="1" thickTop="1" x14ac:dyDescent="0.2">
      <c r="A21" s="480"/>
      <c r="B21" s="480"/>
      <c r="C21" s="480"/>
      <c r="D21" s="480"/>
      <c r="E21" s="480"/>
      <c r="F21" s="481"/>
    </row>
    <row r="22" spans="1:7" ht="15.75" hidden="1" customHeight="1" x14ac:dyDescent="0.25">
      <c r="A22" s="460"/>
      <c r="B22" s="1"/>
      <c r="C22" s="482"/>
      <c r="D22" s="1"/>
      <c r="E22" s="1"/>
      <c r="F22" s="1"/>
    </row>
    <row r="23" spans="1:7" ht="27" hidden="1" customHeight="1" x14ac:dyDescent="0.2">
      <c r="A23" s="910" t="s">
        <v>522</v>
      </c>
      <c r="B23" s="910"/>
      <c r="C23" s="910"/>
      <c r="D23" s="910"/>
      <c r="E23" s="460"/>
      <c r="F23" s="484" t="s">
        <v>523</v>
      </c>
    </row>
    <row r="24" spans="1:7" ht="15.75" hidden="1" x14ac:dyDescent="0.2">
      <c r="A24" s="483"/>
      <c r="B24" s="483"/>
      <c r="C24" s="483"/>
      <c r="D24" s="483"/>
      <c r="E24" s="460"/>
      <c r="F24" s="485"/>
    </row>
    <row r="25" spans="1:7" ht="15.75" x14ac:dyDescent="0.25">
      <c r="A25" s="460"/>
      <c r="B25" s="807" t="s">
        <v>1458</v>
      </c>
      <c r="C25" s="853"/>
      <c r="D25" s="342"/>
      <c r="E25" s="1"/>
      <c r="F25" s="342" t="s">
        <v>1459</v>
      </c>
    </row>
    <row r="26" spans="1:7" ht="15.75" hidden="1" x14ac:dyDescent="0.25">
      <c r="A26" s="460"/>
      <c r="B26" s="340" t="s">
        <v>1460</v>
      </c>
      <c r="C26" s="347"/>
      <c r="D26" s="340"/>
      <c r="E26" s="340"/>
      <c r="F26" s="340" t="s">
        <v>1424</v>
      </c>
    </row>
    <row r="27" spans="1:7" ht="15.75" x14ac:dyDescent="0.25">
      <c r="A27" s="483"/>
      <c r="B27" s="340"/>
      <c r="C27" s="340"/>
      <c r="D27" s="340"/>
      <c r="E27" s="340"/>
      <c r="F27" s="340"/>
    </row>
    <row r="28" spans="1:7" ht="15.75" x14ac:dyDescent="0.25">
      <c r="A28" s="483"/>
      <c r="B28" s="807" t="s">
        <v>522</v>
      </c>
      <c r="C28" s="853"/>
      <c r="D28" s="340"/>
      <c r="E28" s="340"/>
      <c r="F28" s="340" t="s">
        <v>1326</v>
      </c>
    </row>
    <row r="77" spans="7:7" x14ac:dyDescent="0.2">
      <c r="G77" s="800"/>
    </row>
    <row r="78" spans="7:7" x14ac:dyDescent="0.2">
      <c r="G78" s="800"/>
    </row>
    <row r="112" spans="4:4" x14ac:dyDescent="0.2">
      <c r="D112" s="13">
        <f>SUM(D113:D125)+D132</f>
        <v>88281</v>
      </c>
    </row>
    <row r="132" spans="1:10" x14ac:dyDescent="0.2">
      <c r="A132" s="13">
        <v>41057700</v>
      </c>
      <c r="B132" s="13" t="s">
        <v>1357</v>
      </c>
      <c r="D132" s="13">
        <v>88281</v>
      </c>
    </row>
    <row r="133" spans="1:10" x14ac:dyDescent="0.2">
      <c r="G133" s="13" t="e">
        <f>C133=C129+C128+C127+C107+C101+C95+C89+C88+C84+C83+C82+C81+C78+C77+C76+C75+C73+C72+C70+C68+C67+C66+C63+C62+C61+C59+C58+C54+C53+C52+C49+C48+C47+C45+C44+C40+C39+C38+C37+C36+C35+C34+C33+C32+C31+C27+C24+C21+#REF!+#REF!+#REF!+#REF!+#REF!+#REF!+C19+C93+C92+C28+C42+C118+C117+C99+C132</f>
        <v>#REF!</v>
      </c>
      <c r="H133" s="13" t="e">
        <f>D133=D129+D128+D127+D107+D101+D95+D89+D88+D84+D83+D82+D81+D78+D77+D76+D75+D73+D72+D70+D68+D67+D66+D63+D62+D61+D59+D58+D54+D53+D52+D49+D48+D47+D45+D44+D40+D39+D38+D37+D36+D35+D34+D33+D32+D31+D27+D24+D21+#REF!+#REF!+#REF!+#REF!+#REF!+#REF!+D19+D93+D92+D28+D42+D118+D117+D99+D132</f>
        <v>#REF!</v>
      </c>
      <c r="I133" s="13" t="e">
        <f>E133=E129+E128+E127+E107+E101+E95+E89+E88+E84+E83+E82+E81+E78+E77+E76+E75+E73+E72+E70+E68+E67+E66+E63+E62+E61+E59+E58+E54+E53+E52+E49+E48+E47+E45+E44+E40+E39+E38+E37+E36+E35+E34+E33+E32+E31+E27+E24+E21+#REF!+#REF!+#REF!+#REF!+#REF!+#REF!+E19+E93+E92+E28+E42+E118+E117+E99+E132</f>
        <v>#REF!</v>
      </c>
      <c r="J133" s="13" t="e">
        <f>F133=F129+F128+F127+F107+F101+F95+F89+F88+F84+F83+F82+F81+F78+F77+F76+F75+F73+F72+F70+F68+F67+F66+F63+F62+F61+F59+F58+F54+F53+F52+F49+F48+F47+F45+F44+F40+F39+F38+F37+F36+F35+F34+F33+F32+F31+F27+F24+F21+#REF!+#REF!+#REF!+#REF!+#REF!+#REF!+F19+F93+F92+F28+F42+F118+F117+F99+F132</f>
        <v>#REF!</v>
      </c>
    </row>
    <row r="134" spans="1:10" x14ac:dyDescent="0.2">
      <c r="G134" s="13" t="b">
        <f>(3453807039-'d2'!C37+7423154+961639+622418100+3715400+4544686)+16400+4309689+6350319+16579700+88281=C133</f>
        <v>0</v>
      </c>
    </row>
    <row r="139" spans="1:10" ht="46.5" x14ac:dyDescent="0.65">
      <c r="J139" s="9"/>
    </row>
    <row r="142" spans="1:10" ht="46.5" x14ac:dyDescent="0.65">
      <c r="G142" s="9"/>
      <c r="J142" s="9"/>
    </row>
    <row r="161" spans="11:11" ht="90" x14ac:dyDescent="1.1499999999999999">
      <c r="K161" s="302" t="b">
        <f>G161=H161+I161</f>
        <v>1</v>
      </c>
    </row>
  </sheetData>
  <mergeCells count="11">
    <mergeCell ref="A10:B10"/>
    <mergeCell ref="A23:D23"/>
    <mergeCell ref="G77:G78"/>
    <mergeCell ref="F3:I3"/>
    <mergeCell ref="A4:F4"/>
    <mergeCell ref="A5:F5"/>
    <mergeCell ref="A6:F6"/>
    <mergeCell ref="C7:E7"/>
    <mergeCell ref="A9:B9"/>
    <mergeCell ref="B28:C28"/>
    <mergeCell ref="B25:C25"/>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d1П</vt:lpstr>
      <vt:lpstr>d1РП</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d1П!Область_друку</vt:lpstr>
      <vt:lpstr>d1РП!Область_друку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2024-12-03T08:34:06Z</cp:lastPrinted>
  <dcterms:created xsi:type="dcterms:W3CDTF">2001-12-03T09:30:42Z</dcterms:created>
  <dcterms:modified xsi:type="dcterms:W3CDTF">2024-12-04T13:05:48Z</dcterms:modified>
</cp:coreProperties>
</file>