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ЦяКнига"/>
  <mc:AlternateContent xmlns:mc="http://schemas.openxmlformats.org/markup-compatibility/2006">
    <mc:Choice Requires="x15">
      <x15ac:absPath xmlns:x15ac="http://schemas.microsoft.com/office/spreadsheetml/2010/11/ac" url="O:\BUDJET\2025\"/>
    </mc:Choice>
  </mc:AlternateContent>
  <xr:revisionPtr revIDLastSave="0" documentId="13_ncr:1_{BDC7B922-A356-4871-9D65-0275D9A6927C}" xr6:coauthVersionLast="47" xr6:coauthVersionMax="47" xr10:uidLastSave="{00000000-0000-0000-0000-000000000000}"/>
  <bookViews>
    <workbookView xWindow="-28920" yWindow="-120" windowWidth="29040" windowHeight="15720" tabRatio="583" activeTab="6"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s>
  <definedNames>
    <definedName name="_GoBack" localSheetId="5">'d6'!#REF!</definedName>
    <definedName name="_xlnm.Print_Titles" localSheetId="2">'d3'!$11:$14</definedName>
    <definedName name="_xlnm.Print_Titles" localSheetId="5">'d6'!$9:$10</definedName>
    <definedName name="_xlnm.Print_Titles" localSheetId="6">'d7'!$12:$14</definedName>
    <definedName name="_xlnm.Print_Area" localSheetId="0">'d1'!$A$1:$F$158</definedName>
    <definedName name="_xlnm.Print_Area" localSheetId="1">'d2'!$A$1:$F$64</definedName>
    <definedName name="_xlnm.Print_Area" localSheetId="2">'d3'!$A$1:$P$425</definedName>
    <definedName name="_xlnm.Print_Area" localSheetId="3">'d4'!$B$1:$Q$34</definedName>
    <definedName name="_xlnm.Print_Area" localSheetId="4">'d5'!$A$1:$D$117</definedName>
    <definedName name="_xlnm.Print_Area" localSheetId="5">'d6'!$A$1:$K$130</definedName>
    <definedName name="_xlnm.Print_Area" localSheetId="6">'d7'!$A$1:$J$370</definedName>
    <definedName name="_xlnm.Print_Area" localSheetId="7">'d8'!$A$1:$D$41</definedName>
    <definedName name="_xlnm.Print_Area" localSheetId="8">'d9'!$A$1:$F$32</definedName>
    <definedName name="С16" localSheetId="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1" i="165" l="1"/>
  <c r="O421" i="165"/>
  <c r="K421" i="165"/>
  <c r="J421" i="165"/>
  <c r="F421" i="165"/>
  <c r="H45" i="167"/>
  <c r="D84" i="170"/>
  <c r="F46" i="165"/>
  <c r="D59" i="188"/>
  <c r="K177" i="165"/>
  <c r="K175" i="165"/>
  <c r="J37" i="167"/>
  <c r="I37" i="167"/>
  <c r="K38" i="165"/>
  <c r="K342" i="165"/>
  <c r="I40" i="184"/>
  <c r="M158" i="167" l="1"/>
  <c r="L158" i="167"/>
  <c r="K158" i="167"/>
  <c r="G159" i="167"/>
  <c r="H65" i="184" l="1"/>
  <c r="E46" i="172"/>
  <c r="N124" i="184" l="1"/>
  <c r="H104" i="184"/>
  <c r="K105" i="184"/>
  <c r="J230" i="167" l="1"/>
  <c r="H421" i="165"/>
  <c r="H224" i="165"/>
  <c r="G224" i="165"/>
  <c r="H216" i="165"/>
  <c r="H215" i="165"/>
  <c r="G421" i="165"/>
  <c r="F199" i="165"/>
  <c r="H198" i="165"/>
  <c r="H195" i="165"/>
  <c r="H194" i="165"/>
  <c r="H193" i="165"/>
  <c r="H191" i="165"/>
  <c r="K176" i="165" l="1"/>
  <c r="F176" i="165"/>
  <c r="J170" i="167"/>
  <c r="I170" i="167"/>
  <c r="J38" i="184"/>
  <c r="H38" i="184"/>
  <c r="I41" i="184"/>
  <c r="O177" i="165"/>
  <c r="J177" i="165" s="1"/>
  <c r="E177" i="165"/>
  <c r="H170" i="167" s="1"/>
  <c r="I38" i="184"/>
  <c r="H175" i="165"/>
  <c r="F175" i="165"/>
  <c r="G175" i="165"/>
  <c r="H151" i="165"/>
  <c r="H149" i="165"/>
  <c r="G149" i="165"/>
  <c r="F149" i="165"/>
  <c r="H148" i="165"/>
  <c r="F148" i="165"/>
  <c r="K109" i="165"/>
  <c r="G122" i="167"/>
  <c r="H121" i="167"/>
  <c r="M121" i="167"/>
  <c r="J104" i="184"/>
  <c r="J57" i="184"/>
  <c r="H57" i="184"/>
  <c r="J20" i="184"/>
  <c r="H20" i="184"/>
  <c r="O87" i="165"/>
  <c r="F54" i="165"/>
  <c r="F53" i="165"/>
  <c r="F52" i="165"/>
  <c r="F50" i="165"/>
  <c r="K52" i="165"/>
  <c r="J98" i="167"/>
  <c r="I98" i="167"/>
  <c r="G98" i="167" s="1"/>
  <c r="K88" i="165"/>
  <c r="O88" i="165" s="1"/>
  <c r="J88" i="165" s="1"/>
  <c r="I25" i="184"/>
  <c r="I27" i="184"/>
  <c r="E88" i="165"/>
  <c r="I22" i="184"/>
  <c r="I20" i="184" s="1"/>
  <c r="F65" i="165"/>
  <c r="F60" i="165"/>
  <c r="F66" i="165"/>
  <c r="F62" i="165"/>
  <c r="F68" i="165"/>
  <c r="F70" i="165"/>
  <c r="H70" i="165"/>
  <c r="H68" i="165"/>
  <c r="H65" i="165"/>
  <c r="H62" i="165"/>
  <c r="H60" i="165"/>
  <c r="H54" i="165"/>
  <c r="H53" i="165"/>
  <c r="H52" i="165"/>
  <c r="H50" i="165"/>
  <c r="F58" i="165"/>
  <c r="J315" i="167"/>
  <c r="F340" i="165"/>
  <c r="G340" i="165"/>
  <c r="H340" i="165"/>
  <c r="I340" i="165"/>
  <c r="K340" i="165"/>
  <c r="L340" i="165"/>
  <c r="M340" i="165"/>
  <c r="N340" i="165"/>
  <c r="O342" i="165"/>
  <c r="J342" i="165" s="1"/>
  <c r="I315" i="167" s="1"/>
  <c r="E342" i="165"/>
  <c r="H315" i="167" s="1"/>
  <c r="E336" i="165"/>
  <c r="D87" i="170"/>
  <c r="F24" i="165"/>
  <c r="H26" i="167"/>
  <c r="H24" i="167"/>
  <c r="J17" i="167"/>
  <c r="I17" i="167"/>
  <c r="K18" i="165"/>
  <c r="H18" i="165"/>
  <c r="F18" i="165"/>
  <c r="H302" i="165"/>
  <c r="F302" i="165"/>
  <c r="G170" i="167" l="1"/>
  <c r="P177" i="165"/>
  <c r="P88" i="165"/>
  <c r="P342" i="165"/>
  <c r="G315" i="167"/>
  <c r="I107" i="184" l="1"/>
  <c r="K107" i="184" s="1"/>
  <c r="J297" i="167"/>
  <c r="O319" i="165"/>
  <c r="J319" i="165" s="1"/>
  <c r="J318" i="165" s="1"/>
  <c r="J317" i="165" s="1"/>
  <c r="E319" i="165"/>
  <c r="E318" i="165" s="1"/>
  <c r="E317" i="165" s="1"/>
  <c r="N318" i="165"/>
  <c r="N317" i="165" s="1"/>
  <c r="M318" i="165"/>
  <c r="M317" i="165" s="1"/>
  <c r="L318" i="165"/>
  <c r="L317" i="165" s="1"/>
  <c r="K318" i="165"/>
  <c r="K317" i="165" s="1"/>
  <c r="I318" i="165"/>
  <c r="I317" i="165" s="1"/>
  <c r="H318" i="165"/>
  <c r="H317" i="165" s="1"/>
  <c r="G318" i="165"/>
  <c r="G317" i="165" s="1"/>
  <c r="F318" i="165"/>
  <c r="F317" i="165" s="1"/>
  <c r="I120" i="184"/>
  <c r="I123" i="184"/>
  <c r="F325" i="165"/>
  <c r="G325" i="165"/>
  <c r="H325" i="165"/>
  <c r="I325" i="165"/>
  <c r="K325" i="165"/>
  <c r="L325" i="165"/>
  <c r="M325" i="165"/>
  <c r="N325" i="165"/>
  <c r="I106" i="184"/>
  <c r="K106" i="184" s="1"/>
  <c r="I105" i="184"/>
  <c r="I104" i="184" s="1"/>
  <c r="H297" i="167" l="1"/>
  <c r="I297" i="167"/>
  <c r="O318" i="165"/>
  <c r="O317" i="165" s="1"/>
  <c r="P319" i="165"/>
  <c r="P318" i="165" s="1"/>
  <c r="P317" i="165" s="1"/>
  <c r="G297" i="167" l="1"/>
  <c r="G295" i="167"/>
  <c r="J294" i="167"/>
  <c r="M294" i="167" s="1"/>
  <c r="I294" i="167"/>
  <c r="G294" i="167" s="1"/>
  <c r="F313" i="165"/>
  <c r="G313" i="165"/>
  <c r="H313" i="165"/>
  <c r="I313" i="165"/>
  <c r="K313" i="165"/>
  <c r="L313" i="165"/>
  <c r="M313" i="165"/>
  <c r="N313" i="165"/>
  <c r="O314" i="165"/>
  <c r="J314" i="165" s="1"/>
  <c r="J313" i="165" s="1"/>
  <c r="E314" i="165"/>
  <c r="E313" i="165" s="1"/>
  <c r="G272" i="167"/>
  <c r="K294" i="167" l="1"/>
  <c r="L294" i="167"/>
  <c r="O313" i="165"/>
  <c r="P314" i="165"/>
  <c r="P313" i="165" s="1"/>
  <c r="I66" i="184"/>
  <c r="I61" i="184"/>
  <c r="K61" i="184" s="1"/>
  <c r="I60" i="184"/>
  <c r="I65" i="184"/>
  <c r="J262" i="167"/>
  <c r="O287" i="165"/>
  <c r="J287" i="165" s="1"/>
  <c r="I262" i="167" s="1"/>
  <c r="E287" i="165"/>
  <c r="H262" i="167" s="1"/>
  <c r="H259" i="167"/>
  <c r="M238" i="167"/>
  <c r="G239" i="167"/>
  <c r="G238" i="167"/>
  <c r="O260" i="165"/>
  <c r="J260" i="165" s="1"/>
  <c r="L238" i="167" s="1"/>
  <c r="E260" i="165"/>
  <c r="K238" i="167" s="1"/>
  <c r="F263" i="165"/>
  <c r="H241" i="167"/>
  <c r="I57" i="184" l="1"/>
  <c r="G262" i="167"/>
  <c r="P287" i="165"/>
  <c r="P260" i="165"/>
  <c r="O296" i="165"/>
  <c r="L421" i="165"/>
  <c r="L214" i="165"/>
  <c r="O389" i="165"/>
  <c r="L389" i="165"/>
  <c r="O33" i="165"/>
  <c r="L33" i="165"/>
  <c r="O198" i="165"/>
  <c r="O195" i="165"/>
  <c r="O151" i="165"/>
  <c r="O175" i="165"/>
  <c r="N175" i="165"/>
  <c r="N148" i="165"/>
  <c r="O65" i="165"/>
  <c r="O60" i="165"/>
  <c r="L52" i="165"/>
  <c r="O50" i="165"/>
  <c r="N421" i="165"/>
  <c r="M421" i="165"/>
  <c r="O231" i="165"/>
  <c r="O216" i="165"/>
  <c r="L224" i="165"/>
  <c r="O52" i="165" l="1"/>
  <c r="O62" i="165"/>
  <c r="J24" i="184"/>
  <c r="J26" i="184"/>
  <c r="K41" i="184"/>
  <c r="O149" i="165" l="1"/>
  <c r="J122" i="184"/>
  <c r="J113" i="184"/>
  <c r="J234" i="167"/>
  <c r="G235" i="167"/>
  <c r="O224" i="165"/>
  <c r="J39" i="184" l="1"/>
  <c r="J33" i="184" l="1"/>
  <c r="H321" i="167" l="1"/>
  <c r="F351" i="165"/>
  <c r="G321" i="167" l="1"/>
  <c r="J288" i="167" l="1"/>
  <c r="D17" i="170"/>
  <c r="C123" i="188"/>
  <c r="J99" i="167"/>
  <c r="F89" i="165"/>
  <c r="G89" i="165"/>
  <c r="H89" i="165"/>
  <c r="I89" i="165"/>
  <c r="K89" i="165"/>
  <c r="L89" i="165"/>
  <c r="M89" i="165"/>
  <c r="N89" i="165"/>
  <c r="O90" i="165"/>
  <c r="O89" i="165" s="1"/>
  <c r="E90" i="165"/>
  <c r="E89" i="165" s="1"/>
  <c r="D80" i="170"/>
  <c r="H99" i="167" l="1"/>
  <c r="J90" i="165"/>
  <c r="O193" i="165"/>
  <c r="O191" i="165"/>
  <c r="J102" i="184"/>
  <c r="J86" i="184"/>
  <c r="J77" i="184"/>
  <c r="J67" i="184"/>
  <c r="D98" i="170"/>
  <c r="J226" i="167"/>
  <c r="O254" i="165"/>
  <c r="J254" i="165" s="1"/>
  <c r="I226" i="167" s="1"/>
  <c r="E254" i="165"/>
  <c r="H226" i="167" s="1"/>
  <c r="J89" i="165" l="1"/>
  <c r="I99" i="167"/>
  <c r="G99" i="167" s="1"/>
  <c r="P90" i="165"/>
  <c r="P89" i="165" s="1"/>
  <c r="G226" i="167"/>
  <c r="P254" i="165"/>
  <c r="F143" i="165" l="1"/>
  <c r="O53" i="165" l="1"/>
  <c r="J34" i="184" l="1"/>
  <c r="J31" i="184" l="1"/>
  <c r="H31" i="184"/>
  <c r="K128" i="165"/>
  <c r="I33" i="184"/>
  <c r="K33" i="184" s="1"/>
  <c r="F46" i="172" l="1"/>
  <c r="F41" i="172"/>
  <c r="F40" i="172" s="1"/>
  <c r="E41" i="172"/>
  <c r="H28" i="167" l="1"/>
  <c r="J152" i="167" l="1"/>
  <c r="N150" i="165" l="1"/>
  <c r="M150" i="165"/>
  <c r="L150" i="165"/>
  <c r="K150" i="165"/>
  <c r="I150" i="165"/>
  <c r="G150" i="165"/>
  <c r="O152" i="165"/>
  <c r="E152" i="165"/>
  <c r="G147" i="167"/>
  <c r="O148" i="165"/>
  <c r="J146" i="167" l="1"/>
  <c r="M146" i="167" s="1"/>
  <c r="H152" i="167"/>
  <c r="J152" i="165"/>
  <c r="P152" i="165" s="1"/>
  <c r="F150" i="165"/>
  <c r="G264" i="167"/>
  <c r="I152" i="167" l="1"/>
  <c r="J334" i="167" l="1"/>
  <c r="I334" i="167"/>
  <c r="K369" i="165"/>
  <c r="J263" i="167" l="1"/>
  <c r="M263" i="167" s="1"/>
  <c r="K122" i="165"/>
  <c r="G77" i="167"/>
  <c r="G74" i="167"/>
  <c r="I28" i="184"/>
  <c r="J73" i="167" l="1"/>
  <c r="M73" i="167" s="1"/>
  <c r="J76" i="167"/>
  <c r="M76" i="167" s="1"/>
  <c r="C83" i="188" l="1"/>
  <c r="D82" i="188"/>
  <c r="C82" i="188" l="1"/>
  <c r="J53" i="167" l="1"/>
  <c r="I53" i="167"/>
  <c r="J29" i="167"/>
  <c r="O24" i="165"/>
  <c r="N23" i="165"/>
  <c r="M23" i="165"/>
  <c r="L23" i="165"/>
  <c r="K23" i="165"/>
  <c r="I23" i="165"/>
  <c r="H23" i="165"/>
  <c r="G23" i="165"/>
  <c r="F23" i="165"/>
  <c r="E24" i="165"/>
  <c r="J42" i="184"/>
  <c r="G38" i="167"/>
  <c r="N22" i="165" l="1"/>
  <c r="M22" i="165"/>
  <c r="I22" i="165"/>
  <c r="E23" i="165"/>
  <c r="G22" i="165"/>
  <c r="K22" i="165"/>
  <c r="F22" i="165"/>
  <c r="O23" i="165"/>
  <c r="H22" i="165"/>
  <c r="L22" i="165"/>
  <c r="H29" i="167"/>
  <c r="J24" i="165"/>
  <c r="O22" i="165" l="1"/>
  <c r="J23" i="165"/>
  <c r="I29" i="167"/>
  <c r="E22" i="165"/>
  <c r="P24" i="165"/>
  <c r="G29" i="167" l="1"/>
  <c r="J22" i="165"/>
  <c r="P23" i="165"/>
  <c r="P22" i="165" l="1"/>
  <c r="N364" i="165"/>
  <c r="M364" i="165"/>
  <c r="L364" i="165"/>
  <c r="I364" i="165"/>
  <c r="H364" i="165"/>
  <c r="G364" i="165"/>
  <c r="K373" i="165"/>
  <c r="F373" i="165"/>
  <c r="G334" i="167"/>
  <c r="M333" i="167"/>
  <c r="O215" i="165"/>
  <c r="D62" i="170"/>
  <c r="J332" i="167" l="1"/>
  <c r="F364" i="165"/>
  <c r="E366" i="165"/>
  <c r="H332" i="167"/>
  <c r="K364" i="165"/>
  <c r="O366" i="165"/>
  <c r="J366" i="165" l="1"/>
  <c r="I42" i="184"/>
  <c r="K42" i="184" s="1"/>
  <c r="J114" i="184"/>
  <c r="J223" i="167"/>
  <c r="I223" i="167"/>
  <c r="G231" i="167"/>
  <c r="K65" i="184"/>
  <c r="I102" i="184"/>
  <c r="K102" i="184" s="1"/>
  <c r="I98" i="184"/>
  <c r="F291" i="165"/>
  <c r="J123" i="167"/>
  <c r="N121" i="165"/>
  <c r="M121" i="165"/>
  <c r="L121" i="165"/>
  <c r="K121" i="165"/>
  <c r="I121" i="165"/>
  <c r="H121" i="165"/>
  <c r="G121" i="165"/>
  <c r="F121" i="165"/>
  <c r="O122" i="165"/>
  <c r="E122" i="165"/>
  <c r="J63" i="167"/>
  <c r="G54" i="167"/>
  <c r="C136" i="188"/>
  <c r="M37" i="167" l="1"/>
  <c r="O121" i="165"/>
  <c r="I332" i="167"/>
  <c r="G332" i="167" s="1"/>
  <c r="P366" i="165"/>
  <c r="E121" i="165"/>
  <c r="H123" i="167"/>
  <c r="J122" i="165"/>
  <c r="J21" i="184"/>
  <c r="J121" i="165" l="1"/>
  <c r="I123" i="167"/>
  <c r="G123" i="167" s="1"/>
  <c r="P122" i="165"/>
  <c r="C18" i="188"/>
  <c r="P121" i="165" l="1"/>
  <c r="J27" i="107" l="1"/>
  <c r="I27" i="107"/>
  <c r="H27" i="107"/>
  <c r="G27" i="107"/>
  <c r="F27" i="107"/>
  <c r="F25" i="107"/>
  <c r="N28" i="107"/>
  <c r="N27" i="107" s="1"/>
  <c r="P28" i="107"/>
  <c r="P27" i="107" s="1"/>
  <c r="M28" i="107"/>
  <c r="Q28" i="107" s="1"/>
  <c r="Q27" i="107" s="1"/>
  <c r="P26" i="107"/>
  <c r="M45" i="167"/>
  <c r="I87" i="184"/>
  <c r="I86" i="184"/>
  <c r="I85" i="184"/>
  <c r="I84" i="184"/>
  <c r="I77" i="184"/>
  <c r="K27" i="107" l="1"/>
  <c r="L27" i="107"/>
  <c r="M27" i="107"/>
  <c r="F24" i="107"/>
  <c r="O28" i="107"/>
  <c r="O27" i="107" s="1"/>
  <c r="I50" i="184"/>
  <c r="K50" i="184" s="1"/>
  <c r="I67" i="184" l="1"/>
  <c r="I26" i="184"/>
  <c r="K27" i="184"/>
  <c r="K25" i="184" l="1"/>
  <c r="I24" i="184"/>
  <c r="I21" i="184"/>
  <c r="K21" i="184" s="1"/>
  <c r="J97" i="167" l="1"/>
  <c r="J96" i="167"/>
  <c r="E87" i="165"/>
  <c r="O86" i="165"/>
  <c r="E86" i="165"/>
  <c r="N85" i="165"/>
  <c r="M85" i="165"/>
  <c r="L85" i="165"/>
  <c r="K85" i="165"/>
  <c r="I85" i="165"/>
  <c r="H85" i="165"/>
  <c r="G85" i="165"/>
  <c r="F85" i="165"/>
  <c r="H97" i="167" l="1"/>
  <c r="H96" i="167"/>
  <c r="J87" i="165"/>
  <c r="O85" i="165"/>
  <c r="J86" i="165"/>
  <c r="E85" i="165"/>
  <c r="I34" i="184"/>
  <c r="I31" i="184" s="1"/>
  <c r="I97" i="167" l="1"/>
  <c r="G97" i="167" s="1"/>
  <c r="P87" i="165"/>
  <c r="P86" i="165"/>
  <c r="I96" i="167"/>
  <c r="G96" i="167" s="1"/>
  <c r="J85" i="165"/>
  <c r="P85" i="165" l="1"/>
  <c r="F139" i="165"/>
  <c r="I39" i="184" l="1"/>
  <c r="K39" i="184" l="1"/>
  <c r="I114" i="184"/>
  <c r="H150" i="165" l="1"/>
  <c r="I113" i="184"/>
  <c r="M336" i="167"/>
  <c r="G335" i="167"/>
  <c r="H25" i="167"/>
  <c r="G28" i="167" l="1"/>
  <c r="D30" i="170" l="1"/>
  <c r="D14" i="170"/>
  <c r="D71" i="188"/>
  <c r="C89" i="188"/>
  <c r="C76" i="188"/>
  <c r="C75" i="188"/>
  <c r="C28" i="188"/>
  <c r="D27" i="188"/>
  <c r="D17" i="188"/>
  <c r="C23" i="188"/>
  <c r="C22" i="188"/>
  <c r="C71" i="188" l="1"/>
  <c r="J48" i="184"/>
  <c r="H48" i="184"/>
  <c r="I48" i="184"/>
  <c r="D108" i="170"/>
  <c r="O84" i="165"/>
  <c r="D21" i="172" l="1"/>
  <c r="J362" i="167"/>
  <c r="I26" i="107"/>
  <c r="I25" i="107" s="1"/>
  <c r="I24" i="107" s="1"/>
  <c r="G135" i="167"/>
  <c r="O398" i="165" l="1"/>
  <c r="M259" i="167" l="1"/>
  <c r="I122" i="184"/>
  <c r="K122" i="184" l="1"/>
  <c r="J286" i="167"/>
  <c r="J242" i="167" l="1"/>
  <c r="J246" i="167"/>
  <c r="O270" i="165"/>
  <c r="E270" i="165"/>
  <c r="M241" i="167"/>
  <c r="G236" i="167"/>
  <c r="H246" i="167" l="1"/>
  <c r="J270" i="165"/>
  <c r="I246" i="167" l="1"/>
  <c r="G246" i="167" s="1"/>
  <c r="P270" i="165"/>
  <c r="K66" i="184" l="1"/>
  <c r="G108" i="167" l="1"/>
  <c r="K26" i="184" l="1"/>
  <c r="K114" i="184" l="1"/>
  <c r="K113" i="184"/>
  <c r="J58" i="184"/>
  <c r="G240" i="167"/>
  <c r="J88" i="184" l="1"/>
  <c r="O306" i="165" l="1"/>
  <c r="E306" i="165"/>
  <c r="N305" i="165"/>
  <c r="M305" i="165"/>
  <c r="L305" i="165"/>
  <c r="K305" i="165"/>
  <c r="I305" i="165"/>
  <c r="H305" i="165"/>
  <c r="G305" i="165"/>
  <c r="F305" i="165"/>
  <c r="F111" i="188"/>
  <c r="D111" i="188"/>
  <c r="D107" i="188"/>
  <c r="H304" i="165" l="1"/>
  <c r="M304" i="165"/>
  <c r="F304" i="165"/>
  <c r="K304" i="165"/>
  <c r="H288" i="167"/>
  <c r="N304" i="165"/>
  <c r="I304" i="165"/>
  <c r="G304" i="165"/>
  <c r="L304" i="165"/>
  <c r="J306" i="165"/>
  <c r="I288" i="167" s="1"/>
  <c r="D106" i="188"/>
  <c r="O305" i="165"/>
  <c r="E305" i="165"/>
  <c r="G288" i="167" l="1"/>
  <c r="P306" i="165"/>
  <c r="P305" i="165" s="1"/>
  <c r="E106" i="170"/>
  <c r="O304" i="165"/>
  <c r="E304" i="165"/>
  <c r="J305" i="165"/>
  <c r="C53" i="172"/>
  <c r="C52" i="172" s="1"/>
  <c r="C51" i="172"/>
  <c r="C50" i="172" s="1"/>
  <c r="F52" i="172"/>
  <c r="E52" i="172"/>
  <c r="F50" i="172"/>
  <c r="E50" i="172"/>
  <c r="D50" i="172"/>
  <c r="D23" i="172"/>
  <c r="F21" i="172"/>
  <c r="E21" i="172"/>
  <c r="F23" i="172"/>
  <c r="E23" i="172"/>
  <c r="J304" i="165" l="1"/>
  <c r="P304" i="165"/>
  <c r="F20" i="172"/>
  <c r="E49" i="172"/>
  <c r="D20" i="172"/>
  <c r="C22" i="172"/>
  <c r="F49" i="172"/>
  <c r="D52" i="172"/>
  <c r="D49" i="172" s="1"/>
  <c r="C49" i="172"/>
  <c r="E20" i="172"/>
  <c r="C24" i="172"/>
  <c r="C23" i="172" s="1"/>
  <c r="J116" i="184"/>
  <c r="J118" i="184"/>
  <c r="J108" i="184"/>
  <c r="I108" i="184" s="1"/>
  <c r="H110" i="184"/>
  <c r="J110" i="184"/>
  <c r="I110" i="184" s="1"/>
  <c r="G303" i="167"/>
  <c r="J95" i="167"/>
  <c r="F82" i="165"/>
  <c r="G82" i="165"/>
  <c r="H82" i="165"/>
  <c r="I82" i="165"/>
  <c r="L82" i="165"/>
  <c r="M82" i="165"/>
  <c r="N82" i="165"/>
  <c r="E84" i="165"/>
  <c r="O83" i="165"/>
  <c r="E83" i="165"/>
  <c r="I23" i="184"/>
  <c r="C21" i="172" l="1"/>
  <c r="C20" i="172"/>
  <c r="K23" i="184"/>
  <c r="K22" i="184"/>
  <c r="O82" i="165"/>
  <c r="H95" i="167"/>
  <c r="K82" i="165"/>
  <c r="E82" i="165"/>
  <c r="H94" i="167"/>
  <c r="J83" i="165"/>
  <c r="J84" i="165"/>
  <c r="J94" i="167"/>
  <c r="P83" i="165" l="1"/>
  <c r="P84" i="165"/>
  <c r="J82" i="165"/>
  <c r="I95" i="167"/>
  <c r="G95" i="167" s="1"/>
  <c r="I94" i="167"/>
  <c r="G94" i="167" s="1"/>
  <c r="K40" i="184"/>
  <c r="G225" i="167"/>
  <c r="J99" i="184"/>
  <c r="J97" i="184"/>
  <c r="J96" i="184"/>
  <c r="J95" i="184"/>
  <c r="H78" i="184"/>
  <c r="J78" i="184"/>
  <c r="J76" i="184"/>
  <c r="J72" i="184"/>
  <c r="P82" i="165" l="1"/>
  <c r="G269" i="167"/>
  <c r="G268" i="167"/>
  <c r="E203" i="165" l="1"/>
  <c r="G258" i="167" l="1"/>
  <c r="J319" i="167" l="1"/>
  <c r="G291" i="167"/>
  <c r="G57" i="167"/>
  <c r="G37" i="167" l="1"/>
  <c r="J228" i="167" l="1"/>
  <c r="I228" i="167"/>
  <c r="H228" i="167"/>
  <c r="G237" i="167" l="1"/>
  <c r="E55" i="172"/>
  <c r="J35" i="184"/>
  <c r="J150" i="167" l="1"/>
  <c r="G151" i="167"/>
  <c r="H363" i="167"/>
  <c r="J363" i="167"/>
  <c r="J359" i="167" s="1"/>
  <c r="I363" i="167"/>
  <c r="K99" i="184"/>
  <c r="K98" i="184"/>
  <c r="K97" i="184"/>
  <c r="K96" i="184"/>
  <c r="K95" i="184"/>
  <c r="J94" i="184"/>
  <c r="J81" i="184"/>
  <c r="J80" i="184"/>
  <c r="J79" i="184"/>
  <c r="I58" i="184"/>
  <c r="K58" i="184" s="1"/>
  <c r="G278" i="167"/>
  <c r="O283" i="165"/>
  <c r="E283" i="165"/>
  <c r="N280" i="165"/>
  <c r="N279" i="165" s="1"/>
  <c r="M280" i="165"/>
  <c r="M279" i="165" s="1"/>
  <c r="L280" i="165"/>
  <c r="L279" i="165" s="1"/>
  <c r="K280" i="165"/>
  <c r="K279" i="165" s="1"/>
  <c r="I280" i="165"/>
  <c r="I279" i="165" s="1"/>
  <c r="H280" i="165"/>
  <c r="H279" i="165" s="1"/>
  <c r="G280" i="165"/>
  <c r="G279" i="165" s="1"/>
  <c r="F280" i="165"/>
  <c r="F279" i="165" s="1"/>
  <c r="G243" i="167"/>
  <c r="G232" i="167"/>
  <c r="J229" i="167"/>
  <c r="G228" i="167"/>
  <c r="I72" i="184"/>
  <c r="K72" i="184" s="1"/>
  <c r="G52" i="167"/>
  <c r="D93" i="170"/>
  <c r="G27" i="167"/>
  <c r="M32" i="167"/>
  <c r="G32" i="167"/>
  <c r="O30" i="165"/>
  <c r="E30" i="165"/>
  <c r="J283" i="165" l="1"/>
  <c r="H256" i="167"/>
  <c r="G256" i="167" s="1"/>
  <c r="K32" i="167"/>
  <c r="J30" i="165"/>
  <c r="G363" i="167"/>
  <c r="P283" i="165" l="1"/>
  <c r="P30" i="165"/>
  <c r="L32" i="167"/>
  <c r="G21" i="167"/>
  <c r="J93" i="167" l="1"/>
  <c r="J92" i="167"/>
  <c r="C152" i="188" l="1"/>
  <c r="D117" i="188"/>
  <c r="C110" i="188"/>
  <c r="F107" i="188"/>
  <c r="E107" i="188"/>
  <c r="C117" i="188" l="1"/>
  <c r="G302" i="167" l="1"/>
  <c r="J121" i="184"/>
  <c r="H112" i="184"/>
  <c r="H111" i="184"/>
  <c r="J117" i="184"/>
  <c r="J109" i="184"/>
  <c r="J112" i="184"/>
  <c r="I112" i="184" s="1"/>
  <c r="J111" i="184"/>
  <c r="I111" i="184" s="1"/>
  <c r="G299" i="167" l="1"/>
  <c r="N79" i="165" l="1"/>
  <c r="M79" i="165"/>
  <c r="L79" i="165"/>
  <c r="K79" i="165"/>
  <c r="I79" i="165"/>
  <c r="H79" i="165"/>
  <c r="G79" i="165"/>
  <c r="F79" i="165"/>
  <c r="O81" i="165"/>
  <c r="E81" i="165"/>
  <c r="O80" i="165"/>
  <c r="E80" i="165"/>
  <c r="H93" i="167" l="1"/>
  <c r="H92" i="167"/>
  <c r="E79" i="165"/>
  <c r="J81" i="165"/>
  <c r="J80" i="165"/>
  <c r="O79" i="165"/>
  <c r="P81" i="165" l="1"/>
  <c r="P80" i="165"/>
  <c r="J79" i="165"/>
  <c r="I92" i="167"/>
  <c r="G92" i="167" s="1"/>
  <c r="I93" i="167"/>
  <c r="G93" i="167" s="1"/>
  <c r="J327" i="167"/>
  <c r="J183" i="167"/>
  <c r="G201" i="167"/>
  <c r="G184" i="167"/>
  <c r="G179" i="167"/>
  <c r="J178" i="167"/>
  <c r="G149" i="167"/>
  <c r="G165" i="167"/>
  <c r="J114" i="167"/>
  <c r="G115" i="167"/>
  <c r="G111" i="167"/>
  <c r="P79" i="165" l="1"/>
  <c r="J148" i="167"/>
  <c r="J200" i="167"/>
  <c r="D94" i="170" l="1"/>
  <c r="G65" i="167"/>
  <c r="J110" i="167" l="1"/>
  <c r="J209" i="167"/>
  <c r="O227" i="165"/>
  <c r="E227" i="165"/>
  <c r="N226" i="165"/>
  <c r="M226" i="165"/>
  <c r="L226" i="165"/>
  <c r="K226" i="165"/>
  <c r="I226" i="165"/>
  <c r="H226" i="165"/>
  <c r="G226" i="165"/>
  <c r="F226" i="165"/>
  <c r="O226" i="165" l="1"/>
  <c r="J227" i="165"/>
  <c r="H209" i="167"/>
  <c r="E226" i="165"/>
  <c r="J162" i="184"/>
  <c r="J137" i="197"/>
  <c r="I162" i="184"/>
  <c r="I137" i="197"/>
  <c r="H162" i="184"/>
  <c r="H137" i="197"/>
  <c r="G162" i="184"/>
  <c r="G142" i="108"/>
  <c r="G137" i="197"/>
  <c r="C151" i="188"/>
  <c r="D141" i="184"/>
  <c r="D121" i="108"/>
  <c r="D116" i="197"/>
  <c r="J90" i="184"/>
  <c r="I90" i="184" s="1"/>
  <c r="P227" i="165" l="1"/>
  <c r="J226" i="165"/>
  <c r="I209" i="167"/>
  <c r="G209" i="167" s="1"/>
  <c r="P226" i="165" l="1"/>
  <c r="O26" i="107"/>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80" i="167"/>
  <c r="I280" i="167"/>
  <c r="J275" i="167"/>
  <c r="M279" i="167" s="1"/>
  <c r="I275"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267" i="167"/>
  <c r="J155" i="167" l="1"/>
  <c r="M155" i="167" s="1"/>
  <c r="G157" i="167"/>
  <c r="G169" i="167" l="1"/>
  <c r="I121" i="184" l="1"/>
  <c r="I119" i="184"/>
  <c r="I117" i="184"/>
  <c r="L121" i="184"/>
  <c r="L119" i="184"/>
  <c r="L117" i="184"/>
  <c r="L112" i="184"/>
  <c r="L111" i="184"/>
  <c r="K112" i="184" l="1"/>
  <c r="K111" i="184"/>
  <c r="L110" i="184" l="1"/>
  <c r="L116" i="184"/>
  <c r="I116" i="184"/>
  <c r="D16" i="170" l="1"/>
  <c r="D115" i="188"/>
  <c r="C116" i="188"/>
  <c r="C115" i="188" l="1"/>
  <c r="I94" i="184"/>
  <c r="K94" i="184" s="1"/>
  <c r="I93" i="184"/>
  <c r="G168" i="167"/>
  <c r="J215" i="167" l="1"/>
  <c r="O240" i="165"/>
  <c r="E240" i="165"/>
  <c r="N239" i="165"/>
  <c r="M239" i="165"/>
  <c r="L239" i="165"/>
  <c r="K239" i="165"/>
  <c r="I239" i="165"/>
  <c r="H239" i="165"/>
  <c r="G239" i="165"/>
  <c r="F239" i="165"/>
  <c r="K238" i="165"/>
  <c r="G328" i="167"/>
  <c r="O361" i="165"/>
  <c r="E361" i="165"/>
  <c r="N360" i="165"/>
  <c r="M360" i="165"/>
  <c r="L360" i="165"/>
  <c r="K360" i="165"/>
  <c r="I360" i="165"/>
  <c r="H360" i="165"/>
  <c r="G360" i="165"/>
  <c r="F360" i="165"/>
  <c r="H215" i="167" l="1"/>
  <c r="J240" i="165"/>
  <c r="E85" i="170"/>
  <c r="E360" i="165"/>
  <c r="O360" i="165"/>
  <c r="J361" i="165"/>
  <c r="G55" i="167"/>
  <c r="P240" i="165" l="1"/>
  <c r="J360" i="165"/>
  <c r="I215" i="167"/>
  <c r="G215" i="167" s="1"/>
  <c r="P361" i="165"/>
  <c r="P360" i="165" l="1"/>
  <c r="G270" i="167" l="1"/>
  <c r="G280" i="167"/>
  <c r="G279" i="167"/>
  <c r="G277" i="167"/>
  <c r="G276" i="167"/>
  <c r="G275" i="167"/>
  <c r="G255" i="167"/>
  <c r="G274" i="167"/>
  <c r="G273" i="167"/>
  <c r="G271" i="167"/>
  <c r="I70" i="184"/>
  <c r="K70" i="184" s="1"/>
  <c r="I74" i="184"/>
  <c r="K90" i="184"/>
  <c r="I89" i="184"/>
  <c r="K89" i="184" s="1"/>
  <c r="I88" i="184"/>
  <c r="K88" i="184" s="1"/>
  <c r="J83" i="184"/>
  <c r="J82" i="184"/>
  <c r="M223" i="167"/>
  <c r="G53" i="167"/>
  <c r="I76" i="184" l="1"/>
  <c r="K74" i="184"/>
  <c r="J173" i="167" l="1"/>
  <c r="E184" i="165"/>
  <c r="H173" i="167" l="1"/>
  <c r="M164" i="167"/>
  <c r="O184" i="165"/>
  <c r="J184" i="165" l="1"/>
  <c r="M325" i="167"/>
  <c r="I173" i="167" l="1"/>
  <c r="G173" i="167" s="1"/>
  <c r="P184" i="165"/>
  <c r="J187" i="167"/>
  <c r="J351" i="167" l="1"/>
  <c r="F24" i="197"/>
  <c r="K165" i="197" l="1"/>
  <c r="D103" i="170" l="1"/>
  <c r="O391" i="165"/>
  <c r="J331" i="167"/>
  <c r="O365" i="165"/>
  <c r="E365" i="165"/>
  <c r="J343" i="167"/>
  <c r="O378" i="165"/>
  <c r="E378" i="165"/>
  <c r="N377" i="165"/>
  <c r="M377" i="165"/>
  <c r="L377" i="165"/>
  <c r="K377" i="165"/>
  <c r="I377" i="165"/>
  <c r="H377" i="165"/>
  <c r="G377" i="165"/>
  <c r="F377" i="165"/>
  <c r="N376" i="165"/>
  <c r="J339" i="167"/>
  <c r="O373" i="165"/>
  <c r="E373" i="165"/>
  <c r="O364" i="165" l="1"/>
  <c r="E364" i="165"/>
  <c r="M376" i="165"/>
  <c r="L376" i="165"/>
  <c r="F376" i="165"/>
  <c r="G376" i="165"/>
  <c r="H376" i="165"/>
  <c r="I376" i="165"/>
  <c r="J365" i="165"/>
  <c r="H331" i="167"/>
  <c r="K376" i="165"/>
  <c r="J378" i="165"/>
  <c r="E377" i="165"/>
  <c r="J373" i="165"/>
  <c r="H339" i="167"/>
  <c r="H343" i="167"/>
  <c r="O377" i="165"/>
  <c r="J364" i="165" l="1"/>
  <c r="P365" i="165"/>
  <c r="I343" i="167"/>
  <c r="G343" i="167" s="1"/>
  <c r="P373" i="165"/>
  <c r="I331" i="167"/>
  <c r="G331" i="167" s="1"/>
  <c r="O376" i="165"/>
  <c r="J377" i="165"/>
  <c r="P378" i="165"/>
  <c r="E376" i="165"/>
  <c r="I339" i="167"/>
  <c r="G339" i="167" s="1"/>
  <c r="P364" i="165" l="1"/>
  <c r="P377" i="165"/>
  <c r="J376" i="165"/>
  <c r="P376" i="165" l="1"/>
  <c r="K121" i="184"/>
  <c r="L120" i="184"/>
  <c r="K119" i="184"/>
  <c r="K117" i="184"/>
  <c r="K116" i="184"/>
  <c r="J115" i="184"/>
  <c r="L118" i="184" l="1"/>
  <c r="I118" i="184"/>
  <c r="K118" i="184" s="1"/>
  <c r="I115" i="184"/>
  <c r="K115" i="184" s="1"/>
  <c r="L115" i="184"/>
  <c r="K123" i="184"/>
  <c r="L123" i="184"/>
  <c r="L109" i="184"/>
  <c r="I109" i="184"/>
  <c r="K120" i="184"/>
  <c r="K110" i="184"/>
  <c r="K109" i="184" l="1"/>
  <c r="I83" i="184"/>
  <c r="K83" i="184" s="1"/>
  <c r="I82" i="184"/>
  <c r="K82" i="184" s="1"/>
  <c r="I81" i="184"/>
  <c r="I80" i="184"/>
  <c r="I79" i="184"/>
  <c r="I78" i="184"/>
  <c r="L50" i="184"/>
  <c r="I49" i="184"/>
  <c r="K49" i="184" s="1"/>
  <c r="I35" i="184"/>
  <c r="D88" i="170" l="1"/>
  <c r="D92" i="170"/>
  <c r="D110" i="170" s="1"/>
  <c r="C137" i="188" l="1"/>
  <c r="D144" i="188" l="1"/>
  <c r="G107" i="167" l="1"/>
  <c r="J194" i="167" l="1"/>
  <c r="O204" i="165"/>
  <c r="E204" i="165"/>
  <c r="E253" i="165"/>
  <c r="O259" i="165"/>
  <c r="E259" i="165"/>
  <c r="H234" i="167" s="1"/>
  <c r="J313" i="167"/>
  <c r="N335" i="165"/>
  <c r="M335" i="165"/>
  <c r="L335" i="165"/>
  <c r="K335" i="165"/>
  <c r="I335" i="165"/>
  <c r="G335" i="165"/>
  <c r="F335" i="165"/>
  <c r="O338" i="165"/>
  <c r="E338" i="165"/>
  <c r="K223" i="167" l="1"/>
  <c r="J204" i="165"/>
  <c r="J338" i="165"/>
  <c r="J259" i="165"/>
  <c r="I234" i="167" s="1"/>
  <c r="H194" i="167"/>
  <c r="H313" i="167"/>
  <c r="P338" i="165" l="1"/>
  <c r="P259" i="165"/>
  <c r="G234" i="167"/>
  <c r="P204" i="165"/>
  <c r="I313" i="167"/>
  <c r="I194" i="167"/>
  <c r="G194" i="167" s="1"/>
  <c r="J109" i="167"/>
  <c r="O107" i="165"/>
  <c r="E107" i="165"/>
  <c r="N105" i="165"/>
  <c r="M105" i="165"/>
  <c r="L105" i="165"/>
  <c r="K105" i="165"/>
  <c r="I105" i="165"/>
  <c r="G105" i="165"/>
  <c r="F105" i="165"/>
  <c r="J126" i="167"/>
  <c r="N127" i="165"/>
  <c r="M127" i="165"/>
  <c r="L127" i="165"/>
  <c r="I127" i="165"/>
  <c r="H127" i="165"/>
  <c r="G127" i="165"/>
  <c r="F127" i="165"/>
  <c r="O128" i="165"/>
  <c r="E128" i="165"/>
  <c r="G313" i="167" l="1"/>
  <c r="H105" i="165"/>
  <c r="H109" i="167"/>
  <c r="J107" i="165"/>
  <c r="J128" i="165"/>
  <c r="K127" i="165"/>
  <c r="O127" i="165"/>
  <c r="E127" i="165"/>
  <c r="H126" i="167"/>
  <c r="I109" i="167" l="1"/>
  <c r="G109" i="167" s="1"/>
  <c r="I126" i="167"/>
  <c r="G126" i="167" s="1"/>
  <c r="J127" i="165"/>
  <c r="P107" i="165"/>
  <c r="P128" i="165"/>
  <c r="G78" i="167"/>
  <c r="G75" i="167"/>
  <c r="G66" i="167"/>
  <c r="G62" i="167"/>
  <c r="P127" i="165" l="1"/>
  <c r="G22" i="167"/>
  <c r="F51" i="165" l="1"/>
  <c r="G350" i="167" l="1"/>
  <c r="O390" i="165" l="1"/>
  <c r="N390" i="165"/>
  <c r="M390" i="165"/>
  <c r="L390" i="165"/>
  <c r="K390" i="165"/>
  <c r="I390" i="165"/>
  <c r="H390" i="165"/>
  <c r="G390" i="165"/>
  <c r="F390" i="165"/>
  <c r="E391" i="165"/>
  <c r="E86" i="170" l="1"/>
  <c r="E390" i="165"/>
  <c r="H351" i="167"/>
  <c r="J391" i="165"/>
  <c r="I351" i="167" s="1"/>
  <c r="I346" i="167" l="1"/>
  <c r="E102" i="170"/>
  <c r="J390" i="165"/>
  <c r="P391" i="165"/>
  <c r="D21" i="108"/>
  <c r="G351" i="167" l="1"/>
  <c r="P390" i="165"/>
  <c r="E101" i="170"/>
  <c r="H335" i="165"/>
  <c r="J296" i="167"/>
  <c r="O316" i="165"/>
  <c r="E316" i="165"/>
  <c r="N315" i="165"/>
  <c r="M315" i="165"/>
  <c r="L315" i="165"/>
  <c r="K315" i="165"/>
  <c r="I315" i="165"/>
  <c r="H315" i="165"/>
  <c r="G315" i="165"/>
  <c r="G326" i="167"/>
  <c r="H296" i="167" l="1"/>
  <c r="J316" i="165"/>
  <c r="O315" i="165"/>
  <c r="E315" i="165"/>
  <c r="F315" i="165"/>
  <c r="P316" i="165" l="1"/>
  <c r="J315" i="165"/>
  <c r="I296" i="167"/>
  <c r="G296" i="167" s="1"/>
  <c r="K113" i="165"/>
  <c r="F113" i="165"/>
  <c r="P315" i="165" l="1"/>
  <c r="J101" i="167"/>
  <c r="N91" i="165"/>
  <c r="M91" i="165"/>
  <c r="L91" i="165"/>
  <c r="K91" i="165"/>
  <c r="I91" i="165"/>
  <c r="H91" i="165"/>
  <c r="G91" i="165"/>
  <c r="F91" i="165"/>
  <c r="O93" i="165"/>
  <c r="E93" i="165"/>
  <c r="H101" i="167" l="1"/>
  <c r="J93" i="165"/>
  <c r="P93" i="165" l="1"/>
  <c r="I101" i="167"/>
  <c r="G101" i="167" s="1"/>
  <c r="J247" i="167"/>
  <c r="O272" i="165"/>
  <c r="J272" i="165" s="1"/>
  <c r="J271" i="165" s="1"/>
  <c r="J269" i="165" s="1"/>
  <c r="E272" i="165"/>
  <c r="H247" i="167" s="1"/>
  <c r="N271" i="165"/>
  <c r="M271" i="165"/>
  <c r="L271" i="165"/>
  <c r="K271" i="165"/>
  <c r="K269" i="165" s="1"/>
  <c r="I271" i="165"/>
  <c r="H271" i="165"/>
  <c r="G271" i="165"/>
  <c r="F271" i="165"/>
  <c r="D33" i="108"/>
  <c r="J268" i="165" l="1"/>
  <c r="K268" i="165"/>
  <c r="F269" i="165"/>
  <c r="G269" i="165"/>
  <c r="L269" i="165"/>
  <c r="H269" i="165"/>
  <c r="M269" i="165"/>
  <c r="I269" i="165"/>
  <c r="N269" i="165"/>
  <c r="I247" i="167"/>
  <c r="G247" i="167" s="1"/>
  <c r="P272" i="165"/>
  <c r="P271" i="165" s="1"/>
  <c r="P269" i="165" s="1"/>
  <c r="E271" i="165"/>
  <c r="E269" i="165" s="1"/>
  <c r="O271" i="165"/>
  <c r="O269" i="165" s="1"/>
  <c r="I54" i="184"/>
  <c r="H54" i="184"/>
  <c r="O268" i="165" l="1"/>
  <c r="H268" i="165"/>
  <c r="E268" i="165"/>
  <c r="I268" i="165"/>
  <c r="L268" i="165"/>
  <c r="N268" i="165"/>
  <c r="G268" i="165"/>
  <c r="P268" i="165"/>
  <c r="M268" i="165"/>
  <c r="F268" i="165"/>
  <c r="O266" i="165"/>
  <c r="G25" i="167" l="1"/>
  <c r="M41" i="167" l="1"/>
  <c r="G41" i="167" l="1"/>
  <c r="J29" i="184"/>
  <c r="J45" i="184" l="1"/>
  <c r="J103" i="167" l="1"/>
  <c r="N98" i="165"/>
  <c r="M98" i="165"/>
  <c r="L98" i="165"/>
  <c r="K98" i="165"/>
  <c r="I98" i="165"/>
  <c r="H98" i="165"/>
  <c r="G98" i="165"/>
  <c r="F98" i="165"/>
  <c r="O99" i="165"/>
  <c r="E99" i="165"/>
  <c r="N97" i="165" l="1"/>
  <c r="G97" i="165"/>
  <c r="K97" i="165"/>
  <c r="L97" i="165"/>
  <c r="F97" i="165"/>
  <c r="E98" i="165"/>
  <c r="H97" i="165"/>
  <c r="O98" i="165"/>
  <c r="I97" i="165"/>
  <c r="M97" i="165"/>
  <c r="H103" i="167"/>
  <c r="J99" i="165"/>
  <c r="E97" i="165" l="1"/>
  <c r="O97" i="165"/>
  <c r="J98" i="165"/>
  <c r="I103" i="167"/>
  <c r="G103" i="167" s="1"/>
  <c r="P99" i="165"/>
  <c r="P98" i="165" l="1"/>
  <c r="J97" i="165"/>
  <c r="N358" i="165"/>
  <c r="M358" i="165"/>
  <c r="L358" i="165"/>
  <c r="K358" i="165"/>
  <c r="I358" i="165"/>
  <c r="H358" i="165"/>
  <c r="G358" i="165"/>
  <c r="F358" i="165"/>
  <c r="O359" i="165"/>
  <c r="E359" i="165"/>
  <c r="H327" i="167" l="1"/>
  <c r="J359" i="165"/>
  <c r="L357" i="165"/>
  <c r="I357" i="165"/>
  <c r="N357" i="165"/>
  <c r="F357" i="165"/>
  <c r="K357" i="165"/>
  <c r="G357" i="165"/>
  <c r="E358" i="165"/>
  <c r="H357" i="165"/>
  <c r="M357" i="165"/>
  <c r="P97" i="165"/>
  <c r="O358" i="165"/>
  <c r="P359" i="165"/>
  <c r="D27" i="170"/>
  <c r="C119" i="188"/>
  <c r="I327" i="167" l="1"/>
  <c r="G327" i="167" s="1"/>
  <c r="P358" i="165"/>
  <c r="O357" i="165"/>
  <c r="E357" i="165"/>
  <c r="J358" i="165"/>
  <c r="J91" i="184"/>
  <c r="J100" i="184"/>
  <c r="J92" i="184"/>
  <c r="J59" i="184"/>
  <c r="J54" i="184"/>
  <c r="J357" i="165" l="1"/>
  <c r="P357" i="165"/>
  <c r="H213" i="165"/>
  <c r="G213" i="165"/>
  <c r="F213" i="165"/>
  <c r="E151" i="165"/>
  <c r="G50" i="167"/>
  <c r="G318" i="167"/>
  <c r="F37" i="165"/>
  <c r="N37" i="165"/>
  <c r="M37" i="165"/>
  <c r="L37" i="165"/>
  <c r="K37" i="165"/>
  <c r="I37" i="165"/>
  <c r="H37" i="165"/>
  <c r="G37" i="165"/>
  <c r="O38" i="165"/>
  <c r="E38" i="165"/>
  <c r="O150" i="165" l="1"/>
  <c r="E150" i="165"/>
  <c r="K37" i="167"/>
  <c r="H150" i="167"/>
  <c r="J151" i="165"/>
  <c r="J38" i="165"/>
  <c r="G39" i="167"/>
  <c r="J150" i="165" l="1"/>
  <c r="L37" i="167"/>
  <c r="I150" i="167"/>
  <c r="G150" i="167" s="1"/>
  <c r="P38" i="165"/>
  <c r="P151" i="165"/>
  <c r="P150" i="165" l="1"/>
  <c r="D37" i="188"/>
  <c r="C39" i="188"/>
  <c r="D55" i="172" l="1"/>
  <c r="G356" i="167" l="1"/>
  <c r="F415" i="165" l="1"/>
  <c r="N407" i="165"/>
  <c r="M407" i="165"/>
  <c r="L407" i="165"/>
  <c r="K407" i="165"/>
  <c r="I407" i="165"/>
  <c r="H407" i="165"/>
  <c r="G407" i="165"/>
  <c r="F407" i="165"/>
  <c r="O408" i="165"/>
  <c r="E408" i="165"/>
  <c r="G406" i="165" l="1"/>
  <c r="H406" i="165"/>
  <c r="M406" i="165"/>
  <c r="E407" i="165"/>
  <c r="I406" i="165"/>
  <c r="N406" i="165"/>
  <c r="J408" i="165"/>
  <c r="F406" i="165"/>
  <c r="K406" i="165"/>
  <c r="L406" i="165"/>
  <c r="O407" i="165"/>
  <c r="O406" i="165" l="1"/>
  <c r="J407" i="165"/>
  <c r="E406" i="165"/>
  <c r="P408" i="165"/>
  <c r="P407" i="165" l="1"/>
  <c r="J406" i="165"/>
  <c r="J161" i="167"/>
  <c r="O173" i="165"/>
  <c r="E173" i="165"/>
  <c r="J124" i="167"/>
  <c r="F123" i="165"/>
  <c r="G123" i="165"/>
  <c r="H123" i="165"/>
  <c r="I123" i="165"/>
  <c r="K123" i="165"/>
  <c r="L123" i="165"/>
  <c r="M123" i="165"/>
  <c r="N123" i="165"/>
  <c r="O124" i="165"/>
  <c r="E124" i="165"/>
  <c r="H161" i="167" l="1"/>
  <c r="E123" i="165"/>
  <c r="J173" i="165"/>
  <c r="J124" i="165"/>
  <c r="P406" i="165"/>
  <c r="H124" i="167"/>
  <c r="O123" i="165"/>
  <c r="P124" i="165" l="1"/>
  <c r="P173" i="165"/>
  <c r="J123" i="165"/>
  <c r="I124" i="167"/>
  <c r="G124" i="167" s="1"/>
  <c r="I161" i="167"/>
  <c r="G161" i="167" s="1"/>
  <c r="P123" i="165" l="1"/>
  <c r="O196" i="165"/>
  <c r="E196" i="165"/>
  <c r="H187" i="167" l="1"/>
  <c r="J196" i="165"/>
  <c r="P196" i="165" l="1"/>
  <c r="I187" i="167"/>
  <c r="G187" i="167" s="1"/>
  <c r="G308" i="167"/>
  <c r="G307" i="167"/>
  <c r="G304" i="167"/>
  <c r="N329" i="165" l="1"/>
  <c r="M329" i="165"/>
  <c r="L329" i="165"/>
  <c r="K329" i="165"/>
  <c r="I329" i="165"/>
  <c r="H329" i="165"/>
  <c r="G329" i="165"/>
  <c r="F329" i="165"/>
  <c r="O332" i="165"/>
  <c r="E332" i="165"/>
  <c r="O354" i="165"/>
  <c r="E354" i="165"/>
  <c r="J354" i="165" l="1"/>
  <c r="J332" i="165"/>
  <c r="P332" i="165" s="1"/>
  <c r="G284" i="167"/>
  <c r="P354" i="165" l="1"/>
  <c r="O39" i="165" l="1"/>
  <c r="E39" i="165"/>
  <c r="N295" i="165"/>
  <c r="M295" i="165"/>
  <c r="L295" i="165"/>
  <c r="K295" i="165"/>
  <c r="I295" i="165"/>
  <c r="H295" i="165"/>
  <c r="G295" i="165"/>
  <c r="F295" i="165"/>
  <c r="O298" i="165"/>
  <c r="E298" i="165"/>
  <c r="K36" i="184"/>
  <c r="O37" i="165" l="1"/>
  <c r="E37" i="165"/>
  <c r="K41" i="167"/>
  <c r="J298" i="165"/>
  <c r="I292" i="165"/>
  <c r="N292" i="165"/>
  <c r="F292" i="165"/>
  <c r="K292" i="165"/>
  <c r="O295" i="165"/>
  <c r="M292" i="165"/>
  <c r="E295" i="165"/>
  <c r="G292" i="165"/>
  <c r="L292" i="165"/>
  <c r="H292" i="165"/>
  <c r="J39" i="165"/>
  <c r="L41" i="167" l="1"/>
  <c r="P298" i="165"/>
  <c r="P39" i="165"/>
  <c r="J37" i="165"/>
  <c r="G40" i="167"/>
  <c r="P37" i="165" l="1"/>
  <c r="F55" i="172"/>
  <c r="K45" i="165" l="1"/>
  <c r="G224" i="167" l="1"/>
  <c r="N355" i="165" l="1"/>
  <c r="M355" i="165"/>
  <c r="L355" i="165"/>
  <c r="K355" i="165"/>
  <c r="I355" i="165"/>
  <c r="H355" i="165"/>
  <c r="G355" i="165"/>
  <c r="F355" i="165"/>
  <c r="I64" i="184" l="1"/>
  <c r="K64" i="184" l="1"/>
  <c r="C53" i="188" l="1"/>
  <c r="D52" i="188"/>
  <c r="C52" i="188" l="1"/>
  <c r="D41" i="188"/>
  <c r="E111" i="188"/>
  <c r="D103" i="188"/>
  <c r="E61" i="188" l="1"/>
  <c r="H44" i="184" l="1"/>
  <c r="G340" i="167"/>
  <c r="M342" i="167"/>
  <c r="O400" i="165"/>
  <c r="C46" i="172"/>
  <c r="C47" i="172"/>
  <c r="O415" i="165" l="1"/>
  <c r="E415" i="165"/>
  <c r="N414" i="165"/>
  <c r="N413" i="165" s="1"/>
  <c r="M414" i="165"/>
  <c r="L414" i="165"/>
  <c r="K414" i="165"/>
  <c r="I414" i="165"/>
  <c r="H414" i="165"/>
  <c r="G414" i="165"/>
  <c r="F414" i="165"/>
  <c r="F13" i="107"/>
  <c r="H13" i="107"/>
  <c r="J13" i="107"/>
  <c r="K13" i="107"/>
  <c r="L13" i="107"/>
  <c r="H413" i="165" l="1"/>
  <c r="I413" i="165"/>
  <c r="F413" i="165"/>
  <c r="K413" i="165"/>
  <c r="E414" i="165"/>
  <c r="M413" i="165"/>
  <c r="G413" i="165"/>
  <c r="L413" i="165"/>
  <c r="J415" i="165"/>
  <c r="O414" i="165"/>
  <c r="E413" i="165" l="1"/>
  <c r="O413" i="165"/>
  <c r="J414" i="165"/>
  <c r="P415" i="165"/>
  <c r="P414" i="165" l="1"/>
  <c r="J413" i="165"/>
  <c r="J53" i="184"/>
  <c r="I53" i="184"/>
  <c r="H53" i="184"/>
  <c r="K55" i="184"/>
  <c r="P413" i="165" l="1"/>
  <c r="G20" i="167"/>
  <c r="O291" i="165"/>
  <c r="J261" i="167" l="1"/>
  <c r="O286" i="165"/>
  <c r="E286" i="165"/>
  <c r="J286" i="165" l="1"/>
  <c r="H261" i="167"/>
  <c r="O330" i="165"/>
  <c r="J250" i="165"/>
  <c r="E250" i="165"/>
  <c r="N247" i="165"/>
  <c r="M247" i="165"/>
  <c r="L247" i="165"/>
  <c r="K247" i="165"/>
  <c r="I247" i="165"/>
  <c r="G247" i="165"/>
  <c r="F247" i="165"/>
  <c r="K60" i="184"/>
  <c r="K62" i="184"/>
  <c r="K63" i="184"/>
  <c r="K91" i="184"/>
  <c r="K92" i="184"/>
  <c r="K100" i="184"/>
  <c r="I69" i="184"/>
  <c r="J330" i="165" l="1"/>
  <c r="O329" i="165"/>
  <c r="P286" i="165"/>
  <c r="I261" i="167"/>
  <c r="G261" i="167" s="1"/>
  <c r="K59" i="184"/>
  <c r="P250" i="165"/>
  <c r="K69" i="184"/>
  <c r="H43" i="184"/>
  <c r="I45" i="184"/>
  <c r="K45" i="184" s="1"/>
  <c r="I56" i="184"/>
  <c r="H56" i="184"/>
  <c r="H47" i="184"/>
  <c r="H30" i="184"/>
  <c r="H19" i="184"/>
  <c r="J329" i="165" l="1"/>
  <c r="I44" i="184"/>
  <c r="J71" i="167" l="1"/>
  <c r="J19" i="184" l="1"/>
  <c r="I29" i="184"/>
  <c r="K29" i="184" s="1"/>
  <c r="I19" i="184" l="1"/>
  <c r="E57" i="165" l="1"/>
  <c r="J57" i="165"/>
  <c r="K55" i="165"/>
  <c r="L55" i="165"/>
  <c r="M55" i="165"/>
  <c r="N55" i="165"/>
  <c r="I55" i="165"/>
  <c r="H55" i="165"/>
  <c r="G55" i="165"/>
  <c r="F55" i="165"/>
  <c r="N388" i="165"/>
  <c r="M388" i="165"/>
  <c r="L388" i="165"/>
  <c r="K388" i="165"/>
  <c r="I388" i="165"/>
  <c r="H388" i="165"/>
  <c r="G388" i="165"/>
  <c r="F388" i="165"/>
  <c r="E388" i="165"/>
  <c r="I71" i="167" l="1"/>
  <c r="H71" i="167"/>
  <c r="P57" i="165"/>
  <c r="G71" i="167" l="1"/>
  <c r="O388" i="165"/>
  <c r="H103" i="184"/>
  <c r="O110" i="165" l="1"/>
  <c r="I30" i="184"/>
  <c r="H247" i="165" l="1"/>
  <c r="J218" i="167"/>
  <c r="O244" i="165"/>
  <c r="J244" i="165" s="1"/>
  <c r="E105" i="170" s="1"/>
  <c r="E244" i="165"/>
  <c r="E80" i="170" s="1"/>
  <c r="N243" i="165"/>
  <c r="N242" i="165" s="1"/>
  <c r="M243" i="165"/>
  <c r="M242" i="165" s="1"/>
  <c r="L243" i="165"/>
  <c r="L242" i="165" s="1"/>
  <c r="K243" i="165"/>
  <c r="K242" i="165" s="1"/>
  <c r="I243" i="165"/>
  <c r="I242" i="165" s="1"/>
  <c r="H243" i="165"/>
  <c r="H242" i="165" s="1"/>
  <c r="G243" i="165"/>
  <c r="G242" i="165" s="1"/>
  <c r="F243" i="165"/>
  <c r="F242" i="165" s="1"/>
  <c r="E243" i="165" l="1"/>
  <c r="E242" i="165" s="1"/>
  <c r="E90" i="170"/>
  <c r="H218" i="167"/>
  <c r="I218" i="167"/>
  <c r="O243" i="165"/>
  <c r="O242" i="165" s="1"/>
  <c r="J243" i="165"/>
  <c r="J242" i="165" s="1"/>
  <c r="P244" i="165"/>
  <c r="P243" i="165" s="1"/>
  <c r="P242" i="165" s="1"/>
  <c r="G218" i="167" l="1"/>
  <c r="J30" i="184"/>
  <c r="D121" i="188"/>
  <c r="D26" i="170" l="1"/>
  <c r="F78" i="165" l="1"/>
  <c r="D64" i="170" l="1"/>
  <c r="J214" i="167" l="1"/>
  <c r="O238" i="165"/>
  <c r="E238" i="165"/>
  <c r="N237" i="165"/>
  <c r="M237" i="165"/>
  <c r="L237" i="165"/>
  <c r="K237" i="165"/>
  <c r="I237" i="165"/>
  <c r="H237" i="165"/>
  <c r="G237" i="165"/>
  <c r="F237" i="165"/>
  <c r="J44" i="184"/>
  <c r="H214" i="167" l="1"/>
  <c r="E237" i="165"/>
  <c r="I236" i="165"/>
  <c r="K236" i="165"/>
  <c r="M236" i="165"/>
  <c r="F236" i="165"/>
  <c r="G236" i="165"/>
  <c r="J238" i="165"/>
  <c r="L236" i="165"/>
  <c r="H236" i="165"/>
  <c r="N236" i="165"/>
  <c r="O237" i="165"/>
  <c r="O356" i="165"/>
  <c r="E356" i="165"/>
  <c r="H325" i="167" l="1"/>
  <c r="K325" i="167" s="1"/>
  <c r="E236" i="165"/>
  <c r="O355" i="165"/>
  <c r="E355" i="165"/>
  <c r="P238" i="165"/>
  <c r="O236" i="165"/>
  <c r="J237" i="165"/>
  <c r="I214" i="167"/>
  <c r="G214" i="167" s="1"/>
  <c r="J356" i="165"/>
  <c r="L325" i="167" l="1"/>
  <c r="P237" i="165"/>
  <c r="J355" i="165"/>
  <c r="P356" i="165"/>
  <c r="G323" i="167"/>
  <c r="J236" i="165"/>
  <c r="P236" i="165" l="1"/>
  <c r="G325" i="167"/>
  <c r="P355" i="165"/>
  <c r="G18" i="167"/>
  <c r="J102" i="167"/>
  <c r="N95" i="165"/>
  <c r="N94" i="165" s="1"/>
  <c r="M95" i="165"/>
  <c r="M94" i="165" s="1"/>
  <c r="L95" i="165"/>
  <c r="L94" i="165" s="1"/>
  <c r="K95" i="165"/>
  <c r="K94" i="165" s="1"/>
  <c r="I95" i="165"/>
  <c r="I94" i="165" s="1"/>
  <c r="H95" i="165"/>
  <c r="H94" i="165" s="1"/>
  <c r="G95" i="165"/>
  <c r="G94" i="165" s="1"/>
  <c r="O96" i="165"/>
  <c r="J96" i="165" l="1"/>
  <c r="E96" i="165"/>
  <c r="F95" i="165"/>
  <c r="F94" i="165" s="1"/>
  <c r="O95" i="165"/>
  <c r="O94" i="165" s="1"/>
  <c r="P96" i="165" l="1"/>
  <c r="H102" i="167"/>
  <c r="J95" i="165"/>
  <c r="J94" i="165" s="1"/>
  <c r="E95" i="165"/>
  <c r="E94" i="165" s="1"/>
  <c r="I102" i="167"/>
  <c r="F144" i="188"/>
  <c r="C150" i="188"/>
  <c r="C149" i="188"/>
  <c r="D84" i="188"/>
  <c r="G102" i="167" l="1"/>
  <c r="P95" i="165"/>
  <c r="P94" i="165" s="1"/>
  <c r="D57" i="188"/>
  <c r="D78" i="188"/>
  <c r="E144" i="188"/>
  <c r="E130" i="188" l="1"/>
  <c r="D54" i="170" l="1"/>
  <c r="D56" i="170" s="1"/>
  <c r="D67" i="170" s="1"/>
  <c r="J172" i="167" l="1"/>
  <c r="O181" i="165"/>
  <c r="E181" i="165"/>
  <c r="N179" i="165"/>
  <c r="M179" i="165"/>
  <c r="L179" i="165"/>
  <c r="K179" i="165"/>
  <c r="I179" i="165"/>
  <c r="H179" i="165"/>
  <c r="G179" i="165"/>
  <c r="F179" i="165"/>
  <c r="J181" i="165" l="1"/>
  <c r="H172" i="167"/>
  <c r="N160" i="165"/>
  <c r="M160" i="165"/>
  <c r="L160" i="165"/>
  <c r="K160" i="165"/>
  <c r="I160" i="165"/>
  <c r="H160" i="165"/>
  <c r="G160" i="165"/>
  <c r="F160" i="165"/>
  <c r="I172" i="167" l="1"/>
  <c r="G172" i="167" s="1"/>
  <c r="P181" i="165"/>
  <c r="O170" i="165"/>
  <c r="E170" i="165"/>
  <c r="O167" i="165"/>
  <c r="E167" i="165"/>
  <c r="O165" i="165"/>
  <c r="E165" i="165"/>
  <c r="O161" i="165"/>
  <c r="E161" i="165"/>
  <c r="J165" i="165" l="1"/>
  <c r="J170" i="165"/>
  <c r="J167" i="165"/>
  <c r="E160" i="165"/>
  <c r="O160" i="165"/>
  <c r="J161" i="165"/>
  <c r="J125" i="167"/>
  <c r="P165" i="165" l="1"/>
  <c r="P170" i="165"/>
  <c r="P167" i="165"/>
  <c r="P161" i="165"/>
  <c r="J160" i="165"/>
  <c r="O126" i="165"/>
  <c r="E126" i="165"/>
  <c r="N125" i="165"/>
  <c r="M125" i="165"/>
  <c r="L125" i="165"/>
  <c r="K125" i="165"/>
  <c r="I125" i="165"/>
  <c r="H125" i="165"/>
  <c r="G125" i="165"/>
  <c r="F125" i="165"/>
  <c r="J126" i="165" l="1"/>
  <c r="P160" i="165"/>
  <c r="E125" i="165"/>
  <c r="H125" i="167"/>
  <c r="O125" i="165"/>
  <c r="P126" i="165" l="1"/>
  <c r="J125" i="165"/>
  <c r="I125" i="167"/>
  <c r="G125" i="167" s="1"/>
  <c r="P125" i="165" l="1"/>
  <c r="J91" i="167"/>
  <c r="O78" i="165"/>
  <c r="E78" i="165"/>
  <c r="N76" i="165"/>
  <c r="M76" i="165"/>
  <c r="L76" i="165"/>
  <c r="I76" i="165"/>
  <c r="H76" i="165"/>
  <c r="G76" i="165"/>
  <c r="F76" i="165"/>
  <c r="C143" i="188"/>
  <c r="C134" i="188"/>
  <c r="C133" i="188"/>
  <c r="C132" i="188"/>
  <c r="C131" i="188"/>
  <c r="C135" i="188"/>
  <c r="F121" i="188"/>
  <c r="E121" i="188"/>
  <c r="C126" i="188"/>
  <c r="C124" i="188"/>
  <c r="E120" i="188" l="1"/>
  <c r="H91" i="167"/>
  <c r="J78" i="165"/>
  <c r="C145" i="188"/>
  <c r="C93" i="188"/>
  <c r="C20" i="188"/>
  <c r="C19" i="188"/>
  <c r="P78" i="165" l="1"/>
  <c r="I91" i="167"/>
  <c r="G91" i="167" s="1"/>
  <c r="C118" i="188"/>
  <c r="C138" i="188"/>
  <c r="F130" i="188"/>
  <c r="C144" i="188"/>
  <c r="F102" i="188"/>
  <c r="E102" i="188"/>
  <c r="C112" i="188"/>
  <c r="C122" i="188"/>
  <c r="C125" i="188"/>
  <c r="C127" i="188"/>
  <c r="C128" i="188"/>
  <c r="C129" i="188"/>
  <c r="C139" i="188"/>
  <c r="C141" i="188"/>
  <c r="C142" i="188"/>
  <c r="C146" i="188"/>
  <c r="C147" i="188"/>
  <c r="C148"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F66" i="188" l="1"/>
  <c r="C24" i="188"/>
  <c r="D16" i="188"/>
  <c r="D40" i="188"/>
  <c r="F120" i="188"/>
  <c r="C103" i="188"/>
  <c r="C30" i="188"/>
  <c r="E95" i="188"/>
  <c r="C107" i="188"/>
  <c r="D67" i="188"/>
  <c r="D26" i="188"/>
  <c r="D102" i="188"/>
  <c r="C27" i="188"/>
  <c r="C111" i="188"/>
  <c r="C17" i="188"/>
  <c r="C96" i="188"/>
  <c r="C54" i="188"/>
  <c r="E66" i="188" l="1"/>
  <c r="F114" i="188"/>
  <c r="C67" i="188"/>
  <c r="C16" i="188"/>
  <c r="D101" i="188"/>
  <c r="C102" i="188"/>
  <c r="C26" i="188"/>
  <c r="J193" i="167"/>
  <c r="N202" i="165"/>
  <c r="M202" i="165"/>
  <c r="L202" i="165"/>
  <c r="K202" i="165"/>
  <c r="I202" i="165"/>
  <c r="H202" i="165"/>
  <c r="G202" i="165"/>
  <c r="F202" i="165"/>
  <c r="O203" i="165"/>
  <c r="J104" i="167"/>
  <c r="O102" i="165"/>
  <c r="E102" i="165"/>
  <c r="N101" i="165"/>
  <c r="M101" i="165"/>
  <c r="L101" i="165"/>
  <c r="K101" i="165"/>
  <c r="I101" i="165"/>
  <c r="H101" i="165"/>
  <c r="G101" i="165"/>
  <c r="F101" i="165"/>
  <c r="D47" i="170"/>
  <c r="D50" i="170" s="1"/>
  <c r="D140" i="188"/>
  <c r="D130" i="188" l="1"/>
  <c r="I201" i="165"/>
  <c r="N201" i="165"/>
  <c r="F201" i="165"/>
  <c r="K201" i="165"/>
  <c r="G201" i="165"/>
  <c r="L201" i="165"/>
  <c r="H201" i="165"/>
  <c r="M201" i="165"/>
  <c r="M100" i="165"/>
  <c r="N100" i="165"/>
  <c r="F100" i="165"/>
  <c r="H193" i="167"/>
  <c r="H104" i="167"/>
  <c r="I100" i="165"/>
  <c r="L100" i="165"/>
  <c r="E101" i="165"/>
  <c r="E202" i="165"/>
  <c r="C140" i="188"/>
  <c r="H100" i="165"/>
  <c r="G100" i="165"/>
  <c r="K100" i="165"/>
  <c r="J102" i="165"/>
  <c r="J203" i="165"/>
  <c r="O202" i="165"/>
  <c r="O101" i="165"/>
  <c r="D120" i="188" l="1"/>
  <c r="E100" i="165"/>
  <c r="P102" i="165"/>
  <c r="C130" i="188"/>
  <c r="J101" i="165"/>
  <c r="E104" i="170"/>
  <c r="I104" i="167"/>
  <c r="G104" i="167" s="1"/>
  <c r="O100" i="165"/>
  <c r="J202" i="165"/>
  <c r="I193" i="167"/>
  <c r="G193" i="167" s="1"/>
  <c r="P203" i="165"/>
  <c r="D114" i="188" l="1"/>
  <c r="P101" i="165"/>
  <c r="P100" i="165" s="1"/>
  <c r="P202" i="165"/>
  <c r="J100"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1" i="188"/>
  <c r="C106" i="188"/>
  <c r="F101" i="188" l="1"/>
  <c r="D66" i="188"/>
  <c r="E114" i="188"/>
  <c r="C114" i="188" s="1"/>
  <c r="D15" i="188"/>
  <c r="C15" i="188" s="1"/>
  <c r="C32" i="188"/>
  <c r="E113" i="188"/>
  <c r="C77" i="188"/>
  <c r="C120" i="188"/>
  <c r="C40" i="188"/>
  <c r="E153" i="188" l="1"/>
  <c r="I153" i="188" s="1"/>
  <c r="F113" i="188"/>
  <c r="D113" i="188"/>
  <c r="D153" i="188" s="1"/>
  <c r="H153" i="188" s="1"/>
  <c r="C66" i="188"/>
  <c r="C153" i="188" l="1"/>
  <c r="G153" i="188" s="1"/>
  <c r="F153" i="188"/>
  <c r="J153" i="188" s="1"/>
  <c r="C113" i="188"/>
  <c r="C44" i="172"/>
  <c r="C43" i="172" s="1"/>
  <c r="F43" i="172"/>
  <c r="E43" i="172"/>
  <c r="D43" i="172"/>
  <c r="D42" i="172" s="1"/>
  <c r="C19" i="172"/>
  <c r="C18" i="172"/>
  <c r="F17" i="172"/>
  <c r="E17" i="172"/>
  <c r="E16" i="172" s="1"/>
  <c r="D17" i="172"/>
  <c r="G51" i="167"/>
  <c r="F411" i="165" l="1"/>
  <c r="J320" i="167"/>
  <c r="M320" i="167" s="1"/>
  <c r="J322" i="167"/>
  <c r="N350" i="165"/>
  <c r="M350" i="165"/>
  <c r="L350" i="165"/>
  <c r="K350" i="165"/>
  <c r="I350" i="165"/>
  <c r="H350" i="165"/>
  <c r="G350" i="165"/>
  <c r="F350" i="165"/>
  <c r="O351" i="165"/>
  <c r="E351" i="165"/>
  <c r="G333" i="167"/>
  <c r="K320" i="167" l="1"/>
  <c r="J317" i="167"/>
  <c r="F409" i="165"/>
  <c r="O350" i="165"/>
  <c r="J351" i="165"/>
  <c r="E350" i="165"/>
  <c r="F368" i="165"/>
  <c r="N368" i="165"/>
  <c r="M368" i="165"/>
  <c r="L368" i="165"/>
  <c r="K368" i="165"/>
  <c r="I368" i="165"/>
  <c r="H368" i="165"/>
  <c r="G368" i="165"/>
  <c r="O369" i="165"/>
  <c r="E369" i="165"/>
  <c r="K333" i="167" l="1"/>
  <c r="P351" i="165"/>
  <c r="G152" i="167"/>
  <c r="J369" i="165"/>
  <c r="O368" i="165"/>
  <c r="E368" i="165"/>
  <c r="J350" i="165"/>
  <c r="I320" i="167"/>
  <c r="L320" i="167" s="1"/>
  <c r="L333" i="167" l="1"/>
  <c r="G320" i="167"/>
  <c r="P350" i="165"/>
  <c r="P369" i="165"/>
  <c r="J368" i="165"/>
  <c r="P368" i="165" l="1"/>
  <c r="E77" i="165"/>
  <c r="E76" i="165"/>
  <c r="J69" i="167"/>
  <c r="K51" i="165"/>
  <c r="I51" i="165"/>
  <c r="O54" i="165"/>
  <c r="E54" i="165"/>
  <c r="J60" i="167" l="1"/>
  <c r="M60" i="167" s="1"/>
  <c r="K76" i="165"/>
  <c r="J90" i="167"/>
  <c r="G51" i="165"/>
  <c r="H69" i="167"/>
  <c r="H51" i="165"/>
  <c r="O77" i="165"/>
  <c r="H90" i="167"/>
  <c r="J54" i="165"/>
  <c r="O76" i="165" l="1"/>
  <c r="P54" i="165"/>
  <c r="J77" i="165"/>
  <c r="I69" i="167"/>
  <c r="G69" i="167" s="1"/>
  <c r="P77" i="165" l="1"/>
  <c r="J76" i="165"/>
  <c r="I90" i="167"/>
  <c r="G90" i="167" s="1"/>
  <c r="J306" i="167"/>
  <c r="E330" i="165"/>
  <c r="E329" i="165" l="1"/>
  <c r="P76" i="165"/>
  <c r="H328" i="165"/>
  <c r="N328" i="165"/>
  <c r="I328" i="165"/>
  <c r="G328" i="165"/>
  <c r="M328" i="165"/>
  <c r="L328" i="165"/>
  <c r="H306" i="167"/>
  <c r="F328" i="165"/>
  <c r="K328" i="165"/>
  <c r="O328" i="165" l="1"/>
  <c r="E328" i="165"/>
  <c r="I306" i="167"/>
  <c r="G306" i="167" s="1"/>
  <c r="P330" i="165"/>
  <c r="P329" i="165" l="1"/>
  <c r="J328" i="165"/>
  <c r="P328" i="165" l="1"/>
  <c r="H360" i="167"/>
  <c r="G360" i="167" s="1"/>
  <c r="J87" i="167" l="1"/>
  <c r="O73" i="165"/>
  <c r="E73" i="165"/>
  <c r="N71" i="165"/>
  <c r="M71" i="165"/>
  <c r="L71" i="165"/>
  <c r="K71" i="165"/>
  <c r="I71" i="165"/>
  <c r="H71" i="165"/>
  <c r="G71" i="165"/>
  <c r="J31" i="167"/>
  <c r="M31" i="167" s="1"/>
  <c r="J28" i="165"/>
  <c r="E28" i="165"/>
  <c r="N26" i="165"/>
  <c r="M26" i="165"/>
  <c r="L26" i="165"/>
  <c r="K26" i="165"/>
  <c r="I26" i="165"/>
  <c r="H26" i="165"/>
  <c r="G26" i="165"/>
  <c r="F26" i="165"/>
  <c r="I31" i="167" l="1"/>
  <c r="L31" i="167" s="1"/>
  <c r="H87" i="167"/>
  <c r="J73" i="165"/>
  <c r="P28" i="165"/>
  <c r="H31" i="167"/>
  <c r="P73" i="165" l="1"/>
  <c r="I87" i="167"/>
  <c r="G87" i="167" s="1"/>
  <c r="K31" i="167"/>
  <c r="G31" i="167"/>
  <c r="D56" i="172" l="1"/>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7" i="184" l="1"/>
  <c r="I43" i="184"/>
  <c r="H37" i="184" l="1"/>
  <c r="H124" i="184" s="1"/>
  <c r="L124" i="184" s="1"/>
  <c r="I37" i="184"/>
  <c r="J12" i="184"/>
  <c r="J11" i="184" s="1"/>
  <c r="J43" i="184"/>
  <c r="J37" i="184"/>
  <c r="J47" i="184" l="1"/>
  <c r="J103" i="184"/>
  <c r="J56" i="184"/>
  <c r="F37" i="172"/>
  <c r="E40" i="172"/>
  <c r="E37" i="172" s="1"/>
  <c r="C45" i="172"/>
  <c r="C42" i="172" s="1"/>
  <c r="C33" i="172"/>
  <c r="C32" i="172"/>
  <c r="J124" i="184" l="1"/>
  <c r="C31" i="172"/>
  <c r="C30" i="172" s="1"/>
  <c r="C40" i="172"/>
  <c r="C37" i="172" s="1"/>
  <c r="G154" i="188" s="1"/>
  <c r="N290" i="165"/>
  <c r="M290" i="165"/>
  <c r="L290" i="165"/>
  <c r="I290" i="165"/>
  <c r="H290" i="165"/>
  <c r="G290" i="165"/>
  <c r="G163" i="184" l="1"/>
  <c r="G138" i="197"/>
  <c r="G143" i="108"/>
  <c r="C36" i="172"/>
  <c r="H289" i="165"/>
  <c r="H288" i="165" s="1"/>
  <c r="L289" i="165"/>
  <c r="L288" i="165" s="1"/>
  <c r="I289" i="165"/>
  <c r="I288" i="165" s="1"/>
  <c r="M289" i="165"/>
  <c r="M288" i="165" s="1"/>
  <c r="G289" i="165"/>
  <c r="G288" i="165" s="1"/>
  <c r="N289" i="165"/>
  <c r="N288" i="165" s="1"/>
  <c r="J89" i="167" l="1"/>
  <c r="O75" i="165"/>
  <c r="E75" i="165" l="1"/>
  <c r="J75" i="165"/>
  <c r="E130" i="165"/>
  <c r="O130" i="165"/>
  <c r="J130" i="165" s="1"/>
  <c r="H89" i="167" l="1"/>
  <c r="I89" i="167"/>
  <c r="K290" i="165"/>
  <c r="P75" i="165"/>
  <c r="P130" i="165"/>
  <c r="G89" i="167" l="1"/>
  <c r="K289" i="165"/>
  <c r="K288" i="165" s="1"/>
  <c r="G342" i="167" l="1"/>
  <c r="G56" i="167" l="1"/>
  <c r="G49" i="167" l="1"/>
  <c r="G48" i="167"/>
  <c r="G47" i="167"/>
  <c r="G46" i="167"/>
  <c r="E46" i="165"/>
  <c r="K45" i="167" s="1"/>
  <c r="G341" i="167"/>
  <c r="E84" i="170" l="1"/>
  <c r="O46" i="165"/>
  <c r="J46" i="165" l="1"/>
  <c r="L45" i="167" l="1"/>
  <c r="E100" i="170"/>
  <c r="P46" i="165"/>
  <c r="N58" i="165"/>
  <c r="M58" i="165"/>
  <c r="L58" i="165"/>
  <c r="I58" i="165"/>
  <c r="H58" i="165"/>
  <c r="G58" i="165"/>
  <c r="E59" i="165"/>
  <c r="O257" i="165"/>
  <c r="E257" i="165"/>
  <c r="H230" i="167" s="1"/>
  <c r="K58" i="165" l="1"/>
  <c r="E58" i="165"/>
  <c r="O59" i="165"/>
  <c r="H72" i="167"/>
  <c r="J257" i="165"/>
  <c r="I230" i="167" s="1"/>
  <c r="J72" i="167"/>
  <c r="G230" i="167" l="1"/>
  <c r="J59" i="165"/>
  <c r="O58" i="165"/>
  <c r="P257" i="165"/>
  <c r="J58" i="165" l="1"/>
  <c r="P59" i="165"/>
  <c r="I72" i="167"/>
  <c r="G72" i="167" s="1"/>
  <c r="P58" i="165" l="1"/>
  <c r="J293" i="167"/>
  <c r="N309" i="165" l="1"/>
  <c r="M309" i="165"/>
  <c r="L309" i="165"/>
  <c r="K309" i="165"/>
  <c r="I309" i="165"/>
  <c r="G309" i="165"/>
  <c r="O312" i="165"/>
  <c r="E312" i="165"/>
  <c r="H293" i="167" l="1"/>
  <c r="J312" i="165"/>
  <c r="G134" i="167"/>
  <c r="P312" i="165" l="1"/>
  <c r="I293" i="167"/>
  <c r="G293" i="167" l="1"/>
  <c r="J144" i="167" l="1"/>
  <c r="O145" i="165"/>
  <c r="E145" i="165"/>
  <c r="J136" i="167"/>
  <c r="J137" i="167"/>
  <c r="N133" i="165"/>
  <c r="M133" i="165"/>
  <c r="L133" i="165"/>
  <c r="I133" i="165"/>
  <c r="G133" i="165"/>
  <c r="J136" i="165"/>
  <c r="E136" i="165"/>
  <c r="I137" i="167" l="1"/>
  <c r="H144" i="167"/>
  <c r="J145" i="165"/>
  <c r="K133" i="165"/>
  <c r="P136" i="165"/>
  <c r="H137" i="167"/>
  <c r="I144" i="167" l="1"/>
  <c r="G144" i="167" s="1"/>
  <c r="G137" i="167"/>
  <c r="P145" i="165"/>
  <c r="F303" i="165"/>
  <c r="G303" i="165"/>
  <c r="H303" i="165"/>
  <c r="O264" i="165"/>
  <c r="E264" i="165"/>
  <c r="H242" i="167" l="1"/>
  <c r="F290" i="165"/>
  <c r="O290" i="165"/>
  <c r="J264" i="165"/>
  <c r="I242" i="167" l="1"/>
  <c r="G242" i="167" s="1"/>
  <c r="P264" i="165"/>
  <c r="F289" i="165"/>
  <c r="F288" i="165" s="1"/>
  <c r="O289" i="165"/>
  <c r="F133" i="165" l="1"/>
  <c r="J195" i="167" l="1"/>
  <c r="O205" i="165" l="1"/>
  <c r="E205" i="165"/>
  <c r="L200" i="165"/>
  <c r="G182" i="167"/>
  <c r="E201" i="165" l="1"/>
  <c r="O201" i="165"/>
  <c r="M200" i="165"/>
  <c r="K200" i="165"/>
  <c r="I200" i="165"/>
  <c r="N200" i="165"/>
  <c r="F200" i="165"/>
  <c r="H195" i="167"/>
  <c r="G200" i="165"/>
  <c r="H200" i="165"/>
  <c r="J205" i="165"/>
  <c r="E200" i="165" l="1"/>
  <c r="J201" i="165"/>
  <c r="O200" i="165"/>
  <c r="I195" i="167"/>
  <c r="G195" i="167" s="1"/>
  <c r="P205" i="165"/>
  <c r="P201" i="165" l="1"/>
  <c r="J200" i="165"/>
  <c r="P200" i="165" l="1"/>
  <c r="G354" i="167"/>
  <c r="D36" i="108"/>
  <c r="H142" i="108" s="1"/>
  <c r="F309" i="165" l="1"/>
  <c r="J36" i="167"/>
  <c r="J35" i="165" l="1"/>
  <c r="J33" i="165"/>
  <c r="O32" i="165"/>
  <c r="L32" i="165"/>
  <c r="F32" i="165"/>
  <c r="N32" i="165"/>
  <c r="M32" i="165"/>
  <c r="K32" i="165"/>
  <c r="I32" i="165"/>
  <c r="H32" i="165"/>
  <c r="G32" i="165"/>
  <c r="E35" i="165"/>
  <c r="G29" i="165" l="1"/>
  <c r="M29" i="165"/>
  <c r="H29" i="165"/>
  <c r="N29" i="165"/>
  <c r="I29" i="165"/>
  <c r="F29" i="165"/>
  <c r="K29" i="165"/>
  <c r="L29" i="165"/>
  <c r="I36" i="167"/>
  <c r="H36" i="167"/>
  <c r="J32" i="165"/>
  <c r="P35" i="165"/>
  <c r="J314" i="167"/>
  <c r="J310" i="167" s="1"/>
  <c r="G36" i="167" l="1"/>
  <c r="O341" i="165"/>
  <c r="O340" i="165" s="1"/>
  <c r="E341" i="165"/>
  <c r="E340" i="165" s="1"/>
  <c r="L339" i="165" l="1"/>
  <c r="N339" i="165"/>
  <c r="H339" i="165"/>
  <c r="M339" i="165"/>
  <c r="F339" i="165"/>
  <c r="K339" i="165"/>
  <c r="J341" i="165"/>
  <c r="J340" i="165" s="1"/>
  <c r="G339" i="165"/>
  <c r="I339" i="165"/>
  <c r="H314" i="167"/>
  <c r="P341" i="165" l="1"/>
  <c r="P340" i="165" s="1"/>
  <c r="E339" i="165"/>
  <c r="O339" i="165"/>
  <c r="I314" i="167"/>
  <c r="I310" i="167" s="1"/>
  <c r="G314" i="167" l="1"/>
  <c r="J339" i="165"/>
  <c r="P339" i="165" l="1"/>
  <c r="J344" i="167" l="1"/>
  <c r="J330" i="167" s="1"/>
  <c r="O381" i="165" l="1"/>
  <c r="E381" i="165"/>
  <c r="N380" i="165"/>
  <c r="M380" i="165"/>
  <c r="L380" i="165"/>
  <c r="K380" i="165"/>
  <c r="I380" i="165"/>
  <c r="H380" i="165"/>
  <c r="G380" i="165"/>
  <c r="F380" i="165"/>
  <c r="E91" i="170" l="1"/>
  <c r="M379" i="165"/>
  <c r="N379" i="165"/>
  <c r="H379" i="165"/>
  <c r="I379" i="165"/>
  <c r="F379" i="165"/>
  <c r="K379" i="165"/>
  <c r="H344" i="167"/>
  <c r="H330" i="167" s="1"/>
  <c r="G379" i="165"/>
  <c r="L379" i="165"/>
  <c r="J381" i="165"/>
  <c r="O380" i="165"/>
  <c r="E380" i="165"/>
  <c r="E107" i="170" l="1"/>
  <c r="E379" i="165"/>
  <c r="J380" i="165"/>
  <c r="I344" i="167"/>
  <c r="I330" i="167" s="1"/>
  <c r="P381" i="165"/>
  <c r="O379" i="165"/>
  <c r="G344" i="167" l="1"/>
  <c r="P380" i="165"/>
  <c r="J379" i="165"/>
  <c r="P379" i="165" l="1"/>
  <c r="J154" i="167" l="1"/>
  <c r="N154" i="165"/>
  <c r="M154" i="165"/>
  <c r="L154" i="165"/>
  <c r="K154" i="165"/>
  <c r="I154" i="165"/>
  <c r="H154" i="165"/>
  <c r="G154" i="165"/>
  <c r="F154" i="165"/>
  <c r="J145" i="167"/>
  <c r="J143" i="167"/>
  <c r="E154" i="165" l="1"/>
  <c r="O154" i="165"/>
  <c r="J154" i="165" l="1"/>
  <c r="F17" i="165" l="1"/>
  <c r="P154" i="165"/>
  <c r="G260" i="167"/>
  <c r="P16" i="107" l="1"/>
  <c r="P15" i="107" s="1"/>
  <c r="P14" i="107" s="1"/>
  <c r="L16" i="107"/>
  <c r="L15" i="107" s="1"/>
  <c r="L14" i="107" s="1"/>
  <c r="K16" i="107"/>
  <c r="K15" i="107" s="1"/>
  <c r="K14" i="107" s="1"/>
  <c r="J16" i="107"/>
  <c r="J15" i="107" s="1"/>
  <c r="J14" i="107" s="1"/>
  <c r="H16" i="107"/>
  <c r="H15" i="107" s="1"/>
  <c r="H14" i="107" s="1"/>
  <c r="F16" i="107"/>
  <c r="F15" i="107" s="1"/>
  <c r="F14" i="107" s="1"/>
  <c r="N417" i="165"/>
  <c r="M417" i="165"/>
  <c r="L417" i="165"/>
  <c r="K417" i="165"/>
  <c r="I417" i="165"/>
  <c r="H417" i="165"/>
  <c r="G417" i="165"/>
  <c r="F417" i="165"/>
  <c r="N411" i="165"/>
  <c r="M411" i="165"/>
  <c r="L411" i="165"/>
  <c r="K411" i="165"/>
  <c r="I411" i="165"/>
  <c r="H411" i="165"/>
  <c r="G411" i="165"/>
  <c r="O410" i="165"/>
  <c r="N403" i="165"/>
  <c r="M403" i="165"/>
  <c r="L403" i="165"/>
  <c r="K403" i="165"/>
  <c r="I403" i="165"/>
  <c r="G403" i="165"/>
  <c r="O397" i="165"/>
  <c r="N397" i="165"/>
  <c r="M397" i="165"/>
  <c r="L397" i="165"/>
  <c r="K397" i="165"/>
  <c r="I397" i="165"/>
  <c r="H397" i="165"/>
  <c r="G397" i="165"/>
  <c r="F397" i="165"/>
  <c r="N399" i="165"/>
  <c r="M399" i="165"/>
  <c r="L399" i="165"/>
  <c r="K399" i="165"/>
  <c r="I399" i="165"/>
  <c r="H399" i="165"/>
  <c r="G399" i="165"/>
  <c r="F399" i="165"/>
  <c r="N394" i="165"/>
  <c r="M394" i="165"/>
  <c r="L394" i="165"/>
  <c r="K394" i="165"/>
  <c r="I394" i="165"/>
  <c r="G394" i="165"/>
  <c r="F394" i="165"/>
  <c r="N384" i="165"/>
  <c r="M384" i="165"/>
  <c r="L384" i="165"/>
  <c r="K384" i="165"/>
  <c r="I384" i="165"/>
  <c r="G384" i="165"/>
  <c r="N67" i="165"/>
  <c r="M67" i="165"/>
  <c r="L67" i="165"/>
  <c r="K67" i="165"/>
  <c r="I67" i="165"/>
  <c r="M64" i="165"/>
  <c r="K64" i="165"/>
  <c r="I64" i="165"/>
  <c r="M61" i="165"/>
  <c r="K61" i="165"/>
  <c r="I61" i="165"/>
  <c r="N374" i="165"/>
  <c r="M374" i="165"/>
  <c r="L374" i="165"/>
  <c r="I374" i="165"/>
  <c r="H374" i="165"/>
  <c r="G374" i="165"/>
  <c r="N352" i="165"/>
  <c r="M352" i="165"/>
  <c r="L352" i="165"/>
  <c r="K352" i="165"/>
  <c r="I352" i="165"/>
  <c r="H352" i="165"/>
  <c r="G352" i="165"/>
  <c r="F352" i="165"/>
  <c r="N345" i="165"/>
  <c r="M345" i="165"/>
  <c r="L345" i="165"/>
  <c r="K345" i="165"/>
  <c r="I345" i="165"/>
  <c r="G345" i="165"/>
  <c r="N322" i="165"/>
  <c r="M322" i="165"/>
  <c r="L322" i="165"/>
  <c r="I322" i="165"/>
  <c r="H322" i="165"/>
  <c r="G322" i="165"/>
  <c r="F322" i="165"/>
  <c r="I49" i="165" l="1"/>
  <c r="K49" i="165"/>
  <c r="L349" i="165"/>
  <c r="H349" i="165"/>
  <c r="M349" i="165"/>
  <c r="I349" i="165"/>
  <c r="N349" i="165"/>
  <c r="G349" i="165"/>
  <c r="F349" i="165"/>
  <c r="K349" i="165"/>
  <c r="I409" i="165"/>
  <c r="N409" i="165"/>
  <c r="K409" i="165"/>
  <c r="L409" i="165"/>
  <c r="G409" i="165"/>
  <c r="H409" i="165"/>
  <c r="M409" i="165"/>
  <c r="L416" i="165"/>
  <c r="G416" i="165"/>
  <c r="M334" i="165"/>
  <c r="G370" i="165"/>
  <c r="M370" i="165"/>
  <c r="H416" i="165"/>
  <c r="M416" i="165"/>
  <c r="G321" i="165"/>
  <c r="I321" i="165"/>
  <c r="G334" i="165"/>
  <c r="F321" i="165"/>
  <c r="L321" i="165"/>
  <c r="I334" i="165"/>
  <c r="N334" i="165"/>
  <c r="H370" i="165"/>
  <c r="N370" i="165"/>
  <c r="I416" i="165"/>
  <c r="N416" i="165"/>
  <c r="M321" i="165"/>
  <c r="K334" i="165"/>
  <c r="I370" i="165"/>
  <c r="J410" i="165"/>
  <c r="F416" i="165"/>
  <c r="K416" i="165"/>
  <c r="H321" i="165"/>
  <c r="N321" i="165"/>
  <c r="L334" i="165"/>
  <c r="L370" i="165"/>
  <c r="H396" i="165"/>
  <c r="K396" i="165"/>
  <c r="G396" i="165"/>
  <c r="L396" i="165"/>
  <c r="I396" i="165"/>
  <c r="M396" i="165"/>
  <c r="F396" i="165"/>
  <c r="N396" i="165"/>
  <c r="N300" i="165"/>
  <c r="M300" i="165"/>
  <c r="L300" i="165"/>
  <c r="K300" i="165"/>
  <c r="I300" i="165"/>
  <c r="F300" i="165"/>
  <c r="N275" i="165"/>
  <c r="M275" i="165"/>
  <c r="L275" i="165"/>
  <c r="K275" i="165"/>
  <c r="I275" i="165"/>
  <c r="G275" i="165"/>
  <c r="N265" i="165"/>
  <c r="M265" i="165"/>
  <c r="L265" i="165"/>
  <c r="K265" i="165"/>
  <c r="I265" i="165"/>
  <c r="H265" i="165"/>
  <c r="G265" i="165"/>
  <c r="F265" i="165"/>
  <c r="N252" i="165"/>
  <c r="N251" i="165" s="1"/>
  <c r="M252" i="165"/>
  <c r="M251" i="165" s="1"/>
  <c r="L252" i="165"/>
  <c r="L251" i="165" s="1"/>
  <c r="I252" i="165"/>
  <c r="I251" i="165" s="1"/>
  <c r="H252" i="165"/>
  <c r="H251" i="165" s="1"/>
  <c r="G252" i="165"/>
  <c r="G251" i="165" s="1"/>
  <c r="F252" i="165"/>
  <c r="F251" i="165" s="1"/>
  <c r="N233" i="165"/>
  <c r="M233" i="165"/>
  <c r="L233" i="165"/>
  <c r="K233" i="165"/>
  <c r="I233" i="165"/>
  <c r="H233" i="165"/>
  <c r="G233" i="165"/>
  <c r="F233" i="165"/>
  <c r="N228" i="165"/>
  <c r="M228" i="165"/>
  <c r="L228" i="165"/>
  <c r="I228" i="165"/>
  <c r="H228" i="165"/>
  <c r="G228" i="165"/>
  <c r="M223" i="165"/>
  <c r="I223" i="165"/>
  <c r="G223" i="165"/>
  <c r="N221" i="165"/>
  <c r="M221" i="165"/>
  <c r="L221" i="165"/>
  <c r="K221" i="165"/>
  <c r="I221" i="165"/>
  <c r="H221" i="165"/>
  <c r="G221" i="165"/>
  <c r="N218" i="165"/>
  <c r="M218" i="165"/>
  <c r="L218" i="165"/>
  <c r="K218" i="165"/>
  <c r="I218" i="165"/>
  <c r="H218" i="165"/>
  <c r="G218" i="165"/>
  <c r="M214" i="165"/>
  <c r="I214" i="165"/>
  <c r="G214" i="165"/>
  <c r="N212" i="165"/>
  <c r="M212" i="165"/>
  <c r="L212" i="165"/>
  <c r="K212" i="165"/>
  <c r="I212" i="165"/>
  <c r="G212" i="165"/>
  <c r="N207" i="165"/>
  <c r="M207" i="165"/>
  <c r="L207" i="165"/>
  <c r="K207" i="165"/>
  <c r="I207" i="165"/>
  <c r="H207" i="165"/>
  <c r="G207" i="165"/>
  <c r="F207" i="165"/>
  <c r="N197" i="165"/>
  <c r="M197" i="165"/>
  <c r="K197" i="165"/>
  <c r="I197" i="165"/>
  <c r="G197" i="165"/>
  <c r="M190" i="165"/>
  <c r="K190" i="165"/>
  <c r="I190" i="165"/>
  <c r="N185" i="165"/>
  <c r="N183" i="165" s="1"/>
  <c r="N182" i="165" s="1"/>
  <c r="M185" i="165"/>
  <c r="M183" i="165" s="1"/>
  <c r="M182" i="165" s="1"/>
  <c r="L185" i="165"/>
  <c r="L183" i="165" s="1"/>
  <c r="L182" i="165" s="1"/>
  <c r="K185" i="165"/>
  <c r="K183" i="165" s="1"/>
  <c r="K182" i="165" s="1"/>
  <c r="I185" i="165"/>
  <c r="I183" i="165" s="1"/>
  <c r="I182" i="165" s="1"/>
  <c r="H185" i="165"/>
  <c r="H183" i="165" s="1"/>
  <c r="H182" i="165" s="1"/>
  <c r="G185" i="165"/>
  <c r="G183" i="165" s="1"/>
  <c r="G182" i="165" s="1"/>
  <c r="F185" i="165"/>
  <c r="F183" i="165" s="1"/>
  <c r="F182" i="165" s="1"/>
  <c r="M174" i="165"/>
  <c r="I174" i="165"/>
  <c r="N157" i="165"/>
  <c r="M157" i="165"/>
  <c r="L157" i="165"/>
  <c r="K157" i="165"/>
  <c r="I157" i="165"/>
  <c r="H157" i="165"/>
  <c r="G157" i="165"/>
  <c r="M147" i="165"/>
  <c r="K147" i="165"/>
  <c r="I147" i="165"/>
  <c r="F147" i="165"/>
  <c r="N138" i="165"/>
  <c r="M138" i="165"/>
  <c r="M137" i="165" s="1"/>
  <c r="L138" i="165"/>
  <c r="K138" i="165"/>
  <c r="I138" i="165"/>
  <c r="I137" i="165" s="1"/>
  <c r="H138" i="165"/>
  <c r="G138" i="165"/>
  <c r="I362" i="167" l="1"/>
  <c r="I359" i="167" s="1"/>
  <c r="M217" i="165"/>
  <c r="I217" i="165"/>
  <c r="G217" i="165"/>
  <c r="L402" i="165"/>
  <c r="M402" i="165"/>
  <c r="K402" i="165"/>
  <c r="N402" i="165"/>
  <c r="G402" i="165"/>
  <c r="I402" i="165"/>
  <c r="H348" i="165"/>
  <c r="L348" i="165"/>
  <c r="F348" i="165"/>
  <c r="N348" i="165"/>
  <c r="M348" i="165"/>
  <c r="G348" i="165"/>
  <c r="K348" i="165"/>
  <c r="I348" i="165"/>
  <c r="N232" i="165"/>
  <c r="I235" i="165"/>
  <c r="K235" i="165"/>
  <c r="L235" i="165"/>
  <c r="M235" i="165"/>
  <c r="N235" i="165"/>
  <c r="F235" i="165"/>
  <c r="G235" i="165"/>
  <c r="H235" i="165"/>
  <c r="N324" i="165"/>
  <c r="N308" i="165" s="1"/>
  <c r="H324" i="165"/>
  <c r="I367" i="165"/>
  <c r="M367" i="165"/>
  <c r="K324" i="165"/>
  <c r="I324" i="165"/>
  <c r="I308" i="165" s="1"/>
  <c r="G367" i="165"/>
  <c r="L367" i="165"/>
  <c r="M324" i="165"/>
  <c r="M308" i="165" s="1"/>
  <c r="N367" i="165"/>
  <c r="L324" i="165"/>
  <c r="L308" i="165" s="1"/>
  <c r="H367" i="165"/>
  <c r="G324" i="165"/>
  <c r="G308" i="165" s="1"/>
  <c r="F324" i="165"/>
  <c r="F308" i="165" s="1"/>
  <c r="F178" i="165"/>
  <c r="K178" i="165"/>
  <c r="I192" i="165"/>
  <c r="F206" i="165"/>
  <c r="K206" i="165"/>
  <c r="M211" i="165"/>
  <c r="I232" i="165"/>
  <c r="L299" i="165"/>
  <c r="F393" i="165"/>
  <c r="L393" i="165"/>
  <c r="M387" i="165"/>
  <c r="L387" i="165"/>
  <c r="G178" i="165"/>
  <c r="L178" i="165"/>
  <c r="G206" i="165"/>
  <c r="L206" i="165"/>
  <c r="F232" i="165"/>
  <c r="K232" i="165"/>
  <c r="F299" i="165"/>
  <c r="M299" i="165"/>
  <c r="M393" i="165"/>
  <c r="G393" i="165"/>
  <c r="N387" i="165"/>
  <c r="K387" i="165"/>
  <c r="H178" i="165"/>
  <c r="M178" i="165"/>
  <c r="M192" i="165"/>
  <c r="H206" i="165"/>
  <c r="M206" i="165"/>
  <c r="G232" i="165"/>
  <c r="L232" i="165"/>
  <c r="I299" i="165"/>
  <c r="N299" i="165"/>
  <c r="I393" i="165"/>
  <c r="H387" i="165"/>
  <c r="G387" i="165"/>
  <c r="I178" i="165"/>
  <c r="N178" i="165"/>
  <c r="G192" i="165"/>
  <c r="I206" i="165"/>
  <c r="N206" i="165"/>
  <c r="H232" i="165"/>
  <c r="M232" i="165"/>
  <c r="K299" i="165"/>
  <c r="N393" i="165"/>
  <c r="K393" i="165"/>
  <c r="I387" i="165"/>
  <c r="F387" i="165"/>
  <c r="I262" i="165"/>
  <c r="I261" i="165" s="1"/>
  <c r="F262" i="165"/>
  <c r="F261" i="165" s="1"/>
  <c r="K262" i="165"/>
  <c r="K261" i="165" s="1"/>
  <c r="G262" i="165"/>
  <c r="G261" i="165" s="1"/>
  <c r="L262" i="165"/>
  <c r="L261" i="165" s="1"/>
  <c r="N262" i="165"/>
  <c r="N261" i="165" s="1"/>
  <c r="G211" i="165"/>
  <c r="H262" i="165"/>
  <c r="H261" i="165" s="1"/>
  <c r="M262" i="165"/>
  <c r="M261" i="165" s="1"/>
  <c r="I211" i="165"/>
  <c r="N118" i="165"/>
  <c r="M118" i="165"/>
  <c r="L118" i="165"/>
  <c r="K118" i="165"/>
  <c r="I118" i="165"/>
  <c r="N116" i="165"/>
  <c r="M116" i="165"/>
  <c r="L116" i="165"/>
  <c r="K116" i="165"/>
  <c r="I116" i="165"/>
  <c r="H116" i="165"/>
  <c r="G116" i="165"/>
  <c r="F116" i="165"/>
  <c r="N114" i="165"/>
  <c r="M114" i="165"/>
  <c r="L114" i="165"/>
  <c r="K114" i="165"/>
  <c r="I114" i="165"/>
  <c r="H114" i="165"/>
  <c r="G114" i="165"/>
  <c r="F114" i="165"/>
  <c r="O113" i="165"/>
  <c r="K48" i="165"/>
  <c r="I48" i="165"/>
  <c r="N43" i="165"/>
  <c r="M43" i="165"/>
  <c r="L43" i="165"/>
  <c r="K43" i="165"/>
  <c r="I43" i="165"/>
  <c r="H43" i="165"/>
  <c r="G43" i="165"/>
  <c r="F43" i="165"/>
  <c r="E41" i="165"/>
  <c r="N40" i="165"/>
  <c r="M40" i="165"/>
  <c r="L40" i="165"/>
  <c r="K40" i="165"/>
  <c r="I40" i="165"/>
  <c r="H40" i="165"/>
  <c r="G40" i="165"/>
  <c r="F40" i="165"/>
  <c r="N17" i="165"/>
  <c r="M17" i="165"/>
  <c r="L17" i="165"/>
  <c r="I17" i="165"/>
  <c r="J84" i="167"/>
  <c r="J83" i="167"/>
  <c r="J81" i="167"/>
  <c r="M81" i="167" s="1"/>
  <c r="J80" i="167"/>
  <c r="K108" i="165" l="1"/>
  <c r="K104" i="165" s="1"/>
  <c r="L108" i="165"/>
  <c r="L104" i="165" s="1"/>
  <c r="M108" i="165"/>
  <c r="M104" i="165" s="1"/>
  <c r="I108" i="165"/>
  <c r="I104" i="165" s="1"/>
  <c r="N108" i="165"/>
  <c r="N104" i="165" s="1"/>
  <c r="G42" i="165"/>
  <c r="L42" i="165"/>
  <c r="I42" i="165"/>
  <c r="N42" i="165"/>
  <c r="F42" i="165"/>
  <c r="H42" i="165"/>
  <c r="M42" i="165"/>
  <c r="K42" i="165"/>
  <c r="L344" i="165"/>
  <c r="G363" i="165"/>
  <c r="I363" i="165"/>
  <c r="M344" i="165"/>
  <c r="G344" i="165"/>
  <c r="G383" i="165"/>
  <c r="K383" i="165"/>
  <c r="L383" i="165"/>
  <c r="N363" i="165"/>
  <c r="I344" i="165"/>
  <c r="N344" i="165"/>
  <c r="H363" i="165"/>
  <c r="L363" i="165"/>
  <c r="M363" i="165"/>
  <c r="I383" i="165"/>
  <c r="N383" i="165"/>
  <c r="M383" i="165"/>
  <c r="K344" i="165"/>
  <c r="G36" i="165"/>
  <c r="L36" i="165"/>
  <c r="H36" i="165"/>
  <c r="M36" i="165"/>
  <c r="I36" i="165"/>
  <c r="N36" i="165"/>
  <c r="F36" i="165"/>
  <c r="K36" i="165"/>
  <c r="M210" i="165"/>
  <c r="G210" i="165"/>
  <c r="I210" i="165"/>
  <c r="I189" i="165"/>
  <c r="M189" i="165"/>
  <c r="I25" i="165"/>
  <c r="N25" i="165"/>
  <c r="E40" i="165"/>
  <c r="F25" i="165"/>
  <c r="K25" i="165"/>
  <c r="G25" i="165"/>
  <c r="H25" i="165"/>
  <c r="J113" i="165"/>
  <c r="M25" i="165"/>
  <c r="G82" i="167"/>
  <c r="J79" i="167"/>
  <c r="I16" i="165" l="1"/>
  <c r="N16" i="165"/>
  <c r="M16" i="165"/>
  <c r="F16" i="165"/>
  <c r="M274" i="165"/>
  <c r="L274" i="165"/>
  <c r="N274" i="165"/>
  <c r="I274" i="165"/>
  <c r="K274" i="165"/>
  <c r="L246" i="165"/>
  <c r="I246" i="165"/>
  <c r="G246" i="165"/>
  <c r="M246" i="165"/>
  <c r="N246" i="165"/>
  <c r="H246" i="165"/>
  <c r="F246" i="165"/>
  <c r="E36" i="165"/>
  <c r="M132" i="165"/>
  <c r="I132" i="165"/>
  <c r="L25" i="165"/>
  <c r="J70" i="167"/>
  <c r="L16" i="165" l="1"/>
  <c r="O69" i="165"/>
  <c r="G61" i="165"/>
  <c r="F61" i="165"/>
  <c r="J63" i="165"/>
  <c r="E63" i="165"/>
  <c r="O56" i="165"/>
  <c r="E56" i="165"/>
  <c r="J86" i="167"/>
  <c r="E55" i="165" l="1"/>
  <c r="O55" i="165"/>
  <c r="E69" i="165"/>
  <c r="H79" i="167"/>
  <c r="J69" i="165"/>
  <c r="I79" i="167"/>
  <c r="F67" i="165"/>
  <c r="G67" i="165"/>
  <c r="H70" i="167"/>
  <c r="P63" i="165"/>
  <c r="F71" i="165"/>
  <c r="O72" i="165"/>
  <c r="J67" i="167"/>
  <c r="J85" i="167"/>
  <c r="M67" i="167" l="1"/>
  <c r="M51" i="165"/>
  <c r="M49" i="165" s="1"/>
  <c r="O71" i="165"/>
  <c r="G79" i="167"/>
  <c r="I84" i="167"/>
  <c r="H84" i="167"/>
  <c r="E72" i="165"/>
  <c r="P69" i="165"/>
  <c r="M63" i="167"/>
  <c r="J72" i="165"/>
  <c r="J56" i="165"/>
  <c r="O70" i="165"/>
  <c r="E70" i="165"/>
  <c r="H64" i="165"/>
  <c r="F64" i="165"/>
  <c r="F49" i="165" s="1"/>
  <c r="J88" i="167"/>
  <c r="O74" i="165"/>
  <c r="J55" i="165" l="1"/>
  <c r="P72" i="165"/>
  <c r="G84" i="167"/>
  <c r="H85" i="167"/>
  <c r="E71" i="165"/>
  <c r="J70" i="165"/>
  <c r="I86" i="167"/>
  <c r="G64" i="165"/>
  <c r="G49" i="165" s="1"/>
  <c r="E74" i="165"/>
  <c r="J74" i="165"/>
  <c r="H86" i="167"/>
  <c r="I70" i="167"/>
  <c r="G70" i="167" s="1"/>
  <c r="J71" i="165"/>
  <c r="P56" i="165"/>
  <c r="O405" i="165"/>
  <c r="E405" i="165"/>
  <c r="I358" i="167"/>
  <c r="H384" i="165"/>
  <c r="O386" i="165"/>
  <c r="E386" i="165"/>
  <c r="F345" i="165"/>
  <c r="O347" i="165"/>
  <c r="E347" i="165"/>
  <c r="O337" i="165"/>
  <c r="E337" i="165"/>
  <c r="O311" i="165"/>
  <c r="E311" i="165"/>
  <c r="F275" i="165"/>
  <c r="O277" i="165"/>
  <c r="E277" i="165"/>
  <c r="O135" i="165"/>
  <c r="E135" i="165"/>
  <c r="F274" i="165" l="1"/>
  <c r="H383" i="165"/>
  <c r="F344" i="165"/>
  <c r="M48" i="165"/>
  <c r="F48" i="165"/>
  <c r="P55" i="165"/>
  <c r="P71" i="165"/>
  <c r="P70" i="165"/>
  <c r="P74" i="165"/>
  <c r="H319" i="167"/>
  <c r="H292" i="167"/>
  <c r="J337" i="165"/>
  <c r="H251" i="167"/>
  <c r="J311" i="165"/>
  <c r="F334" i="165"/>
  <c r="H348" i="167"/>
  <c r="F403" i="165"/>
  <c r="I88" i="167"/>
  <c r="G86" i="167"/>
  <c r="J277" i="165"/>
  <c r="J386" i="165"/>
  <c r="H312" i="167"/>
  <c r="H310" i="167" s="1"/>
  <c r="J347" i="165"/>
  <c r="F384" i="165"/>
  <c r="H361" i="167"/>
  <c r="J135" i="165"/>
  <c r="J405" i="165"/>
  <c r="H88" i="167"/>
  <c r="I85" i="167"/>
  <c r="G85" i="167" s="1"/>
  <c r="H136" i="167"/>
  <c r="J358" i="167"/>
  <c r="G251" i="167" l="1"/>
  <c r="I319" i="167"/>
  <c r="G319" i="167" s="1"/>
  <c r="F383" i="165"/>
  <c r="G348" i="167"/>
  <c r="G48" i="165"/>
  <c r="F402" i="165"/>
  <c r="P347" i="165"/>
  <c r="G312" i="167"/>
  <c r="P386" i="165"/>
  <c r="P405" i="165"/>
  <c r="P311" i="165"/>
  <c r="P135" i="165"/>
  <c r="G88" i="167"/>
  <c r="G292" i="167"/>
  <c r="G361" i="167"/>
  <c r="P337" i="165"/>
  <c r="P277" i="165"/>
  <c r="I136" i="167"/>
  <c r="G136" i="167" s="1"/>
  <c r="O249" i="165"/>
  <c r="E249" i="165"/>
  <c r="H222" i="167" l="1"/>
  <c r="J249" i="165"/>
  <c r="G222" i="167" l="1"/>
  <c r="P249" i="165"/>
  <c r="O20" i="165"/>
  <c r="E20" i="165"/>
  <c r="J20" i="165" l="1"/>
  <c r="H23" i="167"/>
  <c r="G23" i="167" l="1"/>
  <c r="P20" i="165"/>
  <c r="F45" i="172" l="1"/>
  <c r="F42" i="172" s="1"/>
  <c r="E45" i="172"/>
  <c r="E42" i="172" l="1"/>
  <c r="F36" i="172"/>
  <c r="E36" i="172" l="1"/>
  <c r="K252" i="165"/>
  <c r="K251" i="165" s="1"/>
  <c r="J216" i="167" l="1"/>
  <c r="K246" i="165" l="1"/>
  <c r="K17" i="165"/>
  <c r="K16" i="165" l="1"/>
  <c r="O241" i="165"/>
  <c r="E241" i="165"/>
  <c r="F223" i="165"/>
  <c r="O239" i="165" l="1"/>
  <c r="E239" i="165"/>
  <c r="H223" i="165"/>
  <c r="H216" i="167"/>
  <c r="J241" i="165"/>
  <c r="J239" i="165" l="1"/>
  <c r="E235" i="165"/>
  <c r="H217" i="165"/>
  <c r="O235" i="165"/>
  <c r="P241" i="165"/>
  <c r="I216" i="167"/>
  <c r="G216" i="167" s="1"/>
  <c r="P239" i="165" l="1"/>
  <c r="J235" i="165"/>
  <c r="I17" i="107"/>
  <c r="I13" i="107" s="1"/>
  <c r="P235" i="165" l="1"/>
  <c r="I12" i="107"/>
  <c r="I29" i="107" s="1"/>
  <c r="I16" i="107"/>
  <c r="I15" i="107" s="1"/>
  <c r="I14" i="107" s="1"/>
  <c r="D95" i="170"/>
  <c r="D78" i="170"/>
  <c r="D75" i="170"/>
  <c r="F374" i="165" l="1"/>
  <c r="H403" i="165" l="1"/>
  <c r="K374" i="165"/>
  <c r="F370" i="165"/>
  <c r="J357" i="167"/>
  <c r="J355" i="167"/>
  <c r="J353" i="167" l="1"/>
  <c r="H402" i="165"/>
  <c r="F367" i="165"/>
  <c r="H394" i="165"/>
  <c r="K370" i="165"/>
  <c r="J349" i="167"/>
  <c r="H349" i="167"/>
  <c r="G347" i="167"/>
  <c r="F363" i="165" l="1"/>
  <c r="K349" i="167"/>
  <c r="H346" i="167"/>
  <c r="J346" i="167"/>
  <c r="M349" i="167"/>
  <c r="K367" i="165"/>
  <c r="H345" i="165"/>
  <c r="H393" i="165"/>
  <c r="J287" i="167"/>
  <c r="J285" i="167"/>
  <c r="J282" i="167"/>
  <c r="H282" i="167"/>
  <c r="J266" i="167"/>
  <c r="J257" i="167"/>
  <c r="M257" i="167" s="1"/>
  <c r="J254" i="167"/>
  <c r="M255" i="167" s="1"/>
  <c r="J253" i="167"/>
  <c r="J252" i="167"/>
  <c r="O303" i="165"/>
  <c r="O301" i="165"/>
  <c r="O302" i="165"/>
  <c r="J244" i="167"/>
  <c r="J233" i="167"/>
  <c r="J227" i="167"/>
  <c r="J303" i="165" l="1"/>
  <c r="J249" i="167"/>
  <c r="J248" i="167" s="1"/>
  <c r="M248" i="167" s="1"/>
  <c r="H344" i="165"/>
  <c r="K363" i="165"/>
  <c r="J220" i="167"/>
  <c r="H309" i="165"/>
  <c r="H308" i="165" s="1"/>
  <c r="H275" i="165"/>
  <c r="J301" i="165"/>
  <c r="O300" i="165"/>
  <c r="I287" i="167"/>
  <c r="J202" i="167"/>
  <c r="I285" i="167" l="1"/>
  <c r="L211" i="165"/>
  <c r="O299" i="165"/>
  <c r="H334" i="165"/>
  <c r="N214" i="165"/>
  <c r="N223" i="165"/>
  <c r="L223" i="165"/>
  <c r="K223" i="165"/>
  <c r="K228" i="165"/>
  <c r="K217" i="165" l="1"/>
  <c r="L217" i="165"/>
  <c r="N217" i="165"/>
  <c r="N211" i="165"/>
  <c r="K214" i="165"/>
  <c r="P13" i="107"/>
  <c r="P12" i="107" s="1"/>
  <c r="P29" i="107" s="1"/>
  <c r="F212" i="165"/>
  <c r="E418" i="165"/>
  <c r="I188" i="165"/>
  <c r="J196" i="167"/>
  <c r="L210" i="165" l="1"/>
  <c r="N210" i="165"/>
  <c r="N190" i="165"/>
  <c r="H212" i="165"/>
  <c r="O190" i="165"/>
  <c r="F218" i="165"/>
  <c r="K211" i="165"/>
  <c r="L190" i="165"/>
  <c r="F221" i="165"/>
  <c r="L197" i="165"/>
  <c r="E95" i="170"/>
  <c r="F228" i="165"/>
  <c r="E417" i="165"/>
  <c r="H214" i="165"/>
  <c r="N192" i="165"/>
  <c r="F214" i="165"/>
  <c r="O208" i="165"/>
  <c r="E208" i="165"/>
  <c r="E88" i="170" s="1"/>
  <c r="F217" i="165" l="1"/>
  <c r="K210" i="165"/>
  <c r="L192" i="165"/>
  <c r="H197" i="165"/>
  <c r="F211" i="165"/>
  <c r="H211" i="165"/>
  <c r="E416" i="165"/>
  <c r="N189" i="165"/>
  <c r="F197" i="165"/>
  <c r="E207" i="165"/>
  <c r="J208" i="165"/>
  <c r="O207" i="165"/>
  <c r="H196" i="167"/>
  <c r="J180" i="167"/>
  <c r="H210" i="165" l="1"/>
  <c r="F210" i="165"/>
  <c r="L189" i="165"/>
  <c r="E206" i="165"/>
  <c r="P208" i="165"/>
  <c r="O206" i="165"/>
  <c r="I196" i="167"/>
  <c r="G196" i="167" s="1"/>
  <c r="J207" i="165"/>
  <c r="K192" i="165"/>
  <c r="F192" i="165"/>
  <c r="G283" i="167"/>
  <c r="G281" i="167"/>
  <c r="G265" i="167"/>
  <c r="G259" i="167"/>
  <c r="G250" i="167"/>
  <c r="G221" i="167"/>
  <c r="J219" i="167"/>
  <c r="K189" i="165" l="1"/>
  <c r="J206" i="165"/>
  <c r="H190" i="165"/>
  <c r="F190" i="165"/>
  <c r="H192" i="165"/>
  <c r="G190" i="165"/>
  <c r="P207" i="165"/>
  <c r="O19" i="165"/>
  <c r="E19" i="165"/>
  <c r="J19" i="165" l="1"/>
  <c r="G189" i="165"/>
  <c r="F189" i="165"/>
  <c r="P206" i="165"/>
  <c r="H189" i="165"/>
  <c r="J160" i="167"/>
  <c r="P19" i="165" l="1"/>
  <c r="L174" i="165"/>
  <c r="L147" i="165"/>
  <c r="L137" i="165" s="1"/>
  <c r="N174" i="165"/>
  <c r="N147" i="165"/>
  <c r="J174" i="167"/>
  <c r="J171" i="167"/>
  <c r="J158" i="167"/>
  <c r="J153" i="167"/>
  <c r="J142" i="167"/>
  <c r="J141" i="167"/>
  <c r="J140" i="167"/>
  <c r="J139" i="167"/>
  <c r="J138" i="167"/>
  <c r="N137" i="165" l="1"/>
  <c r="J113" i="167"/>
  <c r="N132" i="165" l="1"/>
  <c r="L132" i="165"/>
  <c r="H147" i="165"/>
  <c r="G174" i="165"/>
  <c r="H133" i="165"/>
  <c r="H174" i="165"/>
  <c r="G147" i="165"/>
  <c r="J162" i="167"/>
  <c r="J132" i="167" s="1"/>
  <c r="K174" i="165"/>
  <c r="K137" i="165" s="1"/>
  <c r="G137" i="165" l="1"/>
  <c r="H137" i="165"/>
  <c r="H118" i="165"/>
  <c r="G118" i="165"/>
  <c r="F118" i="165"/>
  <c r="F108" i="165" l="1"/>
  <c r="F104" i="165" s="1"/>
  <c r="H108" i="165"/>
  <c r="H104" i="165" s="1"/>
  <c r="G108" i="165"/>
  <c r="G104" i="165" s="1"/>
  <c r="K132" i="165"/>
  <c r="G132" i="165"/>
  <c r="H132" i="165"/>
  <c r="K322" i="165"/>
  <c r="K321" i="165" l="1"/>
  <c r="K308" i="165" s="1"/>
  <c r="L61" i="165"/>
  <c r="N61" i="165" l="1"/>
  <c r="L64" i="165"/>
  <c r="O61" i="165"/>
  <c r="N64" i="165"/>
  <c r="N51" i="165" l="1"/>
  <c r="N49" i="165" s="1"/>
  <c r="L51" i="165"/>
  <c r="L49" i="165" s="1"/>
  <c r="G61" i="167" l="1"/>
  <c r="N48" i="165" l="1"/>
  <c r="L48" i="165"/>
  <c r="L419" i="165" s="1"/>
  <c r="H61" i="165" l="1"/>
  <c r="H67" i="165" l="1"/>
  <c r="H49" i="165" s="1"/>
  <c r="J44" i="167"/>
  <c r="M44" i="167" s="1"/>
  <c r="O45" i="165"/>
  <c r="E45" i="165"/>
  <c r="J33" i="167"/>
  <c r="M33" i="167" s="1"/>
  <c r="J45" i="165" l="1"/>
  <c r="E78" i="170"/>
  <c r="H44" i="167"/>
  <c r="H48" i="165" l="1"/>
  <c r="P45" i="165"/>
  <c r="I44" i="167"/>
  <c r="L44" i="167" s="1"/>
  <c r="K44" i="167"/>
  <c r="G44" i="167" l="1"/>
  <c r="G19" i="167"/>
  <c r="G17" i="165"/>
  <c r="G16" i="165" l="1"/>
  <c r="H17" i="165"/>
  <c r="H300" i="165"/>
  <c r="G300" i="165"/>
  <c r="H16" i="165" l="1"/>
  <c r="H299" i="165"/>
  <c r="G299" i="165"/>
  <c r="O186" i="165"/>
  <c r="E186" i="165"/>
  <c r="O180" i="165"/>
  <c r="E180" i="165"/>
  <c r="O176" i="165"/>
  <c r="E176" i="165"/>
  <c r="O159" i="165"/>
  <c r="E159" i="165"/>
  <c r="O158" i="165"/>
  <c r="O156" i="165"/>
  <c r="E156" i="165"/>
  <c r="O155" i="165"/>
  <c r="E155" i="165"/>
  <c r="O153" i="165"/>
  <c r="E153" i="165"/>
  <c r="E149" i="165"/>
  <c r="E148" i="165"/>
  <c r="O146" i="165"/>
  <c r="E146" i="165"/>
  <c r="O144" i="165"/>
  <c r="E144" i="165"/>
  <c r="O143" i="165"/>
  <c r="E143" i="165"/>
  <c r="O142" i="165"/>
  <c r="E142" i="165"/>
  <c r="O141" i="165"/>
  <c r="E141" i="165"/>
  <c r="O140" i="165"/>
  <c r="E140" i="165"/>
  <c r="O139" i="165"/>
  <c r="O134" i="165"/>
  <c r="E134" i="165"/>
  <c r="H146" i="167" l="1"/>
  <c r="K146" i="167" s="1"/>
  <c r="H274" i="165"/>
  <c r="K155" i="167"/>
  <c r="G274" i="165"/>
  <c r="G419" i="165" s="1"/>
  <c r="K164" i="167"/>
  <c r="H148" i="167"/>
  <c r="O179" i="165"/>
  <c r="E179" i="165"/>
  <c r="E147" i="165"/>
  <c r="J153" i="165"/>
  <c r="J156" i="165"/>
  <c r="J140" i="165"/>
  <c r="H140" i="167"/>
  <c r="H142" i="167"/>
  <c r="H145" i="167"/>
  <c r="H154" i="167"/>
  <c r="J143" i="165"/>
  <c r="J149" i="165"/>
  <c r="J155" i="165"/>
  <c r="O133" i="165"/>
  <c r="J142" i="165"/>
  <c r="J144" i="165"/>
  <c r="J141" i="165"/>
  <c r="J146" i="165"/>
  <c r="E133" i="165"/>
  <c r="H141" i="167"/>
  <c r="H143" i="167"/>
  <c r="H153" i="167"/>
  <c r="J176" i="165"/>
  <c r="E139" i="165"/>
  <c r="F138" i="165"/>
  <c r="E158" i="165"/>
  <c r="F157" i="165"/>
  <c r="E175" i="165"/>
  <c r="F174" i="165"/>
  <c r="J134" i="165"/>
  <c r="H174" i="167"/>
  <c r="E185" i="165"/>
  <c r="E183" i="165" s="1"/>
  <c r="E182" i="165" s="1"/>
  <c r="J186" i="165"/>
  <c r="O185" i="165"/>
  <c r="O183" i="165" s="1"/>
  <c r="O182" i="165" s="1"/>
  <c r="H171" i="167"/>
  <c r="J180" i="165"/>
  <c r="J175" i="165"/>
  <c r="O174" i="165"/>
  <c r="H160" i="167"/>
  <c r="J159" i="165"/>
  <c r="J158" i="165"/>
  <c r="O157" i="165"/>
  <c r="J148" i="165"/>
  <c r="O147" i="165"/>
  <c r="J139" i="165"/>
  <c r="O138" i="165"/>
  <c r="O137" i="165" s="1"/>
  <c r="H139" i="167"/>
  <c r="F137" i="165" l="1"/>
  <c r="I146" i="167"/>
  <c r="L146" i="167" s="1"/>
  <c r="H162" i="167"/>
  <c r="G164" i="167"/>
  <c r="I148" i="167"/>
  <c r="I155" i="167"/>
  <c r="L155" i="167" s="1"/>
  <c r="P143" i="165"/>
  <c r="P156" i="165"/>
  <c r="J179" i="165"/>
  <c r="P159" i="165"/>
  <c r="P153" i="165"/>
  <c r="P142" i="165"/>
  <c r="P140" i="165"/>
  <c r="P149" i="165"/>
  <c r="P141" i="165"/>
  <c r="P155" i="165"/>
  <c r="P144" i="165"/>
  <c r="P146" i="165"/>
  <c r="P176" i="165"/>
  <c r="P148" i="165"/>
  <c r="O178" i="165"/>
  <c r="J133" i="165"/>
  <c r="E157" i="165"/>
  <c r="I140" i="167"/>
  <c r="I141" i="167"/>
  <c r="I139" i="167"/>
  <c r="P180" i="165"/>
  <c r="P186" i="165"/>
  <c r="P139" i="165"/>
  <c r="E178" i="165"/>
  <c r="E174" i="165"/>
  <c r="H138" i="167"/>
  <c r="I145" i="167"/>
  <c r="I143" i="167"/>
  <c r="I154" i="167"/>
  <c r="I142" i="167"/>
  <c r="I153" i="167"/>
  <c r="P158" i="165"/>
  <c r="P134" i="165"/>
  <c r="P175" i="165"/>
  <c r="E138" i="165"/>
  <c r="I174" i="167"/>
  <c r="G174" i="167" s="1"/>
  <c r="J185" i="165"/>
  <c r="J183" i="165" s="1"/>
  <c r="J182" i="165" s="1"/>
  <c r="I171" i="167"/>
  <c r="I162" i="167"/>
  <c r="J174" i="165"/>
  <c r="I160" i="167"/>
  <c r="I158" i="167"/>
  <c r="J157" i="165"/>
  <c r="J147" i="165"/>
  <c r="I138" i="167"/>
  <c r="J138" i="165"/>
  <c r="E400" i="165"/>
  <c r="J398" i="165"/>
  <c r="E398" i="165"/>
  <c r="O395" i="165"/>
  <c r="E395" i="165"/>
  <c r="O385" i="165"/>
  <c r="E385" i="165"/>
  <c r="O353" i="165"/>
  <c r="E353" i="165"/>
  <c r="O346" i="165"/>
  <c r="E346" i="165"/>
  <c r="O336" i="165"/>
  <c r="E303" i="165"/>
  <c r="J302" i="165"/>
  <c r="E302" i="165"/>
  <c r="E301" i="165"/>
  <c r="O294" i="165"/>
  <c r="E294" i="165"/>
  <c r="K279" i="167" s="1"/>
  <c r="O293" i="165"/>
  <c r="E293" i="165"/>
  <c r="E291" i="165"/>
  <c r="O285" i="165"/>
  <c r="E285" i="165"/>
  <c r="K259" i="167" s="1"/>
  <c r="O284" i="165"/>
  <c r="E284" i="165"/>
  <c r="O282" i="165"/>
  <c r="E282" i="165"/>
  <c r="O281" i="165"/>
  <c r="E281" i="165"/>
  <c r="O278" i="165"/>
  <c r="E278" i="165"/>
  <c r="O276" i="165"/>
  <c r="E276" i="165"/>
  <c r="M273" i="165"/>
  <c r="L273" i="165"/>
  <c r="K273" i="165"/>
  <c r="I273" i="165"/>
  <c r="H273" i="165"/>
  <c r="G273" i="165"/>
  <c r="F273" i="165"/>
  <c r="N273" i="165"/>
  <c r="E266" i="165"/>
  <c r="O263" i="165"/>
  <c r="E263" i="165"/>
  <c r="O258" i="165"/>
  <c r="E258" i="165"/>
  <c r="O256" i="165"/>
  <c r="E256" i="165"/>
  <c r="H229" i="167" s="1"/>
  <c r="O255" i="165"/>
  <c r="E255" i="165"/>
  <c r="O253" i="165"/>
  <c r="O248" i="165"/>
  <c r="E248" i="165"/>
  <c r="M245" i="165"/>
  <c r="L245" i="165"/>
  <c r="K245" i="165"/>
  <c r="M219" i="167" s="1"/>
  <c r="H245" i="165"/>
  <c r="F245" i="165"/>
  <c r="N245" i="165"/>
  <c r="I245" i="165"/>
  <c r="G245" i="165"/>
  <c r="J137" i="165" l="1"/>
  <c r="E137" i="165"/>
  <c r="E252" i="165"/>
  <c r="H263" i="167"/>
  <c r="K263" i="167" s="1"/>
  <c r="I286" i="167"/>
  <c r="K241" i="167"/>
  <c r="K255" i="167"/>
  <c r="I355" i="167"/>
  <c r="K257" i="167"/>
  <c r="L164" i="167"/>
  <c r="O280" i="165"/>
  <c r="O279" i="165" s="1"/>
  <c r="E280" i="165"/>
  <c r="E279" i="165" s="1"/>
  <c r="E335" i="165"/>
  <c r="E334" i="165" s="1"/>
  <c r="O335" i="165"/>
  <c r="I132" i="167"/>
  <c r="E292" i="165"/>
  <c r="O292" i="165"/>
  <c r="O288" i="165" s="1"/>
  <c r="O247" i="165"/>
  <c r="E247" i="165"/>
  <c r="E300" i="165"/>
  <c r="P179" i="165"/>
  <c r="J178" i="165"/>
  <c r="P138" i="165"/>
  <c r="H322" i="167"/>
  <c r="H317" i="167" s="1"/>
  <c r="P185" i="165"/>
  <c r="P183" i="165" s="1"/>
  <c r="P182" i="165" s="1"/>
  <c r="E290" i="165"/>
  <c r="P147" i="165"/>
  <c r="J256" i="165"/>
  <c r="H227" i="167"/>
  <c r="H233" i="167"/>
  <c r="H252" i="167"/>
  <c r="J294" i="165"/>
  <c r="L279" i="167" s="1"/>
  <c r="P133" i="165"/>
  <c r="J255" i="165"/>
  <c r="J258" i="165"/>
  <c r="J278" i="165"/>
  <c r="J282" i="165"/>
  <c r="J285" i="165"/>
  <c r="E384" i="165"/>
  <c r="J389" i="165"/>
  <c r="O384" i="165"/>
  <c r="E394" i="165"/>
  <c r="P157" i="165"/>
  <c r="J284" i="165"/>
  <c r="P174" i="165"/>
  <c r="F132" i="165"/>
  <c r="E345" i="165"/>
  <c r="E275" i="165"/>
  <c r="J296" i="165"/>
  <c r="J346" i="165"/>
  <c r="O345" i="165"/>
  <c r="J353" i="165"/>
  <c r="O352" i="165"/>
  <c r="E397" i="165"/>
  <c r="J397" i="165"/>
  <c r="H357" i="167"/>
  <c r="H353" i="167" s="1"/>
  <c r="E399" i="165"/>
  <c r="J266" i="165"/>
  <c r="O265" i="165"/>
  <c r="J291" i="165"/>
  <c r="J300" i="165"/>
  <c r="E352" i="165"/>
  <c r="J395" i="165"/>
  <c r="O394" i="165"/>
  <c r="J400" i="165"/>
  <c r="O399" i="165"/>
  <c r="H286" i="167"/>
  <c r="H266" i="167"/>
  <c r="J293" i="165"/>
  <c r="O275" i="165"/>
  <c r="J281" i="165"/>
  <c r="H253" i="167"/>
  <c r="J263" i="165"/>
  <c r="H244" i="167"/>
  <c r="E265" i="165"/>
  <c r="J253" i="165"/>
  <c r="O252" i="165"/>
  <c r="O251" i="165" s="1"/>
  <c r="E251" i="165"/>
  <c r="J336" i="165"/>
  <c r="J385" i="165"/>
  <c r="J248" i="165"/>
  <c r="H287" i="167"/>
  <c r="G287" i="167" s="1"/>
  <c r="P303" i="165"/>
  <c r="J276" i="165"/>
  <c r="H285" i="167"/>
  <c r="G285" i="167" s="1"/>
  <c r="P301" i="165"/>
  <c r="P302" i="165"/>
  <c r="P398" i="165"/>
  <c r="P137" i="165" l="1"/>
  <c r="I263" i="167"/>
  <c r="L263" i="167" s="1"/>
  <c r="H220" i="167"/>
  <c r="H219" i="167" s="1"/>
  <c r="L241" i="167"/>
  <c r="L259" i="167"/>
  <c r="Q389" i="165"/>
  <c r="H249" i="167"/>
  <c r="H248" i="167" s="1"/>
  <c r="L223" i="167"/>
  <c r="J280" i="165"/>
  <c r="J279" i="165" s="1"/>
  <c r="I229" i="167"/>
  <c r="G229" i="167" s="1"/>
  <c r="J335" i="165"/>
  <c r="E349" i="165"/>
  <c r="F36" i="108"/>
  <c r="O349" i="165"/>
  <c r="E262" i="165"/>
  <c r="E261" i="165" s="1"/>
  <c r="E246" i="165" s="1"/>
  <c r="F419" i="165"/>
  <c r="L349" i="167"/>
  <c r="J295" i="165"/>
  <c r="G223" i="167"/>
  <c r="J247" i="165"/>
  <c r="J388" i="165"/>
  <c r="P284" i="165"/>
  <c r="P282" i="165"/>
  <c r="I322" i="167"/>
  <c r="I317" i="167" s="1"/>
  <c r="P278" i="165"/>
  <c r="P256" i="165"/>
  <c r="G286" i="167"/>
  <c r="J290" i="165"/>
  <c r="E289" i="165"/>
  <c r="E288" i="165" s="1"/>
  <c r="P389" i="165"/>
  <c r="P294" i="165"/>
  <c r="P258" i="165"/>
  <c r="P285" i="165"/>
  <c r="P255" i="165"/>
  <c r="G349" i="167"/>
  <c r="G346" i="167" s="1"/>
  <c r="J345" i="165"/>
  <c r="O334" i="165"/>
  <c r="P397" i="165"/>
  <c r="P253" i="165"/>
  <c r="P281" i="165"/>
  <c r="E299" i="165"/>
  <c r="J299" i="165"/>
  <c r="O262" i="165"/>
  <c r="O261" i="165" s="1"/>
  <c r="I252" i="167"/>
  <c r="I227" i="167"/>
  <c r="G227" i="167" s="1"/>
  <c r="P178" i="165"/>
  <c r="P293" i="165"/>
  <c r="J394" i="165"/>
  <c r="J265" i="165"/>
  <c r="I257" i="167"/>
  <c r="O132" i="165"/>
  <c r="O396" i="165"/>
  <c r="O387" i="165"/>
  <c r="I254" i="167"/>
  <c r="I233" i="167"/>
  <c r="G233" i="167" s="1"/>
  <c r="P263" i="165"/>
  <c r="I282" i="167"/>
  <c r="G282" i="167" s="1"/>
  <c r="P395" i="165"/>
  <c r="I244" i="167"/>
  <c r="G244" i="167" s="1"/>
  <c r="G355" i="167"/>
  <c r="P266" i="165"/>
  <c r="P346" i="165"/>
  <c r="P291" i="165"/>
  <c r="P336" i="165"/>
  <c r="I357" i="167"/>
  <c r="G357" i="167" s="1"/>
  <c r="J399" i="165"/>
  <c r="J352" i="165"/>
  <c r="P353" i="165"/>
  <c r="P400" i="165"/>
  <c r="P296" i="165"/>
  <c r="E396" i="165"/>
  <c r="P385" i="165"/>
  <c r="J384" i="165"/>
  <c r="P300" i="165"/>
  <c r="I266" i="167"/>
  <c r="I253" i="167"/>
  <c r="G253" i="167" s="1"/>
  <c r="P276" i="165"/>
  <c r="J275" i="165"/>
  <c r="G241" i="167"/>
  <c r="J252" i="165"/>
  <c r="J251" i="165" s="1"/>
  <c r="P248" i="165"/>
  <c r="G263" i="167" l="1"/>
  <c r="E348" i="165"/>
  <c r="G24" i="197"/>
  <c r="G353" i="167"/>
  <c r="G220" i="167"/>
  <c r="G252" i="167"/>
  <c r="I249" i="167"/>
  <c r="I248" i="167" s="1"/>
  <c r="G248" i="167" s="1"/>
  <c r="P280" i="165"/>
  <c r="P279" i="165" s="1"/>
  <c r="G257" i="167"/>
  <c r="L257" i="167"/>
  <c r="J349" i="165"/>
  <c r="P335" i="165"/>
  <c r="O383" i="165"/>
  <c r="J262" i="165"/>
  <c r="J261" i="165" s="1"/>
  <c r="G254" i="167"/>
  <c r="L255" i="167"/>
  <c r="G266" i="167"/>
  <c r="I353" i="167"/>
  <c r="I220" i="167"/>
  <c r="I219" i="167" s="1"/>
  <c r="J292" i="165"/>
  <c r="P295" i="165"/>
  <c r="O348" i="165"/>
  <c r="P247" i="165"/>
  <c r="P388" i="165"/>
  <c r="G322" i="167"/>
  <c r="G317" i="167" s="1"/>
  <c r="H132" i="167"/>
  <c r="P290" i="165"/>
  <c r="J289" i="165"/>
  <c r="P252" i="165"/>
  <c r="P251" i="165" s="1"/>
  <c r="O393" i="165"/>
  <c r="J387" i="165"/>
  <c r="P299" i="165"/>
  <c r="P399" i="165"/>
  <c r="J396" i="165"/>
  <c r="E387" i="165"/>
  <c r="P275" i="165"/>
  <c r="E393" i="165"/>
  <c r="P352" i="165"/>
  <c r="P394" i="165"/>
  <c r="P384" i="165"/>
  <c r="P265" i="165"/>
  <c r="P345" i="165"/>
  <c r="O327" i="165"/>
  <c r="E327" i="165"/>
  <c r="O326" i="165"/>
  <c r="O325" i="165" s="1"/>
  <c r="E326" i="165"/>
  <c r="E325" i="165" s="1"/>
  <c r="O323" i="165"/>
  <c r="E323" i="165"/>
  <c r="O310" i="165"/>
  <c r="E310" i="165"/>
  <c r="N307" i="165"/>
  <c r="M307" i="165"/>
  <c r="I307" i="165"/>
  <c r="H307" i="165"/>
  <c r="G307" i="165"/>
  <c r="F307" i="165"/>
  <c r="J288" i="165" l="1"/>
  <c r="E344" i="165"/>
  <c r="K317" i="167" s="1"/>
  <c r="E274" i="165"/>
  <c r="K248" i="167" s="1"/>
  <c r="G249" i="167"/>
  <c r="O274" i="165"/>
  <c r="E383" i="165"/>
  <c r="J383" i="165"/>
  <c r="P349" i="165"/>
  <c r="O344" i="165"/>
  <c r="E245" i="165"/>
  <c r="K219" i="167" s="1"/>
  <c r="O246" i="165"/>
  <c r="P292" i="165"/>
  <c r="J348" i="165"/>
  <c r="J323" i="165"/>
  <c r="G219" i="167"/>
  <c r="P289" i="165"/>
  <c r="P262" i="165"/>
  <c r="P261" i="165" s="1"/>
  <c r="E309" i="165"/>
  <c r="J327" i="165"/>
  <c r="P396" i="165"/>
  <c r="O309" i="165"/>
  <c r="E322" i="165"/>
  <c r="J326" i="165"/>
  <c r="J325" i="165" s="1"/>
  <c r="P387" i="165"/>
  <c r="O322" i="165"/>
  <c r="J310" i="165"/>
  <c r="L307" i="165"/>
  <c r="K307" i="165"/>
  <c r="P288" i="165" l="1"/>
  <c r="G301" i="167"/>
  <c r="P383" i="165"/>
  <c r="Q383" i="165" s="1"/>
  <c r="J344" i="165"/>
  <c r="J274" i="165"/>
  <c r="P274" i="165" s="1"/>
  <c r="Q274" i="165" s="1"/>
  <c r="E132" i="165"/>
  <c r="P348" i="165"/>
  <c r="P326" i="165"/>
  <c r="P325" i="165" s="1"/>
  <c r="O273" i="165"/>
  <c r="E273" i="165"/>
  <c r="O245" i="165"/>
  <c r="J246" i="165"/>
  <c r="P327" i="165"/>
  <c r="J309" i="165"/>
  <c r="O321" i="165"/>
  <c r="E321" i="165"/>
  <c r="J322" i="165"/>
  <c r="P323" i="165"/>
  <c r="P310" i="165"/>
  <c r="P344" i="165" l="1"/>
  <c r="Q344" i="165" s="1"/>
  <c r="L317" i="167"/>
  <c r="L248" i="167"/>
  <c r="J273" i="165"/>
  <c r="P273" i="165"/>
  <c r="E324" i="165"/>
  <c r="E308" i="165" s="1"/>
  <c r="J245" i="165"/>
  <c r="L219" i="167" s="1"/>
  <c r="P246" i="165"/>
  <c r="Q246" i="165" s="1"/>
  <c r="P309" i="165"/>
  <c r="P322" i="165"/>
  <c r="J321" i="165"/>
  <c r="E307" i="165" l="1"/>
  <c r="O324" i="165"/>
  <c r="O308" i="165" s="1"/>
  <c r="P245" i="165"/>
  <c r="P321" i="165"/>
  <c r="J324" i="165" l="1"/>
  <c r="J308" i="165" s="1"/>
  <c r="P308" i="165" s="1"/>
  <c r="Q308" i="165" s="1"/>
  <c r="J217" i="167"/>
  <c r="H217" i="167"/>
  <c r="P324" i="165" l="1"/>
  <c r="O307" i="165"/>
  <c r="J307" i="165" l="1"/>
  <c r="M338" i="167"/>
  <c r="G337" i="167"/>
  <c r="G336" i="167"/>
  <c r="J309" i="167"/>
  <c r="M309" i="167" s="1"/>
  <c r="J213" i="167"/>
  <c r="J212" i="167"/>
  <c r="J211" i="167"/>
  <c r="J210" i="167"/>
  <c r="J208" i="167"/>
  <c r="J205" i="167"/>
  <c r="J204" i="167"/>
  <c r="J203" i="167"/>
  <c r="J199" i="167"/>
  <c r="G192" i="167"/>
  <c r="G191" i="167"/>
  <c r="J190" i="167"/>
  <c r="G189" i="167"/>
  <c r="J188" i="167"/>
  <c r="J185" i="167"/>
  <c r="G186" i="167"/>
  <c r="G167" i="167"/>
  <c r="G166" i="167"/>
  <c r="G163" i="167"/>
  <c r="G156" i="167"/>
  <c r="J130" i="167"/>
  <c r="H130" i="167"/>
  <c r="G129" i="167"/>
  <c r="J120" i="167"/>
  <c r="J119" i="167"/>
  <c r="J118" i="167"/>
  <c r="J112" i="167"/>
  <c r="J100" i="167"/>
  <c r="J59" i="167" s="1"/>
  <c r="G68" i="167"/>
  <c r="G64" i="167"/>
  <c r="G45" i="167"/>
  <c r="J43" i="167"/>
  <c r="M43" i="167" s="1"/>
  <c r="J42" i="167"/>
  <c r="J34" i="167"/>
  <c r="M34" i="167" s="1"/>
  <c r="G24" i="167"/>
  <c r="O418" i="165"/>
  <c r="O412" i="165"/>
  <c r="O404" i="165"/>
  <c r="G401" i="165"/>
  <c r="E404" i="165"/>
  <c r="N401" i="165"/>
  <c r="M401" i="165"/>
  <c r="L401" i="165"/>
  <c r="K401" i="165"/>
  <c r="I401" i="165"/>
  <c r="H401" i="165"/>
  <c r="G392" i="165"/>
  <c r="N392" i="165"/>
  <c r="M392" i="165"/>
  <c r="L392" i="165"/>
  <c r="K392" i="165"/>
  <c r="I392" i="165"/>
  <c r="F392" i="165"/>
  <c r="N382" i="165"/>
  <c r="M382" i="165"/>
  <c r="I382" i="165"/>
  <c r="H382" i="165"/>
  <c r="G382" i="165"/>
  <c r="O375" i="165"/>
  <c r="O372" i="165"/>
  <c r="O371" i="165"/>
  <c r="E371" i="165"/>
  <c r="N362" i="165"/>
  <c r="M362" i="165"/>
  <c r="I362" i="165"/>
  <c r="H362" i="165"/>
  <c r="G362" i="165"/>
  <c r="L362" i="165"/>
  <c r="G343" i="165"/>
  <c r="N343" i="165"/>
  <c r="M343" i="165"/>
  <c r="I343" i="165"/>
  <c r="H343" i="165"/>
  <c r="N333" i="165"/>
  <c r="M333" i="165"/>
  <c r="L333" i="165"/>
  <c r="K333" i="165"/>
  <c r="I333" i="165"/>
  <c r="F333" i="165"/>
  <c r="O234" i="165"/>
  <c r="E231" i="165"/>
  <c r="O230" i="165"/>
  <c r="E230" i="165"/>
  <c r="O229" i="165"/>
  <c r="O225" i="165"/>
  <c r="J224" i="165"/>
  <c r="E224" i="165"/>
  <c r="O222" i="165"/>
  <c r="E222" i="165"/>
  <c r="O220" i="165"/>
  <c r="O219" i="165"/>
  <c r="E219" i="165"/>
  <c r="E216" i="165"/>
  <c r="E215" i="165"/>
  <c r="O213" i="165"/>
  <c r="N209" i="165"/>
  <c r="M209" i="165"/>
  <c r="L209" i="165"/>
  <c r="I209" i="165"/>
  <c r="O199" i="165"/>
  <c r="E199" i="165"/>
  <c r="E198" i="165"/>
  <c r="E195" i="165"/>
  <c r="O194" i="165"/>
  <c r="E194" i="165"/>
  <c r="E193" i="165"/>
  <c r="H188" i="165"/>
  <c r="E191" i="165"/>
  <c r="N188" i="165"/>
  <c r="M188" i="165"/>
  <c r="L188" i="165"/>
  <c r="G188" i="165"/>
  <c r="M131" i="165"/>
  <c r="L131" i="165"/>
  <c r="I131" i="165"/>
  <c r="I130" i="167"/>
  <c r="E129" i="165"/>
  <c r="O120" i="165"/>
  <c r="O119" i="165"/>
  <c r="E119" i="165"/>
  <c r="O117" i="165"/>
  <c r="O115" i="165"/>
  <c r="E113" i="165"/>
  <c r="O112" i="165"/>
  <c r="E112" i="165"/>
  <c r="O111" i="165"/>
  <c r="J110" i="165"/>
  <c r="E110" i="165"/>
  <c r="E109" i="165"/>
  <c r="O106" i="165"/>
  <c r="N103" i="165"/>
  <c r="M103" i="165"/>
  <c r="L103" i="165"/>
  <c r="I103" i="165"/>
  <c r="O92" i="165"/>
  <c r="E92" i="165"/>
  <c r="O68" i="165"/>
  <c r="O66" i="165"/>
  <c r="E65" i="165"/>
  <c r="E62" i="165"/>
  <c r="E60" i="165"/>
  <c r="E53" i="165"/>
  <c r="E52" i="165"/>
  <c r="E50" i="165"/>
  <c r="M47" i="165"/>
  <c r="I47" i="165"/>
  <c r="O44" i="165"/>
  <c r="O41" i="165"/>
  <c r="E33" i="165"/>
  <c r="O31" i="165"/>
  <c r="E31" i="165"/>
  <c r="O21" i="165"/>
  <c r="E18" i="165"/>
  <c r="G15" i="165"/>
  <c r="H73" i="167" l="1"/>
  <c r="K73" i="167" s="1"/>
  <c r="H76" i="167"/>
  <c r="K76" i="167" s="1"/>
  <c r="H63" i="167"/>
  <c r="K336" i="167"/>
  <c r="H60" i="167"/>
  <c r="K60" i="167" s="1"/>
  <c r="E91" i="165"/>
  <c r="O29" i="165"/>
  <c r="H183" i="167"/>
  <c r="H178" i="167"/>
  <c r="H188" i="167"/>
  <c r="H200" i="167"/>
  <c r="O105" i="165"/>
  <c r="O91" i="165"/>
  <c r="H190" i="167"/>
  <c r="H110" i="167"/>
  <c r="H114" i="167"/>
  <c r="J177" i="167"/>
  <c r="M42" i="167"/>
  <c r="O51" i="165"/>
  <c r="E51" i="165"/>
  <c r="O40" i="165"/>
  <c r="O43" i="165"/>
  <c r="O67" i="165"/>
  <c r="O116" i="165"/>
  <c r="H180" i="167"/>
  <c r="O212" i="165"/>
  <c r="O233" i="165"/>
  <c r="E403" i="165"/>
  <c r="O417" i="165"/>
  <c r="H80" i="167"/>
  <c r="O374" i="165"/>
  <c r="P307" i="165"/>
  <c r="E32" i="165"/>
  <c r="P113" i="165"/>
  <c r="H202" i="167"/>
  <c r="E221" i="165"/>
  <c r="O223" i="165"/>
  <c r="O403" i="165"/>
  <c r="O114" i="165"/>
  <c r="O197" i="165"/>
  <c r="O221" i="165"/>
  <c r="O411" i="165"/>
  <c r="P33" i="165"/>
  <c r="O64" i="165"/>
  <c r="O49" i="165" s="1"/>
  <c r="E197" i="165"/>
  <c r="E190" i="165"/>
  <c r="O228" i="165"/>
  <c r="O218" i="165"/>
  <c r="E214" i="165"/>
  <c r="O118" i="165"/>
  <c r="E61" i="165"/>
  <c r="H67" i="167"/>
  <c r="K67" i="167" s="1"/>
  <c r="H34" i="167"/>
  <c r="K34" i="167" s="1"/>
  <c r="H33" i="167"/>
  <c r="K33" i="167" s="1"/>
  <c r="N15" i="165"/>
  <c r="I15" i="165"/>
  <c r="I419" i="165"/>
  <c r="I430" i="165" s="1"/>
  <c r="M15" i="165"/>
  <c r="M419" i="165"/>
  <c r="K382" i="165"/>
  <c r="K343" i="165"/>
  <c r="F362" i="165"/>
  <c r="G338" i="167"/>
  <c r="G330" i="167" s="1"/>
  <c r="H329" i="167"/>
  <c r="J117" i="165"/>
  <c r="E120" i="165"/>
  <c r="K121" i="167" s="1"/>
  <c r="I329" i="167"/>
  <c r="K188" i="165"/>
  <c r="E213" i="165"/>
  <c r="J213" i="165"/>
  <c r="J41" i="165"/>
  <c r="J65" i="165"/>
  <c r="J230" i="165"/>
  <c r="L47" i="165"/>
  <c r="E111" i="165"/>
  <c r="J412" i="165"/>
  <c r="J345" i="167"/>
  <c r="M345" i="167" s="1"/>
  <c r="J222" i="165"/>
  <c r="J372" i="165"/>
  <c r="O382" i="165"/>
  <c r="J195" i="165"/>
  <c r="J194" i="165"/>
  <c r="J215" i="165"/>
  <c r="H392" i="165"/>
  <c r="E21" i="165"/>
  <c r="E27" i="165"/>
  <c r="J31" i="165"/>
  <c r="J44" i="165"/>
  <c r="J53" i="165"/>
  <c r="J62" i="165"/>
  <c r="J66" i="165"/>
  <c r="G103" i="165"/>
  <c r="I112" i="167"/>
  <c r="E115" i="165"/>
  <c r="N131" i="165"/>
  <c r="H185" i="167"/>
  <c r="J220" i="165"/>
  <c r="H211" i="167"/>
  <c r="J231" i="165"/>
  <c r="E333" i="165"/>
  <c r="H309" i="167"/>
  <c r="K309" i="167" s="1"/>
  <c r="E372" i="165"/>
  <c r="J375" i="165"/>
  <c r="J404" i="165"/>
  <c r="J418" i="165"/>
  <c r="E44" i="165"/>
  <c r="J193" i="165"/>
  <c r="J199" i="165"/>
  <c r="H298" i="167"/>
  <c r="J371" i="165"/>
  <c r="N47" i="165"/>
  <c r="J112" i="165"/>
  <c r="J115" i="165"/>
  <c r="H120" i="167"/>
  <c r="J120" i="165"/>
  <c r="L121" i="167" s="1"/>
  <c r="J198" i="165"/>
  <c r="E229" i="165"/>
  <c r="E234" i="165"/>
  <c r="G333" i="165"/>
  <c r="L382" i="165"/>
  <c r="O18" i="165"/>
  <c r="E66" i="165"/>
  <c r="J92" i="165"/>
  <c r="J111" i="165"/>
  <c r="E220" i="165"/>
  <c r="J225" i="165"/>
  <c r="H212" i="167"/>
  <c r="H305" i="167"/>
  <c r="J30" i="167"/>
  <c r="J68" i="165"/>
  <c r="F103" i="165"/>
  <c r="H103" i="165"/>
  <c r="J21" i="165"/>
  <c r="E68" i="165"/>
  <c r="H100" i="167"/>
  <c r="E106" i="165"/>
  <c r="J106" i="165"/>
  <c r="E117" i="165"/>
  <c r="J119" i="165"/>
  <c r="G131" i="165"/>
  <c r="G209" i="165"/>
  <c r="H209" i="165"/>
  <c r="J219" i="165"/>
  <c r="H205" i="167"/>
  <c r="I206" i="167"/>
  <c r="J229" i="165"/>
  <c r="J234" i="165"/>
  <c r="H333" i="165"/>
  <c r="E392" i="165"/>
  <c r="G130" i="167"/>
  <c r="G181" i="167"/>
  <c r="G207" i="167"/>
  <c r="J352" i="167"/>
  <c r="M352" i="167" s="1"/>
  <c r="H112" i="167"/>
  <c r="P110" i="165"/>
  <c r="F343" i="165"/>
  <c r="J50" i="165"/>
  <c r="L343" i="165"/>
  <c r="O109" i="165"/>
  <c r="H131" i="165"/>
  <c r="F131" i="165"/>
  <c r="H203" i="167"/>
  <c r="G17" i="167"/>
  <c r="H15" i="165"/>
  <c r="E225" i="165"/>
  <c r="F209" i="165"/>
  <c r="K362" i="165"/>
  <c r="E375" i="165"/>
  <c r="H206" i="167"/>
  <c r="P224" i="165"/>
  <c r="J305" i="167"/>
  <c r="F382" i="165"/>
  <c r="J206" i="167"/>
  <c r="J198" i="167" s="1"/>
  <c r="J127" i="167"/>
  <c r="J106" i="167" s="1"/>
  <c r="O27" i="165"/>
  <c r="O129" i="165"/>
  <c r="J298" i="167"/>
  <c r="O343" i="165"/>
  <c r="E412" i="165"/>
  <c r="G26" i="167"/>
  <c r="G133" i="167"/>
  <c r="J329" i="167"/>
  <c r="I76" i="167" l="1"/>
  <c r="L76" i="167" s="1"/>
  <c r="O108" i="165"/>
  <c r="O104" i="165" s="1"/>
  <c r="L336" i="167"/>
  <c r="O42" i="165"/>
  <c r="K63" i="167"/>
  <c r="H290" i="167"/>
  <c r="K290" i="167" s="1"/>
  <c r="J16" i="167"/>
  <c r="M15" i="167" s="1"/>
  <c r="I60" i="167"/>
  <c r="L60" i="167" s="1"/>
  <c r="J29" i="165"/>
  <c r="K24" i="167"/>
  <c r="E29" i="165"/>
  <c r="K342" i="167"/>
  <c r="J91" i="165"/>
  <c r="I183" i="167"/>
  <c r="G183" i="167" s="1"/>
  <c r="I114" i="167"/>
  <c r="G114" i="167" s="1"/>
  <c r="I200" i="167"/>
  <c r="G200" i="167" s="1"/>
  <c r="J105" i="165"/>
  <c r="E105" i="165"/>
  <c r="O217" i="165"/>
  <c r="E192" i="165"/>
  <c r="O36" i="165"/>
  <c r="L342" i="167"/>
  <c r="O409" i="165"/>
  <c r="E26" i="165"/>
  <c r="O26" i="165"/>
  <c r="O370" i="165"/>
  <c r="P32" i="165"/>
  <c r="J197" i="165"/>
  <c r="J403" i="165"/>
  <c r="J212" i="165"/>
  <c r="E118" i="165"/>
  <c r="E411" i="165"/>
  <c r="J223" i="165"/>
  <c r="I180" i="167"/>
  <c r="G180" i="167" s="1"/>
  <c r="J374" i="165"/>
  <c r="I81" i="167"/>
  <c r="L81" i="167" s="1"/>
  <c r="J411" i="165"/>
  <c r="I80" i="167"/>
  <c r="G80" i="167" s="1"/>
  <c r="E212" i="165"/>
  <c r="J116" i="165"/>
  <c r="O192" i="165"/>
  <c r="E218" i="165"/>
  <c r="E233" i="165"/>
  <c r="E114" i="165"/>
  <c r="J221" i="165"/>
  <c r="J40" i="165"/>
  <c r="O416" i="165"/>
  <c r="O232" i="165"/>
  <c r="E223" i="165"/>
  <c r="J233" i="165"/>
  <c r="O17" i="165"/>
  <c r="E228" i="165"/>
  <c r="J114" i="165"/>
  <c r="J417" i="165"/>
  <c r="I67" i="167"/>
  <c r="L67" i="167" s="1"/>
  <c r="E116" i="165"/>
  <c r="I113" i="167"/>
  <c r="E374" i="165"/>
  <c r="M30" i="167"/>
  <c r="E43" i="165"/>
  <c r="J43" i="165"/>
  <c r="E64" i="165"/>
  <c r="H81" i="167"/>
  <c r="J61" i="165"/>
  <c r="E67" i="165"/>
  <c r="H83" i="167"/>
  <c r="J67" i="165"/>
  <c r="I83" i="167"/>
  <c r="J228" i="165"/>
  <c r="P371" i="165"/>
  <c r="J218" i="165"/>
  <c r="O214" i="165"/>
  <c r="J118" i="165"/>
  <c r="H113" i="167"/>
  <c r="I34" i="167"/>
  <c r="L34" i="167" s="1"/>
  <c r="I33" i="167"/>
  <c r="L33" i="167" s="1"/>
  <c r="E17" i="165"/>
  <c r="J64" i="165"/>
  <c r="E75" i="170"/>
  <c r="K15" i="165"/>
  <c r="K419" i="165"/>
  <c r="F47" i="165"/>
  <c r="H47" i="165"/>
  <c r="H419" i="165"/>
  <c r="H432" i="165" s="1"/>
  <c r="G47" i="165"/>
  <c r="N419" i="165"/>
  <c r="N430" i="165" s="1"/>
  <c r="M329" i="167"/>
  <c r="J316" i="167"/>
  <c r="M317" i="167"/>
  <c r="P41" i="165"/>
  <c r="I199" i="167"/>
  <c r="I185" i="167"/>
  <c r="G185" i="167" s="1"/>
  <c r="I119" i="167"/>
  <c r="P230" i="165"/>
  <c r="G143" i="167"/>
  <c r="P219" i="165"/>
  <c r="P112" i="165"/>
  <c r="P53" i="165"/>
  <c r="I42" i="167"/>
  <c r="F188" i="165"/>
  <c r="P199" i="165"/>
  <c r="I205" i="167"/>
  <c r="G205" i="167" s="1"/>
  <c r="P119" i="165"/>
  <c r="P195" i="165"/>
  <c r="P220" i="165"/>
  <c r="P231" i="165"/>
  <c r="P62" i="165"/>
  <c r="P194" i="165"/>
  <c r="J60" i="165"/>
  <c r="L338" i="167"/>
  <c r="G141" i="167"/>
  <c r="P404" i="165"/>
  <c r="H42" i="167"/>
  <c r="G329" i="167"/>
  <c r="P115" i="165"/>
  <c r="P222" i="165"/>
  <c r="P418" i="165"/>
  <c r="P215" i="165"/>
  <c r="P198" i="165"/>
  <c r="P21" i="165"/>
  <c r="J191" i="165"/>
  <c r="H199" i="167"/>
  <c r="G112" i="167"/>
  <c r="H352" i="167"/>
  <c r="K352" i="167" s="1"/>
  <c r="P213" i="165"/>
  <c r="P66" i="165"/>
  <c r="G206" i="167"/>
  <c r="P65" i="165"/>
  <c r="P117" i="165"/>
  <c r="H119" i="167"/>
  <c r="P44" i="165"/>
  <c r="K338" i="167"/>
  <c r="H43" i="167"/>
  <c r="K43" i="167" s="1"/>
  <c r="P31" i="165"/>
  <c r="P234" i="165"/>
  <c r="H210" i="167"/>
  <c r="P92" i="165"/>
  <c r="I211" i="167"/>
  <c r="G211" i="167" s="1"/>
  <c r="H204" i="167"/>
  <c r="H177" i="167"/>
  <c r="P372" i="165"/>
  <c r="I188" i="167"/>
  <c r="G188" i="167" s="1"/>
  <c r="P111" i="165"/>
  <c r="I100" i="167"/>
  <c r="G100" i="167" s="1"/>
  <c r="P68" i="165"/>
  <c r="J176" i="167"/>
  <c r="M176" i="167" s="1"/>
  <c r="I120" i="167"/>
  <c r="G120" i="167" s="1"/>
  <c r="P106" i="165"/>
  <c r="M430" i="165"/>
  <c r="G158" i="167"/>
  <c r="I208" i="167"/>
  <c r="J382" i="165"/>
  <c r="J52" i="165"/>
  <c r="G160" i="167"/>
  <c r="G148" i="167"/>
  <c r="H30" i="167"/>
  <c r="J27" i="165"/>
  <c r="G142" i="167"/>
  <c r="I210" i="167"/>
  <c r="G140" i="167"/>
  <c r="I118" i="167"/>
  <c r="G145" i="167"/>
  <c r="H118" i="167"/>
  <c r="H213" i="167"/>
  <c r="J216" i="165"/>
  <c r="P120" i="165"/>
  <c r="P229" i="165"/>
  <c r="J58" i="167"/>
  <c r="P193" i="165"/>
  <c r="I203" i="167"/>
  <c r="G203" i="167" s="1"/>
  <c r="J18" i="165"/>
  <c r="I190" i="167"/>
  <c r="G190" i="167" s="1"/>
  <c r="I204" i="167"/>
  <c r="J129" i="165"/>
  <c r="I127" i="167" s="1"/>
  <c r="I213" i="167"/>
  <c r="I212" i="167"/>
  <c r="G212" i="167" s="1"/>
  <c r="G155" i="167"/>
  <c r="G146" i="167"/>
  <c r="I43" i="167"/>
  <c r="L43" i="167" s="1"/>
  <c r="G139" i="167"/>
  <c r="H345" i="167"/>
  <c r="K345" i="167" s="1"/>
  <c r="J131" i="167"/>
  <c r="M131" i="167" s="1"/>
  <c r="K131" i="165"/>
  <c r="K209" i="165"/>
  <c r="P412" i="165"/>
  <c r="O333" i="165"/>
  <c r="J334" i="165"/>
  <c r="K47" i="165"/>
  <c r="J197" i="167"/>
  <c r="P375" i="165"/>
  <c r="J109" i="165"/>
  <c r="L15" i="165"/>
  <c r="O392" i="165"/>
  <c r="J393" i="165"/>
  <c r="H208" i="167"/>
  <c r="P225" i="165"/>
  <c r="F15" i="165"/>
  <c r="K103" i="165"/>
  <c r="P50" i="165"/>
  <c r="H106" i="167" l="1"/>
  <c r="E49" i="165"/>
  <c r="I73" i="167"/>
  <c r="L73" i="167" s="1"/>
  <c r="J108" i="165"/>
  <c r="J104" i="165" s="1"/>
  <c r="E108" i="165"/>
  <c r="E104" i="165" s="1"/>
  <c r="G121" i="167"/>
  <c r="E42" i="165"/>
  <c r="J42" i="165"/>
  <c r="H16" i="167"/>
  <c r="H59" i="167"/>
  <c r="P29" i="165"/>
  <c r="I110" i="167"/>
  <c r="I106" i="167" s="1"/>
  <c r="E370" i="165"/>
  <c r="P105" i="165"/>
  <c r="P91" i="165"/>
  <c r="I178" i="167"/>
  <c r="I177" i="167" s="1"/>
  <c r="E217" i="165"/>
  <c r="J370" i="165"/>
  <c r="J217" i="165"/>
  <c r="G76" i="167"/>
  <c r="G60" i="167"/>
  <c r="I63" i="167"/>
  <c r="L63" i="167" s="1"/>
  <c r="G127" i="167"/>
  <c r="H198" i="167"/>
  <c r="H197" i="167" s="1"/>
  <c r="O48" i="165"/>
  <c r="E189" i="165"/>
  <c r="L42" i="167"/>
  <c r="O402" i="165"/>
  <c r="J343" i="165"/>
  <c r="J36" i="165"/>
  <c r="J409" i="165"/>
  <c r="H430" i="165"/>
  <c r="O25" i="165"/>
  <c r="J26" i="165"/>
  <c r="J51" i="165"/>
  <c r="J49" i="165" s="1"/>
  <c r="E211" i="165"/>
  <c r="O367" i="165"/>
  <c r="P334" i="165"/>
  <c r="Q334" i="165" s="1"/>
  <c r="G67" i="167"/>
  <c r="E25" i="165"/>
  <c r="J192" i="165"/>
  <c r="P61" i="165"/>
  <c r="P223" i="165"/>
  <c r="I202" i="167"/>
  <c r="G202" i="167" s="1"/>
  <c r="P233" i="165"/>
  <c r="P197" i="165"/>
  <c r="P221" i="165"/>
  <c r="P403" i="165"/>
  <c r="P40" i="165"/>
  <c r="P114" i="165"/>
  <c r="J232" i="165"/>
  <c r="O189" i="165"/>
  <c r="J17" i="165"/>
  <c r="P116" i="165"/>
  <c r="P212" i="165"/>
  <c r="P417" i="165"/>
  <c r="P411" i="165"/>
  <c r="J416" i="165"/>
  <c r="E232" i="165"/>
  <c r="P374" i="165"/>
  <c r="K42" i="167"/>
  <c r="G42" i="167"/>
  <c r="P64" i="165"/>
  <c r="P67" i="165"/>
  <c r="G83" i="167"/>
  <c r="K81" i="167"/>
  <c r="G81" i="167"/>
  <c r="K30" i="167"/>
  <c r="P228" i="165"/>
  <c r="P218" i="165"/>
  <c r="O211" i="165"/>
  <c r="J214" i="165"/>
  <c r="J190" i="165"/>
  <c r="P118" i="165"/>
  <c r="P43" i="165"/>
  <c r="G33" i="167"/>
  <c r="J105" i="167"/>
  <c r="M105" i="167" s="1"/>
  <c r="H289" i="167"/>
  <c r="H176" i="167"/>
  <c r="G199" i="167"/>
  <c r="J15" i="167"/>
  <c r="G119" i="167"/>
  <c r="P60" i="165"/>
  <c r="I298" i="167"/>
  <c r="P52" i="165"/>
  <c r="G113" i="167"/>
  <c r="G316" i="167"/>
  <c r="G34" i="167"/>
  <c r="P191" i="165"/>
  <c r="G153" i="167"/>
  <c r="G43" i="167"/>
  <c r="F110" i="170" s="1"/>
  <c r="G118" i="167"/>
  <c r="G154" i="167"/>
  <c r="G210" i="167"/>
  <c r="G204" i="167"/>
  <c r="M58" i="167"/>
  <c r="P18" i="165"/>
  <c r="G162" i="167"/>
  <c r="G208" i="167"/>
  <c r="G213" i="167"/>
  <c r="I352" i="167"/>
  <c r="L352" i="167" s="1"/>
  <c r="I309" i="167"/>
  <c r="L309" i="167" s="1"/>
  <c r="G311" i="167"/>
  <c r="G310" i="167" s="1"/>
  <c r="P27" i="165"/>
  <c r="L430" i="165"/>
  <c r="I345" i="167"/>
  <c r="L345" i="167" s="1"/>
  <c r="G352" i="167"/>
  <c r="P216" i="165"/>
  <c r="G300" i="167"/>
  <c r="G171" i="167"/>
  <c r="I30" i="167"/>
  <c r="I16" i="167" s="1"/>
  <c r="P129" i="165"/>
  <c r="I305" i="167"/>
  <c r="G305" i="167" s="1"/>
  <c r="G430" i="165"/>
  <c r="G345" i="167"/>
  <c r="P109" i="165"/>
  <c r="J333" i="165"/>
  <c r="E131" i="165"/>
  <c r="O131" i="165"/>
  <c r="J132" i="165"/>
  <c r="H316" i="167"/>
  <c r="E343" i="165"/>
  <c r="E382" i="165"/>
  <c r="J392" i="165"/>
  <c r="P393" i="165"/>
  <c r="Q393" i="165" s="1"/>
  <c r="H131" i="167"/>
  <c r="K131" i="167" s="1"/>
  <c r="D111" i="170" l="1"/>
  <c r="D112" i="170"/>
  <c r="E112" i="170" s="1"/>
  <c r="O16" i="165"/>
  <c r="E16" i="165"/>
  <c r="K15" i="167" s="1"/>
  <c r="P108" i="165"/>
  <c r="P104" i="165" s="1"/>
  <c r="Q104" i="165" s="1"/>
  <c r="P42" i="165"/>
  <c r="I290" i="167"/>
  <c r="L290" i="167" s="1"/>
  <c r="G73" i="167"/>
  <c r="P217" i="165"/>
  <c r="O363" i="165"/>
  <c r="O362" i="165" s="1"/>
  <c r="E48" i="165"/>
  <c r="O188" i="165"/>
  <c r="E188" i="165"/>
  <c r="J48" i="165"/>
  <c r="J47" i="165" s="1"/>
  <c r="J402" i="165"/>
  <c r="J401" i="165" s="1"/>
  <c r="P36" i="165"/>
  <c r="J367" i="165"/>
  <c r="G110" i="167"/>
  <c r="G106" i="167" s="1"/>
  <c r="O210" i="165"/>
  <c r="O209" i="165" s="1"/>
  <c r="E210" i="165"/>
  <c r="E209" i="165" s="1"/>
  <c r="J131" i="165"/>
  <c r="P132" i="165"/>
  <c r="Q132" i="165" s="1"/>
  <c r="I59" i="167"/>
  <c r="I58" i="167" s="1"/>
  <c r="O47" i="165"/>
  <c r="P51" i="165"/>
  <c r="P49" i="165" s="1"/>
  <c r="P26" i="165"/>
  <c r="E367" i="165"/>
  <c r="P192" i="165"/>
  <c r="G36" i="108"/>
  <c r="G63" i="167"/>
  <c r="K176" i="167"/>
  <c r="J189" i="165"/>
  <c r="P370" i="165"/>
  <c r="P17" i="165"/>
  <c r="J25" i="165"/>
  <c r="J211" i="165"/>
  <c r="P190" i="165"/>
  <c r="P416" i="165"/>
  <c r="P214" i="165"/>
  <c r="O401" i="165"/>
  <c r="P232" i="165"/>
  <c r="H58" i="167"/>
  <c r="G178" i="167"/>
  <c r="G177" i="167" s="1"/>
  <c r="H105" i="167"/>
  <c r="K105" i="167" s="1"/>
  <c r="G309" i="167"/>
  <c r="G298" i="167"/>
  <c r="G290" i="167" s="1"/>
  <c r="H15" i="167"/>
  <c r="I316" i="167"/>
  <c r="L30" i="167"/>
  <c r="I176" i="167"/>
  <c r="G30" i="167"/>
  <c r="G16" i="167" s="1"/>
  <c r="I131" i="167"/>
  <c r="L131" i="167" s="1"/>
  <c r="G138" i="167"/>
  <c r="G132" i="167" s="1"/>
  <c r="J300" i="167"/>
  <c r="P382" i="165"/>
  <c r="P392" i="165"/>
  <c r="P333" i="165"/>
  <c r="P343" i="165"/>
  <c r="J16" i="165" l="1"/>
  <c r="L15" i="167" s="1"/>
  <c r="O419" i="165"/>
  <c r="E110" i="170"/>
  <c r="G59" i="167"/>
  <c r="G58" i="167" s="1"/>
  <c r="P16" i="165"/>
  <c r="Q16" i="165" s="1"/>
  <c r="J290" i="167"/>
  <c r="M290" i="167" s="1"/>
  <c r="L58" i="167"/>
  <c r="J363" i="165"/>
  <c r="J362" i="165" s="1"/>
  <c r="L329" i="167" s="1"/>
  <c r="E363" i="165"/>
  <c r="E362" i="165" s="1"/>
  <c r="K329" i="167" s="1"/>
  <c r="E103" i="165"/>
  <c r="P48" i="165"/>
  <c r="Q48" i="165" s="1"/>
  <c r="P189" i="165"/>
  <c r="Q189" i="165" s="1"/>
  <c r="O15" i="165"/>
  <c r="P367" i="165"/>
  <c r="K58" i="167"/>
  <c r="J188" i="165"/>
  <c r="L176" i="167"/>
  <c r="E47" i="165"/>
  <c r="J210" i="165"/>
  <c r="P210" i="165" s="1"/>
  <c r="Q210" i="165" s="1"/>
  <c r="E15" i="165"/>
  <c r="P211" i="165"/>
  <c r="P25" i="165"/>
  <c r="O103" i="165"/>
  <c r="G176" i="167"/>
  <c r="I105" i="167"/>
  <c r="G105" i="167"/>
  <c r="G15" i="167"/>
  <c r="I289" i="167"/>
  <c r="G131" i="167"/>
  <c r="I15" i="167"/>
  <c r="P131" i="165"/>
  <c r="L105" i="167" l="1"/>
  <c r="J364" i="167"/>
  <c r="N357" i="167" s="1"/>
  <c r="J15" i="165"/>
  <c r="P188" i="165"/>
  <c r="P363" i="165"/>
  <c r="Q363" i="165" s="1"/>
  <c r="P47" i="165"/>
  <c r="J209" i="165"/>
  <c r="P209" i="165"/>
  <c r="J103" i="165"/>
  <c r="J419" i="165"/>
  <c r="G289" i="167"/>
  <c r="J289" i="167"/>
  <c r="L364" i="167" l="1"/>
  <c r="P15" i="165"/>
  <c r="P362" i="165"/>
  <c r="P103" i="165"/>
  <c r="I217" i="167" l="1"/>
  <c r="I198" i="167" s="1"/>
  <c r="I364" i="167" s="1"/>
  <c r="M357" i="167" s="1"/>
  <c r="G217" i="167" l="1"/>
  <c r="G198" i="167" l="1"/>
  <c r="I197" i="167"/>
  <c r="G197"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33" i="165" l="1"/>
  <c r="O16" i="107"/>
  <c r="O15" i="107" s="1"/>
  <c r="O14" i="107" s="1"/>
  <c r="L197" i="167"/>
  <c r="M197" i="167"/>
  <c r="O13" i="107"/>
  <c r="O12" i="107" s="1"/>
  <c r="O29" i="107" s="1"/>
  <c r="Q17" i="107"/>
  <c r="K430" i="165" l="1"/>
  <c r="N18" i="107"/>
  <c r="J431" i="165" l="1"/>
  <c r="O433" i="165"/>
  <c r="J430" i="165"/>
  <c r="O430" i="165"/>
  <c r="J433" i="165"/>
  <c r="N16" i="107"/>
  <c r="N15" i="107" s="1"/>
  <c r="N14" i="107" s="1"/>
  <c r="N13" i="107"/>
  <c r="N12" i="107" s="1"/>
  <c r="N29" i="107" s="1"/>
  <c r="F12" i="107"/>
  <c r="K197" i="167" l="1"/>
  <c r="F29" i="107"/>
  <c r="D24" i="108"/>
  <c r="E36" i="108" l="1"/>
  <c r="I142" i="108" s="1"/>
  <c r="E24" i="108"/>
  <c r="E421" i="165"/>
  <c r="M18" i="107"/>
  <c r="Q18" i="107" s="1"/>
  <c r="M13" i="107" l="1"/>
  <c r="M12" i="107" s="1"/>
  <c r="M29" i="107" s="1"/>
  <c r="M16" i="107"/>
  <c r="M15" i="107" s="1"/>
  <c r="M14" i="107" s="1"/>
  <c r="Q16" i="107"/>
  <c r="Q15" i="107" s="1"/>
  <c r="Q14" i="107" s="1"/>
  <c r="Q13" i="107" l="1"/>
  <c r="Q12" i="107" s="1"/>
  <c r="Q29" i="107" s="1"/>
  <c r="Q421" i="165" l="1"/>
  <c r="R29" i="107"/>
  <c r="E410" i="165"/>
  <c r="H362" i="167" l="1"/>
  <c r="G362" i="167" s="1"/>
  <c r="G359" i="167" s="1"/>
  <c r="G364" i="167" s="1"/>
  <c r="K357" i="167" s="1"/>
  <c r="E409" i="165"/>
  <c r="P410" i="165"/>
  <c r="F401" i="165"/>
  <c r="H359" i="167" l="1"/>
  <c r="H358" i="167" s="1"/>
  <c r="G358" i="167"/>
  <c r="E402" i="165"/>
  <c r="P409" i="165"/>
  <c r="H364" i="167" l="1"/>
  <c r="L357" i="167" s="1"/>
  <c r="E419" i="165"/>
  <c r="F431" i="165" s="1"/>
  <c r="P402" i="165"/>
  <c r="Q402" i="165" s="1"/>
  <c r="E401" i="165"/>
  <c r="F430" i="165"/>
  <c r="D29" i="172" l="1"/>
  <c r="E29" i="172" s="1"/>
  <c r="G29" i="172" s="1"/>
  <c r="E433" i="165"/>
  <c r="K364" i="167"/>
  <c r="F433" i="165"/>
  <c r="P401" i="165"/>
  <c r="P419" i="165"/>
  <c r="P433" i="165" s="1"/>
  <c r="E430" i="165"/>
  <c r="E431" i="165"/>
  <c r="Q419" i="165" l="1"/>
  <c r="P430" i="165"/>
  <c r="D25" i="172"/>
  <c r="D15" i="172" s="1"/>
  <c r="D34" i="172" s="1"/>
  <c r="P431" i="165"/>
  <c r="D58" i="172"/>
  <c r="D57" i="170"/>
  <c r="E57" i="170" s="1"/>
  <c r="E25" i="172" l="1"/>
  <c r="D54" i="172"/>
  <c r="C29" i="172"/>
  <c r="C25" i="172" s="1"/>
  <c r="F29" i="172"/>
  <c r="F25" i="172" s="1"/>
  <c r="E58" i="172"/>
  <c r="G25" i="172" l="1"/>
  <c r="D48" i="172"/>
  <c r="D59" i="172" s="1"/>
  <c r="C15" i="172"/>
  <c r="C34" i="172" s="1"/>
  <c r="F15" i="172"/>
  <c r="F34" i="172" s="1"/>
  <c r="E15" i="172"/>
  <c r="E54" i="172"/>
  <c r="F58" i="172"/>
  <c r="F54" i="172" s="1"/>
  <c r="C58" i="172"/>
  <c r="C54" i="172" s="1"/>
  <c r="E67" i="170"/>
  <c r="D52" i="170"/>
  <c r="D66" i="170" s="1"/>
  <c r="E34" i="172" l="1"/>
  <c r="G15" i="172"/>
  <c r="E48" i="172"/>
  <c r="E59" i="172" s="1"/>
  <c r="F48" i="172"/>
  <c r="F59" i="172" s="1"/>
  <c r="C48" i="172"/>
  <c r="C59" i="172" s="1"/>
  <c r="D31" i="170"/>
  <c r="E31" i="170" s="1"/>
  <c r="D65" i="170"/>
  <c r="F31" i="170" l="1"/>
  <c r="E65" i="170"/>
  <c r="E66" i="170"/>
  <c r="K108" i="184" l="1"/>
  <c r="I103" i="184"/>
  <c r="I124" i="184" s="1"/>
  <c r="M124" i="184" s="1"/>
  <c r="D82" i="170" l="1"/>
  <c r="E111" i="170" s="1"/>
  <c r="E82" i="170" l="1"/>
</calcChain>
</file>

<file path=xl/sharedStrings.xml><?xml version="1.0" encoding="utf-8"?>
<sst xmlns="http://schemas.openxmlformats.org/spreadsheetml/2006/main" count="4642" uniqueCount="1647">
  <si>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</si>
  <si>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</si>
  <si>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</si>
  <si>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</si>
  <si>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</si>
  <si>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</si>
  <si>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</si>
  <si>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</si>
  <si>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</si>
  <si>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</si>
  <si>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</si>
  <si>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</si>
  <si>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</si>
  <si>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</si>
  <si>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</si>
  <si>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</si>
  <si>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</si>
  <si>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</si>
  <si>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</si>
  <si>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</si>
  <si>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</si>
  <si>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</si>
  <si>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</si>
  <si>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</si>
  <si>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</si>
  <si>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</si>
  <si>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</si>
  <si>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</si>
  <si>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</si>
  <si>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</si>
  <si>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</si>
  <si>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</si>
  <si>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</si>
  <si>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</si>
  <si>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</si>
  <si>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</si>
  <si>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</si>
  <si>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</si>
  <si>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</si>
  <si>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</si>
  <si>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</si>
  <si>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</si>
  <si>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</si>
  <si>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</si>
  <si>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</si>
  <si>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</si>
  <si>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</si>
  <si>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</si>
  <si>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</si>
  <si>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</si>
  <si>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</si>
  <si>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</si>
  <si>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</si>
  <si>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</si>
  <si>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</si>
  <si>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</si>
  <si>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</si>
  <si>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</si>
  <si>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</si>
  <si>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</si>
  <si>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</si>
  <si>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</si>
  <si>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</si>
  <si>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</si>
  <si>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</si>
  <si>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</si>
  <si>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</si>
  <si>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</si>
  <si>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</si>
  <si>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</si>
  <si>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</si>
  <si>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</si>
  <si>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</si>
  <si>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</si>
  <si>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</si>
  <si>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</si>
  <si>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</si>
  <si>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</si>
  <si>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</si>
  <si>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</si>
  <si>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</si>
  <si>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</si>
  <si>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</si>
  <si>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</si>
  <si>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</si>
  <si>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</si>
  <si>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</si>
  <si>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</si>
  <si>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</si>
  <si>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</si>
  <si>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</si>
  <si>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</si>
  <si>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</si>
  <si>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</si>
  <si>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</si>
  <si>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</si>
  <si>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</si>
  <si>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</si>
  <si>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</si>
  <si>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</si>
  <si>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</si>
  <si>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</si>
  <si>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</si>
  <si>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</si>
  <si>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</si>
  <si>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</si>
  <si>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</si>
  <si>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</si>
  <si>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</si>
  <si>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</si>
  <si>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</si>
  <si>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</si>
  <si>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</si>
  <si>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</si>
  <si>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</si>
  <si>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</si>
  <si>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</si>
  <si>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</si>
  <si>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</si>
  <si>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</si>
  <si>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</si>
  <si>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</si>
  <si>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</si>
  <si>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</si>
  <si>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</si>
  <si>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</si>
  <si>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</si>
  <si>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</si>
  <si>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</si>
  <si>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</si>
  <si>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</si>
  <si>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</si>
  <si>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</si>
  <si>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</si>
  <si>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</si>
  <si>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</si>
  <si>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</si>
  <si>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</si>
  <si>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</si>
  <si>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</si>
  <si>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</si>
  <si>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</si>
  <si>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</si>
  <si>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</si>
  <si>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</si>
  <si>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</si>
  <si>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</si>
  <si>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</si>
  <si>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</si>
  <si>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</si>
  <si>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</si>
  <si>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</si>
  <si>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</si>
  <si>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</si>
  <si>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</si>
  <si>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</si>
  <si>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</si>
  <si>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</si>
  <si>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</si>
  <si>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</si>
  <si>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</si>
  <si>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</si>
  <si>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</si>
  <si>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</si>
  <si>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</si>
  <si>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</si>
  <si>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</si>
  <si>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</si>
  <si>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</si>
  <si>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</si>
  <si>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</si>
  <si>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</si>
  <si>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</si>
  <si>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</si>
  <si>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</si>
  <si>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</si>
  <si>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</si>
  <si>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</si>
  <si>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</si>
  <si>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</si>
  <si>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</si>
  <si>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</si>
  <si>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</si>
  <si>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</si>
  <si>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</si>
  <si>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</si>
  <si>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</si>
  <si>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</si>
  <si>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</si>
  <si>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</si>
  <si>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</si>
  <si>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</si>
  <si>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</si>
  <si>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</si>
  <si>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</si>
  <si>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</si>
  <si>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</si>
  <si>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</si>
  <si>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</si>
  <si>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</si>
  <si>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</si>
  <si>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</si>
  <si>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</si>
  <si>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</si>
  <si>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</si>
  <si>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</si>
  <si>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</si>
  <si>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</si>
  <si>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</si>
  <si>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</si>
  <si>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</si>
  <si>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</si>
  <si>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</si>
  <si>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</si>
  <si>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</si>
  <si>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</si>
  <si>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</si>
  <si>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</si>
  <si>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</si>
  <si>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</si>
  <si>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</si>
  <si>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</si>
  <si>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</si>
  <si>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</si>
  <si>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</si>
  <si>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</si>
  <si>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</si>
  <si>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</si>
  <si>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</si>
  <si>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</si>
  <si>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</si>
  <si>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</si>
  <si>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</si>
  <si>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</si>
  <si>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</si>
  <si>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</si>
  <si>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</si>
  <si>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</si>
  <si>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</si>
  <si>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</si>
  <si>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</si>
  <si>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</si>
  <si>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</si>
  <si>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</si>
  <si>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</si>
  <si>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</si>
  <si>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</si>
  <si>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</si>
  <si>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</si>
  <si>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</si>
  <si>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</si>
  <si>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</si>
  <si>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</si>
  <si>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</si>
  <si>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</si>
  <si>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</si>
  <si>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</si>
  <si>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</si>
  <si>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</si>
  <si>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</si>
  <si>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</si>
  <si>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</si>
  <si>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</si>
  <si>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</si>
  <si>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</si>
  <si>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</si>
  <si>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</si>
  <si>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</si>
  <si>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</si>
  <si>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</si>
  <si>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</si>
  <si>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</si>
  <si>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</si>
  <si>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</si>
  <si>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</si>
  <si>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</si>
  <si>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</si>
  <si>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</si>
  <si>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</si>
  <si>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</si>
  <si>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</si>
  <si>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</si>
  <si>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</si>
  <si>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</si>
  <si>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</si>
  <si>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</si>
  <si>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</si>
  <si>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</si>
  <si>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</si>
  <si>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</si>
  <si>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</si>
  <si>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</si>
  <si>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</si>
  <si>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</si>
  <si>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</si>
  <si>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</si>
  <si>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</si>
  <si>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</si>
  <si>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</si>
  <si>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</si>
  <si>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</si>
  <si>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</si>
  <si>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</si>
  <si>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</si>
  <si>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</si>
  <si>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</si>
  <si>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</si>
  <si>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</si>
  <si>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</si>
  <si>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</si>
  <si>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</si>
  <si>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</si>
  <si>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</si>
  <si>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</si>
  <si>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</si>
  <si>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</si>
  <si>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</si>
  <si>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</si>
  <si>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</si>
  <si>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</si>
  <si>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</si>
  <si>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</si>
  <si>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</si>
  <si>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</si>
  <si>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</si>
  <si>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</si>
  <si>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</si>
  <si>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</si>
  <si>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</si>
  <si>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</si>
  <si>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</si>
  <si>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</si>
  <si>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</si>
  <si>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</si>
  <si>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</si>
  <si>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</si>
  <si>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</si>
  <si>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</si>
  <si>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</si>
  <si>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</si>
  <si>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</si>
  <si>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</si>
  <si>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</si>
  <si>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</si>
  <si>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</si>
  <si>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</si>
  <si>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</si>
  <si>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</si>
  <si>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</si>
  <si>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</si>
  <si>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</si>
  <si>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</si>
  <si>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</si>
  <si>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</si>
  <si>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</si>
  <si>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</si>
  <si>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</si>
  <si>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</si>
  <si>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</si>
  <si>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</si>
  <si>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</si>
  <si>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</si>
  <si>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</si>
  <si>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</si>
  <si>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</si>
  <si>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</si>
  <si>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</si>
  <si>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</si>
  <si>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</si>
  <si>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</si>
  <si>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</si>
  <si>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</si>
  <si>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</si>
  <si>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</si>
  <si>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</si>
  <si>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</si>
  <si>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</si>
  <si>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</si>
  <si>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</si>
  <si>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</si>
  <si>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</si>
  <si>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</si>
  <si>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</si>
  <si>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</si>
  <si>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</si>
  <si>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</si>
  <si>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</si>
  <si>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</si>
  <si>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</si>
  <si>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</si>
  <si>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</si>
  <si>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</si>
  <si>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</si>
  <si>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</si>
  <si>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</si>
  <si>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</si>
  <si>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</si>
  <si>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</si>
  <si>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</si>
  <si>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</si>
  <si>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</si>
  <si>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</si>
  <si>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</si>
  <si>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</si>
  <si>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</si>
  <si>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</si>
  <si>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</si>
  <si>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</si>
  <si>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</si>
  <si>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</si>
  <si>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</si>
  <si>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</si>
  <si>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</si>
  <si>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</si>
  <si>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</si>
  <si>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</si>
  <si>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</si>
  <si>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</si>
  <si>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</si>
  <si>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</si>
  <si>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</si>
  <si>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</si>
  <si>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</si>
  <si>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</si>
  <si>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</si>
  <si>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</si>
  <si>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</si>
  <si>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</si>
  <si>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</si>
  <si>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</si>
  <si>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</si>
  <si>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</si>
  <si>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</si>
  <si>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</si>
  <si>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</si>
  <si>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</si>
  <si>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</si>
  <si>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</si>
  <si>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</si>
  <si>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</si>
  <si>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</si>
  <si>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</si>
  <si>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</si>
  <si>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</si>
  <si>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</si>
  <si>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</si>
  <si>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</si>
  <si>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</si>
  <si>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</si>
  <si>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</si>
  <si>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</si>
  <si>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</si>
  <si>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</si>
  <si>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</si>
  <si>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</si>
  <si>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</si>
  <si>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</si>
  <si>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</si>
  <si>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</si>
  <si>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</si>
  <si>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</si>
  <si>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</si>
  <si>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</si>
  <si>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</si>
  <si>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</si>
  <si>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</si>
  <si>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</si>
  <si>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</si>
  <si>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</si>
  <si>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</si>
  <si>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</si>
  <si>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</si>
  <si>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</si>
  <si>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</si>
  <si>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</si>
  <si>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</si>
  <si>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</si>
  <si>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</si>
  <si>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</si>
  <si>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</si>
  <si>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</si>
  <si>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</si>
  <si>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</si>
  <si>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</si>
  <si>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</si>
  <si>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</si>
  <si>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</si>
  <si>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</si>
  <si>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</si>
  <si>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</si>
  <si>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</si>
  <si>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</si>
  <si>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</si>
  <si>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</si>
  <si>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</si>
  <si>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</si>
  <si>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</si>
  <si>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</si>
  <si>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</si>
  <si>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</si>
  <si>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</si>
  <si>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</si>
  <si>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</si>
  <si>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</si>
  <si>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</si>
  <si>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</si>
  <si>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</si>
  <si>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</si>
  <si>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</si>
  <si>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</si>
  <si>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</si>
  <si>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</si>
  <si>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</si>
  <si>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</si>
  <si>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</si>
  <si>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</si>
  <si>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</si>
  <si>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</si>
  <si>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</si>
  <si>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</si>
  <si>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</si>
  <si>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</si>
  <si>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</si>
  <si>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</si>
  <si>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</si>
  <si>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</si>
  <si>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</si>
  <si>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</si>
  <si>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</si>
  <si>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</si>
  <si>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</si>
  <si>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</si>
  <si>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</si>
  <si>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</si>
  <si>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</si>
  <si>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</si>
  <si>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</si>
  <si>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</si>
  <si>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</si>
  <si>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</si>
  <si>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</si>
  <si>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</si>
  <si>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</si>
  <si>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</si>
  <si>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</si>
  <si>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</si>
  <si>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</si>
  <si>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</si>
  <si>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</si>
  <si>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</si>
  <si>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</si>
  <si>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</si>
  <si>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</si>
  <si>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</si>
  <si>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</si>
  <si>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</si>
  <si>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</si>
  <si>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</si>
  <si>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</si>
  <si>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</si>
  <si>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</si>
  <si>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</si>
  <si>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</si>
  <si>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</si>
  <si>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</si>
  <si>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</si>
  <si>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</si>
  <si>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</si>
  <si>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</si>
  <si>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</si>
  <si>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</si>
  <si>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</si>
  <si>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</si>
  <si>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</si>
  <si>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</si>
  <si>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</si>
  <si>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</si>
  <si>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</si>
  <si>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</si>
  <si>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</si>
  <si>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</si>
  <si>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</si>
  <si>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</si>
  <si>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</si>
  <si>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</si>
  <si>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</si>
  <si>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</si>
  <si>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</si>
  <si>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</si>
  <si>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</si>
  <si>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</si>
  <si>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</si>
  <si>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</si>
  <si>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</si>
  <si>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</si>
  <si>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</si>
  <si>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</si>
  <si>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</si>
  <si>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</si>
  <si>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</si>
  <si>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</si>
  <si>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</si>
  <si>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</si>
  <si>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</si>
  <si>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</si>
  <si>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</si>
  <si>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</si>
  <si>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</si>
  <si>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</si>
  <si>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</si>
  <si>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</si>
  <si>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</si>
  <si>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</si>
  <si>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</si>
  <si>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</si>
  <si>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</si>
  <si>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</si>
  <si>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</si>
  <si>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</si>
  <si>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</si>
  <si>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</si>
  <si>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</si>
  <si>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</si>
  <si>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</si>
  <si>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</si>
  <si>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</si>
  <si>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</si>
  <si>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</si>
  <si>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</si>
  <si>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</si>
  <si>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</si>
  <si>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</si>
  <si>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</si>
  <si>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</si>
  <si>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</si>
  <si>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</si>
  <si>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</si>
  <si>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</si>
  <si>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</si>
  <si>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</si>
  <si>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</si>
  <si>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</si>
  <si>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</si>
  <si>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</si>
  <si>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</si>
  <si>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</si>
  <si>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</si>
  <si>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</si>
  <si>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</si>
  <si>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</si>
  <si>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</si>
  <si>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</si>
  <si>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</si>
  <si>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</si>
  <si>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</si>
  <si>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</si>
  <si>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</si>
  <si>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</si>
  <si>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</si>
  <si>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</si>
  <si>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</si>
  <si>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</si>
  <si>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</si>
  <si>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</si>
  <si>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</si>
  <si>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</si>
  <si>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</si>
  <si>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</si>
  <si>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</si>
  <si>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</si>
  <si>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</si>
  <si>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</si>
  <si>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</si>
  <si>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</si>
  <si>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</si>
  <si>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</si>
  <si>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</si>
  <si>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</si>
  <si>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</si>
  <si>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</si>
  <si>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</si>
  <si>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</si>
  <si>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</si>
  <si>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</si>
  <si>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</si>
  <si>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</si>
  <si>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</si>
  <si>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</si>
  <si>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</si>
  <si>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</si>
  <si>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</si>
  <si>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</si>
  <si>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</si>
  <si>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</si>
  <si>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</si>
  <si>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</si>
  <si>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</si>
  <si>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</si>
  <si>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</si>
  <si>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</si>
  <si>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</si>
  <si>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</si>
  <si>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</si>
  <si>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</si>
  <si>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</si>
  <si>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</si>
  <si>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</si>
  <si>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</si>
  <si>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</si>
  <si>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</si>
  <si>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</si>
  <si>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</si>
  <si>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</si>
  <si>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</si>
  <si>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</si>
  <si>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</si>
  <si>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</si>
  <si>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</si>
  <si>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</si>
  <si>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</si>
  <si>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</si>
  <si>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</si>
  <si>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</si>
  <si>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</si>
  <si>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</si>
  <si>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</si>
  <si>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</si>
  <si>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</si>
  <si>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</si>
  <si>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</si>
  <si>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</si>
  <si>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</si>
  <si>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</si>
  <si>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</si>
  <si>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</si>
  <si>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</si>
  <si>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</si>
  <si>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</si>
  <si>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</si>
  <si>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</si>
  <si>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</si>
  <si>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</si>
  <si>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</si>
  <si>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</si>
  <si>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</si>
  <si>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</si>
  <si>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</si>
  <si>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</si>
  <si>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</si>
  <si>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</si>
  <si>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</si>
  <si>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</si>
  <si>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</si>
  <si>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</si>
  <si>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</si>
  <si>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</si>
  <si>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</si>
  <si>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</si>
  <si>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</si>
  <si>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</si>
  <si>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</si>
  <si>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</si>
  <si>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</si>
  <si>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</si>
  <si>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</si>
  <si>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</si>
  <si>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</si>
  <si>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</si>
  <si>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</si>
  <si>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</si>
  <si>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</si>
  <si>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</si>
  <si>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</si>
  <si>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</si>
  <si>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</si>
  <si>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</si>
  <si>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</si>
  <si>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</si>
  <si>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</si>
  <si>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</si>
  <si>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</si>
  <si>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</si>
  <si>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</si>
  <si>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</si>
  <si>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</si>
  <si>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</si>
  <si>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</si>
  <si>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</si>
  <si>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</si>
  <si>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</si>
  <si>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</si>
  <si>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</si>
  <si>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</si>
  <si>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</si>
  <si>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</si>
  <si>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</si>
  <si>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</si>
  <si>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</si>
  <si>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</si>
  <si>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</si>
  <si>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</si>
  <si>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</si>
  <si>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</si>
  <si>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</si>
  <si>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</si>
  <si>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</si>
  <si>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</si>
  <si>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</si>
  <si>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</si>
  <si>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</si>
  <si>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</si>
  <si>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</si>
  <si>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</si>
  <si>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</si>
  <si>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</si>
  <si>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</si>
  <si>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</si>
  <si>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</si>
  <si>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</si>
  <si>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</si>
  <si>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</si>
  <si>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</si>
  <si>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</si>
  <si>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</si>
  <si>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</si>
  <si>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</si>
  <si>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</si>
  <si>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</si>
  <si>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</si>
  <si>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</si>
  <si>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</si>
  <si>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</si>
  <si>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</si>
  <si>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</si>
  <si>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</si>
  <si>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</si>
  <si>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</si>
  <si>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</si>
  <si>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</si>
  <si>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</si>
  <si>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</si>
  <si>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</si>
  <si>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</si>
  <si>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</si>
  <si>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</si>
  <si>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</si>
  <si>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</si>
  <si>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</si>
  <si>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</si>
  <si>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</si>
  <si>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</si>
  <si>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</si>
  <si>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</si>
  <si>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</si>
  <si>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</si>
  <si>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</si>
  <si>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</si>
  <si>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</si>
  <si>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</si>
  <si>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</si>
  <si>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</si>
  <si>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</si>
  <si>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</si>
  <si>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</si>
  <si>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</si>
  <si>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</si>
  <si>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</si>
  <si>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</si>
  <si>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</si>
  <si>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</si>
  <si>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</si>
  <si>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</si>
  <si>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</si>
  <si>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</si>
  <si>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</si>
  <si>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</si>
  <si>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</si>
  <si>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</si>
  <si>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</si>
  <si>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</si>
  <si>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</si>
  <si>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</si>
  <si>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</si>
  <si>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</si>
  <si>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</si>
  <si>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</si>
  <si>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</si>
  <si>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</si>
  <si>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</si>
  <si>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</si>
  <si>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</si>
  <si>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</si>
  <si>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</si>
  <si>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</si>
  <si>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</si>
  <si>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</si>
  <si>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</si>
  <si>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</si>
  <si>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</si>
  <si>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</si>
  <si>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</si>
  <si>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</si>
  <si>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</si>
  <si>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</si>
  <si>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</si>
  <si>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</si>
  <si>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</si>
  <si>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</si>
  <si>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</si>
  <si>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</si>
  <si>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0817323</t>
  </si>
  <si>
    <t>7323</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</si>
  <si>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</si>
  <si>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</si>
  <si>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</si>
  <si>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</si>
  <si>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</si>
  <si>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</si>
  <si>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</si>
  <si>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</si>
  <si>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</si>
  <si>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</si>
  <si>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</si>
  <si>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</si>
  <si>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</si>
  <si>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</si>
  <si>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</si>
  <si>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</si>
  <si>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</si>
  <si>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</si>
  <si>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</si>
  <si>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</si>
  <si>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</si>
  <si>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</si>
  <si>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</si>
  <si>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</si>
  <si>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</si>
  <si>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</si>
  <si>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</si>
  <si>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</si>
  <si>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</si>
  <si>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</si>
  <si>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</si>
  <si>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</si>
  <si>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</si>
  <si>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</si>
  <si>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</si>
  <si>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</si>
  <si>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</si>
  <si>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</si>
  <si>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</si>
  <si>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</si>
  <si>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</si>
  <si>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</si>
  <si>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</si>
  <si>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</si>
  <si>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</si>
  <si>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</si>
  <si>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</si>
  <si>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</si>
  <si>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</si>
  <si>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</si>
  <si>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</si>
  <si>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</si>
  <si>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</si>
  <si>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</si>
  <si>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</si>
  <si>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</si>
  <si>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</si>
  <si>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</si>
  <si>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</si>
  <si>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</si>
  <si>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</si>
  <si>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</si>
  <si>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</si>
  <si>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</si>
  <si>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</si>
  <si>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</si>
  <si>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</si>
  <si>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</si>
  <si>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</si>
  <si>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</si>
  <si>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</si>
  <si>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</si>
  <si>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</si>
  <si>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</si>
  <si>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</si>
  <si>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</si>
  <si>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</si>
  <si>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</si>
  <si>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</si>
  <si>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</si>
  <si>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</si>
  <si>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</si>
  <si>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0813120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</si>
  <si>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</si>
  <si>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</si>
  <si>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</si>
  <si>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</si>
  <si>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</si>
  <si>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</si>
  <si>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</si>
  <si>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</si>
  <si>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</si>
  <si>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</si>
  <si>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</si>
  <si>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</si>
  <si>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</si>
  <si>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</si>
  <si>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</si>
  <si>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</si>
  <si>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</si>
  <si>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</si>
  <si>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</si>
  <si>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</si>
  <si>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</si>
  <si>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</si>
  <si>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</si>
  <si>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</si>
  <si>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</si>
  <si>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</si>
  <si>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</si>
  <si>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</si>
  <si>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</si>
  <si>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</si>
  <si>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</si>
  <si>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</si>
  <si>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</si>
  <si>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</si>
  <si>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</si>
  <si>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</si>
  <si>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</si>
  <si>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</si>
  <si>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</si>
  <si>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</si>
  <si>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</si>
  <si>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</si>
  <si>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</si>
  <si>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</si>
  <si>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</si>
  <si>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</si>
  <si>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</si>
  <si>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</si>
  <si>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</si>
  <si>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</si>
  <si>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</si>
  <si>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</si>
  <si>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</si>
  <si>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</si>
  <si>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</si>
  <si>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</si>
  <si>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</si>
  <si>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</si>
  <si>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</si>
  <si>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</si>
  <si>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</si>
  <si>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</si>
  <si>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</si>
  <si>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</si>
  <si>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</si>
  <si>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</si>
  <si>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</si>
  <si>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</si>
  <si>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</si>
  <si>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</si>
  <si>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</si>
  <si>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</si>
  <si>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</si>
  <si>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</si>
  <si>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</si>
  <si>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</si>
  <si>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</si>
  <si>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</si>
  <si>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</si>
  <si>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</si>
  <si>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</si>
  <si>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</si>
  <si>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</si>
  <si>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</si>
  <si>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</si>
  <si>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</si>
  <si>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</si>
  <si>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</si>
  <si>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</si>
  <si>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</si>
  <si>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</si>
  <si>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</si>
  <si>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</si>
  <si>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</si>
  <si>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</si>
  <si>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</si>
  <si>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</si>
  <si>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</si>
  <si>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</si>
  <si>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</si>
  <si>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</si>
  <si>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</si>
  <si>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</si>
  <si>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</si>
  <si>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</si>
  <si>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</si>
  <si>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</si>
  <si>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</si>
  <si>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</si>
  <si>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</si>
  <si>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</si>
  <si>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</si>
  <si>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</si>
  <si>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</si>
  <si>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</si>
  <si>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</si>
  <si>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</si>
  <si>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</si>
  <si>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</si>
  <si>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</si>
  <si>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</si>
  <si>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</si>
  <si>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</si>
  <si>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</si>
  <si>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</si>
  <si>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</si>
  <si>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</si>
  <si>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</si>
  <si>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</si>
  <si>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</si>
  <si>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</si>
  <si>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</si>
  <si>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</si>
  <si>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</si>
  <si>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</si>
  <si>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</si>
  <si>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</si>
  <si>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</si>
  <si>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</si>
  <si>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</si>
  <si>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</si>
  <si>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</si>
  <si>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</si>
  <si>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</si>
  <si>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</si>
  <si>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</si>
  <si>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</si>
  <si>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</si>
  <si>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</si>
  <si>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</si>
  <si>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</si>
  <si>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</si>
  <si>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</si>
  <si>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</si>
  <si>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</si>
  <si>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</si>
  <si>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</si>
  <si>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</si>
  <si>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</si>
  <si>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</si>
  <si>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</si>
  <si>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</si>
  <si>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</si>
  <si>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</si>
  <si>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</si>
  <si>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</si>
  <si>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</si>
  <si>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</si>
  <si>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</si>
  <si>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</si>
  <si>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</si>
  <si>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</si>
  <si>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</si>
  <si>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</si>
  <si>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</si>
  <si>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</si>
  <si>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</si>
  <si>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</si>
  <si>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</si>
  <si>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</si>
  <si>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</si>
  <si>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</si>
  <si>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</si>
  <si>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</si>
  <si>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</si>
  <si>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</si>
  <si>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</si>
  <si>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</si>
  <si>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</si>
  <si>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</si>
  <si>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</si>
  <si>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</si>
  <si>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</si>
  <si>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</si>
  <si>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</si>
  <si>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</si>
  <si>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</si>
  <si>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</si>
  <si>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</si>
  <si>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</si>
  <si>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</si>
  <si>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</si>
  <si>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</si>
  <si>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</si>
  <si>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</si>
  <si>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</si>
  <si>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</si>
  <si>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</si>
  <si>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</si>
  <si>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</si>
  <si>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</si>
  <si>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</si>
  <si>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</si>
  <si>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</si>
  <si>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</si>
  <si>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</si>
  <si>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</si>
  <si>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</si>
  <si>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</si>
  <si>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</si>
  <si>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</si>
  <si>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</si>
  <si>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</si>
  <si>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</si>
  <si>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</si>
  <si>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</si>
  <si>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</si>
  <si>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</si>
  <si>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</si>
  <si>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</si>
  <si>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</si>
  <si>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</si>
  <si>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</si>
  <si>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</si>
  <si>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</si>
  <si>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</si>
  <si>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</si>
  <si>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</si>
  <si>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</si>
  <si>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</si>
  <si>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</si>
  <si>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</si>
  <si>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</si>
  <si>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</si>
  <si>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</si>
  <si>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</si>
  <si>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</si>
  <si>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</si>
  <si>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</si>
  <si>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</si>
  <si>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</si>
  <si>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</si>
  <si>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</si>
  <si>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Штрафні санкції, що застосовуються відповідно до Закону України "Про державне ругулювання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 та пального "</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</si>
  <si>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</si>
  <si>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</si>
  <si>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</si>
  <si>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</si>
  <si>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</si>
  <si>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</si>
  <si>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</si>
  <si>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</si>
  <si>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</si>
  <si>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</si>
  <si>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</si>
  <si>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t>2020-2023 роки</t>
  </si>
  <si>
    <t>2717640</t>
  </si>
  <si>
    <t>Рішення 46-ї сесії Хмельницької міської ради від 07.10.2020 року №3</t>
  </si>
  <si>
    <t>2718000</t>
  </si>
  <si>
    <t>2718200</t>
  </si>
  <si>
    <t>2718240</t>
  </si>
  <si>
    <t>2713000</t>
  </si>
  <si>
    <t>2713230</t>
  </si>
  <si>
    <t>0817640</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</si>
  <si>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</si>
  <si>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</si>
  <si>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</si>
  <si>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</si>
  <si>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</si>
  <si>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</si>
  <si>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</si>
  <si>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</si>
  <si>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</si>
  <si>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</si>
  <si>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</si>
  <si>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</si>
  <si>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</si>
  <si>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</si>
  <si>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</si>
  <si>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</si>
  <si>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</si>
  <si>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</si>
  <si>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</si>
  <si>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</si>
  <si>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</si>
  <si>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</si>
  <si>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</si>
  <si>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</si>
  <si>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</si>
  <si>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</si>
  <si>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</si>
  <si>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</si>
  <si>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</si>
  <si>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</si>
  <si>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</si>
  <si>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</si>
  <si>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</si>
  <si>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</si>
  <si>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</si>
  <si>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</si>
  <si>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</si>
  <si>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</si>
  <si>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</si>
  <si>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</si>
  <si>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</si>
  <si>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</si>
  <si>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</si>
  <si>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</si>
  <si>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</si>
  <si>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</si>
  <si>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</si>
  <si>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</si>
  <si>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</si>
  <si>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</si>
  <si>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</si>
  <si>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</si>
  <si>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</si>
  <si>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</si>
  <si>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</si>
  <si>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</si>
  <si>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</si>
  <si>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</si>
  <si>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</si>
  <si>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</si>
  <si>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</si>
  <si>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</si>
  <si>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</si>
  <si>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</si>
  <si>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</si>
  <si>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</si>
  <si>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</si>
  <si>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</si>
  <si>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</si>
  <si>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</si>
  <si>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</si>
  <si>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</si>
  <si>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</si>
  <si>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</si>
  <si>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</si>
  <si>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</si>
  <si>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</si>
  <si>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</si>
  <si>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</si>
  <si>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</si>
  <si>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</si>
  <si>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</si>
  <si>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</si>
  <si>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</si>
  <si>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</si>
  <si>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</si>
  <si>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</si>
  <si>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</si>
  <si>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</si>
  <si>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</si>
  <si>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</si>
  <si>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</si>
  <si>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</si>
  <si>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</si>
  <si>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</si>
  <si>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</si>
  <si>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</si>
  <si>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</si>
  <si>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</si>
  <si>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</si>
  <si>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</si>
  <si>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</si>
  <si>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</si>
  <si>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</si>
  <si>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</si>
  <si>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</si>
  <si>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</si>
  <si>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</si>
  <si>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</si>
  <si>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</si>
  <si>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</si>
  <si>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</si>
  <si>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</si>
  <si>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</si>
  <si>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</si>
  <si>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</si>
  <si>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</si>
  <si>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</si>
  <si>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</si>
  <si>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</si>
  <si>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</si>
  <si>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</si>
  <si>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</si>
  <si>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</si>
  <si>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</si>
  <si>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</si>
  <si>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</si>
  <si>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</si>
  <si>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</si>
  <si>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</si>
  <si>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</si>
  <si>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</si>
  <si>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</si>
  <si>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</si>
  <si>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</si>
  <si>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</si>
  <si>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</si>
  <si>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</si>
  <si>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</si>
  <si>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</si>
  <si>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</si>
  <si>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</si>
  <si>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</si>
  <si>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</si>
  <si>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</si>
  <si>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</si>
  <si>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</si>
  <si>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</si>
  <si>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</si>
  <si>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</si>
  <si>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</si>
  <si>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</si>
  <si>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</si>
  <si>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Програма сприяння розвитку волонтерства на території Хмельницької міської територіальної громади на 2023-2027 роки</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</si>
  <si>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</si>
  <si>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</si>
  <si>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</si>
  <si>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</si>
  <si>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</si>
  <si>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</si>
  <si>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</si>
  <si>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</si>
  <si>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</si>
  <si>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</si>
  <si>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</si>
  <si>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</si>
  <si>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</si>
  <si>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</si>
  <si>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</si>
  <si>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</si>
  <si>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</si>
  <si>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</si>
  <si>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</si>
  <si>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</si>
  <si>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</si>
  <si>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</si>
  <si>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</si>
  <si>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</si>
  <si>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1218100</t>
  </si>
  <si>
    <t>1218110</t>
  </si>
  <si>
    <t>2020 - 2024 роки</t>
  </si>
  <si>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</si>
  <si>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</si>
  <si>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t>Заходи з озеленення</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</si>
  <si>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</si>
  <si>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</si>
  <si>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</si>
  <si>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</si>
  <si>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</si>
  <si>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</si>
  <si>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</si>
  <si>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</si>
  <si>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</si>
  <si>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</si>
  <si>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</si>
  <si>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</si>
  <si>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</si>
  <si>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</si>
  <si>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</si>
  <si>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</si>
  <si>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</si>
  <si>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</si>
  <si>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</si>
  <si>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Рішення 36-ї сесії Хмельницької міської ради від 21.12.2023 року №4</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</si>
  <si>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</si>
  <si>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</si>
  <si>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</si>
  <si>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</si>
  <si>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</si>
  <si>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Виконання заходів щодо облаштування безпечних умов у закладах, що надають загальну середню освіту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</si>
  <si>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що надають загальну середню освіту</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</si>
  <si>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</si>
  <si>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</si>
  <si>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</si>
  <si>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 xml:space="preserve">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</si>
  <si>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</si>
  <si>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</si>
  <si>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</si>
  <si>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</si>
  <si>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</si>
  <si>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</si>
  <si>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</si>
  <si>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</si>
  <si>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</si>
  <si>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</si>
  <si>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</si>
  <si>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</si>
  <si>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</si>
  <si>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</si>
  <si>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</si>
  <si>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</si>
  <si>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</si>
  <si>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</si>
  <si>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</si>
  <si>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</si>
  <si>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</si>
  <si>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</si>
  <si>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</si>
  <si>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</si>
  <si>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</si>
  <si>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</si>
  <si>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</si>
  <si>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</si>
  <si>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</si>
  <si>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</si>
  <si>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</si>
  <si>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</si>
  <si>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</si>
  <si>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</si>
  <si>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</si>
  <si>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</si>
  <si>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</si>
  <si>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</si>
  <si>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</si>
  <si>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</si>
  <si>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</si>
  <si>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t>Програма розвитку електротранспорту Хмельницької міської територіальної громади на 2021 - 2025 роки (із змінами)</t>
  </si>
  <si>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</si>
  <si>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</si>
  <si>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</si>
  <si>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</si>
  <si>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</si>
  <si>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</si>
  <si>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</si>
  <si>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</si>
  <si>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</si>
  <si>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Програма заходів національного спротиву Хмельницької міської територіальної громади на 2024 рік (із змінами)</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</si>
  <si>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</si>
  <si>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</si>
  <si>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</si>
  <si>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</si>
  <si>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</si>
  <si>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</si>
  <si>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</si>
  <si>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</si>
  <si>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</si>
  <si>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t>2019 - 2025 роки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</si>
  <si>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 (коригування)</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</si>
  <si>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</si>
  <si>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</si>
  <si>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</si>
  <si>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</si>
  <si>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</si>
  <si>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</si>
  <si>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</si>
  <si>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</si>
  <si>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</si>
  <si>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</si>
  <si>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</si>
  <si>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</si>
  <si>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</si>
  <si>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</si>
  <si>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</si>
  <si>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</si>
  <si>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</si>
  <si>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до рішення №  
 від                      2024 року</t>
  </si>
  <si>
    <t>Додаток 4
до рішення  №               від                      2024 року</t>
  </si>
  <si>
    <t>до рішення №          
від                             2024 року</t>
  </si>
  <si>
    <t xml:space="preserve">до рішення  №           від                 2024 року </t>
  </si>
  <si>
    <t>від                      2024 року</t>
  </si>
  <si>
    <t xml:space="preserve"> від          .2024 року</t>
  </si>
  <si>
    <t xml:space="preserve">  до рішення №  </t>
  </si>
  <si>
    <t xml:space="preserve">Додаток 6
до рішення №         від                          2024 року
</t>
  </si>
  <si>
    <t>від                       2024 року</t>
  </si>
  <si>
    <t>2024 - 2025 роки</t>
  </si>
  <si>
    <t>Реконструкція будівлі лікувально-оздоровчого комплексу «Г-2» під спальний корпус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t>
  </si>
  <si>
    <t>2023 - 2025 роки</t>
  </si>
  <si>
    <t>Хмельницької міської територіальної громади у 2025 році</t>
  </si>
  <si>
    <t>на 2025 рік</t>
  </si>
  <si>
    <t>програм у 2025 році</t>
  </si>
  <si>
    <t>у 2025 році</t>
  </si>
  <si>
    <r>
      <t>Будівництво</t>
    </r>
    <r>
      <rPr>
        <b/>
        <vertAlign val="superscript"/>
        <sz val="11"/>
        <color rgb="FFFF0000"/>
        <rFont val="Times New Roman"/>
        <family val="1"/>
        <charset val="204"/>
      </rPr>
      <t>1</t>
    </r>
    <r>
      <rPr>
        <sz val="11"/>
        <color rgb="FFFF0000"/>
        <rFont val="Times New Roman"/>
        <family val="1"/>
        <charset val="204"/>
      </rPr>
      <t>  установ та закладів соціальної сфери</t>
    </r>
  </si>
  <si>
    <r>
      <t xml:space="preserve">Нове </t>
    </r>
    <r>
      <rPr>
        <sz val="12"/>
        <color rgb="FFFF0000"/>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r>
      <rPr>
        <sz val="11"/>
        <color rgb="FFFF0000"/>
        <rFont val="Times New Roman"/>
        <family val="1"/>
        <charset val="204"/>
      </rPr>
      <t>(коригування)</t>
    </r>
  </si>
  <si>
    <t>Обсяг капітальних вкладень бюджету Хмельницької міської територіальної громади у 2025 році, гривень</t>
  </si>
  <si>
    <t>Очікуваний рівень готовності проекту на кінець 2025 року, %</t>
  </si>
  <si>
    <t>МІЖБЮДЖЕТНІ ТРАНСФЕРТИ НА 2025 РІК</t>
  </si>
  <si>
    <t>бюджету Хмельницької міської територіальної громади у 2025 році</t>
  </si>
  <si>
    <t>видатків бюджету Хмельницької міської територіальної громади на 2025 рік</t>
  </si>
  <si>
    <t>бюджету Хмельницької міської територіальної громади на 2025 рік</t>
  </si>
  <si>
    <t>бюджету Хмельницької міської територіальної громади  на 2025 рік</t>
  </si>
  <si>
    <t xml:space="preserve">Біологічна меліорація водойм </t>
  </si>
  <si>
    <t xml:space="preserve">Проведення робіт, пов‘язаних з поліпшенням технічного стану та благоустрою водойм на території територіальної громади </t>
  </si>
  <si>
    <t xml:space="preserve">Обслуговування та забезпечення функціонування системи моніторингу атмосферного повітря агломерації «Хмельницький» </t>
  </si>
  <si>
    <t xml:space="preserve">Придбання систем, приладів для здійснення контролю за якістю поверхневих та підземних вод на території міста </t>
  </si>
  <si>
    <t xml:space="preserve">Придбання спецтехніки для очищення водойм </t>
  </si>
  <si>
    <t xml:space="preserve">Резервування територій для заповідання. Заходи з розроблення схеми екологічної мережі території громади </t>
  </si>
  <si>
    <t xml:space="preserve">Виготовлення та розміщення інформаційних листівок екологічної реклами, відеороликів тощо на тему «Розумне поводження з відходами» </t>
  </si>
  <si>
    <t>Організація проведення оцінки впливу на довкілля та стратегічної екологічної оцінки</t>
  </si>
  <si>
    <t xml:space="preserve">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 </t>
  </si>
  <si>
    <t>Наукові дослідження, проектні та проектно-конструкторські розроблення (в тому числі моніторингові дослідження)</t>
  </si>
  <si>
    <t>Програма співфінансування робіт з ремонту багатоквартирних будинків Хмельницької міської територіальної громади на 2025 - 2029 роки</t>
  </si>
  <si>
    <t>1216091</t>
  </si>
  <si>
    <t>6091</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</si>
  <si>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</si>
  <si>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2025 - 2026 роки</t>
  </si>
  <si>
    <t>1416091</t>
  </si>
  <si>
    <r>
      <t>Будівництво</t>
    </r>
    <r>
      <rPr>
        <b/>
        <vertAlign val="superscript"/>
        <sz val="11"/>
        <rFont val="Times New Roman"/>
        <family val="1"/>
        <charset val="204"/>
      </rPr>
      <t>1</t>
    </r>
    <r>
      <rPr>
        <sz val="11"/>
        <rFont val="Times New Roman"/>
        <family val="1"/>
        <charset val="204"/>
      </rPr>
      <t>  об'єктів житлово-комунального господарства</t>
    </r>
  </si>
  <si>
    <t>2022 - 2025 роки</t>
  </si>
  <si>
    <t>Будівництво артезіанської свердловини, водонапірної башти та водогону в с.Малашівці Хмельницького району Хмельницької області (коригування)</t>
  </si>
  <si>
    <t>2021 - 2025 роки</t>
  </si>
  <si>
    <t>Програма економічного і соціального розвитку Хмельницької міської територіальної громади на 2025 рік</t>
  </si>
  <si>
    <t>1511000</t>
  </si>
  <si>
    <t>1511300</t>
  </si>
  <si>
    <t>1300</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</si>
  <si>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</si>
  <si>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11"/>
        <rFont val="Times New Roman"/>
        <family val="1"/>
        <charset val="204"/>
      </rPr>
      <t>1</t>
    </r>
    <r>
      <rPr>
        <sz val="11"/>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</si>
  <si>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</si>
  <si>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1514000</t>
  </si>
  <si>
    <t>1514080</t>
  </si>
  <si>
    <t>Проектування, реставрація та охорона пам'яток культурної спадщини</t>
  </si>
  <si>
    <t>1514084</t>
  </si>
  <si>
    <t>4084</t>
  </si>
  <si>
    <t>50,0 тис - меблі МВК</t>
  </si>
  <si>
    <t>Програма підготовки мешканців Хмельницької міської територіальної  громади до національного спротиву на 2024-2025 роки (із змінами)</t>
  </si>
  <si>
    <t>Медіа (Засоби масової інформації)</t>
  </si>
  <si>
    <t>Фінансова підтримка медіа (засобів масової інформації)</t>
  </si>
  <si>
    <t>Інвестиційні проекти та регіональний розвиток</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</si>
  <si>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</si>
  <si>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</si>
  <si>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</si>
  <si>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</si>
  <si>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</si>
  <si>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</si>
  <si>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</si>
  <si>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</si>
  <si>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</si>
  <si>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</si>
  <si>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 (Коригування)</t>
  </si>
  <si>
    <t>0813250</t>
  </si>
  <si>
    <t>3250</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</si>
  <si>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</si>
  <si>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</si>
  <si>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 xml:space="preserve">до рішення  №             від             2024 року </t>
  </si>
  <si>
    <t>Нове будівництво водогону в с. Велика Калинівка Хмельницього району Хмельницької області (коригування). Водозабірна свердловина</t>
  </si>
  <si>
    <t>Програма заходів національного спротиву Хмельницької міської територіальної громади на 2025 рік</t>
  </si>
  <si>
    <t>Програма фінансової підтримки комунальної установи Хмельницької міської ради «Агенція розвитку Хмельницького на 2025 рік»</t>
  </si>
  <si>
    <t>Програма підтримки та розвитку комунального некомерційного підприємства «Телерадіокомпанія «Місто» на 2024-2028 роки (із змінами)</t>
  </si>
  <si>
    <t>Програма підтримки Сил безпеки, оборони України на 2025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</si>
</sst>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198"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b/>
      <i/>
      <sz val="12.5"/>
      <color rgb="FFFF0000"/>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
      <sz val="31"/>
      <color rgb="FFFF0000"/>
      <name val="Times New Roman"/>
      <family val="1"/>
      <charset val="204"/>
    </font>
    <font>
      <b/>
      <vertAlign val="superscript"/>
      <sz val="36"/>
      <name val="Times New Roman"/>
      <family val="1"/>
      <charset val="204"/>
    </font>
    <font>
      <i/>
      <sz val="36"/>
      <name val="Times New Roman"/>
      <family val="1"/>
      <charset val="204"/>
    </font>
    <font>
      <b/>
      <vertAlign val="superscript"/>
      <sz val="11"/>
      <name val="Times New Roman"/>
      <family val="1"/>
      <charset val="204"/>
    </font>
    <font>
      <sz val="11"/>
      <name val="Times New Roman Cyr"/>
      <charset val="204"/>
    </font>
    <font>
      <i/>
      <sz val="11"/>
      <name val="Times New Roman"/>
      <family val="1"/>
      <charset val="204"/>
    </font>
    <font>
      <sz val="12.5"/>
      <name val="Times New Roman"/>
      <family val="1"/>
      <charset val="204"/>
    </font>
    <font>
      <b/>
      <i/>
      <sz val="12.5"/>
      <name val="Times New Roman"/>
      <family val="1"/>
      <charset val="204"/>
    </font>
  </fonts>
  <fills count="52">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gradientFill degree="90">
        <stop position="0">
          <color rgb="FF00FFCC"/>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patternFill patternType="solid">
        <fgColor theme="3" tint="0.39997558519241921"/>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patternFill patternType="solid">
        <fgColor theme="8" tint="0.79998168889431442"/>
        <bgColor indexed="64"/>
      </patternFill>
    </fill>
    <fill>
      <gradientFill type="path" left="0.5" right="0.5" top="0.5" bottom="0.5">
        <stop position="0">
          <color theme="0"/>
        </stop>
        <stop position="1">
          <color theme="8" tint="0.80001220740379042"/>
        </stop>
      </gradient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gradientFill degree="90">
        <stop position="0">
          <color rgb="FFCCFF66"/>
        </stop>
        <stop position="1">
          <color rgb="FFCCFF66"/>
        </stop>
      </gradientFill>
    </fill>
    <fill>
      <gradientFill degree="90">
        <stop position="0">
          <color rgb="FFCCFF66"/>
        </stop>
        <stop position="1">
          <color auto="1"/>
        </stop>
      </gradientFill>
    </fill>
    <fill>
      <gradientFill type="path" left="0.5" right="0.5" top="0.5" bottom="0.5">
        <stop position="0">
          <color theme="0"/>
        </stop>
        <stop position="1">
          <color rgb="FFFFCC00"/>
        </stop>
      </gradient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9"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14">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8"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6" fontId="104" fillId="28" borderId="0" xfId="0" applyNumberFormat="1" applyFont="1" applyFill="1" applyAlignment="1">
      <alignment horizontal="right" vertical="center" wrapText="1"/>
    </xf>
    <xf numFmtId="166"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49" fontId="114" fillId="36" borderId="15" xfId="0" applyNumberFormat="1" applyFont="1" applyFill="1" applyBorder="1" applyAlignment="1">
      <alignment horizontal="center" vertical="center" wrapText="1"/>
    </xf>
    <xf numFmtId="0" fontId="114" fillId="36" borderId="15" xfId="38" applyFont="1" applyFill="1" applyBorder="1" applyAlignment="1" applyProtection="1">
      <alignment horizontal="center" vertical="center" wrapText="1"/>
      <protection locked="0"/>
    </xf>
    <xf numFmtId="4" fontId="114" fillId="36" borderId="15" xfId="0" applyNumberFormat="1" applyFont="1" applyFill="1" applyBorder="1" applyAlignment="1">
      <alignment horizontal="center" vertical="center" wrapText="1"/>
    </xf>
    <xf numFmtId="0" fontId="121" fillId="0" borderId="0" xfId="35" applyFont="1"/>
    <xf numFmtId="49" fontId="110" fillId="35" borderId="15" xfId="0" applyNumberFormat="1" applyFont="1" applyFill="1" applyBorder="1" applyAlignment="1">
      <alignment horizontal="center" vertical="center" wrapText="1"/>
    </xf>
    <xf numFmtId="0" fontId="110" fillId="35" borderId="15" xfId="38" applyFont="1" applyFill="1" applyBorder="1" applyAlignment="1" applyProtection="1">
      <alignment horizontal="center" vertical="center" wrapText="1"/>
      <protection locked="0"/>
    </xf>
    <xf numFmtId="4" fontId="110" fillId="35" borderId="15" xfId="0" applyNumberFormat="1" applyFont="1" applyFill="1" applyBorder="1" applyAlignment="1">
      <alignment horizontal="center" vertical="center" wrapText="1"/>
    </xf>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6"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9" fontId="114" fillId="36" borderId="15" xfId="0" applyNumberFormat="1" applyFont="1" applyFill="1" applyBorder="1" applyAlignment="1">
      <alignment horizontal="center" vertical="center" wrapText="1"/>
    </xf>
    <xf numFmtId="9" fontId="110" fillId="35"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6" fontId="67" fillId="0" borderId="15" xfId="30" applyNumberFormat="1" applyFont="1" applyBorder="1" applyAlignment="1">
      <alignment horizontal="center" vertical="center" wrapText="1"/>
    </xf>
    <xf numFmtId="166"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6"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6"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6" fontId="64" fillId="28" borderId="0" xfId="30" applyNumberFormat="1" applyFont="1" applyFill="1" applyAlignment="1">
      <alignment horizontal="center" vertical="center" wrapText="1"/>
    </xf>
    <xf numFmtId="166"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7"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6"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8" fillId="0" borderId="0" xfId="0" applyFont="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2" fillId="0" borderId="0" xfId="35"/>
    <xf numFmtId="49" fontId="30" fillId="0" borderId="16" xfId="0" applyNumberFormat="1" applyFont="1" applyBorder="1" applyAlignment="1">
      <alignment horizontal="center" vertical="center" wrapText="1"/>
    </xf>
    <xf numFmtId="0" fontId="149" fillId="0" borderId="0" xfId="39" applyFont="1"/>
    <xf numFmtId="0" fontId="153" fillId="0" borderId="0" xfId="0" applyFont="1"/>
    <xf numFmtId="0" fontId="149" fillId="0" borderId="0" xfId="0" applyFont="1" applyAlignment="1">
      <alignment horizontal="left" vertical="center"/>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4"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7"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58"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8" borderId="15" xfId="0" applyNumberFormat="1" applyFont="1" applyFill="1" applyBorder="1" applyAlignment="1">
      <alignment horizontal="center" vertical="center" wrapText="1"/>
    </xf>
    <xf numFmtId="0" fontId="114" fillId="38" borderId="15" xfId="38" applyFont="1" applyFill="1" applyBorder="1" applyAlignment="1" applyProtection="1">
      <alignment horizontal="center" vertical="center" wrapText="1"/>
      <protection locked="0"/>
    </xf>
    <xf numFmtId="4" fontId="114" fillId="38" borderId="15" xfId="0" applyNumberFormat="1" applyFont="1" applyFill="1" applyBorder="1" applyAlignment="1">
      <alignment horizontal="center" vertical="center" wrapText="1"/>
    </xf>
    <xf numFmtId="4" fontId="114" fillId="38" borderId="15" xfId="38" applyNumberFormat="1" applyFont="1" applyFill="1" applyBorder="1" applyAlignment="1" applyProtection="1">
      <alignment horizontal="center" vertical="center" wrapText="1"/>
      <protection locked="0"/>
    </xf>
    <xf numFmtId="49" fontId="110" fillId="39" borderId="15" xfId="0" applyNumberFormat="1" applyFont="1" applyFill="1" applyBorder="1" applyAlignment="1">
      <alignment horizontal="center" vertical="center" wrapText="1"/>
    </xf>
    <xf numFmtId="0" fontId="110" fillId="39" borderId="15" xfId="38" applyFont="1" applyFill="1" applyBorder="1" applyAlignment="1" applyProtection="1">
      <alignment horizontal="center" vertical="center" wrapText="1"/>
      <protection locked="0"/>
    </xf>
    <xf numFmtId="4" fontId="110" fillId="39" borderId="15" xfId="38" applyNumberFormat="1" applyFont="1" applyFill="1" applyBorder="1" applyAlignment="1" applyProtection="1">
      <alignment horizontal="center" vertical="center" wrapText="1"/>
      <protection locked="0"/>
    </xf>
    <xf numFmtId="4" fontId="110" fillId="39"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6" fillId="0" borderId="15" xfId="0" applyNumberFormat="1" applyFont="1" applyBorder="1" applyAlignment="1">
      <alignment horizontal="center" vertical="center" wrapText="1"/>
    </xf>
    <xf numFmtId="0" fontId="156" fillId="0" borderId="15" xfId="38" applyFont="1" applyFill="1" applyBorder="1" applyAlignment="1" applyProtection="1">
      <alignment horizontal="center" vertical="center" wrapText="1"/>
      <protection locked="0"/>
    </xf>
    <xf numFmtId="4" fontId="156"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6"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40"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6" fontId="64" fillId="0" borderId="16" xfId="30" applyNumberFormat="1" applyFont="1" applyBorder="1" applyAlignment="1">
      <alignment horizontal="center" vertical="center" wrapText="1"/>
    </xf>
    <xf numFmtId="166" fontId="64" fillId="41" borderId="15" xfId="30" applyNumberFormat="1" applyFont="1" applyFill="1" applyBorder="1" applyAlignment="1">
      <alignment horizontal="center" vertical="center" wrapText="1"/>
    </xf>
    <xf numFmtId="4" fontId="64" fillId="41" borderId="15" xfId="0" applyNumberFormat="1" applyFont="1" applyFill="1" applyBorder="1" applyAlignment="1">
      <alignment horizontal="center" vertical="center" wrapText="1"/>
    </xf>
    <xf numFmtId="4" fontId="160"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7"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0" fontId="12" fillId="0" borderId="0" xfId="0" applyFont="1"/>
    <xf numFmtId="0" fontId="161"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0" fontId="161" fillId="0" borderId="15" xfId="0" applyFont="1" applyBorder="1" applyAlignment="1">
      <alignment horizontal="center" vertical="top" wrapText="1"/>
    </xf>
    <xf numFmtId="0" fontId="161" fillId="0" borderId="15" xfId="35" applyFont="1" applyBorder="1" applyAlignment="1">
      <alignment horizontal="center" vertical="top" wrapText="1"/>
    </xf>
    <xf numFmtId="0" fontId="161"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1" fillId="0" borderId="0" xfId="0" applyFont="1" applyAlignment="1">
      <alignment horizontal="center" vertical="center"/>
    </xf>
    <xf numFmtId="4" fontId="161"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2" fillId="0" borderId="0" xfId="35" applyFont="1"/>
    <xf numFmtId="0" fontId="163" fillId="0" borderId="0" xfId="35" applyFont="1" applyAlignment="1">
      <alignment horizontal="center" vertical="center" wrapText="1"/>
    </xf>
    <xf numFmtId="0" fontId="12" fillId="0" borderId="0" xfId="0" applyFont="1" applyAlignment="1">
      <alignment horizontal="center" vertical="center"/>
    </xf>
    <xf numFmtId="0" fontId="162" fillId="0" borderId="0" xfId="35" applyFont="1" applyAlignment="1">
      <alignment horizontal="center"/>
    </xf>
    <xf numFmtId="0" fontId="163"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4"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0" fontId="149" fillId="0" borderId="0" xfId="39" applyFont="1" applyAlignment="1">
      <alignment vertical="center"/>
    </xf>
    <xf numFmtId="0" fontId="0" fillId="0" borderId="0" xfId="0" applyAlignment="1">
      <alignment horizontal="left"/>
    </xf>
    <xf numFmtId="0" fontId="12" fillId="0" borderId="0" xfId="0" applyFont="1" applyAlignment="1">
      <alignment horizontal="right"/>
    </xf>
    <xf numFmtId="0" fontId="169" fillId="0" borderId="24" xfId="0" applyFont="1" applyBorder="1" applyAlignment="1">
      <alignment horizontal="center" vertical="center" wrapText="1"/>
    </xf>
    <xf numFmtId="0" fontId="163" fillId="0" borderId="24" xfId="0" applyFont="1" applyBorder="1" applyAlignment="1">
      <alignment horizontal="center" vertical="top"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0" fontId="174" fillId="0" borderId="0" xfId="0" applyFont="1" applyAlignment="1">
      <alignment vertical="center"/>
    </xf>
    <xf numFmtId="0" fontId="174" fillId="0" borderId="0" xfId="0" applyFont="1" applyAlignment="1">
      <alignment horizontal="center" vertical="center"/>
    </xf>
    <xf numFmtId="4" fontId="175" fillId="28" borderId="0" xfId="0" applyNumberFormat="1" applyFont="1" applyFill="1" applyAlignment="1">
      <alignment horizontal="left" vertical="center"/>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1"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0" fontId="12" fillId="0" borderId="0" xfId="39"/>
    <xf numFmtId="0" fontId="149" fillId="0" borderId="0" xfId="39" applyFont="1" applyAlignment="1">
      <alignment horizontal="center" vertical="center"/>
    </xf>
    <xf numFmtId="0" fontId="176" fillId="0" borderId="0" xfId="39" applyFont="1" applyAlignment="1">
      <alignment horizontal="center" vertical="center"/>
    </xf>
    <xf numFmtId="0" fontId="163"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1" fillId="0" borderId="24" xfId="39" applyFont="1" applyBorder="1" applyAlignment="1">
      <alignment horizontal="center" vertical="center" wrapText="1"/>
    </xf>
    <xf numFmtId="0" fontId="171" fillId="0" borderId="24" xfId="39" applyFont="1" applyBorder="1" applyAlignment="1">
      <alignment vertical="center" wrapText="1"/>
    </xf>
    <xf numFmtId="4" fontId="171" fillId="0" borderId="24" xfId="39" applyNumberFormat="1" applyFon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1"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1"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1"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70" fillId="0" borderId="24" xfId="39" applyFont="1" applyBorder="1" applyAlignment="1">
      <alignment vertical="center" wrapText="1"/>
    </xf>
    <xf numFmtId="4" fontId="170" fillId="0" borderId="24" xfId="39" applyNumberFormat="1" applyFont="1" applyBorder="1" applyAlignment="1">
      <alignment horizontal="center" vertical="center" wrapText="1"/>
    </xf>
    <xf numFmtId="0" fontId="152" fillId="0" borderId="0" xfId="39" applyFont="1" applyAlignment="1">
      <alignment wrapText="1"/>
    </xf>
    <xf numFmtId="0" fontId="173" fillId="28" borderId="0" xfId="35" applyFont="1" applyFill="1" applyAlignment="1">
      <alignment horizontal="left" vertical="center"/>
    </xf>
    <xf numFmtId="0" fontId="107" fillId="0" borderId="15" xfId="92" applyFont="1" applyBorder="1" applyAlignment="1">
      <alignment horizontal="center" vertical="center" wrapText="1"/>
    </xf>
    <xf numFmtId="4" fontId="180" fillId="27" borderId="15" xfId="0" applyNumberFormat="1" applyFont="1" applyFill="1" applyBorder="1" applyAlignment="1">
      <alignment horizontal="center" vertical="center" wrapText="1"/>
    </xf>
    <xf numFmtId="4" fontId="181" fillId="27" borderId="15" xfId="0" applyNumberFormat="1" applyFont="1" applyFill="1" applyBorder="1" applyAlignment="1">
      <alignment horizontal="center" vertical="center" wrapText="1"/>
    </xf>
    <xf numFmtId="4" fontId="181" fillId="0" borderId="15" xfId="0" applyNumberFormat="1" applyFont="1" applyBorder="1" applyAlignment="1">
      <alignment horizontal="center" vertical="center" wrapText="1"/>
    </xf>
    <xf numFmtId="4" fontId="182" fillId="28" borderId="0" xfId="0" applyNumberFormat="1" applyFont="1" applyFill="1" applyAlignment="1">
      <alignment vertical="center"/>
    </xf>
    <xf numFmtId="10" fontId="183" fillId="28" borderId="0" xfId="0" applyNumberFormat="1" applyFont="1" applyFill="1" applyAlignment="1">
      <alignment vertical="center"/>
    </xf>
    <xf numFmtId="166" fontId="182" fillId="28" borderId="0" xfId="0" applyNumberFormat="1" applyFont="1" applyFill="1" applyAlignment="1">
      <alignment horizontal="right" vertical="center" wrapText="1"/>
    </xf>
    <xf numFmtId="4" fontId="184" fillId="0" borderId="0" xfId="39" applyNumberFormat="1" applyFont="1"/>
    <xf numFmtId="4" fontId="185" fillId="28" borderId="0" xfId="0" applyNumberFormat="1" applyFont="1" applyFill="1"/>
    <xf numFmtId="4" fontId="185" fillId="28" borderId="0" xfId="0" applyNumberFormat="1" applyFont="1" applyFill="1" applyAlignment="1">
      <alignment horizontal="center" vertical="center"/>
    </xf>
    <xf numFmtId="4" fontId="184" fillId="28" borderId="15" xfId="0" applyNumberFormat="1" applyFont="1" applyFill="1" applyBorder="1" applyAlignment="1">
      <alignment horizontal="center" vertical="center"/>
    </xf>
    <xf numFmtId="2" fontId="186" fillId="28" borderId="0" xfId="36" applyNumberFormat="1" applyFont="1" applyFill="1" applyAlignment="1">
      <alignment horizontal="center" vertical="top"/>
    </xf>
    <xf numFmtId="0" fontId="187" fillId="42" borderId="0" xfId="0" applyFont="1" applyFill="1"/>
    <xf numFmtId="4" fontId="187" fillId="42" borderId="0" xfId="0" applyNumberFormat="1" applyFont="1" applyFill="1"/>
    <xf numFmtId="0" fontId="187" fillId="28" borderId="0" xfId="0" applyFont="1" applyFill="1"/>
    <xf numFmtId="4" fontId="188" fillId="28" borderId="15" xfId="35" applyNumberFormat="1" applyFont="1" applyFill="1" applyBorder="1" applyAlignment="1">
      <alignment horizontal="left" vertical="center"/>
    </xf>
    <xf numFmtId="0" fontId="189" fillId="0" borderId="0" xfId="35" applyFont="1" applyAlignment="1">
      <alignment horizontal="center" vertical="center"/>
    </xf>
    <xf numFmtId="4" fontId="99" fillId="29" borderId="0" xfId="0" applyNumberFormat="1" applyFont="1" applyFill="1" applyAlignment="1">
      <alignment horizontal="center" vertical="center" wrapText="1"/>
    </xf>
    <xf numFmtId="0" fontId="70" fillId="44" borderId="0" xfId="0" applyFont="1" applyFill="1"/>
    <xf numFmtId="4" fontId="72" fillId="44" borderId="0" xfId="0" applyNumberFormat="1" applyFont="1" applyFill="1" applyAlignment="1">
      <alignment horizontal="left" vertical="center"/>
    </xf>
    <xf numFmtId="0" fontId="36" fillId="44" borderId="0" xfId="0" applyFont="1" applyFill="1"/>
    <xf numFmtId="0" fontId="174" fillId="0" borderId="0" xfId="0" applyFont="1" applyAlignment="1">
      <alignment horizontal="center" vertical="center" wrapText="1"/>
    </xf>
    <xf numFmtId="4" fontId="107" fillId="0" borderId="15" xfId="36" applyNumberFormat="1" applyFont="1" applyFill="1" applyBorder="1" applyAlignment="1">
      <alignment horizontal="center" vertical="center"/>
    </xf>
    <xf numFmtId="4" fontId="190" fillId="0" borderId="15" xfId="0" applyNumberFormat="1" applyFont="1" applyBorder="1" applyAlignment="1">
      <alignment horizontal="center" vertical="center" wrapText="1"/>
    </xf>
    <xf numFmtId="49" fontId="64" fillId="0" borderId="16" xfId="0" applyNumberFormat="1" applyFont="1" applyBorder="1" applyAlignment="1">
      <alignment vertical="center" wrapText="1"/>
    </xf>
    <xf numFmtId="49" fontId="64" fillId="42" borderId="15" xfId="0" applyNumberFormat="1" applyFont="1" applyFill="1" applyBorder="1" applyAlignment="1">
      <alignment horizontal="center" vertical="center" wrapText="1"/>
    </xf>
    <xf numFmtId="49" fontId="64" fillId="42" borderId="16" xfId="0" applyNumberFormat="1" applyFont="1" applyFill="1" applyBorder="1" applyAlignment="1">
      <alignment vertical="center" wrapText="1"/>
    </xf>
    <xf numFmtId="4" fontId="64" fillId="42" borderId="15" xfId="38" applyNumberFormat="1" applyFont="1" applyFill="1" applyBorder="1" applyAlignment="1" applyProtection="1">
      <alignment horizontal="center" vertical="center" wrapText="1"/>
      <protection locked="0"/>
    </xf>
    <xf numFmtId="4" fontId="64" fillId="42" borderId="15" xfId="38" applyNumberFormat="1" applyFont="1" applyFill="1" applyBorder="1" applyAlignment="1">
      <alignment horizontal="center" vertical="center" wrapText="1"/>
    </xf>
    <xf numFmtId="49" fontId="114" fillId="45" borderId="15" xfId="0" applyNumberFormat="1" applyFont="1" applyFill="1" applyBorder="1" applyAlignment="1">
      <alignment horizontal="center" vertical="center" wrapText="1"/>
    </xf>
    <xf numFmtId="0" fontId="114" fillId="45" borderId="15" xfId="38" applyFont="1" applyFill="1" applyBorder="1" applyAlignment="1" applyProtection="1">
      <alignment horizontal="center" vertical="center" wrapText="1"/>
      <protection locked="0"/>
    </xf>
    <xf numFmtId="4" fontId="114" fillId="45" borderId="15" xfId="0" applyNumberFormat="1" applyFont="1" applyFill="1" applyBorder="1" applyAlignment="1">
      <alignment horizontal="center" vertical="center" wrapText="1"/>
    </xf>
    <xf numFmtId="9" fontId="114" fillId="45" borderId="15" xfId="0" applyNumberFormat="1" applyFont="1" applyFill="1" applyBorder="1" applyAlignment="1">
      <alignment horizontal="center" vertical="center" wrapText="1"/>
    </xf>
    <xf numFmtId="49" fontId="110" fillId="46" borderId="15" xfId="0" applyNumberFormat="1" applyFont="1" applyFill="1" applyBorder="1" applyAlignment="1">
      <alignment horizontal="center" vertical="center" wrapText="1"/>
    </xf>
    <xf numFmtId="0" fontId="110" fillId="46" borderId="15" xfId="38" applyFont="1" applyFill="1" applyBorder="1" applyAlignment="1" applyProtection="1">
      <alignment horizontal="center" vertical="center" wrapText="1"/>
      <protection locked="0"/>
    </xf>
    <xf numFmtId="4" fontId="110" fillId="46" borderId="15" xfId="0" applyNumberFormat="1" applyFont="1" applyFill="1" applyBorder="1" applyAlignment="1">
      <alignment horizontal="center" vertical="center" wrapText="1"/>
    </xf>
    <xf numFmtId="9" fontId="110" fillId="46" borderId="15" xfId="0" applyNumberFormat="1" applyFont="1" applyFill="1" applyBorder="1" applyAlignment="1">
      <alignment horizontal="center" vertical="center" wrapText="1"/>
    </xf>
    <xf numFmtId="0" fontId="67" fillId="0" borderId="15" xfId="38" applyFont="1" applyFill="1" applyBorder="1" applyAlignment="1" applyProtection="1">
      <alignment horizontal="center" vertical="center" wrapText="1"/>
      <protection locked="0"/>
    </xf>
    <xf numFmtId="49" fontId="125" fillId="0" borderId="7" xfId="88" applyNumberFormat="1" applyFont="1" applyBorder="1" applyAlignment="1">
      <alignment horizontal="center" vertical="center" wrapText="1"/>
    </xf>
    <xf numFmtId="4" fontId="67" fillId="0" borderId="20" xfId="30" applyNumberFormat="1" applyFont="1" applyBorder="1" applyAlignment="1">
      <alignment horizontal="center" vertical="center"/>
    </xf>
    <xf numFmtId="4" fontId="156" fillId="0" borderId="15" xfId="30" applyNumberFormat="1" applyFont="1" applyBorder="1" applyAlignment="1">
      <alignment horizontal="center" vertical="center"/>
    </xf>
    <xf numFmtId="9" fontId="156" fillId="0" borderId="15" xfId="30" applyNumberFormat="1" applyFont="1" applyBorder="1" applyAlignment="1">
      <alignment horizontal="center" vertical="center"/>
    </xf>
    <xf numFmtId="49" fontId="60" fillId="35" borderId="15" xfId="0" applyNumberFormat="1" applyFont="1" applyFill="1" applyBorder="1" applyAlignment="1">
      <alignment horizontal="center" vertical="center" wrapText="1"/>
    </xf>
    <xf numFmtId="4" fontId="60" fillId="35" borderId="22" xfId="0" applyNumberFormat="1" applyFont="1" applyFill="1" applyBorder="1" applyAlignment="1">
      <alignment horizontal="center" vertical="center" wrapText="1"/>
    </xf>
    <xf numFmtId="49" fontId="64" fillId="35" borderId="15" xfId="0" applyNumberFormat="1" applyFont="1" applyFill="1" applyBorder="1" applyAlignment="1">
      <alignment horizontal="center" vertical="center" wrapText="1"/>
    </xf>
    <xf numFmtId="4" fontId="64" fillId="35" borderId="22" xfId="0" applyNumberFormat="1" applyFont="1" applyFill="1" applyBorder="1" applyAlignment="1">
      <alignment horizontal="center" vertical="center" wrapText="1"/>
    </xf>
    <xf numFmtId="4" fontId="64" fillId="35" borderId="15" xfId="0" applyNumberFormat="1" applyFont="1" applyFill="1" applyBorder="1" applyAlignment="1">
      <alignment horizontal="center" vertical="center" wrapText="1"/>
    </xf>
    <xf numFmtId="49" fontId="89" fillId="0" borderId="16" xfId="0" applyNumberFormat="1" applyFont="1" applyBorder="1" applyAlignment="1">
      <alignment horizontal="center" vertical="center" wrapText="1"/>
    </xf>
    <xf numFmtId="4" fontId="115" fillId="0" borderId="16" xfId="0" applyNumberFormat="1" applyFont="1" applyBorder="1" applyAlignment="1">
      <alignment horizontal="center" vertical="center" wrapText="1"/>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0" fontId="112" fillId="0" borderId="24" xfId="0" applyFont="1" applyBorder="1" applyAlignment="1">
      <alignment horizontal="center" vertical="center" wrapText="1"/>
    </xf>
    <xf numFmtId="0" fontId="112" fillId="0" borderId="24" xfId="0" applyFont="1" applyBorder="1" applyAlignment="1">
      <alignment horizontal="left" vertical="center" wrapText="1"/>
    </xf>
    <xf numFmtId="0" fontId="112" fillId="0" borderId="24" xfId="39" applyFont="1" applyBorder="1" applyAlignment="1">
      <alignment horizontal="center" vertical="center" wrapText="1"/>
    </xf>
    <xf numFmtId="0" fontId="112" fillId="0" borderId="24" xfId="39" applyFont="1" applyBorder="1" applyAlignment="1">
      <alignment vertical="center" wrapText="1"/>
    </xf>
    <xf numFmtId="0" fontId="112" fillId="0" borderId="24" xfId="37" applyFont="1" applyBorder="1" applyAlignment="1">
      <alignment horizontal="justify" vertical="center" wrapText="1"/>
    </xf>
    <xf numFmtId="0" fontId="113" fillId="0" borderId="24" xfId="39" applyFont="1" applyBorder="1" applyAlignment="1">
      <alignment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47" fillId="47" borderId="24" xfId="39" applyFont="1" applyFill="1" applyBorder="1" applyAlignment="1">
      <alignment horizontal="center" vertical="center" wrapText="1"/>
    </xf>
    <xf numFmtId="4" fontId="147" fillId="47" borderId="24" xfId="39" applyNumberFormat="1" applyFont="1" applyFill="1" applyBorder="1" applyAlignment="1">
      <alignment horizontal="center" vertical="center" wrapText="1"/>
    </xf>
    <xf numFmtId="0" fontId="147" fillId="48" borderId="24" xfId="39" applyFont="1" applyFill="1" applyBorder="1" applyAlignment="1">
      <alignment horizontal="center" vertical="center" wrapText="1"/>
    </xf>
    <xf numFmtId="0" fontId="147" fillId="48" borderId="24" xfId="37" applyFont="1" applyFill="1" applyBorder="1" applyAlignment="1">
      <alignment horizontal="center" vertical="center" wrapText="1"/>
    </xf>
    <xf numFmtId="4" fontId="147" fillId="48" borderId="24" xfId="39" applyNumberFormat="1" applyFont="1" applyFill="1" applyBorder="1" applyAlignment="1">
      <alignment horizontal="center" vertical="center" wrapText="1"/>
    </xf>
    <xf numFmtId="2" fontId="152" fillId="48" borderId="15" xfId="0" applyNumberFormat="1" applyFont="1" applyFill="1" applyBorder="1" applyAlignment="1">
      <alignment horizontal="center" vertical="center"/>
    </xf>
    <xf numFmtId="4" fontId="152" fillId="48" borderId="15" xfId="0" applyNumberFormat="1" applyFont="1" applyFill="1" applyBorder="1" applyAlignment="1">
      <alignment horizontal="center" vertical="center"/>
    </xf>
    <xf numFmtId="49" fontId="151" fillId="49" borderId="15" xfId="0" applyNumberFormat="1" applyFont="1" applyFill="1" applyBorder="1" applyAlignment="1">
      <alignment horizontal="center" vertical="center" wrapText="1"/>
    </xf>
    <xf numFmtId="0" fontId="151" fillId="49" borderId="15" xfId="38" applyFont="1" applyFill="1" applyBorder="1" applyAlignment="1" applyProtection="1">
      <alignment horizontal="center" vertical="center" wrapText="1"/>
      <protection locked="0"/>
    </xf>
    <xf numFmtId="4" fontId="151" fillId="49" borderId="15" xfId="0" applyNumberFormat="1" applyFont="1" applyFill="1" applyBorder="1" applyAlignment="1">
      <alignment horizontal="center" vertical="center" wrapText="1"/>
    </xf>
    <xf numFmtId="4" fontId="151" fillId="49" borderId="15" xfId="38" applyNumberFormat="1" applyFont="1" applyFill="1" applyBorder="1" applyAlignment="1" applyProtection="1">
      <alignment horizontal="center" vertical="center" wrapText="1"/>
      <protection locked="0"/>
    </xf>
    <xf numFmtId="49" fontId="152" fillId="47" borderId="15" xfId="0" applyNumberFormat="1" applyFont="1" applyFill="1" applyBorder="1" applyAlignment="1">
      <alignment horizontal="center" vertical="center" wrapText="1"/>
    </xf>
    <xf numFmtId="0" fontId="152" fillId="47" borderId="15" xfId="38" applyFont="1" applyFill="1" applyBorder="1" applyAlignment="1" applyProtection="1">
      <alignment horizontal="center" vertical="center" wrapText="1"/>
      <protection locked="0"/>
    </xf>
    <xf numFmtId="4" fontId="152" fillId="47" borderId="15" xfId="38" applyNumberFormat="1" applyFont="1" applyFill="1" applyBorder="1" applyAlignment="1" applyProtection="1">
      <alignment horizontal="center" vertical="center" wrapText="1"/>
      <protection locked="0"/>
    </xf>
    <xf numFmtId="2" fontId="161" fillId="48" borderId="15" xfId="0" applyNumberFormat="1" applyFont="1" applyFill="1" applyBorder="1" applyAlignment="1">
      <alignment horizontal="center" vertical="center"/>
    </xf>
    <xf numFmtId="4" fontId="161" fillId="48" borderId="15" xfId="0" applyNumberFormat="1" applyFont="1" applyFill="1" applyBorder="1" applyAlignment="1">
      <alignment horizontal="center" vertical="center"/>
    </xf>
    <xf numFmtId="49" fontId="69" fillId="50" borderId="15" xfId="0" applyNumberFormat="1" applyFont="1" applyFill="1" applyBorder="1" applyAlignment="1">
      <alignment horizontal="center" vertical="center" wrapText="1"/>
    </xf>
    <xf numFmtId="0" fontId="69" fillId="50" borderId="15" xfId="38" applyFont="1" applyFill="1" applyBorder="1" applyAlignment="1" applyProtection="1">
      <alignment horizontal="center" vertical="center" wrapText="1"/>
      <protection locked="0"/>
    </xf>
    <xf numFmtId="4" fontId="69" fillId="50" borderId="15" xfId="0" applyNumberFormat="1" applyFont="1" applyFill="1" applyBorder="1" applyAlignment="1">
      <alignment horizontal="center" vertical="center" wrapText="1"/>
    </xf>
    <xf numFmtId="49" fontId="29" fillId="47" borderId="15" xfId="0" applyNumberFormat="1" applyFont="1" applyFill="1" applyBorder="1" applyAlignment="1">
      <alignment horizontal="center" vertical="center" wrapText="1"/>
    </xf>
    <xf numFmtId="0" fontId="29" fillId="47" borderId="15" xfId="38" applyFont="1" applyFill="1" applyBorder="1" applyAlignment="1" applyProtection="1">
      <alignment horizontal="center" vertical="center" wrapText="1"/>
      <protection locked="0"/>
    </xf>
    <xf numFmtId="4" fontId="29" fillId="47" borderId="15" xfId="38" applyNumberFormat="1" applyFont="1" applyFill="1" applyBorder="1" applyAlignment="1" applyProtection="1">
      <alignment horizontal="center" vertical="center" wrapText="1"/>
      <protection locked="0"/>
    </xf>
    <xf numFmtId="4" fontId="30" fillId="0" borderId="22" xfId="38" applyNumberFormat="1" applyFont="1" applyFill="1" applyBorder="1" applyAlignment="1" applyProtection="1">
      <alignment horizontal="center" vertical="center" wrapText="1"/>
      <protection locked="0"/>
    </xf>
    <xf numFmtId="4" fontId="30" fillId="0" borderId="16" xfId="38" applyNumberFormat="1" applyFont="1" applyFill="1" applyBorder="1" applyAlignment="1">
      <alignment horizontal="center" vertical="center" wrapText="1"/>
    </xf>
    <xf numFmtId="49" fontId="69" fillId="0" borderId="15" xfId="0" applyNumberFormat="1" applyFont="1" applyBorder="1" applyAlignment="1">
      <alignment horizontal="center" vertical="center" wrapText="1"/>
    </xf>
    <xf numFmtId="0" fontId="69" fillId="0" borderId="17" xfId="38"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0" fontId="29" fillId="0" borderId="15" xfId="38"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wrapText="1"/>
    </xf>
    <xf numFmtId="4" fontId="86" fillId="0" borderId="15" xfId="0" applyNumberFormat="1" applyFont="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149" fillId="0" borderId="15" xfId="0" applyNumberFormat="1" applyFont="1" applyBorder="1" applyAlignment="1">
      <alignment horizontal="center" vertical="center" wrapText="1"/>
    </xf>
    <xf numFmtId="49" fontId="194" fillId="0" borderId="7" xfId="88" applyNumberFormat="1" applyFont="1" applyBorder="1" applyAlignment="1">
      <alignment horizontal="center" vertical="center" wrapText="1"/>
    </xf>
    <xf numFmtId="4" fontId="149" fillId="0" borderId="15" xfId="30" applyNumberFormat="1" applyFont="1" applyBorder="1" applyAlignment="1">
      <alignment horizontal="center" vertical="center"/>
    </xf>
    <xf numFmtId="9" fontId="149" fillId="0" borderId="15" xfId="30" applyNumberFormat="1" applyFont="1" applyBorder="1" applyAlignment="1">
      <alignment horizontal="center" vertical="center"/>
    </xf>
    <xf numFmtId="4" fontId="32" fillId="0" borderId="16" xfId="0" applyNumberFormat="1" applyFont="1" applyBorder="1" applyAlignment="1">
      <alignment horizontal="center" vertical="center"/>
    </xf>
    <xf numFmtId="49" fontId="30" fillId="0" borderId="16" xfId="0" applyNumberFormat="1" applyFont="1" applyBorder="1" applyAlignment="1">
      <alignment vertical="center" wrapText="1"/>
    </xf>
    <xf numFmtId="4" fontId="149" fillId="0" borderId="16" xfId="30" applyNumberFormat="1" applyFont="1" applyBorder="1" applyAlignment="1">
      <alignment horizontal="center" vertical="center"/>
    </xf>
    <xf numFmtId="0" fontId="30" fillId="0" borderId="17" xfId="38" applyFont="1" applyFill="1" applyBorder="1" applyAlignment="1" applyProtection="1">
      <alignment horizontal="center" vertical="top" wrapText="1"/>
      <protection locked="0"/>
    </xf>
    <xf numFmtId="0" fontId="29" fillId="0" borderId="17" xfId="38" applyFont="1" applyFill="1" applyBorder="1" applyAlignment="1" applyProtection="1">
      <alignment horizontal="center" vertical="center" wrapText="1"/>
      <protection locked="0"/>
    </xf>
    <xf numFmtId="4" fontId="86" fillId="0" borderId="15" xfId="38" applyNumberFormat="1" applyFont="1" applyFill="1" applyBorder="1" applyAlignment="1" applyProtection="1">
      <alignment horizontal="center" vertical="center" wrapText="1"/>
      <protection locked="0"/>
    </xf>
    <xf numFmtId="49" fontId="149" fillId="0" borderId="15" xfId="18" applyNumberFormat="1"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92" applyFont="1" applyBorder="1" applyAlignment="1">
      <alignment horizontal="center" vertical="center" wrapText="1"/>
    </xf>
    <xf numFmtId="4" fontId="31" fillId="0" borderId="15" xfId="38" applyNumberFormat="1" applyFont="1" applyFill="1" applyBorder="1" applyAlignment="1">
      <alignment horizontal="center" vertical="center" wrapText="1"/>
    </xf>
    <xf numFmtId="49" fontId="192" fillId="0" borderId="16"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49" fontId="30" fillId="51" borderId="19" xfId="0" applyNumberFormat="1" applyFont="1" applyFill="1" applyBorder="1" applyAlignment="1">
      <alignment horizontal="center" vertical="center" wrapText="1"/>
    </xf>
    <xf numFmtId="4" fontId="30" fillId="51" borderId="19" xfId="0" applyNumberFormat="1" applyFont="1" applyFill="1" applyBorder="1" applyAlignment="1">
      <alignment horizontal="center" vertical="center" wrapText="1"/>
    </xf>
    <xf numFmtId="49" fontId="30" fillId="51" borderId="19" xfId="0" applyNumberFormat="1" applyFont="1" applyFill="1" applyBorder="1" applyAlignment="1">
      <alignment horizontal="left" vertical="center" wrapText="1"/>
    </xf>
    <xf numFmtId="4" fontId="30" fillId="0" borderId="22" xfId="0" applyNumberFormat="1" applyFont="1" applyBorder="1" applyAlignment="1">
      <alignment horizontal="center" vertical="center" wrapText="1"/>
    </xf>
    <xf numFmtId="4" fontId="29" fillId="0" borderId="22" xfId="0" applyNumberFormat="1" applyFont="1" applyBorder="1" applyAlignment="1">
      <alignment horizontal="center" vertical="center" wrapText="1"/>
    </xf>
    <xf numFmtId="49" fontId="69" fillId="49" borderId="15" xfId="0" applyNumberFormat="1" applyFont="1" applyFill="1" applyBorder="1" applyAlignment="1">
      <alignment horizontal="center" vertical="center" wrapText="1"/>
    </xf>
    <xf numFmtId="0" fontId="69" fillId="49" borderId="15" xfId="38" applyFont="1" applyFill="1" applyBorder="1" applyAlignment="1" applyProtection="1">
      <alignment horizontal="center" vertical="center" wrapText="1"/>
      <protection locked="0"/>
    </xf>
    <xf numFmtId="4" fontId="69" fillId="49" borderId="15" xfId="38" applyNumberFormat="1" applyFont="1" applyFill="1" applyBorder="1" applyAlignment="1" applyProtection="1">
      <alignment horizontal="center" vertical="center" wrapText="1"/>
      <protection locked="0"/>
    </xf>
    <xf numFmtId="4" fontId="69" fillId="49" borderId="15" xfId="0" applyNumberFormat="1" applyFont="1" applyFill="1" applyBorder="1" applyAlignment="1">
      <alignment horizontal="center" vertical="center" wrapText="1"/>
    </xf>
    <xf numFmtId="49" fontId="192" fillId="0" borderId="0" xfId="0" applyNumberFormat="1" applyFont="1" applyAlignment="1">
      <alignment horizontal="center" vertical="center" wrapText="1"/>
    </xf>
    <xf numFmtId="4" fontId="32" fillId="0" borderId="16" xfId="0" applyNumberFormat="1" applyFont="1" applyBorder="1" applyAlignment="1">
      <alignment horizontal="center" vertical="center" wrapText="1"/>
    </xf>
    <xf numFmtId="0" fontId="149" fillId="0" borderId="15" xfId="18" applyFont="1" applyBorder="1" applyAlignment="1">
      <alignment horizontal="center" vertical="center" wrapText="1"/>
    </xf>
    <xf numFmtId="166" fontId="149" fillId="0" borderId="15" xfId="30" applyNumberFormat="1" applyFont="1" applyBorder="1" applyAlignment="1">
      <alignment horizontal="center" vertical="center"/>
    </xf>
    <xf numFmtId="9" fontId="149" fillId="0" borderId="15" xfId="0" applyNumberFormat="1" applyFont="1" applyBorder="1" applyAlignment="1">
      <alignment horizontal="center" vertical="center" wrapText="1"/>
    </xf>
    <xf numFmtId="9" fontId="151" fillId="49" borderId="15" xfId="0" applyNumberFormat="1" applyFont="1" applyFill="1" applyBorder="1" applyAlignment="1">
      <alignment horizontal="center" vertical="center" wrapText="1"/>
    </xf>
    <xf numFmtId="4" fontId="152" fillId="47" borderId="15" xfId="0" applyNumberFormat="1" applyFont="1" applyFill="1" applyBorder="1" applyAlignment="1">
      <alignment horizontal="center" vertical="center" wrapText="1"/>
    </xf>
    <xf numFmtId="9" fontId="152" fillId="47" borderId="15" xfId="0" applyNumberFormat="1" applyFont="1" applyFill="1" applyBorder="1" applyAlignment="1">
      <alignment horizontal="center" vertical="center" wrapText="1"/>
    </xf>
    <xf numFmtId="4" fontId="31" fillId="0" borderId="16" xfId="0" applyNumberFormat="1" applyFont="1" applyBorder="1" applyAlignment="1">
      <alignment horizontal="center" vertical="center" wrapText="1"/>
    </xf>
    <xf numFmtId="0" fontId="149" fillId="0" borderId="15" xfId="100" applyFont="1" applyBorder="1" applyAlignment="1">
      <alignment horizontal="center" vertical="center" wrapText="1"/>
    </xf>
    <xf numFmtId="4" fontId="149" fillId="0" borderId="15" xfId="0" applyNumberFormat="1" applyFont="1" applyBorder="1" applyAlignment="1">
      <alignment horizontal="center" vertical="center" wrapText="1"/>
    </xf>
    <xf numFmtId="0" fontId="192" fillId="0" borderId="15" xfId="38"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92" fillId="0" borderId="15" xfId="38" applyNumberFormat="1"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69" fillId="0" borderId="15" xfId="38" applyNumberFormat="1" applyFont="1" applyFill="1" applyBorder="1" applyAlignment="1" applyProtection="1">
      <alignment horizontal="center" vertical="center" wrapText="1"/>
      <protection locked="0"/>
    </xf>
    <xf numFmtId="0" fontId="69" fillId="0" borderId="15" xfId="0"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51" fillId="0" borderId="15" xfId="0" applyNumberFormat="1" applyFont="1" applyBorder="1" applyAlignment="1">
      <alignment horizontal="center" vertical="center" wrapText="1"/>
    </xf>
    <xf numFmtId="0" fontId="151" fillId="0" borderId="15" xfId="38" applyFont="1" applyFill="1" applyBorder="1" applyAlignment="1" applyProtection="1">
      <alignment horizontal="center" vertical="center" wrapText="1"/>
      <protection locked="0"/>
    </xf>
    <xf numFmtId="4" fontId="151"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95" fillId="0" borderId="15" xfId="0" applyNumberFormat="1" applyFont="1" applyBorder="1" applyAlignment="1">
      <alignment horizontal="center" vertical="center" wrapText="1"/>
    </xf>
    <xf numFmtId="0" fontId="195" fillId="0" borderId="15" xfId="38" applyFont="1" applyFill="1" applyBorder="1" applyAlignment="1" applyProtection="1">
      <alignment horizontal="center" vertical="center" wrapText="1"/>
      <protection locked="0"/>
    </xf>
    <xf numFmtId="4" fontId="195"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4" fontId="82" fillId="0" borderId="15" xfId="0" applyNumberFormat="1" applyFont="1" applyBorder="1" applyAlignment="1">
      <alignment horizontal="center" vertical="center"/>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4" fontId="147" fillId="0" borderId="24" xfId="0" applyNumberFormat="1" applyFont="1" applyBorder="1" applyAlignment="1">
      <alignment horizontal="center" vertical="center" wrapText="1"/>
    </xf>
    <xf numFmtId="0" fontId="171" fillId="0" borderId="24" xfId="0" applyFont="1" applyBorder="1" applyAlignment="1">
      <alignment horizontal="center" vertical="center" wrapText="1"/>
    </xf>
    <xf numFmtId="0" fontId="171" fillId="0" borderId="24" xfId="0" applyFont="1" applyBorder="1" applyAlignment="1">
      <alignment horizontal="left" vertical="center" wrapText="1"/>
    </xf>
    <xf numFmtId="4" fontId="171"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0" fillId="0" borderId="24" xfId="0" applyFont="1" applyBorder="1" applyAlignment="1">
      <alignment horizontal="center" vertical="center" wrapText="1"/>
    </xf>
    <xf numFmtId="0" fontId="170" fillId="0" borderId="24" xfId="0" applyFont="1" applyBorder="1" applyAlignment="1">
      <alignment horizontal="left" vertical="center" wrapText="1"/>
    </xf>
    <xf numFmtId="4" fontId="170"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4" fontId="171" fillId="0" borderId="24" xfId="0" applyNumberFormat="1" applyFont="1" applyBorder="1" applyAlignment="1">
      <alignment horizontal="left" vertical="center" wrapText="1"/>
    </xf>
    <xf numFmtId="4" fontId="170" fillId="0" borderId="24" xfId="0" applyNumberFormat="1" applyFont="1" applyBorder="1" applyAlignment="1">
      <alignment horizontal="left" vertical="center" wrapText="1"/>
    </xf>
    <xf numFmtId="0" fontId="171" fillId="28" borderId="24" xfId="0" applyFont="1" applyFill="1" applyBorder="1" applyAlignment="1">
      <alignment horizontal="center" vertical="center" wrapText="1"/>
    </xf>
    <xf numFmtId="0" fontId="171" fillId="28" borderId="24" xfId="0" applyFont="1" applyFill="1" applyBorder="1" applyAlignment="1">
      <alignment horizontal="left" vertical="center" wrapText="1"/>
    </xf>
    <xf numFmtId="4" fontId="171" fillId="28" borderId="24" xfId="0" applyNumberFormat="1" applyFont="1" applyFill="1" applyBorder="1" applyAlignment="1">
      <alignment horizontal="center" vertical="center" wrapText="1"/>
    </xf>
    <xf numFmtId="0" fontId="12" fillId="28" borderId="24" xfId="0" applyFont="1" applyFill="1" applyBorder="1" applyAlignment="1">
      <alignment horizontal="center" vertical="center" wrapText="1"/>
    </xf>
    <xf numFmtId="0" fontId="12" fillId="28" borderId="24" xfId="0" applyFont="1" applyFill="1" applyBorder="1" applyAlignment="1">
      <alignment horizontal="left" vertical="center" wrapText="1"/>
    </xf>
    <xf numFmtId="2" fontId="29" fillId="48" borderId="15" xfId="0" applyNumberFormat="1" applyFont="1" applyFill="1" applyBorder="1" applyAlignment="1">
      <alignment horizontal="center" vertical="center"/>
    </xf>
    <xf numFmtId="4" fontId="31" fillId="48" borderId="15" xfId="0" applyNumberFormat="1" applyFont="1" applyFill="1" applyBorder="1" applyAlignment="1">
      <alignment horizontal="center" vertical="center"/>
    </xf>
    <xf numFmtId="0" fontId="147" fillId="48" borderId="24" xfId="0" applyFont="1" applyFill="1" applyBorder="1" applyAlignment="1">
      <alignment horizontal="center" vertical="center" wrapText="1"/>
    </xf>
    <xf numFmtId="0" fontId="147" fillId="48" borderId="24" xfId="0" applyFont="1" applyFill="1" applyBorder="1" applyAlignment="1">
      <alignment horizontal="left" vertical="center" wrapText="1"/>
    </xf>
    <xf numFmtId="4" fontId="147" fillId="48" borderId="24" xfId="0" applyNumberFormat="1" applyFont="1" applyFill="1" applyBorder="1" applyAlignment="1">
      <alignment horizontal="center" vertical="center" wrapText="1"/>
    </xf>
    <xf numFmtId="4" fontId="149" fillId="43" borderId="15" xfId="0" applyNumberFormat="1" applyFont="1" applyFill="1" applyBorder="1" applyAlignment="1">
      <alignment horizontal="center" vertical="center"/>
    </xf>
    <xf numFmtId="0" fontId="29" fillId="43" borderId="15" xfId="0" applyFont="1" applyFill="1" applyBorder="1" applyAlignment="1">
      <alignment horizontal="left" vertical="center"/>
    </xf>
    <xf numFmtId="0" fontId="29" fillId="43" borderId="15" xfId="0" applyFont="1" applyFill="1" applyBorder="1" applyAlignment="1">
      <alignment horizontal="center" vertical="center"/>
    </xf>
    <xf numFmtId="4" fontId="29" fillId="43" borderId="15" xfId="0" applyNumberFormat="1" applyFont="1" applyFill="1" applyBorder="1" applyAlignment="1">
      <alignment horizontal="center" vertical="center"/>
    </xf>
    <xf numFmtId="2" fontId="16" fillId="0" borderId="15" xfId="36" applyNumberFormat="1" applyFont="1" applyFill="1" applyBorder="1" applyAlignment="1">
      <alignment horizontal="center" vertical="center" wrapText="1"/>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4" fontId="16" fillId="0" borderId="15" xfId="36" applyNumberFormat="1" applyFont="1" applyFill="1" applyBorder="1" applyAlignment="1">
      <alignment horizontal="center" vertical="center"/>
    </xf>
    <xf numFmtId="164" fontId="39" fillId="48" borderId="15" xfId="0" applyNumberFormat="1" applyFont="1" applyFill="1" applyBorder="1" applyAlignment="1">
      <alignment horizontal="center" vertical="center"/>
    </xf>
    <xf numFmtId="164" fontId="39" fillId="48" borderId="15" xfId="36" applyNumberFormat="1" applyFont="1" applyFill="1" applyBorder="1" applyAlignment="1">
      <alignment horizontal="center" vertical="center" wrapText="1"/>
    </xf>
    <xf numFmtId="4" fontId="64" fillId="44" borderId="15" xfId="0" applyNumberFormat="1" applyFont="1" applyFill="1" applyBorder="1" applyAlignment="1">
      <alignment horizontal="center" vertical="center" wrapText="1"/>
    </xf>
    <xf numFmtId="4" fontId="197" fillId="0" borderId="15" xfId="36" applyNumberFormat="1" applyFont="1" applyFill="1" applyBorder="1" applyAlignment="1">
      <alignment horizontal="center" vertical="center" wrapText="1"/>
    </xf>
    <xf numFmtId="2" fontId="39" fillId="47"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0" fontId="0" fillId="0" borderId="0" xfId="0" applyAlignment="1">
      <alignment vertical="center"/>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76" fillId="0" borderId="0" xfId="39" applyFont="1" applyAlignment="1">
      <alignment horizontal="center" vertical="center"/>
    </xf>
    <xf numFmtId="0" fontId="10" fillId="0" borderId="0" xfId="0" applyFont="1" applyAlignment="1">
      <alignment horizontal="center"/>
    </xf>
    <xf numFmtId="0" fontId="177" fillId="0" borderId="0" xfId="39" applyFont="1" applyAlignment="1">
      <alignment horizontal="center" vertical="center"/>
    </xf>
    <xf numFmtId="0" fontId="58" fillId="0" borderId="0" xfId="0" applyFont="1"/>
    <xf numFmtId="0" fontId="161"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47" fillId="0" borderId="0" xfId="0" applyFont="1" applyAlignment="1">
      <alignment horizont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65" fillId="0" borderId="0" xfId="0" applyFont="1" applyAlignment="1">
      <alignment horizontal="center"/>
    </xf>
    <xf numFmtId="0" fontId="166" fillId="0" borderId="0" xfId="0" applyFont="1" applyAlignment="1">
      <alignment horizontal="center"/>
    </xf>
    <xf numFmtId="0" fontId="0" fillId="0" borderId="0" xfId="0" applyAlignment="1">
      <alignment horizontal="center"/>
    </xf>
    <xf numFmtId="0" fontId="167" fillId="0" borderId="0" xfId="0" applyFont="1" applyAlignment="1">
      <alignment horizontal="center" vertical="top"/>
    </xf>
    <xf numFmtId="0" fontId="168" fillId="0" borderId="0" xfId="0" applyFont="1" applyAlignment="1">
      <alignment horizontal="center" vertical="top"/>
    </xf>
    <xf numFmtId="0" fontId="169"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7" borderId="24" xfId="0" applyFont="1" applyFill="1" applyBorder="1" applyAlignment="1">
      <alignment horizontal="left" vertical="center" wrapText="1"/>
    </xf>
    <xf numFmtId="0" fontId="0" fillId="47" borderId="24" xfId="0" applyFill="1" applyBorder="1" applyAlignment="1">
      <alignment wrapText="1"/>
    </xf>
    <xf numFmtId="49" fontId="30"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4" fontId="31"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9" fontId="64"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0" fontId="33" fillId="0" borderId="15" xfId="0" applyFont="1" applyBorder="1" applyAlignment="1">
      <alignment horizontal="center" vertical="center" wrapText="1"/>
    </xf>
    <xf numFmtId="49" fontId="64" fillId="0" borderId="15"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0" fontId="71" fillId="0" borderId="15" xfId="0" applyFont="1" applyBorder="1" applyAlignment="1">
      <alignment horizontal="center" vertical="center" wrapText="1"/>
    </xf>
    <xf numFmtId="49" fontId="64"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8" fillId="0" borderId="16" xfId="0" applyNumberFormat="1" applyFont="1" applyBorder="1" applyAlignment="1">
      <alignment horizontal="center" vertical="center" wrapText="1"/>
    </xf>
    <xf numFmtId="0" fontId="30" fillId="28" borderId="0" xfId="0" applyFont="1" applyFill="1"/>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61" fillId="0" borderId="15" xfId="0" applyNumberFormat="1" applyFont="1" applyBorder="1" applyAlignment="1">
      <alignment horizontal="center" vertical="center" wrapText="1"/>
    </xf>
    <xf numFmtId="4" fontId="65" fillId="0" borderId="16" xfId="0" applyNumberFormat="1"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30" fillId="0" borderId="0" xfId="0" applyFont="1"/>
    <xf numFmtId="4" fontId="32" fillId="0" borderId="15" xfId="0" applyNumberFormat="1" applyFont="1" applyBorder="1" applyAlignment="1">
      <alignment horizontal="center" vertical="center"/>
    </xf>
    <xf numFmtId="4" fontId="29" fillId="0" borderId="15" xfId="0" applyNumberFormat="1" applyFont="1" applyBorder="1" applyAlignment="1">
      <alignment horizontal="center" vertical="center" wrapText="1"/>
    </xf>
    <xf numFmtId="4" fontId="30" fillId="0" borderId="15" xfId="0" applyNumberFormat="1" applyFont="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4" fontId="31" fillId="28" borderId="0" xfId="0" applyNumberFormat="1" applyFont="1" applyFill="1" applyAlignment="1">
      <alignment horizontal="left" vertical="center" wrapText="1"/>
    </xf>
    <xf numFmtId="0" fontId="0" fillId="28" borderId="0" xfId="0" applyFill="1"/>
    <xf numFmtId="0" fontId="0" fillId="28" borderId="0" xfId="0" applyFill="1" applyAlignment="1">
      <alignment horizontal="left" vertical="center" wrapText="1"/>
    </xf>
    <xf numFmtId="0" fontId="30" fillId="0" borderId="0" xfId="39" applyFont="1" applyAlignment="1">
      <alignment vertical="center" wrapText="1"/>
    </xf>
    <xf numFmtId="0" fontId="33" fillId="0" borderId="0" xfId="0" applyFont="1"/>
    <xf numFmtId="4" fontId="68" fillId="28" borderId="16" xfId="0" applyNumberFormat="1"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60" fillId="0" borderId="15" xfId="0" applyNumberFormat="1" applyFont="1" applyBorder="1" applyAlignment="1">
      <alignment horizontal="center" vertical="center" wrapText="1"/>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35" applyFont="1" applyBorder="1" applyAlignment="1">
      <alignment horizontal="center" vertical="top" wrapText="1"/>
    </xf>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64" fillId="0" borderId="15" xfId="35" applyFont="1" applyBorder="1" applyAlignment="1">
      <alignment horizontal="center" vertical="top" wrapText="1"/>
    </xf>
    <xf numFmtId="0" fontId="148" fillId="0" borderId="0" xfId="35" applyFont="1" applyAlignment="1">
      <alignment horizontal="center" vertical="center" wrapText="1"/>
    </xf>
    <xf numFmtId="0" fontId="10" fillId="0" borderId="0" xfId="0" applyFont="1" applyAlignment="1">
      <alignment horizontal="center" vertical="center" wrapText="1"/>
    </xf>
    <xf numFmtId="0" fontId="149" fillId="0" borderId="0" xfId="0" applyFont="1" applyAlignment="1">
      <alignment horizontal="justify" vertical="center"/>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9" fillId="0" borderId="0" xfId="0" applyFont="1"/>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 fontId="64" fillId="0" borderId="16" xfId="0" applyNumberFormat="1" applyFont="1" applyBorder="1" applyAlignment="1">
      <alignment horizontal="center" vertical="center" wrapText="1"/>
    </xf>
    <xf numFmtId="49" fontId="64" fillId="0" borderId="26" xfId="0" applyNumberFormat="1" applyFont="1" applyBorder="1" applyAlignment="1">
      <alignment horizontal="left" wrapText="1"/>
    </xf>
    <xf numFmtId="0" fontId="61" fillId="0" borderId="27" xfId="0" applyFont="1" applyBorder="1" applyAlignment="1">
      <alignment horizontal="left" wrapText="1"/>
    </xf>
    <xf numFmtId="49" fontId="64" fillId="0" borderId="0" xfId="0" applyNumberFormat="1" applyFont="1" applyAlignment="1">
      <alignment horizontal="left" vertical="top" wrapText="1"/>
    </xf>
    <xf numFmtId="0" fontId="61" fillId="0" borderId="0" xfId="0" applyFont="1" applyAlignment="1">
      <alignment horizontal="left" vertical="top" wrapText="1"/>
    </xf>
    <xf numFmtId="0" fontId="29" fillId="0" borderId="0" xfId="0" applyFont="1" applyAlignment="1">
      <alignment horizontal="left" vertical="center"/>
    </xf>
    <xf numFmtId="0" fontId="0" fillId="0" borderId="0" xfId="0" applyAlignment="1">
      <alignment horizontal="left" vertical="center"/>
    </xf>
    <xf numFmtId="49" fontId="29" fillId="47" borderId="19" xfId="0" applyNumberFormat="1" applyFont="1" applyFill="1" applyBorder="1" applyAlignment="1">
      <alignment horizontal="center" vertical="center" wrapText="1"/>
    </xf>
    <xf numFmtId="0" fontId="15" fillId="47" borderId="21" xfId="0" applyFont="1" applyFill="1" applyBorder="1" applyAlignment="1">
      <alignment horizontal="center" vertical="center" wrapText="1"/>
    </xf>
    <xf numFmtId="0" fontId="15" fillId="47"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29" fillId="0" borderId="19" xfId="0" applyNumberFormat="1" applyFont="1" applyBorder="1" applyAlignment="1">
      <alignment horizontal="left" vertical="center" wrapText="1"/>
    </xf>
    <xf numFmtId="49" fontId="29" fillId="0" borderId="22" xfId="0" applyNumberFormat="1" applyFont="1" applyBorder="1" applyAlignment="1">
      <alignment horizontal="left" vertical="center" wrapText="1"/>
    </xf>
    <xf numFmtId="0" fontId="15" fillId="0" borderId="22" xfId="0" applyFont="1" applyBorder="1" applyAlignment="1">
      <alignment horizontal="left"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49" fontId="64" fillId="0" borderId="22" xfId="0" applyNumberFormat="1" applyFont="1" applyBorder="1" applyAlignment="1">
      <alignment horizontal="left" vertical="center" wrapText="1"/>
    </xf>
    <xf numFmtId="0" fontId="64" fillId="27" borderId="0" xfId="0" applyFont="1" applyFill="1" applyAlignment="1">
      <alignment horizontal="center" vertical="center"/>
    </xf>
    <xf numFmtId="0" fontId="64" fillId="27" borderId="0" xfId="0" applyFont="1" applyFill="1" applyAlignment="1">
      <alignment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60" fillId="35" borderId="19" xfId="0" applyNumberFormat="1" applyFont="1" applyFill="1" applyBorder="1" applyAlignment="1">
      <alignment horizontal="left" vertical="center" wrapText="1"/>
    </xf>
    <xf numFmtId="49" fontId="60" fillId="35" borderId="22" xfId="0" applyNumberFormat="1" applyFont="1" applyFill="1" applyBorder="1" applyAlignment="1">
      <alignment horizontal="left" vertical="center" wrapText="1"/>
    </xf>
    <xf numFmtId="49" fontId="64" fillId="35" borderId="19" xfId="0" applyNumberFormat="1" applyFont="1" applyFill="1" applyBorder="1" applyAlignment="1">
      <alignment horizontal="left" vertical="center" wrapText="1"/>
    </xf>
    <xf numFmtId="0" fontId="61" fillId="35" borderId="22" xfId="0" applyFont="1" applyFill="1" applyBorder="1" applyAlignment="1">
      <alignment horizontal="left" vertical="center" wrapText="1"/>
    </xf>
    <xf numFmtId="0" fontId="30" fillId="0" borderId="0" xfId="0" applyFont="1" applyAlignment="1">
      <alignment horizontal="justify" vertical="center"/>
    </xf>
    <xf numFmtId="0" fontId="64" fillId="0" borderId="0" xfId="0" applyFont="1"/>
    <xf numFmtId="49" fontId="30" fillId="51" borderId="19" xfId="0" applyNumberFormat="1" applyFont="1" applyFill="1" applyBorder="1" applyAlignment="1">
      <alignment horizontal="left" vertical="center" wrapText="1"/>
    </xf>
    <xf numFmtId="49" fontId="30" fillId="51" borderId="22" xfId="0" applyNumberFormat="1" applyFont="1" applyFill="1" applyBorder="1" applyAlignment="1">
      <alignment horizontal="left" vertical="center" wrapText="1"/>
    </xf>
    <xf numFmtId="0" fontId="158" fillId="0" borderId="0" xfId="0" applyFont="1" applyAlignment="1">
      <alignment horizontal="justify"/>
    </xf>
    <xf numFmtId="0" fontId="153" fillId="0" borderId="0" xfId="0" applyFont="1"/>
    <xf numFmtId="0" fontId="155" fillId="0" borderId="0" xfId="0" applyFont="1" applyAlignment="1">
      <alignment horizontal="center" vertical="center"/>
    </xf>
    <xf numFmtId="0" fontId="107" fillId="0" borderId="0" xfId="35" applyFont="1" applyAlignment="1">
      <alignment horizontal="center" vertical="center"/>
    </xf>
    <xf numFmtId="0" fontId="150" fillId="0" borderId="0" xfId="35" applyFont="1" applyAlignment="1">
      <alignment horizontal="center" vertical="center" wrapText="1"/>
    </xf>
    <xf numFmtId="0" fontId="158" fillId="0" borderId="0" xfId="0" applyFont="1" applyAlignment="1">
      <alignment horizontal="justify" vertical="center"/>
    </xf>
    <xf numFmtId="0" fontId="179" fillId="0" borderId="28" xfId="0" applyFont="1" applyBorder="1" applyAlignment="1">
      <alignment horizontal="center" vertical="center"/>
    </xf>
    <xf numFmtId="4" fontId="187" fillId="42" borderId="0" xfId="0" applyNumberFormat="1" applyFont="1" applyFill="1" applyAlignment="1">
      <alignment horizontal="center" vertical="top"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7" xfId="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57" fillId="0" borderId="0" xfId="0" applyFont="1" applyAlignment="1">
      <alignment horizontal="justify"/>
    </xf>
    <xf numFmtId="0" fontId="157" fillId="0" borderId="0" xfId="0" applyFont="1" applyAlignment="1">
      <alignment horizontal="justify" vertical="center"/>
    </xf>
    <xf numFmtId="166" fontId="64" fillId="0" borderId="16" xfId="30" applyNumberFormat="1" applyFont="1" applyBorder="1" applyAlignment="1">
      <alignment horizontal="center" vertical="center" wrapText="1"/>
    </xf>
    <xf numFmtId="0" fontId="71" fillId="0" borderId="17" xfId="0" applyFont="1" applyBorder="1" applyAlignment="1">
      <alignment horizontal="center" vertical="center" wrapText="1"/>
    </xf>
    <xf numFmtId="166" fontId="30" fillId="0" borderId="16" xfId="30" applyNumberFormat="1" applyFont="1" applyBorder="1" applyAlignment="1">
      <alignment horizontal="center" vertical="center" wrapText="1"/>
    </xf>
    <xf numFmtId="166"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41"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0" fontId="39" fillId="0" borderId="0" xfId="0" applyFont="1" applyAlignment="1">
      <alignment horizontal="center" vertical="center"/>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2" fontId="39" fillId="0" borderId="15" xfId="36" applyNumberFormat="1" applyFont="1" applyFill="1" applyBorder="1" applyAlignment="1">
      <alignment horizontal="center" vertical="center" wrapText="1"/>
    </xf>
    <xf numFmtId="164" fontId="39" fillId="48" borderId="15" xfId="36" applyNumberFormat="1" applyFont="1" applyFill="1" applyBorder="1" applyAlignment="1">
      <alignment horizontal="left" vertical="center" wrapText="1"/>
    </xf>
    <xf numFmtId="164" fontId="0" fillId="48" borderId="15" xfId="0" applyNumberFormat="1" applyFill="1" applyBorder="1" applyAlignment="1">
      <alignment horizontal="left"/>
    </xf>
    <xf numFmtId="2" fontId="196" fillId="0" borderId="0" xfId="36" applyNumberFormat="1" applyFont="1" applyFill="1" applyBorder="1" applyAlignment="1">
      <alignment horizontal="center" vertical="center" wrapText="1"/>
    </xf>
    <xf numFmtId="0" fontId="40" fillId="0" borderId="0" xfId="0" applyFont="1" applyAlignment="1">
      <alignment horizontal="center" vertical="center"/>
    </xf>
    <xf numFmtId="2" fontId="39" fillId="47" borderId="15" xfId="36" applyNumberFormat="1" applyFont="1" applyFill="1" applyBorder="1" applyAlignment="1">
      <alignment horizontal="center" vertical="center"/>
    </xf>
    <xf numFmtId="0" fontId="10" fillId="47" borderId="15" xfId="0" applyFont="1" applyFill="1" applyBorder="1" applyAlignment="1">
      <alignment horizontal="center"/>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1" fillId="0" borderId="0" xfId="0" applyFont="1" applyAlignment="1">
      <alignment horizontal="center"/>
    </xf>
  </cellXfs>
  <cellStyles count="191">
    <cellStyle name="20% - Акцент1" xfId="46" xr:uid="{00000000-0005-0000-0000-000000000000}"/>
    <cellStyle name="20% - Акцент2" xfId="47" xr:uid="{00000000-0005-0000-0000-000001000000}"/>
    <cellStyle name="20% - Акцент3" xfId="48" xr:uid="{00000000-0005-0000-0000-000002000000}"/>
    <cellStyle name="20% - Акцент4" xfId="49" xr:uid="{00000000-0005-0000-0000-000003000000}"/>
    <cellStyle name="20% - Акцент5" xfId="50" xr:uid="{00000000-0005-0000-0000-000004000000}"/>
    <cellStyle name="20% - Акцент6" xfId="51" xr:uid="{00000000-0005-0000-0000-000005000000}"/>
    <cellStyle name="40% - Акцент1" xfId="52" xr:uid="{00000000-0005-0000-0000-000006000000}"/>
    <cellStyle name="40% - Акцент2" xfId="53" xr:uid="{00000000-0005-0000-0000-000007000000}"/>
    <cellStyle name="40% - Акцент3" xfId="54" xr:uid="{00000000-0005-0000-0000-000008000000}"/>
    <cellStyle name="40% - Акцент4" xfId="55" xr:uid="{00000000-0005-0000-0000-000009000000}"/>
    <cellStyle name="40% - Акцент5" xfId="56" xr:uid="{00000000-0005-0000-0000-00000A000000}"/>
    <cellStyle name="40% - Акцент6" xfId="57" xr:uid="{00000000-0005-0000-0000-00000B000000}"/>
    <cellStyle name="60% - Акцент1" xfId="58" xr:uid="{00000000-0005-0000-0000-00000C000000}"/>
    <cellStyle name="60% - Акцент2" xfId="59" xr:uid="{00000000-0005-0000-0000-00000D000000}"/>
    <cellStyle name="60% - Акцент3" xfId="60" xr:uid="{00000000-0005-0000-0000-00000E000000}"/>
    <cellStyle name="60% - Акцент4" xfId="61" xr:uid="{00000000-0005-0000-0000-00000F000000}"/>
    <cellStyle name="60% - Акцент5" xfId="62" xr:uid="{00000000-0005-0000-0000-000010000000}"/>
    <cellStyle name="60% - Акцент6" xfId="63" xr:uid="{00000000-0005-0000-0000-000011000000}"/>
    <cellStyle name="Excel Built-in Normal" xfId="102" xr:uid="{00000000-0005-0000-0000-000012000000}"/>
    <cellStyle name="Excel Built-in Normal 2" xfId="118" xr:uid="{00000000-0005-0000-0000-000013000000}"/>
    <cellStyle name="Excel Built-in Обычный_УКБ до бюджету 2016р ост" xfId="84" xr:uid="{00000000-0005-0000-0000-000014000000}"/>
    <cellStyle name="Normal_meresha_07" xfId="1" xr:uid="{00000000-0005-0000-0000-000015000000}"/>
    <cellStyle name="TableStyleLight1" xfId="131" xr:uid="{00000000-0005-0000-0000-000016000000}"/>
    <cellStyle name="TableStyleLight1 2" xfId="173" xr:uid="{00000000-0005-0000-0000-000017000000}"/>
    <cellStyle name="Акцент1" xfId="64" xr:uid="{00000000-0005-0000-0000-000018000000}"/>
    <cellStyle name="Акцент2" xfId="65" xr:uid="{00000000-0005-0000-0000-000019000000}"/>
    <cellStyle name="Акцент3" xfId="66" xr:uid="{00000000-0005-0000-0000-00001A000000}"/>
    <cellStyle name="Акцент4" xfId="67" xr:uid="{00000000-0005-0000-0000-00001B000000}"/>
    <cellStyle name="Акцент5" xfId="68" xr:uid="{00000000-0005-0000-0000-00001C000000}"/>
    <cellStyle name="Акцент6" xfId="69" xr:uid="{00000000-0005-0000-0000-00001D000000}"/>
    <cellStyle name="Ввід" xfId="2" xr:uid="{00000000-0005-0000-0000-00001E000000}"/>
    <cellStyle name="Ввід 2" xfId="180" xr:uid="{00000000-0005-0000-0000-00001F000000}"/>
    <cellStyle name="Ввід 3" xfId="103" xr:uid="{00000000-0005-0000-0000-000020000000}"/>
    <cellStyle name="Ввод " xfId="70" xr:uid="{00000000-0005-0000-0000-000021000000}"/>
    <cellStyle name="Вывод" xfId="71" xr:uid="{00000000-0005-0000-0000-000022000000}"/>
    <cellStyle name="Вычисление" xfId="72" xr:uid="{00000000-0005-0000-0000-000023000000}"/>
    <cellStyle name="Гіперпосилання 2" xfId="73" xr:uid="{00000000-0005-0000-0000-000024000000}"/>
    <cellStyle name="Добре" xfId="3" xr:uid="{00000000-0005-0000-0000-000025000000}"/>
    <cellStyle name="Заголовок 1" xfId="4" builtinId="16" customBuiltin="1"/>
    <cellStyle name="Заголовок 1 2" xfId="104" xr:uid="{00000000-0005-0000-0000-000027000000}"/>
    <cellStyle name="Заголовок 2" xfId="5" builtinId="17" customBuiltin="1"/>
    <cellStyle name="Заголовок 2 2" xfId="105" xr:uid="{00000000-0005-0000-0000-000029000000}"/>
    <cellStyle name="Заголовок 3" xfId="6" builtinId="18" customBuiltin="1"/>
    <cellStyle name="Заголовок 3 2" xfId="106" xr:uid="{00000000-0005-0000-0000-00002B000000}"/>
    <cellStyle name="Заголовок 4" xfId="7" builtinId="19" customBuiltin="1"/>
    <cellStyle name="Заголовок 4 2" xfId="107" xr:uid="{00000000-0005-0000-0000-00002D000000}"/>
    <cellStyle name="Звичайний" xfId="0" builtinId="0"/>
    <cellStyle name="Звичайний 10" xfId="8" xr:uid="{00000000-0005-0000-0000-00002E000000}"/>
    <cellStyle name="Звичайний 11" xfId="9" xr:uid="{00000000-0005-0000-0000-00002F000000}"/>
    <cellStyle name="Звичайний 12" xfId="10" xr:uid="{00000000-0005-0000-0000-000030000000}"/>
    <cellStyle name="Звичайний 13" xfId="11" xr:uid="{00000000-0005-0000-0000-000031000000}"/>
    <cellStyle name="Звичайний 14" xfId="12" xr:uid="{00000000-0005-0000-0000-000032000000}"/>
    <cellStyle name="Звичайний 15" xfId="13" xr:uid="{00000000-0005-0000-0000-000033000000}"/>
    <cellStyle name="Звичайний 16" xfId="14" xr:uid="{00000000-0005-0000-0000-000034000000}"/>
    <cellStyle name="Звичайний 17" xfId="15" xr:uid="{00000000-0005-0000-0000-000035000000}"/>
    <cellStyle name="Звичайний 18" xfId="16" xr:uid="{00000000-0005-0000-0000-000036000000}"/>
    <cellStyle name="Звичайний 19" xfId="17" xr:uid="{00000000-0005-0000-0000-000037000000}"/>
    <cellStyle name="Звичайний 2" xfId="18" xr:uid="{00000000-0005-0000-0000-000038000000}"/>
    <cellStyle name="Звичайний 2 2" xfId="19" xr:uid="{00000000-0005-0000-0000-000039000000}"/>
    <cellStyle name="Звичайний 2 2 2" xfId="88" xr:uid="{00000000-0005-0000-0000-00003A000000}"/>
    <cellStyle name="Звичайний 2 3" xfId="94" xr:uid="{00000000-0005-0000-0000-00003B000000}"/>
    <cellStyle name="Звичайний 20" xfId="20" xr:uid="{00000000-0005-0000-0000-00003C000000}"/>
    <cellStyle name="Звичайний 21" xfId="86" xr:uid="{00000000-0005-0000-0000-00003D000000}"/>
    <cellStyle name="Звичайний 21 2" xfId="93" xr:uid="{00000000-0005-0000-0000-00003E000000}"/>
    <cellStyle name="Звичайний 21 2 2" xfId="96" xr:uid="{00000000-0005-0000-0000-00003F000000}"/>
    <cellStyle name="Звичайний 21 2 2 2" xfId="181" xr:uid="{00000000-0005-0000-0000-000040000000}"/>
    <cellStyle name="Звичайний 21 2 3" xfId="98" xr:uid="{00000000-0005-0000-0000-000041000000}"/>
    <cellStyle name="Звичайний 21 2 3 2" xfId="100" xr:uid="{00000000-0005-0000-0000-000042000000}"/>
    <cellStyle name="Звичайний 21 2 3 2 2" xfId="182" xr:uid="{00000000-0005-0000-0000-000043000000}"/>
    <cellStyle name="Звичайний 21 2 3 2 3" xfId="178" xr:uid="{00000000-0005-0000-0000-000044000000}"/>
    <cellStyle name="Звичайний 21 2 3 2 3 2 2 2" xfId="190" xr:uid="{00000000-0005-0000-0000-000045000000}"/>
    <cellStyle name="Звичайний 21 2 4" xfId="160" xr:uid="{00000000-0005-0000-0000-000046000000}"/>
    <cellStyle name="Звичайний 21 3" xfId="113" xr:uid="{00000000-0005-0000-0000-000047000000}"/>
    <cellStyle name="Звичайний 22" xfId="114" xr:uid="{00000000-0005-0000-0000-000048000000}"/>
    <cellStyle name="Звичайний 22 2" xfId="140" xr:uid="{00000000-0005-0000-0000-000049000000}"/>
    <cellStyle name="Звичайний 23" xfId="115" xr:uid="{00000000-0005-0000-0000-00004A000000}"/>
    <cellStyle name="Звичайний 23 2" xfId="141" xr:uid="{00000000-0005-0000-0000-00004B000000}"/>
    <cellStyle name="Звичайний 24" xfId="116" xr:uid="{00000000-0005-0000-0000-00004C000000}"/>
    <cellStyle name="Звичайний 24 2" xfId="142" xr:uid="{00000000-0005-0000-0000-00004D000000}"/>
    <cellStyle name="Звичайний 25" xfId="117" xr:uid="{00000000-0005-0000-0000-00004E000000}"/>
    <cellStyle name="Звичайний 26" xfId="127" xr:uid="{00000000-0005-0000-0000-00004F000000}"/>
    <cellStyle name="Звичайний 27" xfId="132" xr:uid="{00000000-0005-0000-0000-000050000000}"/>
    <cellStyle name="Звичайний 27 2" xfId="145" xr:uid="{00000000-0005-0000-0000-000051000000}"/>
    <cellStyle name="Звичайний 27 2 3" xfId="151" xr:uid="{00000000-0005-0000-0000-000052000000}"/>
    <cellStyle name="Звичайний 27 2 3 2" xfId="152" xr:uid="{00000000-0005-0000-0000-000053000000}"/>
    <cellStyle name="Звичайний 27 2 3 2 2" xfId="162" xr:uid="{00000000-0005-0000-0000-000054000000}"/>
    <cellStyle name="Звичайний 27 2 3 2 2 2" xfId="177" xr:uid="{00000000-0005-0000-0000-000055000000}"/>
    <cellStyle name="Звичайний 27 3" xfId="129" xr:uid="{00000000-0005-0000-0000-000056000000}"/>
    <cellStyle name="Звичайний 27 3 2" xfId="87" xr:uid="{00000000-0005-0000-0000-000057000000}"/>
    <cellStyle name="Звичайний 27 3 2 2" xfId="144" xr:uid="{00000000-0005-0000-0000-000058000000}"/>
    <cellStyle name="Звичайний 27 3 2 3" xfId="156" xr:uid="{00000000-0005-0000-0000-000059000000}"/>
    <cellStyle name="Звичайний 27 3 2 4" xfId="165" xr:uid="{00000000-0005-0000-0000-00005A000000}"/>
    <cellStyle name="Звичайний 27 3 2 4 2" xfId="170" xr:uid="{00000000-0005-0000-0000-00005B000000}"/>
    <cellStyle name="Звичайний 27 3 2 5" xfId="130" xr:uid="{00000000-0005-0000-0000-00005C000000}"/>
    <cellStyle name="Звичайний 27 3 3" xfId="143" xr:uid="{00000000-0005-0000-0000-00005D000000}"/>
    <cellStyle name="Звичайний 27 3 3 2" xfId="135" xr:uid="{00000000-0005-0000-0000-00005E000000}"/>
    <cellStyle name="Звичайний 27 3 3 2 2" xfId="147" xr:uid="{00000000-0005-0000-0000-00005F000000}"/>
    <cellStyle name="Звичайний 27 3 3 2 3" xfId="155" xr:uid="{00000000-0005-0000-0000-000060000000}"/>
    <cellStyle name="Звичайний 27 4 2" xfId="164" xr:uid="{00000000-0005-0000-0000-000061000000}"/>
    <cellStyle name="Звичайний 27 4 2 2" xfId="169" xr:uid="{00000000-0005-0000-0000-000062000000}"/>
    <cellStyle name="Звичайний 27 4 2 2 2" xfId="175" xr:uid="{00000000-0005-0000-0000-000063000000}"/>
    <cellStyle name="Звичайний 27 5" xfId="163" xr:uid="{00000000-0005-0000-0000-000064000000}"/>
    <cellStyle name="Звичайний 27 5 2" xfId="168" xr:uid="{00000000-0005-0000-0000-000065000000}"/>
    <cellStyle name="Звичайний 27 5 2 2" xfId="174" xr:uid="{00000000-0005-0000-0000-000066000000}"/>
    <cellStyle name="Звичайний 28" xfId="136" xr:uid="{00000000-0005-0000-0000-000067000000}"/>
    <cellStyle name="Звичайний 28 2" xfId="148" xr:uid="{00000000-0005-0000-0000-000068000000}"/>
    <cellStyle name="Звичайний 28 3" xfId="154" xr:uid="{00000000-0005-0000-0000-000069000000}"/>
    <cellStyle name="Звичайний 29" xfId="139" xr:uid="{00000000-0005-0000-0000-00006A000000}"/>
    <cellStyle name="Звичайний 29 2" xfId="153" xr:uid="{00000000-0005-0000-0000-00006B000000}"/>
    <cellStyle name="Звичайний 29 2 2" xfId="166" xr:uid="{00000000-0005-0000-0000-00006C000000}"/>
    <cellStyle name="Звичайний 29 2 2 2" xfId="176" xr:uid="{00000000-0005-0000-0000-00006D000000}"/>
    <cellStyle name="Звичайний 3" xfId="21" xr:uid="{00000000-0005-0000-0000-00006E000000}"/>
    <cellStyle name="Звичайний 3 2" xfId="22" xr:uid="{00000000-0005-0000-0000-00006F000000}"/>
    <cellStyle name="Звичайний 3 2 2" xfId="89" xr:uid="{00000000-0005-0000-0000-000070000000}"/>
    <cellStyle name="Звичайний 30" xfId="158" xr:uid="{00000000-0005-0000-0000-000071000000}"/>
    <cellStyle name="Звичайний 30 2" xfId="95" xr:uid="{00000000-0005-0000-0000-000072000000}"/>
    <cellStyle name="Звичайний 30 2 2" xfId="97" xr:uid="{00000000-0005-0000-0000-000073000000}"/>
    <cellStyle name="Звичайний 30 2 3" xfId="99" xr:uid="{00000000-0005-0000-0000-000074000000}"/>
    <cellStyle name="Звичайний 30 2 3 2" xfId="101" xr:uid="{00000000-0005-0000-0000-000075000000}"/>
    <cellStyle name="Звичайний 31" xfId="161" xr:uid="{00000000-0005-0000-0000-000076000000}"/>
    <cellStyle name="Звичайний 31 2" xfId="171" xr:uid="{00000000-0005-0000-0000-000077000000}"/>
    <cellStyle name="Звичайний 31 2 2" xfId="172" xr:uid="{00000000-0005-0000-0000-000078000000}"/>
    <cellStyle name="Звичайний 32" xfId="134" xr:uid="{00000000-0005-0000-0000-000079000000}"/>
    <cellStyle name="Звичайний 32 2" xfId="137" xr:uid="{00000000-0005-0000-0000-00007A000000}"/>
    <cellStyle name="Звичайний 32 2 2" xfId="138" xr:uid="{00000000-0005-0000-0000-00007B000000}"/>
    <cellStyle name="Звичайний 32 2 2 2" xfId="150" xr:uid="{00000000-0005-0000-0000-00007C000000}"/>
    <cellStyle name="Звичайний 32 2 2 3" xfId="157" xr:uid="{00000000-0005-0000-0000-00007D000000}"/>
    <cellStyle name="Звичайний 32 2 2 4" xfId="159" xr:uid="{00000000-0005-0000-0000-00007E000000}"/>
    <cellStyle name="Звичайний 32 2 3" xfId="149" xr:uid="{00000000-0005-0000-0000-00007F000000}"/>
    <cellStyle name="Звичайний 32 3" xfId="146" xr:uid="{00000000-0005-0000-0000-000080000000}"/>
    <cellStyle name="Звичайний 33" xfId="179" xr:uid="{00000000-0005-0000-0000-000081000000}"/>
    <cellStyle name="Звичайний 4" xfId="23" xr:uid="{00000000-0005-0000-0000-000082000000}"/>
    <cellStyle name="Звичайний 4 2" xfId="24" xr:uid="{00000000-0005-0000-0000-000083000000}"/>
    <cellStyle name="Звичайний 4 2 2" xfId="90" xr:uid="{00000000-0005-0000-0000-000084000000}"/>
    <cellStyle name="Звичайний 4 3" xfId="167" xr:uid="{00000000-0005-0000-0000-000085000000}"/>
    <cellStyle name="Звичайний 5" xfId="25" xr:uid="{00000000-0005-0000-0000-000086000000}"/>
    <cellStyle name="Звичайний 6" xfId="26" xr:uid="{00000000-0005-0000-0000-000087000000}"/>
    <cellStyle name="Звичайний 7" xfId="27" xr:uid="{00000000-0005-0000-0000-000088000000}"/>
    <cellStyle name="Звичайний 8" xfId="28" xr:uid="{00000000-0005-0000-0000-000089000000}"/>
    <cellStyle name="Звичайний 9" xfId="29" xr:uid="{00000000-0005-0000-0000-00008A000000}"/>
    <cellStyle name="Звичайний_Додаток _ 3 зм_ни 4575" xfId="30" xr:uid="{00000000-0005-0000-0000-00008B000000}"/>
    <cellStyle name="Зв'язана клітинка" xfId="41" xr:uid="{00000000-0005-0000-0000-00008C000000}"/>
    <cellStyle name="Зв'язана клітинка 2" xfId="183" xr:uid="{00000000-0005-0000-0000-00008D000000}"/>
    <cellStyle name="Зв'язана клітинка 3" xfId="108" xr:uid="{00000000-0005-0000-0000-00008E000000}"/>
    <cellStyle name="Итог" xfId="74" xr:uid="{00000000-0005-0000-0000-00008F000000}"/>
    <cellStyle name="Контрольна клітинка" xfId="31" xr:uid="{00000000-0005-0000-0000-000090000000}"/>
    <cellStyle name="Контрольна клітинка 2" xfId="184" xr:uid="{00000000-0005-0000-0000-000091000000}"/>
    <cellStyle name="Контрольная ячейка" xfId="75" xr:uid="{00000000-0005-0000-0000-000092000000}"/>
    <cellStyle name="Назва" xfId="32" xr:uid="{00000000-0005-0000-0000-000093000000}"/>
    <cellStyle name="Назва 2" xfId="185" xr:uid="{00000000-0005-0000-0000-000094000000}"/>
    <cellStyle name="Назва 3" xfId="109" xr:uid="{00000000-0005-0000-0000-000095000000}"/>
    <cellStyle name="Название" xfId="76" xr:uid="{00000000-0005-0000-0000-000096000000}"/>
    <cellStyle name="Нейтральный" xfId="77" xr:uid="{00000000-0005-0000-0000-000097000000}"/>
    <cellStyle name="Обычный 2" xfId="33" xr:uid="{00000000-0005-0000-0000-000099000000}"/>
    <cellStyle name="Обычный 2 2" xfId="34" xr:uid="{00000000-0005-0000-0000-00009A000000}"/>
    <cellStyle name="Обычный 2 2 2" xfId="91" xr:uid="{00000000-0005-0000-0000-00009B000000}"/>
    <cellStyle name="Обычный 2 2 2 2" xfId="120" xr:uid="{00000000-0005-0000-0000-00009C000000}"/>
    <cellStyle name="Обычный 2 2 3" xfId="128" xr:uid="{00000000-0005-0000-0000-00009D000000}"/>
    <cellStyle name="Обычный 2 3" xfId="110" xr:uid="{00000000-0005-0000-0000-00009E000000}"/>
    <cellStyle name="Обычный 2 3 2" xfId="187" xr:uid="{00000000-0005-0000-0000-00009F000000}"/>
    <cellStyle name="Обычный 2 4" xfId="119" xr:uid="{00000000-0005-0000-0000-0000A0000000}"/>
    <cellStyle name="Обычный 2 5" xfId="186" xr:uid="{00000000-0005-0000-0000-0000A1000000}"/>
    <cellStyle name="Обычный 3" xfId="35" xr:uid="{00000000-0005-0000-0000-0000A2000000}"/>
    <cellStyle name="Обычный 3 2" xfId="121" xr:uid="{00000000-0005-0000-0000-0000A3000000}"/>
    <cellStyle name="Обычный 3 3" xfId="188" xr:uid="{00000000-0005-0000-0000-0000A4000000}"/>
    <cellStyle name="Обычный 3 4" xfId="111" xr:uid="{00000000-0005-0000-0000-0000A5000000}"/>
    <cellStyle name="Обычный 4" xfId="112" xr:uid="{00000000-0005-0000-0000-0000A6000000}"/>
    <cellStyle name="Обычный 4 2" xfId="122" xr:uid="{00000000-0005-0000-0000-0000A7000000}"/>
    <cellStyle name="Обычный 4 3" xfId="85" xr:uid="{00000000-0005-0000-0000-0000A8000000}"/>
    <cellStyle name="Обычный 5" xfId="123" xr:uid="{00000000-0005-0000-0000-0000A9000000}"/>
    <cellStyle name="Обычный 6" xfId="124" xr:uid="{00000000-0005-0000-0000-0000AA000000}"/>
    <cellStyle name="Обычный 7" xfId="125" xr:uid="{00000000-0005-0000-0000-0000AB000000}"/>
    <cellStyle name="Обычный 8" xfId="126"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Обычный_КАПІТАЛЬНІ  ВКЛАДЕННЯ 2015 2 2" xfId="45" xr:uid="{00000000-0005-0000-0000-0000B1000000}"/>
    <cellStyle name="Обычный_УЖКГ бюджет 2016 Після Ямчука 2" xfId="40" xr:uid="{00000000-0005-0000-0000-0000B2000000}"/>
    <cellStyle name="Обычный_УКБ до бюджету 2016р ост 2" xfId="92" xr:uid="{00000000-0005-0000-0000-0000B3000000}"/>
    <cellStyle name="Плохой" xfId="78" xr:uid="{00000000-0005-0000-0000-0000B4000000}"/>
    <cellStyle name="Пояснение" xfId="79" xr:uid="{00000000-0005-0000-0000-0000B5000000}"/>
    <cellStyle name="Примечание" xfId="80" xr:uid="{00000000-0005-0000-0000-0000B6000000}"/>
    <cellStyle name="Связанная ячейка" xfId="81" xr:uid="{00000000-0005-0000-0000-0000B7000000}"/>
    <cellStyle name="Середній" xfId="42" xr:uid="{00000000-0005-0000-0000-0000B8000000}"/>
    <cellStyle name="Стиль 1" xfId="43" xr:uid="{00000000-0005-0000-0000-0000B9000000}"/>
    <cellStyle name="Текст попередження" xfId="44" xr:uid="{00000000-0005-0000-0000-0000BA000000}"/>
    <cellStyle name="Текст попередження 2" xfId="189" xr:uid="{00000000-0005-0000-0000-0000BB000000}"/>
    <cellStyle name="Текст предупреждения" xfId="82" xr:uid="{00000000-0005-0000-0000-0000BC000000}"/>
    <cellStyle name="Фінансовий 2" xfId="133" xr:uid="{00000000-0005-0000-0000-0000BD000000}"/>
    <cellStyle name="Хороший" xfId="83" xr:uid="{00000000-0005-0000-0000-0000BE000000}"/>
  </cellStyles>
  <dxfs count="0"/>
  <tableStyles count="0" defaultTableStyle="TableStyleMedium2" defaultPivotStyle="PivotStyleLight16"/>
  <colors>
    <mruColors>
      <color rgb="FFCCFF66"/>
      <color rgb="FFFFCC00"/>
      <color rgb="FFCCCCFF"/>
      <color rgb="FF00FFCC"/>
      <color rgb="FFFFFF99"/>
      <color rgb="FFCCFF99"/>
      <color rgb="FFCCECFF"/>
      <color rgb="FFCCFFCC"/>
      <color rgb="FFFFAFAF"/>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1"/>
  <sheetViews>
    <sheetView view="pageBreakPreview" topLeftCell="A49" zoomScale="115" zoomScaleNormal="100" zoomScaleSheetLayoutView="115" workbookViewId="0">
      <selection activeCell="D59" sqref="D59"/>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96"/>
      <c r="B1" s="496"/>
      <c r="C1" s="496"/>
      <c r="D1" s="713" t="s">
        <v>56</v>
      </c>
      <c r="E1" s="714"/>
      <c r="F1" s="714"/>
      <c r="G1" s="714"/>
    </row>
    <row r="2" spans="1:7" ht="30" customHeight="1" x14ac:dyDescent="0.2">
      <c r="A2" s="496"/>
      <c r="B2" s="496"/>
      <c r="C2" s="497"/>
      <c r="D2" s="715" t="s">
        <v>1564</v>
      </c>
      <c r="E2" s="716"/>
      <c r="F2" s="716"/>
      <c r="G2" s="716"/>
    </row>
    <row r="3" spans="1:7" ht="6" hidden="1" customHeight="1" x14ac:dyDescent="0.2">
      <c r="A3" s="496"/>
      <c r="B3" s="496"/>
      <c r="C3" s="497"/>
      <c r="D3" s="713"/>
      <c r="E3" s="716"/>
      <c r="F3" s="716"/>
      <c r="G3" s="716"/>
    </row>
    <row r="4" spans="1:7" ht="12.75" customHeight="1" x14ac:dyDescent="0.2">
      <c r="A4" s="717"/>
      <c r="B4" s="717"/>
      <c r="C4" s="717"/>
      <c r="D4" s="717"/>
      <c r="E4" s="717"/>
      <c r="F4" s="496"/>
      <c r="G4" s="496"/>
    </row>
    <row r="5" spans="1:7" ht="20.25" x14ac:dyDescent="0.2">
      <c r="A5" s="717" t="s">
        <v>1079</v>
      </c>
      <c r="B5" s="718"/>
      <c r="C5" s="718"/>
      <c r="D5" s="718"/>
      <c r="E5" s="718"/>
      <c r="F5" s="718"/>
      <c r="G5" s="496"/>
    </row>
    <row r="6" spans="1:7" ht="20.25" x14ac:dyDescent="0.2">
      <c r="A6" s="717" t="s">
        <v>1588</v>
      </c>
      <c r="B6" s="718"/>
      <c r="C6" s="718"/>
      <c r="D6" s="718"/>
      <c r="E6" s="718"/>
      <c r="F6" s="718"/>
      <c r="G6" s="496"/>
    </row>
    <row r="7" spans="1:7" ht="20.25" x14ac:dyDescent="0.2">
      <c r="A7" s="498"/>
      <c r="B7" s="304"/>
      <c r="C7" s="304"/>
      <c r="D7" s="304"/>
      <c r="E7" s="304"/>
      <c r="F7" s="304"/>
      <c r="G7" s="496"/>
    </row>
    <row r="8" spans="1:7" ht="20.25" x14ac:dyDescent="0.2">
      <c r="A8" s="719">
        <v>2256400000</v>
      </c>
      <c r="B8" s="720"/>
      <c r="C8" s="720"/>
      <c r="D8" s="720"/>
      <c r="E8" s="720"/>
      <c r="F8" s="720"/>
      <c r="G8" s="496"/>
    </row>
    <row r="9" spans="1:7" ht="15.75" x14ac:dyDescent="0.2">
      <c r="A9" s="721" t="s">
        <v>488</v>
      </c>
      <c r="B9" s="722"/>
      <c r="C9" s="722"/>
      <c r="D9" s="722"/>
      <c r="E9" s="722"/>
      <c r="F9" s="722"/>
      <c r="G9" s="496"/>
    </row>
    <row r="10" spans="1:7" ht="20.25" x14ac:dyDescent="0.2">
      <c r="A10" s="498"/>
      <c r="B10" s="444"/>
      <c r="C10" s="444"/>
      <c r="D10" s="444"/>
      <c r="E10" s="444"/>
      <c r="F10" s="444"/>
      <c r="G10" s="496"/>
    </row>
    <row r="11" spans="1:7" ht="13.5" thickBot="1" x14ac:dyDescent="0.25">
      <c r="A11" s="496"/>
      <c r="B11" s="499"/>
      <c r="C11" s="499"/>
      <c r="D11" s="499"/>
      <c r="E11" s="499"/>
      <c r="F11" s="500" t="s">
        <v>403</v>
      </c>
      <c r="G11" s="496"/>
    </row>
    <row r="12" spans="1:7" ht="14.25" thickTop="1" thickBot="1" x14ac:dyDescent="0.25">
      <c r="A12" s="723" t="s">
        <v>57</v>
      </c>
      <c r="B12" s="723" t="s">
        <v>1461</v>
      </c>
      <c r="C12" s="723" t="s">
        <v>382</v>
      </c>
      <c r="D12" s="723" t="s">
        <v>12</v>
      </c>
      <c r="E12" s="723" t="s">
        <v>52</v>
      </c>
      <c r="F12" s="723"/>
      <c r="G12" s="501"/>
    </row>
    <row r="13" spans="1:7" ht="39.75" thickTop="1" thickBot="1" x14ac:dyDescent="0.3">
      <c r="A13" s="723"/>
      <c r="B13" s="723"/>
      <c r="C13" s="723"/>
      <c r="D13" s="723"/>
      <c r="E13" s="502" t="s">
        <v>383</v>
      </c>
      <c r="F13" s="502" t="s">
        <v>424</v>
      </c>
      <c r="G13" s="503"/>
    </row>
    <row r="14" spans="1:7" ht="16.5" thickTop="1" thickBot="1" x14ac:dyDescent="0.3">
      <c r="A14" s="502">
        <v>1</v>
      </c>
      <c r="B14" s="502">
        <v>2</v>
      </c>
      <c r="C14" s="502">
        <v>3</v>
      </c>
      <c r="D14" s="502">
        <v>4</v>
      </c>
      <c r="E14" s="502">
        <v>5</v>
      </c>
      <c r="F14" s="502">
        <v>6</v>
      </c>
      <c r="G14" s="503"/>
    </row>
    <row r="15" spans="1:7" ht="25.5" customHeight="1" thickTop="1" thickBot="1" x14ac:dyDescent="0.25">
      <c r="A15" s="584">
        <v>10000000</v>
      </c>
      <c r="B15" s="584" t="s">
        <v>58</v>
      </c>
      <c r="C15" s="585">
        <f t="shared" ref="C15:C20" si="0">SUM(D15,E15)</f>
        <v>3353824559</v>
      </c>
      <c r="D15" s="585">
        <f>SUM(D16,D32,D40,D61,D26)</f>
        <v>3351824559</v>
      </c>
      <c r="E15" s="585">
        <f>SUM(E16,E32,E40,E61,E26)</f>
        <v>2000000</v>
      </c>
      <c r="F15" s="585">
        <f>SUM(F16,F32,F40,F61,F26)</f>
        <v>0</v>
      </c>
      <c r="G15" s="104"/>
    </row>
    <row r="16" spans="1:7" ht="31.7" customHeight="1" thickTop="1" thickBot="1" x14ac:dyDescent="0.25">
      <c r="A16" s="502">
        <v>11000000</v>
      </c>
      <c r="B16" s="502" t="s">
        <v>59</v>
      </c>
      <c r="C16" s="504">
        <f>SUM(D16,E16)</f>
        <v>1987169559</v>
      </c>
      <c r="D16" s="504">
        <f>SUM(D17,D24)</f>
        <v>1987169559</v>
      </c>
      <c r="E16" s="504"/>
      <c r="F16" s="504"/>
      <c r="G16" s="105"/>
    </row>
    <row r="17" spans="1:7" ht="24.75" customHeight="1" thickTop="1" thickBot="1" x14ac:dyDescent="0.25">
      <c r="A17" s="505">
        <v>11010000</v>
      </c>
      <c r="B17" s="506" t="s">
        <v>60</v>
      </c>
      <c r="C17" s="507">
        <f t="shared" si="0"/>
        <v>1985169559</v>
      </c>
      <c r="D17" s="507">
        <f>SUM(D18:D23)</f>
        <v>1985169559</v>
      </c>
      <c r="E17" s="507"/>
      <c r="F17" s="507"/>
      <c r="G17" s="105"/>
    </row>
    <row r="18" spans="1:7" ht="39.75" thickTop="1" thickBot="1" x14ac:dyDescent="0.25">
      <c r="A18" s="581">
        <v>11010100</v>
      </c>
      <c r="B18" s="582" t="s">
        <v>61</v>
      </c>
      <c r="C18" s="504">
        <f>SUM(D18,E18)</f>
        <v>1853714559</v>
      </c>
      <c r="D18" s="583">
        <v>1853714559</v>
      </c>
      <c r="E18" s="583"/>
      <c r="F18" s="583"/>
      <c r="G18" s="105"/>
    </row>
    <row r="19" spans="1:7" ht="65.25" hidden="1" thickTop="1" thickBot="1" x14ac:dyDescent="0.25">
      <c r="A19" s="355">
        <v>11010200</v>
      </c>
      <c r="B19" s="356" t="s">
        <v>62</v>
      </c>
      <c r="C19" s="353">
        <f t="shared" si="0"/>
        <v>0</v>
      </c>
      <c r="D19" s="357">
        <v>0</v>
      </c>
      <c r="E19" s="357"/>
      <c r="F19" s="357"/>
      <c r="G19" s="105"/>
    </row>
    <row r="20" spans="1:7" ht="39.75" thickTop="1" thickBot="1" x14ac:dyDescent="0.25">
      <c r="A20" s="581">
        <v>11010400</v>
      </c>
      <c r="B20" s="582" t="s">
        <v>63</v>
      </c>
      <c r="C20" s="504">
        <f t="shared" si="0"/>
        <v>65055000</v>
      </c>
      <c r="D20" s="583">
        <v>65055000</v>
      </c>
      <c r="E20" s="583"/>
      <c r="F20" s="583"/>
      <c r="G20" s="105"/>
    </row>
    <row r="21" spans="1:7" ht="39.75" thickTop="1" thickBot="1" x14ac:dyDescent="0.3">
      <c r="A21" s="581">
        <v>11010500</v>
      </c>
      <c r="B21" s="582" t="s">
        <v>64</v>
      </c>
      <c r="C21" s="504">
        <f t="shared" ref="C21:C108" si="1">SUM(D21,E21)</f>
        <v>64200000</v>
      </c>
      <c r="D21" s="583">
        <v>64200000</v>
      </c>
      <c r="E21" s="583"/>
      <c r="F21" s="583"/>
      <c r="G21" s="103"/>
    </row>
    <row r="22" spans="1:7" ht="27" thickTop="1" thickBot="1" x14ac:dyDescent="0.3">
      <c r="A22" s="581">
        <v>11011200</v>
      </c>
      <c r="B22" s="582" t="s">
        <v>1462</v>
      </c>
      <c r="C22" s="504">
        <f t="shared" si="1"/>
        <v>1850000</v>
      </c>
      <c r="D22" s="583">
        <v>1850000</v>
      </c>
      <c r="E22" s="583"/>
      <c r="F22" s="583"/>
      <c r="G22" s="103"/>
    </row>
    <row r="23" spans="1:7" ht="39.75" thickTop="1" thickBot="1" x14ac:dyDescent="0.3">
      <c r="A23" s="581">
        <v>11011300</v>
      </c>
      <c r="B23" s="582" t="s">
        <v>1463</v>
      </c>
      <c r="C23" s="504">
        <f t="shared" si="1"/>
        <v>350000</v>
      </c>
      <c r="D23" s="583">
        <v>350000</v>
      </c>
      <c r="E23" s="583"/>
      <c r="F23" s="583"/>
      <c r="G23" s="103"/>
    </row>
    <row r="24" spans="1:7" ht="28.5" customHeight="1" thickTop="1" thickBot="1" x14ac:dyDescent="0.25">
      <c r="A24" s="505">
        <v>11020000</v>
      </c>
      <c r="B24" s="506" t="s">
        <v>65</v>
      </c>
      <c r="C24" s="507">
        <f>SUM(D24,E24)</f>
        <v>2000000</v>
      </c>
      <c r="D24" s="507">
        <f>D25</f>
        <v>2000000</v>
      </c>
      <c r="E24" s="507"/>
      <c r="F24" s="507"/>
      <c r="G24" s="104"/>
    </row>
    <row r="25" spans="1:7" ht="27" thickTop="1" thickBot="1" x14ac:dyDescent="0.3">
      <c r="A25" s="581">
        <v>11020200</v>
      </c>
      <c r="B25" s="508" t="s">
        <v>66</v>
      </c>
      <c r="C25" s="504">
        <f>SUM(D25,E25)</f>
        <v>2000000</v>
      </c>
      <c r="D25" s="583">
        <v>2000000</v>
      </c>
      <c r="E25" s="583"/>
      <c r="F25" s="583"/>
      <c r="G25" s="103"/>
    </row>
    <row r="26" spans="1:7" ht="27" thickTop="1" thickBot="1" x14ac:dyDescent="0.3">
      <c r="A26" s="502">
        <v>13000000</v>
      </c>
      <c r="B26" s="509" t="s">
        <v>522</v>
      </c>
      <c r="C26" s="504">
        <f>D26+E26</f>
        <v>650000</v>
      </c>
      <c r="D26" s="504">
        <f>SUM(D27,D30)</f>
        <v>650000</v>
      </c>
      <c r="E26" s="583"/>
      <c r="F26" s="583"/>
      <c r="G26" s="103"/>
    </row>
    <row r="27" spans="1:7" ht="28.5" thickTop="1" thickBot="1" x14ac:dyDescent="0.3">
      <c r="A27" s="505">
        <v>13010000</v>
      </c>
      <c r="B27" s="510" t="s">
        <v>523</v>
      </c>
      <c r="C27" s="507">
        <f>D27+E27</f>
        <v>630000</v>
      </c>
      <c r="D27" s="507">
        <f>SUM(D28:D29)</f>
        <v>630000</v>
      </c>
      <c r="E27" s="507"/>
      <c r="F27" s="507"/>
      <c r="G27" s="103"/>
    </row>
    <row r="28" spans="1:7" ht="52.5" thickTop="1" thickBot="1" x14ac:dyDescent="0.3">
      <c r="A28" s="581">
        <v>13010100</v>
      </c>
      <c r="B28" s="511" t="s">
        <v>1464</v>
      </c>
      <c r="C28" s="504">
        <f t="shared" ref="C28:C32" si="2">D28+E28</f>
        <v>230000</v>
      </c>
      <c r="D28" s="583">
        <v>230000</v>
      </c>
      <c r="E28" s="583"/>
      <c r="F28" s="583"/>
      <c r="G28" s="103"/>
    </row>
    <row r="29" spans="1:7" ht="65.25" thickTop="1" thickBot="1" x14ac:dyDescent="0.3">
      <c r="A29" s="581">
        <v>13010200</v>
      </c>
      <c r="B29" s="511" t="s">
        <v>524</v>
      </c>
      <c r="C29" s="504">
        <f t="shared" si="2"/>
        <v>400000</v>
      </c>
      <c r="D29" s="583">
        <v>400000</v>
      </c>
      <c r="E29" s="583"/>
      <c r="F29" s="583"/>
      <c r="G29" s="103"/>
    </row>
    <row r="30" spans="1:7" ht="16.5" thickTop="1" thickBot="1" x14ac:dyDescent="0.3">
      <c r="A30" s="505">
        <v>13030000</v>
      </c>
      <c r="B30" s="512" t="s">
        <v>525</v>
      </c>
      <c r="C30" s="507">
        <f>D30+E30</f>
        <v>20000</v>
      </c>
      <c r="D30" s="507">
        <f>SUM(D31)</f>
        <v>20000</v>
      </c>
      <c r="E30" s="507"/>
      <c r="F30" s="507"/>
      <c r="G30" s="103"/>
    </row>
    <row r="31" spans="1:7" ht="39.75" thickTop="1" thickBot="1" x14ac:dyDescent="0.3">
      <c r="A31" s="581">
        <v>13030100</v>
      </c>
      <c r="B31" s="511" t="s">
        <v>526</v>
      </c>
      <c r="C31" s="504">
        <f t="shared" si="2"/>
        <v>20000</v>
      </c>
      <c r="D31" s="583">
        <v>20000</v>
      </c>
      <c r="E31" s="583"/>
      <c r="F31" s="583"/>
      <c r="G31" s="103"/>
    </row>
    <row r="32" spans="1:7" ht="26.45" customHeight="1" thickTop="1" thickBot="1" x14ac:dyDescent="0.3">
      <c r="A32" s="502">
        <v>14000000</v>
      </c>
      <c r="B32" s="509" t="s">
        <v>527</v>
      </c>
      <c r="C32" s="504">
        <f t="shared" si="2"/>
        <v>315650000</v>
      </c>
      <c r="D32" s="504">
        <f>SUM(D33,D35,D37)</f>
        <v>315650000</v>
      </c>
      <c r="E32" s="504"/>
      <c r="F32" s="583"/>
      <c r="G32" s="103"/>
    </row>
    <row r="33" spans="1:7" ht="30" customHeight="1" thickTop="1" thickBot="1" x14ac:dyDescent="0.3">
      <c r="A33" s="505">
        <v>14020000</v>
      </c>
      <c r="B33" s="510" t="s">
        <v>616</v>
      </c>
      <c r="C33" s="507">
        <f>SUM(D33,E33)</f>
        <v>17350000</v>
      </c>
      <c r="D33" s="507">
        <f>SUM(D34,E34)</f>
        <v>17350000</v>
      </c>
      <c r="E33" s="507"/>
      <c r="F33" s="520"/>
      <c r="G33" s="103"/>
    </row>
    <row r="34" spans="1:7" ht="16.5" thickTop="1" thickBot="1" x14ac:dyDescent="0.3">
      <c r="A34" s="581">
        <v>14021900</v>
      </c>
      <c r="B34" s="508" t="s">
        <v>615</v>
      </c>
      <c r="C34" s="583">
        <f>SUM(D34,E34)</f>
        <v>17350000</v>
      </c>
      <c r="D34" s="583">
        <v>17350000</v>
      </c>
      <c r="E34" s="504"/>
      <c r="F34" s="583"/>
      <c r="G34" s="103"/>
    </row>
    <row r="35" spans="1:7" ht="42" thickTop="1" thickBot="1" x14ac:dyDescent="0.3">
      <c r="A35" s="505">
        <v>14030000</v>
      </c>
      <c r="B35" s="510" t="s">
        <v>617</v>
      </c>
      <c r="C35" s="507">
        <f>SUM(D35,E35)</f>
        <v>80900000</v>
      </c>
      <c r="D35" s="507">
        <f>SUM(D36,E36)</f>
        <v>80900000</v>
      </c>
      <c r="E35" s="507"/>
      <c r="F35" s="520"/>
      <c r="G35" s="103"/>
    </row>
    <row r="36" spans="1:7" ht="16.5" thickTop="1" thickBot="1" x14ac:dyDescent="0.3">
      <c r="A36" s="581">
        <v>14031900</v>
      </c>
      <c r="B36" s="508" t="s">
        <v>615</v>
      </c>
      <c r="C36" s="583">
        <f>SUM(D36,E36)</f>
        <v>80900000</v>
      </c>
      <c r="D36" s="583">
        <v>80900000</v>
      </c>
      <c r="E36" s="504"/>
      <c r="F36" s="583"/>
      <c r="G36" s="103"/>
    </row>
    <row r="37" spans="1:7" ht="42" thickTop="1" thickBot="1" x14ac:dyDescent="0.3">
      <c r="A37" s="505">
        <v>14040000</v>
      </c>
      <c r="B37" s="510" t="s">
        <v>1174</v>
      </c>
      <c r="C37" s="507">
        <f>SUM(C38:C39)</f>
        <v>217400000</v>
      </c>
      <c r="D37" s="507">
        <f>SUM(D38:D39)</f>
        <v>217400000</v>
      </c>
      <c r="E37" s="507"/>
      <c r="F37" s="520"/>
      <c r="G37" s="103"/>
    </row>
    <row r="38" spans="1:7" ht="103.5" thickTop="1" thickBot="1" x14ac:dyDescent="0.25">
      <c r="A38" s="581">
        <v>14040100</v>
      </c>
      <c r="B38" s="508" t="s">
        <v>1194</v>
      </c>
      <c r="C38" s="583">
        <f>SUM(D38,E38)</f>
        <v>99520000</v>
      </c>
      <c r="D38" s="583">
        <v>99520000</v>
      </c>
      <c r="E38" s="504"/>
      <c r="F38" s="583"/>
      <c r="G38" s="106"/>
    </row>
    <row r="39" spans="1:7" ht="78" thickTop="1" thickBot="1" x14ac:dyDescent="0.25">
      <c r="A39" s="581">
        <v>14040200</v>
      </c>
      <c r="B39" s="508" t="s">
        <v>1173</v>
      </c>
      <c r="C39" s="583">
        <f>SUM(D39,E39)</f>
        <v>117880000</v>
      </c>
      <c r="D39" s="583">
        <v>117880000</v>
      </c>
      <c r="E39" s="504"/>
      <c r="F39" s="583"/>
      <c r="G39" s="106"/>
    </row>
    <row r="40" spans="1:7" ht="29.25" customHeight="1" thickTop="1" thickBot="1" x14ac:dyDescent="0.3">
      <c r="A40" s="502">
        <v>18000000</v>
      </c>
      <c r="B40" s="502" t="s">
        <v>67</v>
      </c>
      <c r="C40" s="504">
        <f t="shared" si="1"/>
        <v>1048355000</v>
      </c>
      <c r="D40" s="504">
        <f>SUM(D41,D54,D57,D52)</f>
        <v>1048355000</v>
      </c>
      <c r="E40" s="504"/>
      <c r="F40" s="504"/>
      <c r="G40" s="103"/>
    </row>
    <row r="41" spans="1:7" ht="16.5" thickTop="1" thickBot="1" x14ac:dyDescent="0.3">
      <c r="A41" s="505">
        <v>18010000</v>
      </c>
      <c r="B41" s="510" t="s">
        <v>68</v>
      </c>
      <c r="C41" s="507">
        <f>SUM(D41,E41)</f>
        <v>332005000</v>
      </c>
      <c r="D41" s="507">
        <f>SUM(D42:D51)</f>
        <v>332005000</v>
      </c>
      <c r="E41" s="507"/>
      <c r="F41" s="507"/>
      <c r="G41" s="103"/>
    </row>
    <row r="42" spans="1:7" ht="52.5" thickTop="1" thickBot="1" x14ac:dyDescent="0.3">
      <c r="A42" s="581">
        <v>18010100</v>
      </c>
      <c r="B42" s="508" t="s">
        <v>69</v>
      </c>
      <c r="C42" s="504">
        <f t="shared" si="1"/>
        <v>405010</v>
      </c>
      <c r="D42" s="583">
        <v>405010</v>
      </c>
      <c r="E42" s="583"/>
      <c r="F42" s="583"/>
      <c r="G42" s="103"/>
    </row>
    <row r="43" spans="1:7" ht="52.5" thickTop="1" thickBot="1" x14ac:dyDescent="0.3">
      <c r="A43" s="581">
        <v>18010200</v>
      </c>
      <c r="B43" s="508" t="s">
        <v>70</v>
      </c>
      <c r="C43" s="504">
        <f t="shared" si="1"/>
        <v>28120560</v>
      </c>
      <c r="D43" s="583">
        <v>28120560</v>
      </c>
      <c r="E43" s="583"/>
      <c r="F43" s="583"/>
      <c r="G43" s="103"/>
    </row>
    <row r="44" spans="1:7" ht="52.5" thickTop="1" thickBot="1" x14ac:dyDescent="0.3">
      <c r="A44" s="581">
        <v>18010300</v>
      </c>
      <c r="B44" s="508" t="s">
        <v>71</v>
      </c>
      <c r="C44" s="504">
        <f t="shared" si="1"/>
        <v>23800000</v>
      </c>
      <c r="D44" s="583">
        <v>23800000</v>
      </c>
      <c r="E44" s="583"/>
      <c r="F44" s="583"/>
      <c r="G44" s="103"/>
    </row>
    <row r="45" spans="1:7" ht="52.5" thickTop="1" thickBot="1" x14ac:dyDescent="0.3">
      <c r="A45" s="581">
        <v>18010400</v>
      </c>
      <c r="B45" s="508" t="s">
        <v>72</v>
      </c>
      <c r="C45" s="504">
        <f t="shared" si="1"/>
        <v>37679430</v>
      </c>
      <c r="D45" s="583">
        <v>37679430</v>
      </c>
      <c r="E45" s="583"/>
      <c r="F45" s="583"/>
      <c r="G45" s="103"/>
    </row>
    <row r="46" spans="1:7" ht="16.5" thickTop="1" thickBot="1" x14ac:dyDescent="0.3">
      <c r="A46" s="581">
        <v>18010500</v>
      </c>
      <c r="B46" s="508" t="s">
        <v>73</v>
      </c>
      <c r="C46" s="504">
        <f t="shared" si="1"/>
        <v>40500000</v>
      </c>
      <c r="D46" s="583">
        <v>40500000</v>
      </c>
      <c r="E46" s="583"/>
      <c r="F46" s="583"/>
      <c r="G46" s="103"/>
    </row>
    <row r="47" spans="1:7" ht="16.5" thickTop="1" thickBot="1" x14ac:dyDescent="0.3">
      <c r="A47" s="581">
        <v>18010600</v>
      </c>
      <c r="B47" s="508" t="s">
        <v>74</v>
      </c>
      <c r="C47" s="504">
        <f t="shared" si="1"/>
        <v>151150000</v>
      </c>
      <c r="D47" s="583">
        <v>151150000</v>
      </c>
      <c r="E47" s="583"/>
      <c r="F47" s="583"/>
      <c r="G47" s="103"/>
    </row>
    <row r="48" spans="1:7" ht="16.5" thickTop="1" thickBot="1" x14ac:dyDescent="0.3">
      <c r="A48" s="581">
        <v>18010700</v>
      </c>
      <c r="B48" s="508" t="s">
        <v>75</v>
      </c>
      <c r="C48" s="504">
        <f t="shared" si="1"/>
        <v>2500000</v>
      </c>
      <c r="D48" s="583">
        <v>2500000</v>
      </c>
      <c r="E48" s="583"/>
      <c r="F48" s="583"/>
      <c r="G48" s="103"/>
    </row>
    <row r="49" spans="1:7" ht="16.5" thickTop="1" thickBot="1" x14ac:dyDescent="0.3">
      <c r="A49" s="581">
        <v>18010900</v>
      </c>
      <c r="B49" s="508" t="s">
        <v>76</v>
      </c>
      <c r="C49" s="504">
        <f t="shared" si="1"/>
        <v>46350000</v>
      </c>
      <c r="D49" s="583">
        <v>46350000</v>
      </c>
      <c r="E49" s="583"/>
      <c r="F49" s="583"/>
      <c r="G49" s="103"/>
    </row>
    <row r="50" spans="1:7" ht="15.75" thickTop="1" thickBot="1" x14ac:dyDescent="0.25">
      <c r="A50" s="581">
        <v>18011000</v>
      </c>
      <c r="B50" s="508" t="s">
        <v>77</v>
      </c>
      <c r="C50" s="504">
        <f t="shared" si="1"/>
        <v>1000000</v>
      </c>
      <c r="D50" s="583">
        <v>1000000</v>
      </c>
      <c r="E50" s="583"/>
      <c r="F50" s="583"/>
      <c r="G50" s="104"/>
    </row>
    <row r="51" spans="1:7" ht="16.5" thickTop="1" thickBot="1" x14ac:dyDescent="0.3">
      <c r="A51" s="581">
        <v>18011100</v>
      </c>
      <c r="B51" s="508" t="s">
        <v>78</v>
      </c>
      <c r="C51" s="504">
        <f t="shared" si="1"/>
        <v>500000</v>
      </c>
      <c r="D51" s="583">
        <v>500000</v>
      </c>
      <c r="E51" s="583"/>
      <c r="F51" s="583"/>
      <c r="G51" s="103"/>
    </row>
    <row r="52" spans="1:7" ht="28.5" thickTop="1" thickBot="1" x14ac:dyDescent="0.3">
      <c r="A52" s="505">
        <v>18020000</v>
      </c>
      <c r="B52" s="510" t="s">
        <v>1124</v>
      </c>
      <c r="C52" s="507">
        <f t="shared" si="1"/>
        <v>300000</v>
      </c>
      <c r="D52" s="507">
        <f>SUM(D53,E53)</f>
        <v>300000</v>
      </c>
      <c r="E52" s="507"/>
      <c r="F52" s="507"/>
      <c r="G52" s="103"/>
    </row>
    <row r="53" spans="1:7" ht="27" thickTop="1" thickBot="1" x14ac:dyDescent="0.3">
      <c r="A53" s="581">
        <v>180201000</v>
      </c>
      <c r="B53" s="508" t="s">
        <v>1125</v>
      </c>
      <c r="C53" s="504">
        <f t="shared" si="1"/>
        <v>300000</v>
      </c>
      <c r="D53" s="583">
        <v>300000</v>
      </c>
      <c r="E53" s="583"/>
      <c r="F53" s="583"/>
      <c r="G53" s="103"/>
    </row>
    <row r="54" spans="1:7" ht="16.5" thickTop="1" thickBot="1" x14ac:dyDescent="0.3">
      <c r="A54" s="505">
        <v>18030000</v>
      </c>
      <c r="B54" s="510" t="s">
        <v>79</v>
      </c>
      <c r="C54" s="507">
        <f>SUM(D54,E54)</f>
        <v>1950000</v>
      </c>
      <c r="D54" s="507">
        <f>SUM(D55:D56)</f>
        <v>1950000</v>
      </c>
      <c r="E54" s="507"/>
      <c r="F54" s="507"/>
      <c r="G54" s="103"/>
    </row>
    <row r="55" spans="1:7" ht="27" thickTop="1" thickBot="1" x14ac:dyDescent="0.3">
      <c r="A55" s="581">
        <v>18030100</v>
      </c>
      <c r="B55" s="508" t="s">
        <v>80</v>
      </c>
      <c r="C55" s="504">
        <f>SUM(D55,E55)</f>
        <v>1020000</v>
      </c>
      <c r="D55" s="583">
        <v>1020000</v>
      </c>
      <c r="E55" s="583"/>
      <c r="F55" s="583"/>
      <c r="G55" s="103"/>
    </row>
    <row r="56" spans="1:7" ht="27" thickTop="1" thickBot="1" x14ac:dyDescent="0.3">
      <c r="A56" s="581">
        <v>18030200</v>
      </c>
      <c r="B56" s="508" t="s">
        <v>81</v>
      </c>
      <c r="C56" s="504">
        <f>SUM(D56,E56)</f>
        <v>930000</v>
      </c>
      <c r="D56" s="583">
        <v>930000</v>
      </c>
      <c r="E56" s="583"/>
      <c r="F56" s="583"/>
      <c r="G56" s="103"/>
    </row>
    <row r="57" spans="1:7" ht="16.5" thickTop="1" thickBot="1" x14ac:dyDescent="0.3">
      <c r="A57" s="505">
        <v>18050000</v>
      </c>
      <c r="B57" s="510" t="s">
        <v>82</v>
      </c>
      <c r="C57" s="507">
        <f>SUM(D57,E57)</f>
        <v>714100000</v>
      </c>
      <c r="D57" s="507">
        <f>SUM(D58:D60)</f>
        <v>714100000</v>
      </c>
      <c r="E57" s="520"/>
      <c r="F57" s="520"/>
      <c r="G57" s="103"/>
    </row>
    <row r="58" spans="1:7" ht="16.5" thickTop="1" thickBot="1" x14ac:dyDescent="0.3">
      <c r="A58" s="581">
        <v>18050300</v>
      </c>
      <c r="B58" s="582" t="s">
        <v>1013</v>
      </c>
      <c r="C58" s="504">
        <f t="shared" si="1"/>
        <v>110520100</v>
      </c>
      <c r="D58" s="583">
        <v>110520100</v>
      </c>
      <c r="E58" s="583"/>
      <c r="F58" s="583"/>
      <c r="G58" s="103"/>
    </row>
    <row r="59" spans="1:7" ht="15.75" thickTop="1" thickBot="1" x14ac:dyDescent="0.25">
      <c r="A59" s="581">
        <v>18050400</v>
      </c>
      <c r="B59" s="508" t="s">
        <v>83</v>
      </c>
      <c r="C59" s="504">
        <f t="shared" si="1"/>
        <v>598729900</v>
      </c>
      <c r="D59" s="583">
        <f>583729900+15000000</f>
        <v>598729900</v>
      </c>
      <c r="E59" s="583"/>
      <c r="F59" s="583"/>
      <c r="G59" s="104"/>
    </row>
    <row r="60" spans="1:7" ht="65.25" thickTop="1" thickBot="1" x14ac:dyDescent="0.25">
      <c r="A60" s="581">
        <v>18050500</v>
      </c>
      <c r="B60" s="508" t="s">
        <v>535</v>
      </c>
      <c r="C60" s="504">
        <f t="shared" si="1"/>
        <v>4850000</v>
      </c>
      <c r="D60" s="583">
        <v>4850000</v>
      </c>
      <c r="E60" s="583"/>
      <c r="F60" s="583"/>
      <c r="G60" s="104"/>
    </row>
    <row r="61" spans="1:7" ht="31.7" customHeight="1" thickTop="1" thickBot="1" x14ac:dyDescent="0.25">
      <c r="A61" s="502">
        <v>19000000</v>
      </c>
      <c r="B61" s="513" t="s">
        <v>528</v>
      </c>
      <c r="C61" s="504">
        <f t="shared" si="1"/>
        <v>2000000</v>
      </c>
      <c r="D61" s="504"/>
      <c r="E61" s="504">
        <f>SUM(E63:E65)</f>
        <v>2000000</v>
      </c>
      <c r="F61" s="583"/>
      <c r="G61" s="104"/>
    </row>
    <row r="62" spans="1:7" ht="16.5" thickTop="1" thickBot="1" x14ac:dyDescent="0.3">
      <c r="A62" s="505">
        <v>1901000</v>
      </c>
      <c r="B62" s="506" t="s">
        <v>84</v>
      </c>
      <c r="C62" s="507">
        <f t="shared" ref="C62:C66" si="3">SUM(D62,E62)</f>
        <v>2000000</v>
      </c>
      <c r="D62" s="507">
        <f>SUM(D63:D65)</f>
        <v>0</v>
      </c>
      <c r="E62" s="507">
        <f>SUM(E63:E65)</f>
        <v>2000000</v>
      </c>
      <c r="F62" s="507"/>
      <c r="G62" s="103"/>
    </row>
    <row r="63" spans="1:7" ht="52.5" thickTop="1" thickBot="1" x14ac:dyDescent="0.3">
      <c r="A63" s="581">
        <v>19010100</v>
      </c>
      <c r="B63" s="582" t="s">
        <v>529</v>
      </c>
      <c r="C63" s="504">
        <f t="shared" si="3"/>
        <v>225600</v>
      </c>
      <c r="D63" s="583"/>
      <c r="E63" s="583">
        <v>225600</v>
      </c>
      <c r="F63" s="583"/>
      <c r="G63" s="103"/>
    </row>
    <row r="64" spans="1:7" ht="27" thickTop="1" thickBot="1" x14ac:dyDescent="0.25">
      <c r="A64" s="581">
        <v>19010200</v>
      </c>
      <c r="B64" s="582" t="s">
        <v>1236</v>
      </c>
      <c r="C64" s="504">
        <f t="shared" si="3"/>
        <v>765800</v>
      </c>
      <c r="D64" s="583"/>
      <c r="E64" s="583">
        <v>765800</v>
      </c>
      <c r="F64" s="583"/>
      <c r="G64" s="106"/>
    </row>
    <row r="65" spans="1:7" ht="52.5" thickTop="1" thickBot="1" x14ac:dyDescent="0.3">
      <c r="A65" s="581">
        <v>19010300</v>
      </c>
      <c r="B65" s="582" t="s">
        <v>1237</v>
      </c>
      <c r="C65" s="504">
        <f t="shared" si="3"/>
        <v>1008600</v>
      </c>
      <c r="D65" s="583"/>
      <c r="E65" s="583">
        <v>1008600</v>
      </c>
      <c r="F65" s="583"/>
      <c r="G65" s="103"/>
    </row>
    <row r="66" spans="1:7" ht="30" customHeight="1" thickTop="1" thickBot="1" x14ac:dyDescent="0.3">
      <c r="A66" s="584">
        <v>20000000</v>
      </c>
      <c r="B66" s="584" t="s">
        <v>85</v>
      </c>
      <c r="C66" s="585">
        <f t="shared" si="3"/>
        <v>368597999</v>
      </c>
      <c r="D66" s="585">
        <f>SUM(D67,D77,D90,D95)+D89</f>
        <v>98135500</v>
      </c>
      <c r="E66" s="585">
        <f>SUM(E67,E77,E90,E95)+E89</f>
        <v>270462499</v>
      </c>
      <c r="F66" s="585">
        <f>SUM(F67,F77,F90,F95)+F89</f>
        <v>2050024</v>
      </c>
      <c r="G66" s="103"/>
    </row>
    <row r="67" spans="1:7" ht="27" thickTop="1" thickBot="1" x14ac:dyDescent="0.3">
      <c r="A67" s="502">
        <v>21000000</v>
      </c>
      <c r="B67" s="502" t="s">
        <v>530</v>
      </c>
      <c r="C67" s="504">
        <f>SUM(D67,E67)</f>
        <v>26455000</v>
      </c>
      <c r="D67" s="504">
        <f>SUM(D68,D71,D70)</f>
        <v>26455000</v>
      </c>
      <c r="E67" s="504"/>
      <c r="F67" s="504"/>
      <c r="G67" s="103"/>
    </row>
    <row r="68" spans="1:7" ht="55.5" thickTop="1" thickBot="1" x14ac:dyDescent="0.3">
      <c r="A68" s="505">
        <v>21010000</v>
      </c>
      <c r="B68" s="510" t="s">
        <v>531</v>
      </c>
      <c r="C68" s="507">
        <f t="shared" si="1"/>
        <v>1500000</v>
      </c>
      <c r="D68" s="507">
        <f>D69</f>
        <v>1500000</v>
      </c>
      <c r="E68" s="507"/>
      <c r="F68" s="507"/>
      <c r="G68" s="103"/>
    </row>
    <row r="69" spans="1:7" ht="52.5" thickTop="1" thickBot="1" x14ac:dyDescent="0.3">
      <c r="A69" s="581">
        <v>21010300</v>
      </c>
      <c r="B69" s="508" t="s">
        <v>1358</v>
      </c>
      <c r="C69" s="504">
        <f t="shared" si="1"/>
        <v>1500000</v>
      </c>
      <c r="D69" s="583">
        <v>1500000</v>
      </c>
      <c r="E69" s="583"/>
      <c r="F69" s="583"/>
      <c r="G69" s="103"/>
    </row>
    <row r="70" spans="1:7" ht="28.5" hidden="1" thickTop="1" thickBot="1" x14ac:dyDescent="0.3">
      <c r="A70" s="577">
        <v>21050000</v>
      </c>
      <c r="B70" s="579" t="s">
        <v>86</v>
      </c>
      <c r="C70" s="354">
        <f t="shared" si="1"/>
        <v>0</v>
      </c>
      <c r="D70" s="354">
        <v>0</v>
      </c>
      <c r="E70" s="354"/>
      <c r="F70" s="354"/>
      <c r="G70" s="103"/>
    </row>
    <row r="71" spans="1:7" ht="15" thickTop="1" thickBot="1" x14ac:dyDescent="0.25">
      <c r="A71" s="505">
        <v>21080000</v>
      </c>
      <c r="B71" s="510" t="s">
        <v>1014</v>
      </c>
      <c r="C71" s="507">
        <f>SUM(D71,E71)</f>
        <v>24955000</v>
      </c>
      <c r="D71" s="507">
        <f>SUM(D72:D76)</f>
        <v>24955000</v>
      </c>
      <c r="E71" s="507"/>
      <c r="F71" s="507"/>
      <c r="G71" s="106"/>
    </row>
    <row r="72" spans="1:7" ht="16.5" thickTop="1" thickBot="1" x14ac:dyDescent="0.3">
      <c r="A72" s="581">
        <v>21081100</v>
      </c>
      <c r="B72" s="514" t="s">
        <v>87</v>
      </c>
      <c r="C72" s="504">
        <f t="shared" ref="C72:C78" si="4">SUM(D72,E72)</f>
        <v>6000000</v>
      </c>
      <c r="D72" s="583">
        <v>6000000</v>
      </c>
      <c r="E72" s="583"/>
      <c r="F72" s="583"/>
      <c r="G72" s="103"/>
    </row>
    <row r="73" spans="1:7" ht="90.75" thickTop="1" thickBot="1" x14ac:dyDescent="0.3">
      <c r="A73" s="581">
        <v>21081500</v>
      </c>
      <c r="B73" s="582" t="s">
        <v>1248</v>
      </c>
      <c r="C73" s="504">
        <f t="shared" si="4"/>
        <v>1055000</v>
      </c>
      <c r="D73" s="583">
        <v>1055000</v>
      </c>
      <c r="E73" s="583"/>
      <c r="F73" s="583"/>
      <c r="G73" s="103"/>
    </row>
    <row r="74" spans="1:7" ht="16.5" thickTop="1" thickBot="1" x14ac:dyDescent="0.3">
      <c r="A74" s="581">
        <v>21081700</v>
      </c>
      <c r="B74" s="582" t="s">
        <v>373</v>
      </c>
      <c r="C74" s="504">
        <f t="shared" si="4"/>
        <v>17100000</v>
      </c>
      <c r="D74" s="583">
        <v>17100000</v>
      </c>
      <c r="E74" s="583"/>
      <c r="F74" s="583"/>
      <c r="G74" s="107"/>
    </row>
    <row r="75" spans="1:7" ht="52.5" thickTop="1" thickBot="1" x14ac:dyDescent="0.3">
      <c r="A75" s="581">
        <v>21081800</v>
      </c>
      <c r="B75" s="582" t="s">
        <v>1465</v>
      </c>
      <c r="C75" s="504">
        <f t="shared" si="4"/>
        <v>750000</v>
      </c>
      <c r="D75" s="583">
        <v>750000</v>
      </c>
      <c r="E75" s="583"/>
      <c r="F75" s="583"/>
      <c r="G75" s="107"/>
    </row>
    <row r="76" spans="1:7" ht="78" thickTop="1" thickBot="1" x14ac:dyDescent="0.3">
      <c r="A76" s="581">
        <v>21082400</v>
      </c>
      <c r="B76" s="582" t="s">
        <v>1466</v>
      </c>
      <c r="C76" s="504">
        <f t="shared" si="4"/>
        <v>50000</v>
      </c>
      <c r="D76" s="583">
        <v>50000</v>
      </c>
      <c r="E76" s="583"/>
      <c r="F76" s="583"/>
      <c r="G76" s="107"/>
    </row>
    <row r="77" spans="1:7" ht="27" thickTop="1" thickBot="1" x14ac:dyDescent="0.3">
      <c r="A77" s="502">
        <v>22000000</v>
      </c>
      <c r="B77" s="502" t="s">
        <v>88</v>
      </c>
      <c r="C77" s="504">
        <f t="shared" si="4"/>
        <v>65250000</v>
      </c>
      <c r="D77" s="504">
        <f>SUM(D78,D84,D86,D82)</f>
        <v>65250000</v>
      </c>
      <c r="E77" s="583"/>
      <c r="F77" s="583"/>
      <c r="G77" s="103"/>
    </row>
    <row r="78" spans="1:7" ht="24.75" customHeight="1" thickTop="1" thickBot="1" x14ac:dyDescent="0.3">
      <c r="A78" s="505">
        <v>22010000</v>
      </c>
      <c r="B78" s="506" t="s">
        <v>532</v>
      </c>
      <c r="C78" s="507">
        <f t="shared" si="4"/>
        <v>45200000</v>
      </c>
      <c r="D78" s="507">
        <f>SUM(D79:D81)</f>
        <v>45200000</v>
      </c>
      <c r="E78" s="507"/>
      <c r="F78" s="507"/>
      <c r="G78" s="103"/>
    </row>
    <row r="79" spans="1:7" ht="39.75" thickTop="1" thickBot="1" x14ac:dyDescent="0.3">
      <c r="A79" s="581">
        <v>22010300</v>
      </c>
      <c r="B79" s="582" t="s">
        <v>147</v>
      </c>
      <c r="C79" s="504">
        <f t="shared" si="1"/>
        <v>1115500</v>
      </c>
      <c r="D79" s="583">
        <v>1115500</v>
      </c>
      <c r="E79" s="583"/>
      <c r="F79" s="583"/>
      <c r="G79" s="103"/>
    </row>
    <row r="80" spans="1:7" ht="16.5" thickTop="1" thickBot="1" x14ac:dyDescent="0.3">
      <c r="A80" s="581">
        <v>22012500</v>
      </c>
      <c r="B80" s="582" t="s">
        <v>90</v>
      </c>
      <c r="C80" s="504">
        <f t="shared" si="1"/>
        <v>40359450</v>
      </c>
      <c r="D80" s="583">
        <v>40359450</v>
      </c>
      <c r="E80" s="583"/>
      <c r="F80" s="583"/>
      <c r="G80" s="103"/>
    </row>
    <row r="81" spans="1:7" ht="27" thickTop="1" thickBot="1" x14ac:dyDescent="0.3">
      <c r="A81" s="581">
        <v>22012600</v>
      </c>
      <c r="B81" s="582" t="s">
        <v>89</v>
      </c>
      <c r="C81" s="504">
        <f>SUM(D81,E81)</f>
        <v>3725050</v>
      </c>
      <c r="D81" s="583">
        <v>3725050</v>
      </c>
      <c r="E81" s="583"/>
      <c r="F81" s="583"/>
      <c r="G81" s="103"/>
    </row>
    <row r="82" spans="1:7" ht="42" hidden="1" thickTop="1" thickBot="1" x14ac:dyDescent="0.3">
      <c r="A82" s="577">
        <v>22020000</v>
      </c>
      <c r="B82" s="578" t="s">
        <v>1538</v>
      </c>
      <c r="C82" s="354">
        <f t="shared" ref="C82" si="5">SUM(D82,E82)</f>
        <v>0</v>
      </c>
      <c r="D82" s="354">
        <f>SUM(D83)</f>
        <v>0</v>
      </c>
      <c r="E82" s="354"/>
      <c r="F82" s="354"/>
      <c r="G82" s="103"/>
    </row>
    <row r="83" spans="1:7" ht="39.75" hidden="1" thickTop="1" thickBot="1" x14ac:dyDescent="0.3">
      <c r="A83" s="355">
        <v>22020400</v>
      </c>
      <c r="B83" s="356" t="s">
        <v>1539</v>
      </c>
      <c r="C83" s="353">
        <f>SUM(D83,E83)</f>
        <v>0</v>
      </c>
      <c r="D83" s="357">
        <v>0</v>
      </c>
      <c r="E83" s="357"/>
      <c r="F83" s="357"/>
      <c r="G83" s="103"/>
    </row>
    <row r="84" spans="1:7" ht="42" thickTop="1" thickBot="1" x14ac:dyDescent="0.3">
      <c r="A84" s="505">
        <v>2208000</v>
      </c>
      <c r="B84" s="506" t="s">
        <v>533</v>
      </c>
      <c r="C84" s="507">
        <f t="shared" si="1"/>
        <v>19500000</v>
      </c>
      <c r="D84" s="507">
        <f>D85</f>
        <v>19500000</v>
      </c>
      <c r="E84" s="507"/>
      <c r="F84" s="507"/>
      <c r="G84" s="103"/>
    </row>
    <row r="85" spans="1:7" ht="52.5" thickTop="1" thickBot="1" x14ac:dyDescent="0.3">
      <c r="A85" s="581">
        <v>22080400</v>
      </c>
      <c r="B85" s="514" t="s">
        <v>91</v>
      </c>
      <c r="C85" s="504">
        <f t="shared" si="1"/>
        <v>19500000</v>
      </c>
      <c r="D85" s="583">
        <v>19500000</v>
      </c>
      <c r="E85" s="583"/>
      <c r="F85" s="583"/>
      <c r="G85" s="103"/>
    </row>
    <row r="86" spans="1:7" ht="16.5" thickTop="1" thickBot="1" x14ac:dyDescent="0.3">
      <c r="A86" s="505">
        <v>22090000</v>
      </c>
      <c r="B86" s="515" t="s">
        <v>92</v>
      </c>
      <c r="C86" s="507">
        <f t="shared" si="1"/>
        <v>550000</v>
      </c>
      <c r="D86" s="507">
        <f>SUM(D87:D88)</f>
        <v>550000</v>
      </c>
      <c r="E86" s="507"/>
      <c r="F86" s="507"/>
      <c r="G86" s="103"/>
    </row>
    <row r="87" spans="1:7" ht="52.5" thickTop="1" thickBot="1" x14ac:dyDescent="0.3">
      <c r="A87" s="581">
        <v>22090100</v>
      </c>
      <c r="B87" s="508" t="s">
        <v>93</v>
      </c>
      <c r="C87" s="504">
        <f t="shared" si="1"/>
        <v>447500</v>
      </c>
      <c r="D87" s="583">
        <v>447500</v>
      </c>
      <c r="E87" s="583"/>
      <c r="F87" s="583"/>
      <c r="G87" s="103"/>
    </row>
    <row r="88" spans="1:7" ht="39.75" thickTop="1" thickBot="1" x14ac:dyDescent="0.25">
      <c r="A88" s="581">
        <v>22090400</v>
      </c>
      <c r="B88" s="508" t="s">
        <v>94</v>
      </c>
      <c r="C88" s="504">
        <f t="shared" si="1"/>
        <v>102500</v>
      </c>
      <c r="D88" s="583">
        <v>102500</v>
      </c>
      <c r="E88" s="583"/>
      <c r="F88" s="583"/>
      <c r="G88" s="105"/>
    </row>
    <row r="89" spans="1:7" ht="90.75" thickTop="1" thickBot="1" x14ac:dyDescent="0.25">
      <c r="A89" s="502">
        <v>22130000</v>
      </c>
      <c r="B89" s="516" t="s">
        <v>1467</v>
      </c>
      <c r="C89" s="504">
        <f t="shared" si="1"/>
        <v>124300</v>
      </c>
      <c r="D89" s="504">
        <v>124300</v>
      </c>
      <c r="E89" s="504"/>
      <c r="F89" s="504"/>
      <c r="G89" s="105"/>
    </row>
    <row r="90" spans="1:7" ht="20.25" customHeight="1" thickTop="1" thickBot="1" x14ac:dyDescent="0.3">
      <c r="A90" s="502">
        <v>24000000</v>
      </c>
      <c r="B90" s="516" t="s">
        <v>95</v>
      </c>
      <c r="C90" s="504">
        <f t="shared" si="1"/>
        <v>8356224</v>
      </c>
      <c r="D90" s="504">
        <f>D91+D92+D94+D93</f>
        <v>6306200</v>
      </c>
      <c r="E90" s="504">
        <f>E91+E92+E94+E93</f>
        <v>2050024</v>
      </c>
      <c r="F90" s="504">
        <f>F91+F92+F94+F93</f>
        <v>2050024</v>
      </c>
      <c r="G90" s="103"/>
    </row>
    <row r="91" spans="1:7" ht="16.5" thickTop="1" thickBot="1" x14ac:dyDescent="0.3">
      <c r="A91" s="581">
        <v>24060300</v>
      </c>
      <c r="B91" s="582" t="s">
        <v>96</v>
      </c>
      <c r="C91" s="504">
        <f t="shared" si="1"/>
        <v>5306200</v>
      </c>
      <c r="D91" s="583">
        <v>5306200</v>
      </c>
      <c r="E91" s="583"/>
      <c r="F91" s="583"/>
      <c r="G91" s="103"/>
    </row>
    <row r="92" spans="1:7" ht="78" thickTop="1" thickBot="1" x14ac:dyDescent="0.3">
      <c r="A92" s="581">
        <v>24062200</v>
      </c>
      <c r="B92" s="582" t="s">
        <v>374</v>
      </c>
      <c r="C92" s="504">
        <f t="shared" si="1"/>
        <v>1000000</v>
      </c>
      <c r="D92" s="583">
        <v>1000000</v>
      </c>
      <c r="E92" s="583"/>
      <c r="F92" s="583"/>
      <c r="G92" s="103"/>
    </row>
    <row r="93" spans="1:7" ht="39.75" thickTop="1" thickBot="1" x14ac:dyDescent="0.3">
      <c r="A93" s="581">
        <v>24110700</v>
      </c>
      <c r="B93" s="517" t="s">
        <v>583</v>
      </c>
      <c r="C93" s="504">
        <f t="shared" si="1"/>
        <v>24</v>
      </c>
      <c r="D93" s="583"/>
      <c r="E93" s="583">
        <v>24</v>
      </c>
      <c r="F93" s="583">
        <v>24</v>
      </c>
      <c r="G93" s="103"/>
    </row>
    <row r="94" spans="1:7" ht="39.75" thickTop="1" thickBot="1" x14ac:dyDescent="0.25">
      <c r="A94" s="581">
        <v>24170000</v>
      </c>
      <c r="B94" s="508" t="s">
        <v>97</v>
      </c>
      <c r="C94" s="504">
        <f t="shared" ref="C94:C100" si="6">SUM(D94,E94)</f>
        <v>2050000</v>
      </c>
      <c r="D94" s="583"/>
      <c r="E94" s="583">
        <v>2050000</v>
      </c>
      <c r="F94" s="583">
        <v>2050000</v>
      </c>
      <c r="G94" s="104"/>
    </row>
    <row r="95" spans="1:7" ht="16.5" thickTop="1" thickBot="1" x14ac:dyDescent="0.3">
      <c r="A95" s="502">
        <v>25000000</v>
      </c>
      <c r="B95" s="518" t="s">
        <v>98</v>
      </c>
      <c r="C95" s="504">
        <f t="shared" si="6"/>
        <v>268412475</v>
      </c>
      <c r="D95" s="504">
        <f>SUM(D96:D100,)</f>
        <v>0</v>
      </c>
      <c r="E95" s="504">
        <f>SUM(E96)</f>
        <v>268412475</v>
      </c>
      <c r="F95" s="504"/>
      <c r="G95" s="103"/>
    </row>
    <row r="96" spans="1:7" ht="42" thickTop="1" thickBot="1" x14ac:dyDescent="0.3">
      <c r="A96" s="505">
        <v>25010000</v>
      </c>
      <c r="B96" s="510" t="s">
        <v>99</v>
      </c>
      <c r="C96" s="507">
        <f t="shared" si="6"/>
        <v>268412475</v>
      </c>
      <c r="D96" s="507">
        <v>0</v>
      </c>
      <c r="E96" s="507">
        <f>SUM(E97:E100)</f>
        <v>268412475</v>
      </c>
      <c r="F96" s="507"/>
      <c r="G96" s="103"/>
    </row>
    <row r="97" spans="1:7" ht="39.75" thickTop="1" thickBot="1" x14ac:dyDescent="0.3">
      <c r="A97" s="581">
        <v>25010100</v>
      </c>
      <c r="B97" s="508" t="s">
        <v>100</v>
      </c>
      <c r="C97" s="504">
        <f t="shared" si="6"/>
        <v>249100152</v>
      </c>
      <c r="D97" s="583"/>
      <c r="E97" s="583">
        <v>249100152</v>
      </c>
      <c r="F97" s="583"/>
      <c r="G97" s="103"/>
    </row>
    <row r="98" spans="1:7" ht="27" thickTop="1" thickBot="1" x14ac:dyDescent="0.3">
      <c r="A98" s="581">
        <v>25010200</v>
      </c>
      <c r="B98" s="508" t="s">
        <v>101</v>
      </c>
      <c r="C98" s="504">
        <f t="shared" si="6"/>
        <v>14929490</v>
      </c>
      <c r="D98" s="583"/>
      <c r="E98" s="583">
        <v>14929490</v>
      </c>
      <c r="F98" s="583"/>
      <c r="G98" s="103"/>
    </row>
    <row r="99" spans="1:7" ht="16.5" thickTop="1" thickBot="1" x14ac:dyDescent="0.3">
      <c r="A99" s="581">
        <v>25010300</v>
      </c>
      <c r="B99" s="508" t="s">
        <v>102</v>
      </c>
      <c r="C99" s="504">
        <f t="shared" si="6"/>
        <v>4343833</v>
      </c>
      <c r="D99" s="583"/>
      <c r="E99" s="583">
        <v>4343833</v>
      </c>
      <c r="F99" s="583"/>
      <c r="G99" s="103"/>
    </row>
    <row r="100" spans="1:7" ht="39.75" thickTop="1" thickBot="1" x14ac:dyDescent="0.3">
      <c r="A100" s="581">
        <v>25010400</v>
      </c>
      <c r="B100" s="508" t="s">
        <v>103</v>
      </c>
      <c r="C100" s="504">
        <f t="shared" si="6"/>
        <v>39000</v>
      </c>
      <c r="D100" s="583"/>
      <c r="E100" s="583">
        <v>39000</v>
      </c>
      <c r="F100" s="583"/>
      <c r="G100" s="103"/>
    </row>
    <row r="101" spans="1:7" ht="24.75" customHeight="1" thickTop="1" thickBot="1" x14ac:dyDescent="0.25">
      <c r="A101" s="584">
        <v>30000000</v>
      </c>
      <c r="B101" s="584" t="s">
        <v>104</v>
      </c>
      <c r="C101" s="585">
        <f>SUM(D101,E101)</f>
        <v>16683525</v>
      </c>
      <c r="D101" s="585">
        <f>SUM(D102)+D106</f>
        <v>25000</v>
      </c>
      <c r="E101" s="585">
        <f>SUM(E102)+E106</f>
        <v>16658525</v>
      </c>
      <c r="F101" s="585">
        <f>SUM(F102)+F106</f>
        <v>16658525</v>
      </c>
      <c r="G101" s="105"/>
    </row>
    <row r="102" spans="1:7" ht="27" customHeight="1" thickTop="1" thickBot="1" x14ac:dyDescent="0.3">
      <c r="A102" s="502">
        <v>31000000</v>
      </c>
      <c r="B102" s="502" t="s">
        <v>105</v>
      </c>
      <c r="C102" s="504">
        <f>SUM(D102,E102)</f>
        <v>4025000</v>
      </c>
      <c r="D102" s="504">
        <f>D103+D105</f>
        <v>25000</v>
      </c>
      <c r="E102" s="504">
        <f>E103+E105</f>
        <v>4000000</v>
      </c>
      <c r="F102" s="504">
        <f>F103+F105</f>
        <v>4000000</v>
      </c>
      <c r="G102" s="103"/>
    </row>
    <row r="103" spans="1:7" ht="82.5" thickTop="1" thickBot="1" x14ac:dyDescent="0.3">
      <c r="A103" s="505">
        <v>3101000</v>
      </c>
      <c r="B103" s="506" t="s">
        <v>534</v>
      </c>
      <c r="C103" s="507">
        <f>SUM(D103,E103)</f>
        <v>25000</v>
      </c>
      <c r="D103" s="507">
        <f>D104</f>
        <v>25000</v>
      </c>
      <c r="E103" s="507"/>
      <c r="F103" s="507"/>
      <c r="G103" s="103"/>
    </row>
    <row r="104" spans="1:7" ht="78" thickTop="1" thickBot="1" x14ac:dyDescent="0.3">
      <c r="A104" s="581">
        <v>31010200</v>
      </c>
      <c r="B104" s="508" t="s">
        <v>106</v>
      </c>
      <c r="C104" s="504">
        <f>SUM(D104,E104)</f>
        <v>25000</v>
      </c>
      <c r="D104" s="583">
        <v>25000</v>
      </c>
      <c r="E104" s="583"/>
      <c r="F104" s="583"/>
      <c r="G104" s="103"/>
    </row>
    <row r="105" spans="1:7" ht="55.5" thickTop="1" thickBot="1" x14ac:dyDescent="0.3">
      <c r="A105" s="505">
        <v>31030000</v>
      </c>
      <c r="B105" s="510" t="s">
        <v>107</v>
      </c>
      <c r="C105" s="507">
        <f t="shared" si="1"/>
        <v>4000000</v>
      </c>
      <c r="D105" s="507"/>
      <c r="E105" s="507">
        <v>4000000</v>
      </c>
      <c r="F105" s="507">
        <v>4000000</v>
      </c>
      <c r="G105" s="103"/>
    </row>
    <row r="106" spans="1:7" ht="27" thickTop="1" thickBot="1" x14ac:dyDescent="0.3">
      <c r="A106" s="502">
        <v>33000000</v>
      </c>
      <c r="B106" s="502" t="s">
        <v>108</v>
      </c>
      <c r="C106" s="504">
        <f t="shared" si="1"/>
        <v>12658525</v>
      </c>
      <c r="D106" s="504">
        <f>SUM(D107)</f>
        <v>0</v>
      </c>
      <c r="E106" s="504">
        <f>SUM(E107)</f>
        <v>12658525</v>
      </c>
      <c r="F106" s="504">
        <f>SUM(F107)</f>
        <v>12658525</v>
      </c>
      <c r="G106" s="103"/>
    </row>
    <row r="107" spans="1:7" ht="16.5" thickTop="1" thickBot="1" x14ac:dyDescent="0.3">
      <c r="A107" s="505">
        <v>33010000</v>
      </c>
      <c r="B107" s="506" t="s">
        <v>109</v>
      </c>
      <c r="C107" s="507">
        <f>SUM(D107,E107)</f>
        <v>12658525</v>
      </c>
      <c r="D107" s="507">
        <f>SUM(D108:D110)</f>
        <v>0</v>
      </c>
      <c r="E107" s="507">
        <f>SUM(E108:E110)</f>
        <v>12658525</v>
      </c>
      <c r="F107" s="507">
        <f>SUM(F108:F110)</f>
        <v>12658525</v>
      </c>
      <c r="G107" s="103"/>
    </row>
    <row r="108" spans="1:7" ht="52.5" thickTop="1" thickBot="1" x14ac:dyDescent="0.3">
      <c r="A108" s="581">
        <v>33010100</v>
      </c>
      <c r="B108" s="508" t="s">
        <v>342</v>
      </c>
      <c r="C108" s="504">
        <f t="shared" si="1"/>
        <v>11092610</v>
      </c>
      <c r="D108" s="583"/>
      <c r="E108" s="583">
        <v>11092610</v>
      </c>
      <c r="F108" s="583">
        <v>11092610</v>
      </c>
      <c r="G108" s="103"/>
    </row>
    <row r="109" spans="1:7" ht="52.5" thickTop="1" thickBot="1" x14ac:dyDescent="0.3">
      <c r="A109" s="581">
        <v>33010200</v>
      </c>
      <c r="B109" s="508" t="s">
        <v>110</v>
      </c>
      <c r="C109" s="504">
        <f>SUM(D109,E109)</f>
        <v>1565915</v>
      </c>
      <c r="D109" s="583"/>
      <c r="E109" s="583">
        <v>1565915</v>
      </c>
      <c r="F109" s="583">
        <v>1565915</v>
      </c>
      <c r="G109" s="103"/>
    </row>
    <row r="110" spans="1:7" ht="78" hidden="1" thickTop="1" thickBot="1" x14ac:dyDescent="0.3">
      <c r="A110" s="355">
        <v>33010500</v>
      </c>
      <c r="B110" s="358" t="s">
        <v>1359</v>
      </c>
      <c r="C110" s="353">
        <f>SUM(D110,E110)</f>
        <v>0</v>
      </c>
      <c r="D110" s="357"/>
      <c r="E110" s="357">
        <v>0</v>
      </c>
      <c r="F110" s="357">
        <v>0</v>
      </c>
      <c r="G110" s="103"/>
    </row>
    <row r="111" spans="1:7" ht="27" customHeight="1" thickTop="1" thickBot="1" x14ac:dyDescent="0.3">
      <c r="A111" s="584">
        <v>50000000</v>
      </c>
      <c r="B111" s="584" t="s">
        <v>485</v>
      </c>
      <c r="C111" s="585">
        <f>SUM(D111,E111)</f>
        <v>5500000</v>
      </c>
      <c r="D111" s="585">
        <f>SUM(D112)</f>
        <v>0</v>
      </c>
      <c r="E111" s="585">
        <f>SUM(E112)</f>
        <v>5500000</v>
      </c>
      <c r="F111" s="585">
        <f>SUM(F112)</f>
        <v>0</v>
      </c>
      <c r="G111" s="103"/>
    </row>
    <row r="112" spans="1:7" ht="52.5" thickTop="1" thickBot="1" x14ac:dyDescent="0.3">
      <c r="A112" s="502">
        <v>50110000</v>
      </c>
      <c r="B112" s="513" t="s">
        <v>111</v>
      </c>
      <c r="C112" s="504">
        <f t="shared" ref="C112:C150" si="7">SUM(D112,E112)</f>
        <v>5500000</v>
      </c>
      <c r="D112" s="583"/>
      <c r="E112" s="504">
        <v>5500000</v>
      </c>
      <c r="F112" s="583"/>
      <c r="G112" s="103"/>
    </row>
    <row r="113" spans="1:7" ht="45.75" customHeight="1" thickTop="1" thickBot="1" x14ac:dyDescent="0.25">
      <c r="A113" s="586"/>
      <c r="B113" s="587" t="s">
        <v>486</v>
      </c>
      <c r="C113" s="588">
        <f t="shared" ref="C113:C121" si="8">SUM(D113,E113)</f>
        <v>3744606083</v>
      </c>
      <c r="D113" s="588">
        <f>D111+D101+D66+D15</f>
        <v>3449985059</v>
      </c>
      <c r="E113" s="588">
        <f>E111+E101+E66+E15</f>
        <v>294621024</v>
      </c>
      <c r="F113" s="588">
        <f>F111+F101+F66+F15</f>
        <v>18708549</v>
      </c>
      <c r="G113" s="104"/>
    </row>
    <row r="114" spans="1:7" ht="34.5" customHeight="1" thickTop="1" thickBot="1" x14ac:dyDescent="0.25">
      <c r="A114" s="584">
        <v>40000000</v>
      </c>
      <c r="B114" s="584" t="s">
        <v>425</v>
      </c>
      <c r="C114" s="585">
        <f>SUM(D114,E114)</f>
        <v>8349946</v>
      </c>
      <c r="D114" s="585">
        <f>SUM(D120,D117,D115)</f>
        <v>8349946</v>
      </c>
      <c r="E114" s="585">
        <f>SUM(E120,E117,E115)</f>
        <v>0</v>
      </c>
      <c r="F114" s="585">
        <f>SUM(F120,F117,F115)</f>
        <v>0</v>
      </c>
      <c r="G114" s="104"/>
    </row>
    <row r="115" spans="1:7" ht="34.5" hidden="1" customHeight="1" thickTop="1" thickBot="1" x14ac:dyDescent="0.25">
      <c r="A115" s="352">
        <v>41020000</v>
      </c>
      <c r="B115" s="359" t="s">
        <v>1296</v>
      </c>
      <c r="C115" s="353">
        <f t="shared" ref="C115:C116" si="9">SUM(D115,E115)</f>
        <v>0</v>
      </c>
      <c r="D115" s="353">
        <f>SUM(D116)</f>
        <v>0</v>
      </c>
      <c r="E115" s="353"/>
      <c r="F115" s="353"/>
      <c r="G115" s="104"/>
    </row>
    <row r="116" spans="1:7" ht="103.5" hidden="1" thickTop="1" thickBot="1" x14ac:dyDescent="0.25">
      <c r="A116" s="355">
        <v>41021400</v>
      </c>
      <c r="B116" s="358" t="s">
        <v>1303</v>
      </c>
      <c r="C116" s="353">
        <f t="shared" si="9"/>
        <v>0</v>
      </c>
      <c r="D116" s="357">
        <v>0</v>
      </c>
      <c r="E116" s="353"/>
      <c r="F116" s="353"/>
      <c r="G116" s="104"/>
    </row>
    <row r="117" spans="1:7" ht="27" thickTop="1" thickBot="1" x14ac:dyDescent="0.25">
      <c r="A117" s="502">
        <v>41040000</v>
      </c>
      <c r="B117" s="509" t="s">
        <v>343</v>
      </c>
      <c r="C117" s="504">
        <f>SUM(D117,E117)</f>
        <v>7178900</v>
      </c>
      <c r="D117" s="504">
        <f>SUM(D118:D119)</f>
        <v>7178900</v>
      </c>
      <c r="E117" s="504"/>
      <c r="F117" s="504"/>
      <c r="G117" s="104"/>
    </row>
    <row r="118" spans="1:7" ht="66" customHeight="1" thickTop="1" thickBot="1" x14ac:dyDescent="0.25">
      <c r="A118" s="581">
        <v>41040200</v>
      </c>
      <c r="B118" s="508" t="s">
        <v>1126</v>
      </c>
      <c r="C118" s="504">
        <f t="shared" si="8"/>
        <v>7178900</v>
      </c>
      <c r="D118" s="583">
        <v>7178900</v>
      </c>
      <c r="E118" s="504"/>
      <c r="F118" s="504"/>
      <c r="G118" s="104"/>
    </row>
    <row r="119" spans="1:7" ht="15.75" hidden="1" thickTop="1" thickBot="1" x14ac:dyDescent="0.25">
      <c r="A119" s="355">
        <v>41040400</v>
      </c>
      <c r="B119" s="358" t="s">
        <v>1182</v>
      </c>
      <c r="C119" s="353">
        <f t="shared" si="8"/>
        <v>0</v>
      </c>
      <c r="D119" s="357">
        <v>0</v>
      </c>
      <c r="E119" s="353"/>
      <c r="F119" s="353"/>
      <c r="G119" s="104"/>
    </row>
    <row r="120" spans="1:7" s="496" customFormat="1" ht="15.75" thickTop="1" thickBot="1" x14ac:dyDescent="0.25">
      <c r="A120" s="502">
        <v>41000000</v>
      </c>
      <c r="B120" s="502" t="s">
        <v>112</v>
      </c>
      <c r="C120" s="504">
        <f t="shared" si="8"/>
        <v>1171046</v>
      </c>
      <c r="D120" s="504">
        <f>SUM(D121,D130)</f>
        <v>1171046</v>
      </c>
      <c r="E120" s="504">
        <f>SUM(E121,E130)</f>
        <v>0</v>
      </c>
      <c r="F120" s="504">
        <f>SUM(F121,F130)</f>
        <v>0</v>
      </c>
      <c r="G120" s="521"/>
    </row>
    <row r="121" spans="1:7" s="496" customFormat="1" ht="27" thickTop="1" thickBot="1" x14ac:dyDescent="0.3">
      <c r="A121" s="502">
        <v>41030000</v>
      </c>
      <c r="B121" s="518" t="s">
        <v>436</v>
      </c>
      <c r="C121" s="504">
        <f t="shared" si="8"/>
        <v>0</v>
      </c>
      <c r="D121" s="504">
        <f>SUM(D122:D129)</f>
        <v>0</v>
      </c>
      <c r="E121" s="504">
        <f>SUM(E122:E129)</f>
        <v>0</v>
      </c>
      <c r="F121" s="504">
        <f>SUM(F122:F129)</f>
        <v>0</v>
      </c>
      <c r="G121" s="503"/>
    </row>
    <row r="122" spans="1:7" ht="52.5" hidden="1" thickTop="1" thickBot="1" x14ac:dyDescent="0.3">
      <c r="A122" s="355">
        <v>41032300</v>
      </c>
      <c r="B122" s="356" t="s">
        <v>966</v>
      </c>
      <c r="C122" s="353">
        <f t="shared" si="7"/>
        <v>0</v>
      </c>
      <c r="D122" s="357">
        <v>0</v>
      </c>
      <c r="E122" s="353"/>
      <c r="F122" s="357"/>
      <c r="G122" s="103"/>
    </row>
    <row r="123" spans="1:7" ht="52.5" hidden="1" thickTop="1" thickBot="1" x14ac:dyDescent="0.3">
      <c r="A123" s="355">
        <v>41033300</v>
      </c>
      <c r="B123" s="356" t="s">
        <v>1560</v>
      </c>
      <c r="C123" s="353">
        <f t="shared" si="7"/>
        <v>0</v>
      </c>
      <c r="D123" s="357">
        <v>0</v>
      </c>
      <c r="E123" s="353"/>
      <c r="F123" s="357"/>
      <c r="G123" s="103"/>
    </row>
    <row r="124" spans="1:7" ht="52.5" hidden="1" thickTop="1" thickBot="1" x14ac:dyDescent="0.3">
      <c r="A124" s="355">
        <v>41033800</v>
      </c>
      <c r="B124" s="356" t="s">
        <v>1016</v>
      </c>
      <c r="C124" s="353">
        <f t="shared" si="7"/>
        <v>0</v>
      </c>
      <c r="D124" s="357">
        <v>0</v>
      </c>
      <c r="E124" s="353"/>
      <c r="F124" s="357"/>
      <c r="G124" s="103"/>
    </row>
    <row r="125" spans="1:7" ht="27" thickTop="1" thickBot="1" x14ac:dyDescent="0.3">
      <c r="A125" s="581">
        <v>41033900</v>
      </c>
      <c r="B125" s="582" t="s">
        <v>113</v>
      </c>
      <c r="C125" s="504">
        <f t="shared" si="7"/>
        <v>0</v>
      </c>
      <c r="D125" s="583">
        <v>0</v>
      </c>
      <c r="E125" s="583"/>
      <c r="F125" s="583"/>
      <c r="G125" s="103"/>
    </row>
    <row r="126" spans="1:7" ht="52.5" hidden="1" thickTop="1" thickBot="1" x14ac:dyDescent="0.3">
      <c r="A126" s="355">
        <v>41034500</v>
      </c>
      <c r="B126" s="356" t="s">
        <v>1017</v>
      </c>
      <c r="C126" s="353">
        <f t="shared" si="7"/>
        <v>0</v>
      </c>
      <c r="D126" s="357">
        <v>0</v>
      </c>
      <c r="E126" s="357">
        <v>0</v>
      </c>
      <c r="F126" s="357">
        <v>0</v>
      </c>
      <c r="G126" s="103"/>
    </row>
    <row r="127" spans="1:7" ht="65.25" hidden="1" thickTop="1" thickBot="1" x14ac:dyDescent="0.3">
      <c r="A127" s="355">
        <v>41035500</v>
      </c>
      <c r="B127" s="356" t="s">
        <v>968</v>
      </c>
      <c r="C127" s="353">
        <f t="shared" si="7"/>
        <v>0</v>
      </c>
      <c r="D127" s="357">
        <v>0</v>
      </c>
      <c r="E127" s="357"/>
      <c r="F127" s="357"/>
      <c r="G127" s="103"/>
    </row>
    <row r="128" spans="1:7" ht="65.25" hidden="1" thickTop="1" thickBot="1" x14ac:dyDescent="0.3">
      <c r="A128" s="355">
        <v>41035600</v>
      </c>
      <c r="B128" s="356" t="s">
        <v>985</v>
      </c>
      <c r="C128" s="353">
        <f t="shared" si="7"/>
        <v>0</v>
      </c>
      <c r="D128" s="357">
        <v>0</v>
      </c>
      <c r="E128" s="357"/>
      <c r="F128" s="357"/>
      <c r="G128" s="103"/>
    </row>
    <row r="129" spans="1:7" ht="39.75" hidden="1" thickTop="1" thickBot="1" x14ac:dyDescent="0.3">
      <c r="A129" s="355">
        <v>41035700</v>
      </c>
      <c r="B129" s="356" t="s">
        <v>959</v>
      </c>
      <c r="C129" s="353">
        <f t="shared" si="7"/>
        <v>0</v>
      </c>
      <c r="D129" s="357">
        <v>0</v>
      </c>
      <c r="E129" s="357"/>
      <c r="F129" s="357"/>
      <c r="G129" s="103"/>
    </row>
    <row r="130" spans="1:7" s="496" customFormat="1" ht="27" thickTop="1" thickBot="1" x14ac:dyDescent="0.3">
      <c r="A130" s="502">
        <v>41050000</v>
      </c>
      <c r="B130" s="518" t="s">
        <v>471</v>
      </c>
      <c r="C130" s="504">
        <f t="shared" ref="C130:C138" si="10">SUM(D130,E130)</f>
        <v>1171046</v>
      </c>
      <c r="D130" s="504">
        <f>SUM(D131:D144)+D151+D152</f>
        <v>1171046</v>
      </c>
      <c r="E130" s="504">
        <f>SUM(E131:E144)</f>
        <v>0</v>
      </c>
      <c r="F130" s="504">
        <f>SUM(F131:F144)</f>
        <v>0</v>
      </c>
      <c r="G130" s="503"/>
    </row>
    <row r="131" spans="1:7" ht="345.75" hidden="1" thickTop="1" thickBot="1" x14ac:dyDescent="0.3">
      <c r="A131" s="355">
        <v>41050400</v>
      </c>
      <c r="B131" s="356" t="s">
        <v>1380</v>
      </c>
      <c r="C131" s="353">
        <f t="shared" si="10"/>
        <v>0</v>
      </c>
      <c r="D131" s="357">
        <v>0</v>
      </c>
      <c r="E131" s="357"/>
      <c r="F131" s="357"/>
      <c r="G131" s="103"/>
    </row>
    <row r="132" spans="1:7" ht="243.75" hidden="1" thickTop="1" thickBot="1" x14ac:dyDescent="0.3">
      <c r="A132" s="355">
        <v>41050500</v>
      </c>
      <c r="B132" s="356" t="s">
        <v>1018</v>
      </c>
      <c r="C132" s="353">
        <f t="shared" si="10"/>
        <v>0</v>
      </c>
      <c r="D132" s="357">
        <v>0</v>
      </c>
      <c r="E132" s="357"/>
      <c r="F132" s="357"/>
      <c r="G132" s="103"/>
    </row>
    <row r="133" spans="1:7" ht="345.75" hidden="1" thickTop="1" thickBot="1" x14ac:dyDescent="0.3">
      <c r="A133" s="355">
        <v>41050600</v>
      </c>
      <c r="B133" s="356" t="s">
        <v>1381</v>
      </c>
      <c r="C133" s="353">
        <f t="shared" si="10"/>
        <v>0</v>
      </c>
      <c r="D133" s="357">
        <v>0</v>
      </c>
      <c r="E133" s="357"/>
      <c r="F133" s="357"/>
      <c r="G133" s="103"/>
    </row>
    <row r="134" spans="1:7" ht="138" hidden="1" customHeight="1" thickTop="1" thickBot="1" x14ac:dyDescent="0.3">
      <c r="A134" s="355">
        <v>41050900</v>
      </c>
      <c r="B134" s="356" t="s">
        <v>1019</v>
      </c>
      <c r="C134" s="353">
        <f t="shared" si="10"/>
        <v>0</v>
      </c>
      <c r="D134" s="357">
        <v>0</v>
      </c>
      <c r="E134" s="357"/>
      <c r="F134" s="357"/>
      <c r="G134" s="103"/>
    </row>
    <row r="135" spans="1:7" s="496" customFormat="1" ht="39.75" thickTop="1" thickBot="1" x14ac:dyDescent="0.3">
      <c r="A135" s="581">
        <v>41051000</v>
      </c>
      <c r="B135" s="582" t="s">
        <v>472</v>
      </c>
      <c r="C135" s="504">
        <f t="shared" si="10"/>
        <v>0</v>
      </c>
      <c r="D135" s="583">
        <v>0</v>
      </c>
      <c r="E135" s="583"/>
      <c r="F135" s="583"/>
      <c r="G135" s="503"/>
    </row>
    <row r="136" spans="1:7" ht="39.75" hidden="1" thickTop="1" thickBot="1" x14ac:dyDescent="0.3">
      <c r="A136" s="355">
        <v>41051100</v>
      </c>
      <c r="B136" s="356" t="s">
        <v>1506</v>
      </c>
      <c r="C136" s="353">
        <f t="shared" si="10"/>
        <v>0</v>
      </c>
      <c r="D136" s="357"/>
      <c r="E136" s="357">
        <v>0</v>
      </c>
      <c r="F136" s="357"/>
      <c r="G136" s="103"/>
    </row>
    <row r="137" spans="1:7" s="496" customFormat="1" ht="52.5" thickTop="1" thickBot="1" x14ac:dyDescent="0.3">
      <c r="A137" s="581">
        <v>41051200</v>
      </c>
      <c r="B137" s="582" t="s">
        <v>1250</v>
      </c>
      <c r="C137" s="504">
        <f>SUM(D137,E137)</f>
        <v>0</v>
      </c>
      <c r="D137" s="583">
        <v>0</v>
      </c>
      <c r="E137" s="583"/>
      <c r="F137" s="583"/>
      <c r="G137" s="503"/>
    </row>
    <row r="138" spans="1:7" ht="65.25" hidden="1" thickTop="1" thickBot="1" x14ac:dyDescent="0.3">
      <c r="A138" s="355">
        <v>41051400</v>
      </c>
      <c r="B138" s="356" t="s">
        <v>1548</v>
      </c>
      <c r="C138" s="353">
        <f t="shared" si="10"/>
        <v>0</v>
      </c>
      <c r="D138" s="357">
        <v>0</v>
      </c>
      <c r="E138" s="357"/>
      <c r="F138" s="357"/>
      <c r="G138" s="103"/>
    </row>
    <row r="139" spans="1:7" ht="65.25" hidden="1" thickTop="1" thickBot="1" x14ac:dyDescent="0.3">
      <c r="A139" s="355">
        <v>41051700</v>
      </c>
      <c r="B139" s="356" t="s">
        <v>930</v>
      </c>
      <c r="C139" s="353">
        <f t="shared" si="7"/>
        <v>0</v>
      </c>
      <c r="D139" s="357">
        <v>0</v>
      </c>
      <c r="E139" s="357"/>
      <c r="F139" s="357"/>
      <c r="G139" s="103"/>
    </row>
    <row r="140" spans="1:7" ht="103.5" hidden="1" thickTop="1" thickBot="1" x14ac:dyDescent="0.3">
      <c r="A140" s="361">
        <v>41056600</v>
      </c>
      <c r="B140" s="362" t="s">
        <v>1001</v>
      </c>
      <c r="C140" s="363">
        <f t="shared" si="7"/>
        <v>0</v>
      </c>
      <c r="D140" s="364">
        <f>10623233.82-10623233.82</f>
        <v>0</v>
      </c>
      <c r="E140" s="364"/>
      <c r="F140" s="364"/>
      <c r="G140" s="103"/>
    </row>
    <row r="141" spans="1:7" ht="65.25" hidden="1" thickTop="1" thickBot="1" x14ac:dyDescent="0.25">
      <c r="A141" s="361">
        <v>41055000</v>
      </c>
      <c r="B141" s="362" t="s">
        <v>1020</v>
      </c>
      <c r="C141" s="363">
        <f t="shared" si="7"/>
        <v>0</v>
      </c>
      <c r="D141" s="364">
        <v>0</v>
      </c>
      <c r="E141" s="364"/>
      <c r="F141" s="364"/>
      <c r="G141" s="104"/>
    </row>
    <row r="142" spans="1:7" ht="27" hidden="1" thickTop="1" thickBot="1" x14ac:dyDescent="0.25">
      <c r="A142" s="361">
        <v>41053600</v>
      </c>
      <c r="B142" s="362" t="s">
        <v>932</v>
      </c>
      <c r="C142" s="363">
        <f t="shared" si="7"/>
        <v>0</v>
      </c>
      <c r="D142" s="364"/>
      <c r="E142" s="364">
        <v>0</v>
      </c>
      <c r="F142" s="364"/>
      <c r="G142" s="104"/>
    </row>
    <row r="143" spans="1:7" ht="218.25" hidden="1" thickTop="1" thickBot="1" x14ac:dyDescent="0.25">
      <c r="A143" s="361">
        <v>41054200</v>
      </c>
      <c r="B143" s="362" t="s">
        <v>1021</v>
      </c>
      <c r="C143" s="363">
        <f t="shared" si="7"/>
        <v>0</v>
      </c>
      <c r="D143" s="364">
        <v>0</v>
      </c>
      <c r="E143" s="364"/>
      <c r="F143" s="364"/>
      <c r="G143" s="104"/>
    </row>
    <row r="144" spans="1:7" s="496" customFormat="1" ht="27" thickTop="1" thickBot="1" x14ac:dyDescent="0.25">
      <c r="A144" s="581">
        <v>41053900</v>
      </c>
      <c r="B144" s="582" t="s">
        <v>888</v>
      </c>
      <c r="C144" s="504">
        <f t="shared" si="7"/>
        <v>1171046</v>
      </c>
      <c r="D144" s="504">
        <f>SUM(D145:D150)</f>
        <v>1171046</v>
      </c>
      <c r="E144" s="504">
        <f>SUM(E145:E150)</f>
        <v>0</v>
      </c>
      <c r="F144" s="504">
        <f>SUM(F145:F150)</f>
        <v>0</v>
      </c>
      <c r="G144" s="521"/>
    </row>
    <row r="145" spans="1:10" ht="15.75" hidden="1" thickTop="1" thickBot="1" x14ac:dyDescent="0.25">
      <c r="A145" s="355"/>
      <c r="B145" s="580" t="s">
        <v>933</v>
      </c>
      <c r="C145" s="354">
        <f>SUM(D145,E145)</f>
        <v>0</v>
      </c>
      <c r="D145" s="360"/>
      <c r="E145" s="360">
        <v>0</v>
      </c>
      <c r="F145" s="360">
        <v>0</v>
      </c>
      <c r="G145" s="104"/>
    </row>
    <row r="146" spans="1:10" ht="39.75" thickTop="1" thickBot="1" x14ac:dyDescent="0.25">
      <c r="A146" s="581"/>
      <c r="B146" s="519" t="s">
        <v>889</v>
      </c>
      <c r="C146" s="507">
        <f t="shared" si="7"/>
        <v>381295</v>
      </c>
      <c r="D146" s="520">
        <v>381295</v>
      </c>
      <c r="E146" s="520"/>
      <c r="F146" s="520"/>
      <c r="G146" s="104"/>
    </row>
    <row r="147" spans="1:10" ht="52.5" thickTop="1" thickBot="1" x14ac:dyDescent="0.25">
      <c r="A147" s="581"/>
      <c r="B147" s="519" t="s">
        <v>890</v>
      </c>
      <c r="C147" s="507">
        <f t="shared" si="7"/>
        <v>160170</v>
      </c>
      <c r="D147" s="520">
        <v>160170</v>
      </c>
      <c r="E147" s="520"/>
      <c r="F147" s="520"/>
      <c r="G147" s="104"/>
    </row>
    <row r="148" spans="1:10" ht="27" thickTop="1" thickBot="1" x14ac:dyDescent="0.25">
      <c r="A148" s="581"/>
      <c r="B148" s="519" t="s">
        <v>891</v>
      </c>
      <c r="C148" s="507">
        <f t="shared" si="7"/>
        <v>629581</v>
      </c>
      <c r="D148" s="520">
        <v>629581</v>
      </c>
      <c r="E148" s="520"/>
      <c r="F148" s="520"/>
      <c r="G148" s="104"/>
    </row>
    <row r="149" spans="1:10" ht="39.75" hidden="1" thickTop="1" thickBot="1" x14ac:dyDescent="0.25">
      <c r="A149" s="361"/>
      <c r="B149" s="365" t="s">
        <v>1056</v>
      </c>
      <c r="C149" s="108">
        <f t="shared" si="7"/>
        <v>0</v>
      </c>
      <c r="D149" s="109">
        <v>0</v>
      </c>
      <c r="E149" s="109"/>
      <c r="F149" s="109"/>
      <c r="G149" s="104"/>
    </row>
    <row r="150" spans="1:10" ht="27" hidden="1" thickTop="1" thickBot="1" x14ac:dyDescent="0.25">
      <c r="A150" s="361"/>
      <c r="B150" s="365" t="s">
        <v>1057</v>
      </c>
      <c r="C150" s="108">
        <f t="shared" si="7"/>
        <v>0</v>
      </c>
      <c r="D150" s="109"/>
      <c r="E150" s="109">
        <v>0</v>
      </c>
      <c r="F150" s="109">
        <v>0</v>
      </c>
      <c r="G150" s="104"/>
    </row>
    <row r="151" spans="1:10" ht="65.25" hidden="1" thickTop="1" thickBot="1" x14ac:dyDescent="0.25">
      <c r="A151" s="355">
        <v>41057700</v>
      </c>
      <c r="B151" s="356" t="s">
        <v>1335</v>
      </c>
      <c r="C151" s="353">
        <f>SUM(D151,E151)</f>
        <v>0</v>
      </c>
      <c r="D151" s="357">
        <v>0</v>
      </c>
      <c r="E151" s="357"/>
      <c r="F151" s="357"/>
      <c r="G151" s="104"/>
    </row>
    <row r="152" spans="1:10" ht="52.5" hidden="1" thickTop="1" thickBot="1" x14ac:dyDescent="0.25">
      <c r="A152" s="355">
        <v>41059000</v>
      </c>
      <c r="B152" s="356" t="s">
        <v>1360</v>
      </c>
      <c r="C152" s="353">
        <f>SUM(D152,E152)</f>
        <v>0</v>
      </c>
      <c r="D152" s="357">
        <v>0</v>
      </c>
      <c r="E152" s="357"/>
      <c r="F152" s="357"/>
      <c r="G152" s="104"/>
    </row>
    <row r="153" spans="1:10" ht="33.75" customHeight="1" thickTop="1" thickBot="1" x14ac:dyDescent="0.3">
      <c r="A153" s="586"/>
      <c r="B153" s="587" t="s">
        <v>1012</v>
      </c>
      <c r="C153" s="588">
        <f>SUM(D153,E153)</f>
        <v>3752956029</v>
      </c>
      <c r="D153" s="588">
        <f>SUM(D113,D114)</f>
        <v>3458335005</v>
      </c>
      <c r="E153" s="588">
        <f>SUM(E113,E114)</f>
        <v>294621024</v>
      </c>
      <c r="F153" s="588">
        <f>SUM(F113,F114)</f>
        <v>18708549</v>
      </c>
      <c r="G153" s="530" t="b">
        <f>C153=C148+C147+C146+C137+C135+C118+C112+C109+C108+C105+C104+C100+C99+C98+C97+C94+C93+C92+C91+C89+C88+C87+C85+C81+C80+C79+C76+C75+C74+C73+C72+C69+C65+C64+C63+C60+C59+C58+C56+C55+C53+C51+C50+C49+C48+C47+C46+C45+C44+C43+C42+C39+C38+C36+C34+C31+C29+C28+C25+C23+C22+C21+C20+C18</f>
        <v>1</v>
      </c>
      <c r="H153" s="530" t="b">
        <f>D153=D148+D147+D146+D137+D135+D118+D112+D109+D108+D105+D104+D100+D99+D98+D97+D94+D93+D92+D91+D89+D88+D87+D85+D81+D80+D79+D76+D75+D74+D73+D72+D69+D65+D64+D63+D60+D59+D58+D56+D55+D53+D51+D50+D49+D48+D47+D46+D45+D44+D43+D42+D39+D38+D36+D34+D31+D29+D28+D25+D23+D22+D21+D20+D18</f>
        <v>1</v>
      </c>
      <c r="I153" s="530" t="b">
        <f>E153=E148+E147+E146+E137+E135+E118+E112+E109+E108+E105+E104+E100+E99+E98+E97+E94+E93+E92+E91+E89+E88+E87+E85+E81+E80+E79+E76+E75+E74+E73+E72+E69+E65+E64+E63+E60+E59+E58+E56+E55+E53+E51+E50+E49+E48+E47+E46+E45+E44+E43+E42+E39+E38+E36+E34+E31+E29+E28+E25+E23+E22+E21+E20+E18</f>
        <v>1</v>
      </c>
      <c r="J153" s="530" t="b">
        <f>F153=F148+F147+F146+F137+F135+F118+F112+F109+F108+F105+F104+F100+F99+F98+F97+F94+F93+F92+F91+F89+F88+F87+F85+F81+F80+F79+F76+F75+F74+F73+F72+F69+F65+F64+F63+F60+F59+F58+F56+F55+F53+F51+F50+F49+F48+F47+F46+F45+F44+F43+F42+F39+F38+F36+F34+F31+F29+F28+F25+F23+F22+F21+F20+F18</f>
        <v>1</v>
      </c>
    </row>
    <row r="154" spans="1:10" ht="16.5" thickTop="1" x14ac:dyDescent="0.25">
      <c r="B154" s="110"/>
      <c r="G154" s="530" t="b">
        <f>3737956029-'d2'!C37-'d2'!C22=C153</f>
        <v>0</v>
      </c>
    </row>
    <row r="155" spans="1:10" ht="15.75" x14ac:dyDescent="0.2">
      <c r="B155" s="347" t="s">
        <v>1432</v>
      </c>
      <c r="C155"/>
      <c r="D155"/>
      <c r="E155" s="348" t="s">
        <v>1433</v>
      </c>
      <c r="F155" s="112"/>
      <c r="G155" s="111"/>
    </row>
    <row r="156" spans="1:10" ht="15.75" hidden="1" x14ac:dyDescent="0.2">
      <c r="B156" s="347" t="s">
        <v>1398</v>
      </c>
      <c r="C156"/>
      <c r="D156"/>
      <c r="E156" s="348" t="s">
        <v>1399</v>
      </c>
      <c r="F156" s="112"/>
      <c r="G156" s="111"/>
    </row>
    <row r="157" spans="1:10" ht="15.75" x14ac:dyDescent="0.25">
      <c r="B157" s="1"/>
      <c r="C157" s="496"/>
      <c r="D157" s="496"/>
      <c r="E157" s="1"/>
    </row>
    <row r="158" spans="1:10" ht="15.75" x14ac:dyDescent="0.25">
      <c r="A158" s="113"/>
      <c r="B158" s="440" t="s">
        <v>519</v>
      </c>
      <c r="C158" s="1"/>
      <c r="D158" s="1"/>
      <c r="E158" s="1" t="s">
        <v>1304</v>
      </c>
      <c r="F158" s="113"/>
    </row>
    <row r="161" spans="3:6" x14ac:dyDescent="0.2">
      <c r="C161" s="111"/>
      <c r="D161" s="111"/>
      <c r="E161" s="111"/>
      <c r="F161" s="111"/>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view="pageBreakPreview" topLeftCell="A3" zoomScale="90" zoomScaleSheetLayoutView="90" workbookViewId="0">
      <selection activeCell="E34" sqref="E34"/>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s="724" t="s">
        <v>114</v>
      </c>
      <c r="F1" s="724"/>
    </row>
    <row r="2" spans="1:17" x14ac:dyDescent="0.2">
      <c r="A2"/>
      <c r="B2"/>
      <c r="C2"/>
      <c r="D2"/>
      <c r="E2" s="724" t="s">
        <v>945</v>
      </c>
      <c r="F2" s="724"/>
    </row>
    <row r="3" spans="1:17" x14ac:dyDescent="0.2">
      <c r="A3"/>
      <c r="B3"/>
      <c r="C3"/>
      <c r="D3"/>
      <c r="E3" s="724" t="s">
        <v>1572</v>
      </c>
      <c r="F3" s="724"/>
    </row>
    <row r="4" spans="1:17" x14ac:dyDescent="0.2">
      <c r="A4"/>
      <c r="B4"/>
      <c r="C4"/>
      <c r="D4"/>
      <c r="E4"/>
      <c r="F4"/>
    </row>
    <row r="5" spans="1:17" ht="18.75" x14ac:dyDescent="0.2">
      <c r="A5" s="727" t="s">
        <v>568</v>
      </c>
      <c r="B5" s="727"/>
      <c r="C5" s="727"/>
      <c r="D5" s="727"/>
      <c r="E5" s="727"/>
      <c r="F5" s="727"/>
    </row>
    <row r="6" spans="1:17" ht="18.75" x14ac:dyDescent="0.2">
      <c r="A6" s="727" t="s">
        <v>1587</v>
      </c>
      <c r="B6" s="727"/>
      <c r="C6" s="727"/>
      <c r="D6" s="727"/>
      <c r="E6" s="727"/>
      <c r="F6" s="727"/>
    </row>
    <row r="7" spans="1:17" ht="18.75" x14ac:dyDescent="0.2">
      <c r="A7" s="316"/>
      <c r="B7" s="316"/>
      <c r="C7" s="316"/>
      <c r="D7" s="316"/>
      <c r="E7" s="316"/>
      <c r="F7" s="316"/>
    </row>
    <row r="8" spans="1:17" x14ac:dyDescent="0.2">
      <c r="A8" s="728">
        <v>2256400000</v>
      </c>
      <c r="B8" s="729"/>
      <c r="C8" s="730"/>
      <c r="D8" s="730"/>
      <c r="E8" s="730"/>
      <c r="F8" s="730"/>
      <c r="G8" s="20"/>
    </row>
    <row r="9" spans="1:17" ht="15" customHeight="1" x14ac:dyDescent="0.2">
      <c r="A9" s="731" t="s">
        <v>488</v>
      </c>
      <c r="B9" s="732"/>
      <c r="C9" s="730"/>
      <c r="D9" s="730"/>
      <c r="E9" s="730"/>
      <c r="F9" s="730"/>
      <c r="G9" s="20"/>
    </row>
    <row r="10" spans="1:17" ht="13.5" thickBot="1" x14ac:dyDescent="0.25">
      <c r="A10" s="474"/>
      <c r="B10" s="474"/>
      <c r="C10"/>
      <c r="D10"/>
      <c r="E10"/>
      <c r="F10" s="475" t="s">
        <v>403</v>
      </c>
      <c r="G10" s="20"/>
    </row>
    <row r="11" spans="1:17" ht="14.25" thickTop="1" thickBot="1" x14ac:dyDescent="0.25">
      <c r="A11" s="733" t="s">
        <v>57</v>
      </c>
      <c r="B11" s="733" t="s">
        <v>377</v>
      </c>
      <c r="C11" s="733" t="s">
        <v>382</v>
      </c>
      <c r="D11" s="733" t="s">
        <v>12</v>
      </c>
      <c r="E11" s="733" t="s">
        <v>52</v>
      </c>
      <c r="F11" s="733"/>
      <c r="G11" s="20"/>
    </row>
    <row r="12" spans="1:17" ht="35.450000000000003" customHeight="1" thickTop="1" thickBot="1" x14ac:dyDescent="0.25">
      <c r="A12" s="733"/>
      <c r="B12" s="733"/>
      <c r="C12" s="733"/>
      <c r="D12" s="734"/>
      <c r="E12" s="476" t="s">
        <v>383</v>
      </c>
      <c r="F12" s="476" t="s">
        <v>384</v>
      </c>
      <c r="G12" s="20"/>
    </row>
    <row r="13" spans="1:17" ht="14.25" thickTop="1" thickBot="1" x14ac:dyDescent="0.25">
      <c r="A13" s="477">
        <v>1</v>
      </c>
      <c r="B13" s="477">
        <v>2</v>
      </c>
      <c r="C13" s="477">
        <v>3</v>
      </c>
      <c r="D13" s="477">
        <v>4</v>
      </c>
      <c r="E13" s="477">
        <v>5</v>
      </c>
      <c r="F13" s="477">
        <v>6</v>
      </c>
      <c r="G13" s="20"/>
    </row>
    <row r="14" spans="1:17" ht="30.75" customHeight="1" thickTop="1" thickBot="1" x14ac:dyDescent="0.25">
      <c r="A14" s="735" t="s">
        <v>378</v>
      </c>
      <c r="B14" s="735"/>
      <c r="C14" s="736"/>
      <c r="D14" s="736"/>
      <c r="E14" s="736"/>
      <c r="F14" s="736"/>
      <c r="G14" s="20"/>
    </row>
    <row r="15" spans="1:17" ht="26.45" customHeight="1" thickTop="1" thickBot="1" x14ac:dyDescent="0.25">
      <c r="A15" s="675" t="s">
        <v>115</v>
      </c>
      <c r="B15" s="685" t="s">
        <v>116</v>
      </c>
      <c r="C15" s="675">
        <f>C16+C25+C20</f>
        <v>0</v>
      </c>
      <c r="D15" s="675">
        <f>D16+D25+D20</f>
        <v>-181808055</v>
      </c>
      <c r="E15" s="675">
        <f>E16+E25+E20</f>
        <v>181808055</v>
      </c>
      <c r="F15" s="675">
        <f>F16+F25+F20</f>
        <v>181808055</v>
      </c>
      <c r="G15" s="531">
        <f>E15-F15</f>
        <v>0</v>
      </c>
      <c r="H15" s="115"/>
      <c r="I15" s="115"/>
      <c r="J15" s="115"/>
      <c r="K15" s="115"/>
      <c r="L15" s="115"/>
      <c r="M15" s="115"/>
      <c r="N15" s="115"/>
      <c r="O15" s="115"/>
      <c r="P15" s="115"/>
      <c r="Q15" s="115"/>
    </row>
    <row r="16" spans="1:17" ht="42" hidden="1" thickTop="1" thickBot="1" x14ac:dyDescent="0.25">
      <c r="A16" s="676">
        <v>202000</v>
      </c>
      <c r="B16" s="677" t="s">
        <v>950</v>
      </c>
      <c r="C16" s="678">
        <f t="shared" ref="C16:C17" si="0">SUM(D16,E16)</f>
        <v>0</v>
      </c>
      <c r="D16" s="678">
        <f t="shared" ref="D16" si="1">D17</f>
        <v>0</v>
      </c>
      <c r="E16" s="678">
        <f>E17</f>
        <v>0</v>
      </c>
      <c r="F16" s="678">
        <f t="shared" ref="F16" si="2">F17</f>
        <v>0</v>
      </c>
      <c r="G16" s="368"/>
      <c r="H16" s="115"/>
      <c r="I16" s="115"/>
      <c r="J16" s="115"/>
      <c r="K16" s="115"/>
      <c r="L16" s="115"/>
      <c r="M16" s="115"/>
      <c r="N16" s="115"/>
      <c r="O16" s="115"/>
      <c r="P16" s="115"/>
      <c r="Q16" s="115"/>
    </row>
    <row r="17" spans="1:17" ht="27" hidden="1" thickTop="1" thickBot="1" x14ac:dyDescent="0.25">
      <c r="A17" s="673">
        <v>202200</v>
      </c>
      <c r="B17" s="674" t="s">
        <v>952</v>
      </c>
      <c r="C17" s="675">
        <f t="shared" si="0"/>
        <v>0</v>
      </c>
      <c r="D17" s="675">
        <f>SUM(D18:D19)</f>
        <v>0</v>
      </c>
      <c r="E17" s="675">
        <f>SUM(E18:E19)</f>
        <v>0</v>
      </c>
      <c r="F17" s="675">
        <f>SUM(F18:F19)</f>
        <v>0</v>
      </c>
      <c r="G17" s="368"/>
      <c r="H17" s="115"/>
      <c r="I17" s="115"/>
      <c r="J17" s="115"/>
      <c r="K17" s="115"/>
      <c r="L17" s="115"/>
      <c r="M17" s="115"/>
      <c r="N17" s="115"/>
      <c r="O17" s="115"/>
      <c r="P17" s="115"/>
      <c r="Q17" s="115"/>
    </row>
    <row r="18" spans="1:17" ht="14.25" hidden="1" thickTop="1" thickBot="1" x14ac:dyDescent="0.25">
      <c r="A18" s="679">
        <v>202210</v>
      </c>
      <c r="B18" s="680" t="s">
        <v>951</v>
      </c>
      <c r="C18" s="681">
        <f>SUM(D18,E18)</f>
        <v>0</v>
      </c>
      <c r="D18" s="675"/>
      <c r="E18" s="681">
        <v>0</v>
      </c>
      <c r="F18" s="681">
        <v>0</v>
      </c>
      <c r="G18" s="368"/>
      <c r="H18" s="115"/>
      <c r="I18" s="115"/>
      <c r="J18" s="115"/>
      <c r="K18" s="115"/>
      <c r="L18" s="115"/>
      <c r="M18" s="115"/>
      <c r="N18" s="115"/>
      <c r="O18" s="115"/>
      <c r="P18" s="115"/>
      <c r="Q18" s="115"/>
    </row>
    <row r="19" spans="1:17" ht="14.25" hidden="1" thickTop="1" thickBot="1" x14ac:dyDescent="0.25">
      <c r="A19" s="679">
        <v>202220</v>
      </c>
      <c r="B19" s="680" t="s">
        <v>358</v>
      </c>
      <c r="C19" s="681">
        <f>SUM(D19,E19)</f>
        <v>0</v>
      </c>
      <c r="D19" s="675"/>
      <c r="E19" s="681">
        <v>0</v>
      </c>
      <c r="F19" s="681">
        <v>0</v>
      </c>
      <c r="G19" s="368"/>
      <c r="H19" s="115"/>
      <c r="I19" s="115"/>
      <c r="J19" s="115"/>
      <c r="K19" s="115"/>
      <c r="L19" s="115"/>
      <c r="M19" s="115"/>
      <c r="N19" s="115"/>
      <c r="O19" s="115"/>
      <c r="P19" s="115"/>
      <c r="Q19" s="115"/>
    </row>
    <row r="20" spans="1:17" ht="70.5" hidden="1" customHeight="1" thickTop="1" thickBot="1" x14ac:dyDescent="0.25">
      <c r="A20" s="676">
        <v>206000</v>
      </c>
      <c r="B20" s="686" t="s">
        <v>1424</v>
      </c>
      <c r="C20" s="678">
        <f>C21+C23</f>
        <v>0</v>
      </c>
      <c r="D20" s="678">
        <f t="shared" ref="D20:F20" si="3">D21+D23</f>
        <v>0</v>
      </c>
      <c r="E20" s="678">
        <f t="shared" si="3"/>
        <v>0</v>
      </c>
      <c r="F20" s="678">
        <f t="shared" si="3"/>
        <v>0</v>
      </c>
      <c r="G20" s="368"/>
      <c r="H20" s="115"/>
      <c r="I20" s="115"/>
      <c r="J20" s="115"/>
      <c r="K20" s="115"/>
      <c r="L20" s="115"/>
      <c r="M20" s="115"/>
      <c r="N20" s="115"/>
      <c r="O20" s="115"/>
      <c r="P20" s="115"/>
      <c r="Q20" s="115"/>
    </row>
    <row r="21" spans="1:17" ht="65.25" hidden="1" thickTop="1" thickBot="1" x14ac:dyDescent="0.25">
      <c r="A21" s="682">
        <v>206100</v>
      </c>
      <c r="B21" s="687" t="s">
        <v>1425</v>
      </c>
      <c r="C21" s="684">
        <f>C22</f>
        <v>0</v>
      </c>
      <c r="D21" s="684">
        <f t="shared" ref="D21" si="4">D22</f>
        <v>0</v>
      </c>
      <c r="E21" s="684">
        <f t="shared" ref="E21" si="5">E22</f>
        <v>0</v>
      </c>
      <c r="F21" s="684">
        <f t="shared" ref="F21" si="6">F22</f>
        <v>0</v>
      </c>
      <c r="G21" s="368"/>
      <c r="H21" s="115"/>
      <c r="I21" s="115"/>
      <c r="J21" s="115"/>
      <c r="K21" s="115"/>
      <c r="L21" s="115"/>
      <c r="M21" s="115"/>
      <c r="N21" s="115"/>
      <c r="O21" s="115"/>
      <c r="P21" s="115"/>
      <c r="Q21" s="115"/>
    </row>
    <row r="22" spans="1:17" ht="39.75" hidden="1" thickTop="1" thickBot="1" x14ac:dyDescent="0.25">
      <c r="A22" s="679">
        <v>206120</v>
      </c>
      <c r="B22" s="680" t="s">
        <v>1427</v>
      </c>
      <c r="C22" s="681">
        <f>D22+E22</f>
        <v>0</v>
      </c>
      <c r="D22" s="681">
        <v>0</v>
      </c>
      <c r="E22" s="681">
        <v>0</v>
      </c>
      <c r="F22" s="681">
        <v>0</v>
      </c>
      <c r="G22" s="368"/>
      <c r="H22" s="115"/>
      <c r="I22" s="115"/>
      <c r="J22" s="115"/>
      <c r="K22" s="115"/>
      <c r="L22" s="115"/>
      <c r="M22" s="115"/>
      <c r="N22" s="115"/>
      <c r="O22" s="115"/>
      <c r="P22" s="115"/>
      <c r="Q22" s="115"/>
    </row>
    <row r="23" spans="1:17" ht="52.5" hidden="1" thickTop="1" thickBot="1" x14ac:dyDescent="0.25">
      <c r="A23" s="682">
        <v>206200</v>
      </c>
      <c r="B23" s="687" t="s">
        <v>1426</v>
      </c>
      <c r="C23" s="684">
        <f>C24</f>
        <v>0</v>
      </c>
      <c r="D23" s="684">
        <f t="shared" ref="D23:F23" si="7">D24</f>
        <v>0</v>
      </c>
      <c r="E23" s="684">
        <f t="shared" si="7"/>
        <v>0</v>
      </c>
      <c r="F23" s="684">
        <f t="shared" si="7"/>
        <v>0</v>
      </c>
      <c r="G23" s="368"/>
      <c r="H23" s="115"/>
      <c r="I23" s="115"/>
      <c r="J23" s="115"/>
      <c r="K23" s="115"/>
      <c r="L23" s="115"/>
      <c r="M23" s="115"/>
      <c r="N23" s="115"/>
      <c r="O23" s="115"/>
      <c r="P23" s="115"/>
      <c r="Q23" s="115"/>
    </row>
    <row r="24" spans="1:17" ht="27" hidden="1" thickTop="1" thickBot="1" x14ac:dyDescent="0.25">
      <c r="A24" s="679">
        <v>206220</v>
      </c>
      <c r="B24" s="680" t="s">
        <v>1428</v>
      </c>
      <c r="C24" s="681">
        <f>D24+E24</f>
        <v>0</v>
      </c>
      <c r="D24" s="681">
        <v>0</v>
      </c>
      <c r="E24" s="681">
        <v>0</v>
      </c>
      <c r="F24" s="681">
        <v>0</v>
      </c>
      <c r="G24" s="368"/>
      <c r="H24" s="115"/>
      <c r="I24" s="115"/>
      <c r="J24" s="115"/>
      <c r="K24" s="115"/>
      <c r="L24" s="115"/>
      <c r="M24" s="115"/>
      <c r="N24" s="115"/>
      <c r="O24" s="115"/>
      <c r="P24" s="115"/>
      <c r="Q24" s="115"/>
    </row>
    <row r="25" spans="1:17" ht="42" thickTop="1" thickBot="1" x14ac:dyDescent="0.25">
      <c r="A25" s="676">
        <v>208000</v>
      </c>
      <c r="B25" s="686" t="s">
        <v>954</v>
      </c>
      <c r="C25" s="678">
        <f>C26+C29+C27</f>
        <v>0</v>
      </c>
      <c r="D25" s="678">
        <f>D26+D29+D27</f>
        <v>-181808055</v>
      </c>
      <c r="E25" s="678">
        <f>E26+E29+E27</f>
        <v>181808055</v>
      </c>
      <c r="F25" s="678">
        <f>F26+F29+F27</f>
        <v>181808055</v>
      </c>
      <c r="G25" s="532">
        <f>E25-F25</f>
        <v>0</v>
      </c>
      <c r="H25" s="115"/>
      <c r="I25" s="115"/>
      <c r="J25" s="115"/>
      <c r="K25" s="115"/>
      <c r="L25" s="115"/>
      <c r="M25" s="115"/>
      <c r="N25" s="115"/>
      <c r="O25" s="115"/>
      <c r="P25" s="115"/>
      <c r="Q25" s="115"/>
    </row>
    <row r="26" spans="1:17" ht="15" hidden="1" thickTop="1" thickBot="1" x14ac:dyDescent="0.25">
      <c r="A26" s="676" t="s">
        <v>117</v>
      </c>
      <c r="B26" s="677" t="s">
        <v>118</v>
      </c>
      <c r="C26" s="678">
        <f>SUM(D26,E26)</f>
        <v>0</v>
      </c>
      <c r="D26" s="678">
        <v>0</v>
      </c>
      <c r="E26" s="678">
        <v>0</v>
      </c>
      <c r="F26" s="678">
        <v>0</v>
      </c>
      <c r="G26" s="532"/>
      <c r="H26" s="115"/>
      <c r="I26" s="115"/>
      <c r="J26" s="115"/>
      <c r="K26" s="115"/>
      <c r="L26" s="115"/>
      <c r="M26" s="115"/>
      <c r="N26" s="115"/>
      <c r="O26" s="115"/>
      <c r="P26" s="115"/>
      <c r="Q26" s="115"/>
    </row>
    <row r="27" spans="1:17" ht="15" hidden="1" thickTop="1" thickBot="1" x14ac:dyDescent="0.25">
      <c r="A27" s="688">
        <v>208300</v>
      </c>
      <c r="B27" s="689" t="s">
        <v>957</v>
      </c>
      <c r="C27" s="690">
        <f>SUM(D27,E27)</f>
        <v>0</v>
      </c>
      <c r="D27" s="678">
        <f>D28</f>
        <v>0</v>
      </c>
      <c r="E27" s="678">
        <f>E28</f>
        <v>0</v>
      </c>
      <c r="F27" s="678">
        <f>F28</f>
        <v>0</v>
      </c>
      <c r="G27" s="368"/>
      <c r="H27" s="115"/>
      <c r="I27" s="115"/>
      <c r="J27" s="115"/>
      <c r="K27" s="115"/>
      <c r="L27" s="115"/>
      <c r="M27" s="115"/>
      <c r="N27" s="115"/>
      <c r="O27" s="115"/>
      <c r="P27" s="115"/>
      <c r="Q27" s="115"/>
    </row>
    <row r="28" spans="1:17" ht="52.5" hidden="1" thickTop="1" thickBot="1" x14ac:dyDescent="0.25">
      <c r="A28" s="691">
        <v>208330</v>
      </c>
      <c r="B28" s="692" t="s">
        <v>958</v>
      </c>
      <c r="C28" s="690">
        <f>SUM(D28,E28)</f>
        <v>0</v>
      </c>
      <c r="D28" s="681"/>
      <c r="E28" s="681">
        <f>-D28</f>
        <v>0</v>
      </c>
      <c r="F28" s="681">
        <f>E28</f>
        <v>0</v>
      </c>
      <c r="G28" s="368"/>
      <c r="H28" s="115"/>
      <c r="I28" s="115"/>
      <c r="J28" s="115"/>
      <c r="K28" s="115"/>
      <c r="L28" s="115"/>
      <c r="M28" s="115"/>
      <c r="N28" s="115"/>
      <c r="O28" s="115"/>
      <c r="P28" s="115"/>
      <c r="Q28" s="115"/>
    </row>
    <row r="29" spans="1:17" ht="55.5" thickTop="1" thickBot="1" x14ac:dyDescent="0.25">
      <c r="A29" s="676">
        <v>208400</v>
      </c>
      <c r="B29" s="677" t="s">
        <v>119</v>
      </c>
      <c r="C29" s="678">
        <f>SUM(D29,E29)</f>
        <v>0</v>
      </c>
      <c r="D29" s="678">
        <f>'d3'!E419-'d1'!D153+'d4'!N29+(-D20)+(-D26)</f>
        <v>-181808055</v>
      </c>
      <c r="E29" s="678">
        <f>-D29</f>
        <v>181808055</v>
      </c>
      <c r="F29" s="678">
        <f>E29</f>
        <v>181808055</v>
      </c>
      <c r="G29" s="532" t="b">
        <f>E29=('d3'!J419+'d4'!O29)-('d1'!E153+E30+E26)</f>
        <v>1</v>
      </c>
      <c r="H29" s="115"/>
      <c r="I29" s="115"/>
      <c r="J29" s="115"/>
      <c r="K29" s="115"/>
      <c r="L29" s="115"/>
      <c r="M29" s="115"/>
      <c r="N29" s="115"/>
      <c r="O29" s="115"/>
      <c r="P29" s="115"/>
      <c r="Q29" s="115"/>
    </row>
    <row r="30" spans="1:17" ht="14.25" thickTop="1" thickBot="1" x14ac:dyDescent="0.25">
      <c r="A30" s="673">
        <v>300000</v>
      </c>
      <c r="B30" s="674" t="s">
        <v>355</v>
      </c>
      <c r="C30" s="675">
        <f>C31</f>
        <v>-3887000</v>
      </c>
      <c r="D30" s="675">
        <f>D31</f>
        <v>0</v>
      </c>
      <c r="E30" s="675">
        <f>E31</f>
        <v>-3887000</v>
      </c>
      <c r="F30" s="675">
        <f>F31</f>
        <v>-3887000</v>
      </c>
      <c r="G30" s="114"/>
      <c r="H30" s="115"/>
      <c r="I30" s="115"/>
      <c r="J30" s="115"/>
      <c r="K30" s="115"/>
      <c r="L30" s="115"/>
      <c r="M30" s="115"/>
      <c r="N30" s="115"/>
      <c r="O30" s="115"/>
      <c r="P30" s="115"/>
      <c r="Q30" s="115"/>
    </row>
    <row r="31" spans="1:17" ht="42" thickTop="1" thickBot="1" x14ac:dyDescent="0.25">
      <c r="A31" s="676">
        <v>301000</v>
      </c>
      <c r="B31" s="677" t="s">
        <v>356</v>
      </c>
      <c r="C31" s="678">
        <f>C32+C33</f>
        <v>-3887000</v>
      </c>
      <c r="D31" s="678">
        <f>D32+D33</f>
        <v>0</v>
      </c>
      <c r="E31" s="678">
        <f>E32+E33</f>
        <v>-3887000</v>
      </c>
      <c r="F31" s="678">
        <f>F32+F33</f>
        <v>-3887000</v>
      </c>
      <c r="G31" s="114"/>
      <c r="H31" s="115"/>
      <c r="I31" s="115"/>
      <c r="J31" s="115"/>
      <c r="K31" s="115"/>
      <c r="L31" s="115"/>
      <c r="M31" s="115"/>
      <c r="N31" s="115"/>
      <c r="O31" s="115"/>
      <c r="P31" s="115"/>
      <c r="Q31" s="115"/>
    </row>
    <row r="32" spans="1:17" ht="14.25" thickTop="1" thickBot="1" x14ac:dyDescent="0.25">
      <c r="A32" s="679">
        <v>301100</v>
      </c>
      <c r="B32" s="680" t="s">
        <v>357</v>
      </c>
      <c r="C32" s="681">
        <f>SUM(D32,E32)</f>
        <v>0</v>
      </c>
      <c r="D32" s="681"/>
      <c r="E32" s="681">
        <v>0</v>
      </c>
      <c r="F32" s="681">
        <v>0</v>
      </c>
      <c r="G32" s="114"/>
      <c r="H32" s="115"/>
      <c r="I32" s="115"/>
      <c r="J32" s="115"/>
      <c r="K32" s="115"/>
      <c r="L32" s="115"/>
      <c r="M32" s="115"/>
      <c r="N32" s="115"/>
      <c r="O32" s="115"/>
      <c r="P32" s="115"/>
      <c r="Q32" s="115"/>
    </row>
    <row r="33" spans="1:17" ht="14.25" thickTop="1" thickBot="1" x14ac:dyDescent="0.25">
      <c r="A33" s="679">
        <v>301200</v>
      </c>
      <c r="B33" s="680" t="s">
        <v>358</v>
      </c>
      <c r="C33" s="681">
        <f>SUM(D33,E33)</f>
        <v>-3887000</v>
      </c>
      <c r="D33" s="681"/>
      <c r="E33" s="681">
        <v>-3887000</v>
      </c>
      <c r="F33" s="681">
        <v>-3887000</v>
      </c>
      <c r="G33" s="114"/>
      <c r="H33" s="115"/>
      <c r="I33" s="115"/>
      <c r="J33" s="115"/>
      <c r="K33" s="115"/>
      <c r="L33" s="115"/>
      <c r="M33" s="115"/>
      <c r="N33" s="115"/>
      <c r="O33" s="115"/>
      <c r="P33" s="115"/>
      <c r="Q33" s="115"/>
    </row>
    <row r="34" spans="1:17" ht="24" customHeight="1" thickTop="1" thickBot="1" x14ac:dyDescent="0.25">
      <c r="A34" s="695" t="s">
        <v>380</v>
      </c>
      <c r="B34" s="696" t="s">
        <v>379</v>
      </c>
      <c r="C34" s="697">
        <f>C15+C30</f>
        <v>-3887000</v>
      </c>
      <c r="D34" s="697">
        <f>D15+D30</f>
        <v>-181808055</v>
      </c>
      <c r="E34" s="697">
        <f>E15+E30</f>
        <v>177921055</v>
      </c>
      <c r="F34" s="697">
        <f>F15+F30</f>
        <v>177921055</v>
      </c>
      <c r="G34" s="114"/>
      <c r="H34" s="115"/>
      <c r="I34" s="115"/>
      <c r="J34" s="115"/>
      <c r="K34" s="115"/>
      <c r="L34" s="115"/>
      <c r="M34" s="115"/>
      <c r="N34" s="115"/>
      <c r="O34" s="115"/>
      <c r="P34" s="115"/>
      <c r="Q34" s="115"/>
    </row>
    <row r="35" spans="1:17" ht="35.450000000000003" customHeight="1" thickTop="1" thickBot="1" x14ac:dyDescent="0.25">
      <c r="A35" s="735" t="s">
        <v>381</v>
      </c>
      <c r="B35" s="735"/>
      <c r="C35" s="736"/>
      <c r="D35" s="736"/>
      <c r="E35" s="736"/>
      <c r="F35" s="736"/>
      <c r="G35" s="114"/>
      <c r="H35" s="115"/>
      <c r="I35" s="115"/>
      <c r="J35" s="115"/>
      <c r="K35" s="115"/>
      <c r="L35" s="115"/>
      <c r="M35" s="115"/>
      <c r="N35" s="115"/>
      <c r="O35" s="115"/>
      <c r="P35" s="115"/>
      <c r="Q35" s="115"/>
    </row>
    <row r="36" spans="1:17" ht="27" thickTop="1" thickBot="1" x14ac:dyDescent="0.25">
      <c r="A36" s="673">
        <v>400000</v>
      </c>
      <c r="B36" s="674" t="s">
        <v>120</v>
      </c>
      <c r="C36" s="675">
        <f>C37+C42</f>
        <v>-3887000</v>
      </c>
      <c r="D36" s="675">
        <f>D37+D42</f>
        <v>0</v>
      </c>
      <c r="E36" s="675">
        <f>E37+E42</f>
        <v>-3887000</v>
      </c>
      <c r="F36" s="675">
        <f>F37+F42</f>
        <v>-3887000</v>
      </c>
      <c r="G36" s="114"/>
      <c r="H36" s="115"/>
      <c r="I36" s="115"/>
      <c r="J36" s="115"/>
      <c r="K36" s="115"/>
      <c r="L36" s="115"/>
      <c r="M36" s="115"/>
      <c r="N36" s="115"/>
      <c r="O36" s="115"/>
      <c r="P36" s="115"/>
      <c r="Q36" s="115"/>
    </row>
    <row r="37" spans="1:17" ht="15" hidden="1" thickTop="1" thickBot="1" x14ac:dyDescent="0.25">
      <c r="A37" s="575">
        <v>401000</v>
      </c>
      <c r="B37" s="576" t="s">
        <v>121</v>
      </c>
      <c r="C37" s="369">
        <f>C38+C40</f>
        <v>0</v>
      </c>
      <c r="D37" s="369">
        <f>D38+D40</f>
        <v>0</v>
      </c>
      <c r="E37" s="369">
        <f>E38+E40</f>
        <v>0</v>
      </c>
      <c r="F37" s="369">
        <f>F38+F40</f>
        <v>0</v>
      </c>
      <c r="G37" s="114"/>
      <c r="H37" s="115"/>
      <c r="I37" s="115"/>
      <c r="J37" s="115"/>
      <c r="K37" s="115"/>
      <c r="L37" s="115"/>
      <c r="M37" s="115"/>
      <c r="N37" s="115"/>
      <c r="O37" s="115"/>
      <c r="P37" s="115"/>
      <c r="Q37" s="115"/>
    </row>
    <row r="38" spans="1:17" ht="14.25" hidden="1" thickTop="1" thickBot="1" x14ac:dyDescent="0.25">
      <c r="A38" s="372">
        <v>401100</v>
      </c>
      <c r="B38" s="374" t="s">
        <v>953</v>
      </c>
      <c r="C38" s="373">
        <f>C39</f>
        <v>0</v>
      </c>
      <c r="D38" s="373">
        <f>D39</f>
        <v>0</v>
      </c>
      <c r="E38" s="373">
        <f>E39</f>
        <v>0</v>
      </c>
      <c r="F38" s="373">
        <f>F39</f>
        <v>0</v>
      </c>
      <c r="G38" s="114"/>
      <c r="H38" s="115"/>
      <c r="I38" s="115"/>
      <c r="J38" s="115"/>
      <c r="K38" s="115"/>
      <c r="L38" s="115"/>
      <c r="M38" s="115"/>
      <c r="N38" s="115"/>
      <c r="O38" s="115"/>
      <c r="P38" s="115"/>
      <c r="Q38" s="115"/>
    </row>
    <row r="39" spans="1:17" ht="27" hidden="1" thickTop="1" thickBot="1" x14ac:dyDescent="0.25">
      <c r="A39" s="370">
        <v>401101</v>
      </c>
      <c r="B39" s="371" t="s">
        <v>948</v>
      </c>
      <c r="C39" s="340">
        <f>SUM(D39,E39)</f>
        <v>0</v>
      </c>
      <c r="D39" s="339"/>
      <c r="E39" s="340">
        <v>0</v>
      </c>
      <c r="F39" s="340">
        <v>0</v>
      </c>
      <c r="G39" s="114"/>
      <c r="H39" s="115"/>
      <c r="I39" s="115"/>
      <c r="J39" s="115"/>
      <c r="K39" s="115"/>
      <c r="L39" s="115"/>
      <c r="M39" s="115"/>
      <c r="N39" s="115"/>
      <c r="O39" s="115"/>
      <c r="P39" s="115"/>
      <c r="Q39" s="115"/>
    </row>
    <row r="40" spans="1:17" s="4" customFormat="1" ht="14.25" hidden="1" thickTop="1" thickBot="1" x14ac:dyDescent="0.25">
      <c r="A40" s="372">
        <v>401200</v>
      </c>
      <c r="B40" s="374" t="s">
        <v>359</v>
      </c>
      <c r="C40" s="373">
        <f>SUM(D40,E40)</f>
        <v>0</v>
      </c>
      <c r="D40" s="373"/>
      <c r="E40" s="373">
        <f>E41</f>
        <v>0</v>
      </c>
      <c r="F40" s="373">
        <f>F41</f>
        <v>0</v>
      </c>
      <c r="G40" s="119"/>
      <c r="H40" s="120"/>
      <c r="I40" s="120"/>
      <c r="J40" s="120"/>
      <c r="K40" s="120"/>
      <c r="L40" s="120"/>
      <c r="M40" s="120"/>
      <c r="N40" s="120"/>
      <c r="O40" s="120"/>
      <c r="P40" s="120"/>
      <c r="Q40" s="120"/>
    </row>
    <row r="41" spans="1:17" ht="27" hidden="1" thickTop="1" thickBot="1" x14ac:dyDescent="0.25">
      <c r="A41" s="370">
        <v>401201</v>
      </c>
      <c r="B41" s="371" t="s">
        <v>948</v>
      </c>
      <c r="C41" s="340">
        <f>SUM(D41,E41)</f>
        <v>0</v>
      </c>
      <c r="D41" s="339"/>
      <c r="E41" s="340">
        <f>E32</f>
        <v>0</v>
      </c>
      <c r="F41" s="340">
        <f>F32</f>
        <v>0</v>
      </c>
      <c r="G41" s="114"/>
      <c r="H41" s="115"/>
      <c r="I41" s="115"/>
      <c r="J41" s="115"/>
      <c r="K41" s="115"/>
      <c r="L41" s="115"/>
      <c r="M41" s="115"/>
      <c r="N41" s="115"/>
      <c r="O41" s="115"/>
      <c r="P41" s="115"/>
      <c r="Q41" s="115"/>
    </row>
    <row r="42" spans="1:17" s="4" customFormat="1" ht="15" thickTop="1" thickBot="1" x14ac:dyDescent="0.25">
      <c r="A42" s="676">
        <v>402000</v>
      </c>
      <c r="B42" s="677" t="s">
        <v>360</v>
      </c>
      <c r="C42" s="678">
        <f>C45+C43</f>
        <v>-3887000</v>
      </c>
      <c r="D42" s="678">
        <f>D45+D43</f>
        <v>0</v>
      </c>
      <c r="E42" s="678">
        <f>E45+E43</f>
        <v>-3887000</v>
      </c>
      <c r="F42" s="678">
        <f>F45+F43</f>
        <v>-3887000</v>
      </c>
      <c r="G42" s="119"/>
      <c r="H42" s="120"/>
      <c r="I42" s="120"/>
      <c r="J42" s="120"/>
      <c r="K42" s="120"/>
      <c r="L42" s="120"/>
      <c r="M42" s="120"/>
      <c r="N42" s="120"/>
      <c r="O42" s="120"/>
      <c r="P42" s="120"/>
      <c r="Q42" s="120"/>
    </row>
    <row r="43" spans="1:17" s="4" customFormat="1" ht="14.25" hidden="1" thickTop="1" thickBot="1" x14ac:dyDescent="0.25">
      <c r="A43" s="682">
        <v>402100</v>
      </c>
      <c r="B43" s="683" t="s">
        <v>998</v>
      </c>
      <c r="C43" s="684">
        <f>C44</f>
        <v>0</v>
      </c>
      <c r="D43" s="684">
        <f>D44</f>
        <v>0</v>
      </c>
      <c r="E43" s="684">
        <f>E44</f>
        <v>0</v>
      </c>
      <c r="F43" s="684">
        <f>F44</f>
        <v>0</v>
      </c>
      <c r="G43" s="119"/>
      <c r="H43" s="120"/>
      <c r="I43" s="120"/>
      <c r="J43" s="120"/>
      <c r="K43" s="120"/>
      <c r="L43" s="120"/>
      <c r="M43" s="120"/>
      <c r="N43" s="120"/>
      <c r="O43" s="120"/>
      <c r="P43" s="120"/>
      <c r="Q43" s="120"/>
    </row>
    <row r="44" spans="1:17" s="4" customFormat="1" ht="27" hidden="1" thickTop="1" thickBot="1" x14ac:dyDescent="0.25">
      <c r="A44" s="679">
        <v>402101</v>
      </c>
      <c r="B44" s="680" t="s">
        <v>948</v>
      </c>
      <c r="C44" s="681">
        <f>SUM(D44,E44)</f>
        <v>0</v>
      </c>
      <c r="D44" s="675"/>
      <c r="E44" s="681">
        <v>0</v>
      </c>
      <c r="F44" s="681">
        <v>0</v>
      </c>
      <c r="G44" s="119"/>
      <c r="H44" s="120"/>
      <c r="I44" s="120"/>
      <c r="J44" s="120"/>
      <c r="K44" s="120"/>
      <c r="L44" s="120"/>
      <c r="M44" s="120"/>
      <c r="N44" s="120"/>
      <c r="O44" s="120"/>
      <c r="P44" s="120"/>
      <c r="Q44" s="120"/>
    </row>
    <row r="45" spans="1:17" s="4" customFormat="1" ht="14.25" thickTop="1" thickBot="1" x14ac:dyDescent="0.25">
      <c r="A45" s="682">
        <v>402200</v>
      </c>
      <c r="B45" s="683" t="s">
        <v>947</v>
      </c>
      <c r="C45" s="684">
        <f>SUM(C46,C47)</f>
        <v>-3887000</v>
      </c>
      <c r="D45" s="684"/>
      <c r="E45" s="684">
        <f>SUM(E46,E47)</f>
        <v>-3887000</v>
      </c>
      <c r="F45" s="684">
        <f>SUM(F46,F47)</f>
        <v>-3887000</v>
      </c>
      <c r="G45" s="119"/>
      <c r="H45" s="120"/>
      <c r="I45" s="120"/>
      <c r="J45" s="120"/>
      <c r="K45" s="120"/>
      <c r="L45" s="120"/>
      <c r="M45" s="120"/>
      <c r="N45" s="120"/>
      <c r="O45" s="120"/>
      <c r="P45" s="120"/>
      <c r="Q45" s="120"/>
    </row>
    <row r="46" spans="1:17" s="4" customFormat="1" ht="27" thickTop="1" thickBot="1" x14ac:dyDescent="0.25">
      <c r="A46" s="679">
        <v>402201</v>
      </c>
      <c r="B46" s="680" t="s">
        <v>948</v>
      </c>
      <c r="C46" s="681">
        <f>SUM(D46,E46)</f>
        <v>-3887000</v>
      </c>
      <c r="D46" s="675"/>
      <c r="E46" s="681">
        <f>E33</f>
        <v>-3887000</v>
      </c>
      <c r="F46" s="681">
        <f>F33</f>
        <v>-3887000</v>
      </c>
      <c r="G46" s="119"/>
      <c r="H46" s="120"/>
      <c r="I46" s="120"/>
      <c r="J46" s="120"/>
      <c r="K46" s="120"/>
      <c r="L46" s="120"/>
      <c r="M46" s="120"/>
      <c r="N46" s="120"/>
      <c r="O46" s="120"/>
      <c r="P46" s="120"/>
      <c r="Q46" s="120"/>
    </row>
    <row r="47" spans="1:17" ht="27" hidden="1" thickTop="1" thickBot="1" x14ac:dyDescent="0.25">
      <c r="A47" s="116">
        <v>402202</v>
      </c>
      <c r="B47" s="117" t="s">
        <v>949</v>
      </c>
      <c r="C47" s="118">
        <f>SUM(D47,E47)</f>
        <v>0</v>
      </c>
      <c r="D47" s="339"/>
      <c r="E47" s="340">
        <v>0</v>
      </c>
      <c r="F47" s="118">
        <v>0</v>
      </c>
      <c r="G47" s="114"/>
      <c r="H47" s="115"/>
      <c r="I47" s="115"/>
      <c r="J47" s="115"/>
      <c r="K47" s="115"/>
      <c r="L47" s="115"/>
      <c r="M47" s="115"/>
      <c r="N47" s="115"/>
      <c r="O47" s="115"/>
      <c r="P47" s="115"/>
      <c r="Q47" s="115"/>
    </row>
    <row r="48" spans="1:17" ht="27" thickTop="1" thickBot="1" x14ac:dyDescent="0.25">
      <c r="A48" s="673" t="s">
        <v>122</v>
      </c>
      <c r="B48" s="674" t="s">
        <v>123</v>
      </c>
      <c r="C48" s="675">
        <f>C54+C49</f>
        <v>0</v>
      </c>
      <c r="D48" s="675">
        <f t="shared" ref="D48:F48" si="8">D54+D49</f>
        <v>-181808055</v>
      </c>
      <c r="E48" s="675">
        <f t="shared" si="8"/>
        <v>181808055</v>
      </c>
      <c r="F48" s="675">
        <f t="shared" si="8"/>
        <v>181808055</v>
      </c>
      <c r="G48" s="114"/>
      <c r="H48" s="115"/>
      <c r="I48" s="115"/>
      <c r="J48" s="115"/>
      <c r="K48" s="115"/>
      <c r="L48" s="115"/>
      <c r="M48" s="115"/>
      <c r="N48" s="115"/>
      <c r="O48" s="115"/>
      <c r="P48" s="115"/>
      <c r="Q48" s="115"/>
    </row>
    <row r="49" spans="1:17" ht="64.5" hidden="1" customHeight="1" thickTop="1" thickBot="1" x14ac:dyDescent="0.25">
      <c r="A49" s="575">
        <v>601000</v>
      </c>
      <c r="B49" s="576" t="s">
        <v>1429</v>
      </c>
      <c r="C49" s="369">
        <f>C50+C52</f>
        <v>0</v>
      </c>
      <c r="D49" s="369">
        <f t="shared" ref="D49:F49" si="9">D50+D52</f>
        <v>0</v>
      </c>
      <c r="E49" s="369">
        <f t="shared" si="9"/>
        <v>0</v>
      </c>
      <c r="F49" s="369">
        <f t="shared" si="9"/>
        <v>0</v>
      </c>
      <c r="G49" s="114"/>
      <c r="H49" s="115"/>
      <c r="I49" s="115"/>
      <c r="J49" s="115"/>
      <c r="K49" s="115"/>
      <c r="L49" s="115"/>
      <c r="M49" s="115"/>
      <c r="N49" s="115"/>
      <c r="O49" s="115"/>
      <c r="P49" s="115"/>
      <c r="Q49" s="115"/>
    </row>
    <row r="50" spans="1:17" ht="73.5" hidden="1" customHeight="1" thickTop="1" thickBot="1" x14ac:dyDescent="0.25">
      <c r="A50" s="372">
        <v>601100</v>
      </c>
      <c r="B50" s="374" t="s">
        <v>1425</v>
      </c>
      <c r="C50" s="373">
        <f>C51</f>
        <v>0</v>
      </c>
      <c r="D50" s="373">
        <f t="shared" ref="D50:F50" si="10">D51</f>
        <v>0</v>
      </c>
      <c r="E50" s="373">
        <f t="shared" si="10"/>
        <v>0</v>
      </c>
      <c r="F50" s="373">
        <f t="shared" si="10"/>
        <v>0</v>
      </c>
      <c r="G50" s="114"/>
      <c r="H50" s="115"/>
      <c r="I50" s="115"/>
      <c r="J50" s="115"/>
      <c r="K50" s="115"/>
      <c r="L50" s="115"/>
      <c r="M50" s="115"/>
      <c r="N50" s="115"/>
      <c r="O50" s="115"/>
      <c r="P50" s="115"/>
      <c r="Q50" s="115"/>
    </row>
    <row r="51" spans="1:17" ht="39.75" hidden="1" thickTop="1" thickBot="1" x14ac:dyDescent="0.25">
      <c r="A51" s="370">
        <v>601120</v>
      </c>
      <c r="B51" s="371" t="s">
        <v>1427</v>
      </c>
      <c r="C51" s="340">
        <f>D51+E51</f>
        <v>0</v>
      </c>
      <c r="D51" s="340">
        <v>0</v>
      </c>
      <c r="E51" s="340">
        <v>0</v>
      </c>
      <c r="F51" s="340">
        <v>0</v>
      </c>
      <c r="G51" s="114"/>
      <c r="H51" s="115"/>
      <c r="I51" s="115"/>
      <c r="J51" s="115"/>
      <c r="K51" s="115"/>
      <c r="L51" s="115"/>
      <c r="M51" s="115"/>
      <c r="N51" s="115"/>
      <c r="O51" s="115"/>
      <c r="P51" s="115"/>
      <c r="Q51" s="115"/>
    </row>
    <row r="52" spans="1:17" ht="52.5" hidden="1" thickTop="1" thickBot="1" x14ac:dyDescent="0.25">
      <c r="A52" s="372">
        <v>601200</v>
      </c>
      <c r="B52" s="374" t="s">
        <v>1430</v>
      </c>
      <c r="C52" s="373">
        <f>C53</f>
        <v>0</v>
      </c>
      <c r="D52" s="373">
        <f t="shared" ref="D52" si="11">D53</f>
        <v>0</v>
      </c>
      <c r="E52" s="373">
        <f t="shared" ref="E52" si="12">E53</f>
        <v>0</v>
      </c>
      <c r="F52" s="373">
        <f t="shared" ref="F52" si="13">F53</f>
        <v>0</v>
      </c>
      <c r="G52" s="114"/>
      <c r="H52" s="115"/>
      <c r="I52" s="115"/>
      <c r="J52" s="115"/>
      <c r="K52" s="115"/>
      <c r="L52" s="115"/>
      <c r="M52" s="115"/>
      <c r="N52" s="115"/>
      <c r="O52" s="115"/>
      <c r="P52" s="115"/>
      <c r="Q52" s="115"/>
    </row>
    <row r="53" spans="1:17" ht="27" hidden="1" thickTop="1" thickBot="1" x14ac:dyDescent="0.25">
      <c r="A53" s="370">
        <v>601220</v>
      </c>
      <c r="B53" s="371" t="s">
        <v>1431</v>
      </c>
      <c r="C53" s="340">
        <f>D53+E53</f>
        <v>0</v>
      </c>
      <c r="D53" s="340">
        <v>0</v>
      </c>
      <c r="E53" s="340">
        <v>0</v>
      </c>
      <c r="F53" s="340">
        <v>0</v>
      </c>
      <c r="G53" s="114"/>
      <c r="H53" s="115"/>
      <c r="I53" s="115"/>
      <c r="J53" s="115"/>
      <c r="K53" s="115"/>
      <c r="L53" s="115"/>
      <c r="M53" s="115"/>
      <c r="N53" s="115"/>
      <c r="O53" s="115"/>
      <c r="P53" s="115"/>
      <c r="Q53" s="115"/>
    </row>
    <row r="54" spans="1:17" ht="28.5" thickTop="1" thickBot="1" x14ac:dyDescent="0.25">
      <c r="A54" s="676">
        <v>602000</v>
      </c>
      <c r="B54" s="677" t="s">
        <v>955</v>
      </c>
      <c r="C54" s="678">
        <f>C55+C58+C56</f>
        <v>0</v>
      </c>
      <c r="D54" s="678">
        <f>D55+D58+D56</f>
        <v>-181808055</v>
      </c>
      <c r="E54" s="678">
        <f>E55+E58+E56</f>
        <v>181808055</v>
      </c>
      <c r="F54" s="678">
        <f>F55+F58+F56</f>
        <v>181808055</v>
      </c>
      <c r="G54" s="114"/>
      <c r="H54" s="115"/>
      <c r="I54" s="115"/>
      <c r="J54" s="115"/>
      <c r="K54" s="115"/>
      <c r="L54" s="115"/>
      <c r="M54" s="115"/>
      <c r="N54" s="115"/>
      <c r="O54" s="115"/>
      <c r="P54" s="115"/>
      <c r="Q54" s="115"/>
    </row>
    <row r="55" spans="1:17" ht="14.25" hidden="1" thickTop="1" thickBot="1" x14ac:dyDescent="0.25">
      <c r="A55" s="372">
        <v>602100</v>
      </c>
      <c r="B55" s="374" t="s">
        <v>956</v>
      </c>
      <c r="C55" s="373">
        <f>SUM(D55,E55)</f>
        <v>0</v>
      </c>
      <c r="D55" s="373">
        <f>D26</f>
        <v>0</v>
      </c>
      <c r="E55" s="373">
        <f>E26</f>
        <v>0</v>
      </c>
      <c r="F55" s="373">
        <f>F26</f>
        <v>0</v>
      </c>
      <c r="G55" s="114"/>
      <c r="H55" s="115"/>
      <c r="I55" s="115"/>
      <c r="J55" s="115"/>
      <c r="K55" s="115"/>
      <c r="L55" s="115"/>
      <c r="M55" s="115"/>
      <c r="N55" s="115"/>
      <c r="O55" s="115"/>
      <c r="P55" s="115"/>
      <c r="Q55" s="115"/>
    </row>
    <row r="56" spans="1:17" ht="14.25" hidden="1" thickTop="1" thickBot="1" x14ac:dyDescent="0.25">
      <c r="A56" s="372">
        <v>602300</v>
      </c>
      <c r="B56" s="374" t="s">
        <v>957</v>
      </c>
      <c r="C56" s="373">
        <f>SUM(D56,E56)</f>
        <v>0</v>
      </c>
      <c r="D56" s="373">
        <f>D57</f>
        <v>0</v>
      </c>
      <c r="E56" s="373">
        <f>E57</f>
        <v>0</v>
      </c>
      <c r="F56" s="373">
        <f>E56</f>
        <v>0</v>
      </c>
      <c r="G56" s="114"/>
      <c r="H56" s="115"/>
      <c r="I56" s="115"/>
      <c r="J56" s="115"/>
      <c r="K56" s="115"/>
      <c r="L56" s="115"/>
      <c r="M56" s="115"/>
      <c r="N56" s="115"/>
      <c r="O56" s="115"/>
      <c r="P56" s="115"/>
      <c r="Q56" s="115"/>
    </row>
    <row r="57" spans="1:17" ht="52.5" hidden="1" thickTop="1" thickBot="1" x14ac:dyDescent="0.25">
      <c r="A57" s="370">
        <v>602303</v>
      </c>
      <c r="B57" s="371" t="s">
        <v>958</v>
      </c>
      <c r="C57" s="340">
        <f>SUM(D57,E57)</f>
        <v>0</v>
      </c>
      <c r="D57" s="340"/>
      <c r="E57" s="340">
        <f>-D57</f>
        <v>0</v>
      </c>
      <c r="F57" s="340">
        <f>E57</f>
        <v>0</v>
      </c>
      <c r="G57" s="114"/>
      <c r="H57" s="115"/>
      <c r="I57" s="115"/>
      <c r="J57" s="115"/>
      <c r="K57" s="115"/>
      <c r="L57" s="115"/>
      <c r="M57" s="115"/>
      <c r="N57" s="115"/>
      <c r="O57" s="115"/>
      <c r="P57" s="115"/>
      <c r="Q57" s="115"/>
    </row>
    <row r="58" spans="1:17" ht="52.5" thickTop="1" thickBot="1" x14ac:dyDescent="0.25">
      <c r="A58" s="682">
        <v>602400</v>
      </c>
      <c r="B58" s="683" t="s">
        <v>119</v>
      </c>
      <c r="C58" s="684">
        <f>SUM(D58,E58)</f>
        <v>0</v>
      </c>
      <c r="D58" s="684">
        <f>D29</f>
        <v>-181808055</v>
      </c>
      <c r="E58" s="684">
        <f>E29</f>
        <v>181808055</v>
      </c>
      <c r="F58" s="684">
        <f>F29</f>
        <v>181808055</v>
      </c>
      <c r="G58" s="114"/>
      <c r="H58" s="115"/>
      <c r="I58" s="115"/>
      <c r="J58" s="115"/>
      <c r="K58" s="115"/>
      <c r="L58" s="115"/>
      <c r="M58" s="115"/>
      <c r="N58" s="115"/>
      <c r="O58" s="115"/>
      <c r="P58" s="115"/>
      <c r="Q58" s="115"/>
    </row>
    <row r="59" spans="1:17" ht="30" customHeight="1" thickTop="1" thickBot="1" x14ac:dyDescent="0.25">
      <c r="A59" s="695" t="s">
        <v>380</v>
      </c>
      <c r="B59" s="696" t="s">
        <v>379</v>
      </c>
      <c r="C59" s="697">
        <f>C36+C48</f>
        <v>-3887000</v>
      </c>
      <c r="D59" s="697">
        <f>D36+D48</f>
        <v>-181808055</v>
      </c>
      <c r="E59" s="697">
        <f>E36+E48</f>
        <v>177921055</v>
      </c>
      <c r="F59" s="697">
        <f>F36+F48</f>
        <v>177921055</v>
      </c>
      <c r="G59" s="114"/>
      <c r="H59" s="115"/>
      <c r="I59" s="115"/>
      <c r="J59" s="115"/>
      <c r="K59" s="115"/>
      <c r="L59" s="115"/>
      <c r="M59" s="115"/>
      <c r="N59" s="115"/>
      <c r="O59" s="115"/>
      <c r="P59" s="115"/>
      <c r="Q59" s="115"/>
    </row>
    <row r="60" spans="1:17" ht="13.5" thickTop="1" x14ac:dyDescent="0.2">
      <c r="A60" s="121"/>
      <c r="B60" s="121"/>
      <c r="C60" s="121"/>
      <c r="D60" s="121"/>
      <c r="E60" s="121"/>
      <c r="F60" s="121"/>
      <c r="G60" s="121"/>
      <c r="H60" s="121"/>
      <c r="I60" s="121"/>
    </row>
    <row r="61" spans="1:17" ht="45.75" x14ac:dyDescent="0.65">
      <c r="A61" s="121"/>
      <c r="B61" s="349" t="s">
        <v>1432</v>
      </c>
      <c r="C61"/>
      <c r="D61"/>
      <c r="E61" s="14" t="s">
        <v>1433</v>
      </c>
      <c r="F61" s="14"/>
      <c r="G61" s="122"/>
      <c r="H61" s="122"/>
      <c r="I61" s="122"/>
      <c r="J61" s="122"/>
      <c r="K61" s="122"/>
      <c r="L61" s="122"/>
      <c r="M61" s="122"/>
      <c r="N61" s="122"/>
      <c r="O61" s="122"/>
    </row>
    <row r="62" spans="1:17" ht="31.5" hidden="1" x14ac:dyDescent="0.25">
      <c r="A62" s="121"/>
      <c r="B62" s="347" t="s">
        <v>1398</v>
      </c>
      <c r="C62"/>
      <c r="D62"/>
      <c r="E62" s="348" t="s">
        <v>1399</v>
      </c>
      <c r="F62" s="335"/>
      <c r="G62" s="121"/>
      <c r="H62" s="121"/>
      <c r="I62" s="121"/>
    </row>
    <row r="63" spans="1:17" ht="15.75" x14ac:dyDescent="0.25">
      <c r="A63" s="121"/>
      <c r="B63" s="345"/>
      <c r="C63" s="345"/>
      <c r="D63" s="346"/>
      <c r="E63" s="335"/>
      <c r="F63" s="335"/>
      <c r="G63" s="121"/>
      <c r="H63" s="121"/>
      <c r="I63" s="121"/>
    </row>
    <row r="64" spans="1:17" ht="15.75" customHeight="1" x14ac:dyDescent="0.25">
      <c r="B64" s="725" t="s">
        <v>519</v>
      </c>
      <c r="C64" s="726"/>
      <c r="D64" s="726"/>
      <c r="E64" s="1" t="s">
        <v>1304</v>
      </c>
      <c r="F64" s="1"/>
    </row>
  </sheetData>
  <mergeCells count="15">
    <mergeCell ref="E1:F1"/>
    <mergeCell ref="E2:F2"/>
    <mergeCell ref="E3:F3"/>
    <mergeCell ref="B64:D64"/>
    <mergeCell ref="A5:F5"/>
    <mergeCell ref="A6:F6"/>
    <mergeCell ref="A8:F8"/>
    <mergeCell ref="A9:F9"/>
    <mergeCell ref="A11:A12"/>
    <mergeCell ref="B11:B12"/>
    <mergeCell ref="C11:C12"/>
    <mergeCell ref="D11:D12"/>
    <mergeCell ref="E11:F11"/>
    <mergeCell ref="A14:F14"/>
    <mergeCell ref="A35:F3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47"/>
  <sheetViews>
    <sheetView view="pageBreakPreview" topLeftCell="C1" zoomScale="25" zoomScaleNormal="25" zoomScaleSheetLayoutView="25" zoomScalePageLayoutView="10" workbookViewId="0">
      <pane ySplit="14" topLeftCell="A411" activePane="bottomLeft" state="frozen"/>
      <selection activeCell="B119" sqref="B119"/>
      <selection pane="bottomLeft" activeCell="C421" sqref="A421:XFD421"/>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64" t="s">
        <v>491</v>
      </c>
      <c r="O1" s="765"/>
      <c r="P1" s="765"/>
      <c r="Q1" s="765"/>
    </row>
    <row r="2" spans="1:18" ht="45.75" x14ac:dyDescent="0.2">
      <c r="A2" s="76"/>
      <c r="B2" s="76"/>
      <c r="C2" s="76"/>
      <c r="D2" s="76"/>
      <c r="E2" s="77"/>
      <c r="F2" s="78"/>
      <c r="G2" s="77"/>
      <c r="H2" s="77"/>
      <c r="I2" s="77"/>
      <c r="J2" s="77"/>
      <c r="K2" s="77"/>
      <c r="L2" s="77"/>
      <c r="M2" s="77"/>
      <c r="N2" s="764" t="s">
        <v>1641</v>
      </c>
      <c r="O2" s="766"/>
      <c r="P2" s="766"/>
      <c r="Q2" s="766"/>
    </row>
    <row r="3" spans="1:18" ht="40.700000000000003" customHeight="1" x14ac:dyDescent="0.2">
      <c r="A3" s="76"/>
      <c r="B3" s="76"/>
      <c r="C3" s="76"/>
      <c r="D3" s="76"/>
      <c r="E3" s="77"/>
      <c r="F3" s="78"/>
      <c r="G3" s="77"/>
      <c r="H3" s="77"/>
      <c r="I3" s="77"/>
      <c r="J3" s="77"/>
      <c r="K3" s="77"/>
      <c r="L3" s="77"/>
      <c r="M3" s="77"/>
      <c r="N3" s="77"/>
      <c r="O3" s="764"/>
      <c r="P3" s="767"/>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8" t="s">
        <v>561</v>
      </c>
      <c r="B5" s="768"/>
      <c r="C5" s="768"/>
      <c r="D5" s="768"/>
      <c r="E5" s="768"/>
      <c r="F5" s="768"/>
      <c r="G5" s="768"/>
      <c r="H5" s="768"/>
      <c r="I5" s="768"/>
      <c r="J5" s="768"/>
      <c r="K5" s="768"/>
      <c r="L5" s="768"/>
      <c r="M5" s="768"/>
      <c r="N5" s="768"/>
      <c r="O5" s="768"/>
      <c r="P5" s="768"/>
      <c r="Q5" s="80"/>
    </row>
    <row r="6" spans="1:18" ht="45" x14ac:dyDescent="0.2">
      <c r="A6" s="768" t="s">
        <v>1586</v>
      </c>
      <c r="B6" s="768"/>
      <c r="C6" s="768"/>
      <c r="D6" s="768"/>
      <c r="E6" s="768"/>
      <c r="F6" s="768"/>
      <c r="G6" s="768"/>
      <c r="H6" s="768"/>
      <c r="I6" s="768"/>
      <c r="J6" s="768"/>
      <c r="K6" s="768"/>
      <c r="L6" s="768"/>
      <c r="M6" s="768"/>
      <c r="N6" s="768"/>
      <c r="O6" s="768"/>
      <c r="P6" s="768"/>
      <c r="Q6" s="80"/>
    </row>
    <row r="7" spans="1:18" ht="45" x14ac:dyDescent="0.2">
      <c r="A7" s="77"/>
      <c r="B7" s="77"/>
      <c r="C7" s="77"/>
      <c r="D7" s="77"/>
      <c r="E7" s="77"/>
      <c r="F7" s="77"/>
      <c r="G7" s="77"/>
      <c r="H7" s="77"/>
      <c r="I7" s="77"/>
      <c r="J7" s="77"/>
      <c r="K7" s="77"/>
      <c r="L7" s="77"/>
      <c r="M7" s="77"/>
      <c r="N7" s="77"/>
      <c r="O7" s="77"/>
      <c r="P7" s="77"/>
      <c r="Q7" s="80"/>
    </row>
    <row r="8" spans="1:18" ht="45.75" x14ac:dyDescent="0.65">
      <c r="A8" s="769">
        <v>2256400000</v>
      </c>
      <c r="B8" s="770"/>
      <c r="C8" s="77"/>
      <c r="D8" s="375"/>
      <c r="E8" s="375"/>
      <c r="F8" s="375"/>
      <c r="G8" s="375"/>
      <c r="H8" s="375"/>
      <c r="I8" s="375"/>
      <c r="J8" s="375"/>
      <c r="K8" s="375"/>
      <c r="L8" s="375"/>
      <c r="M8" s="375"/>
      <c r="N8" s="375"/>
      <c r="O8" s="375"/>
      <c r="P8" s="375"/>
      <c r="Q8" s="13"/>
    </row>
    <row r="9" spans="1:18" ht="45.75" x14ac:dyDescent="0.2">
      <c r="A9" s="774" t="s">
        <v>488</v>
      </c>
      <c r="B9" s="775"/>
      <c r="C9" s="77"/>
      <c r="D9" s="375"/>
      <c r="E9" s="375"/>
      <c r="F9" s="375"/>
      <c r="G9" s="375"/>
      <c r="H9" s="375"/>
      <c r="I9" s="375"/>
      <c r="J9" s="375"/>
      <c r="K9" s="375"/>
      <c r="L9" s="375"/>
      <c r="M9" s="375"/>
      <c r="N9" s="375"/>
      <c r="O9" s="375"/>
      <c r="P9" s="375"/>
      <c r="Q9" s="13"/>
    </row>
    <row r="10" spans="1:18" ht="53.45" customHeight="1" thickBot="1" x14ac:dyDescent="0.25">
      <c r="A10" s="77"/>
      <c r="B10" s="77"/>
      <c r="C10" s="77"/>
      <c r="D10" s="375"/>
      <c r="E10" s="375"/>
      <c r="F10" s="376"/>
      <c r="G10" s="375"/>
      <c r="H10" s="375"/>
      <c r="I10" s="375"/>
      <c r="J10" s="375"/>
      <c r="K10" s="375"/>
      <c r="L10" s="375"/>
      <c r="M10" s="375"/>
      <c r="N10" s="375"/>
      <c r="O10" s="375"/>
      <c r="P10" s="309" t="s">
        <v>403</v>
      </c>
      <c r="Q10" s="13"/>
    </row>
    <row r="11" spans="1:18" ht="62.45" customHeight="1" thickTop="1" thickBot="1" x14ac:dyDescent="0.25">
      <c r="A11" s="773" t="s">
        <v>489</v>
      </c>
      <c r="B11" s="773" t="s">
        <v>490</v>
      </c>
      <c r="C11" s="773" t="s">
        <v>389</v>
      </c>
      <c r="D11" s="773" t="s">
        <v>569</v>
      </c>
      <c r="E11" s="771" t="s">
        <v>12</v>
      </c>
      <c r="F11" s="771"/>
      <c r="G11" s="771"/>
      <c r="H11" s="771"/>
      <c r="I11" s="771"/>
      <c r="J11" s="771" t="s">
        <v>52</v>
      </c>
      <c r="K11" s="771"/>
      <c r="L11" s="771"/>
      <c r="M11" s="771"/>
      <c r="N11" s="771"/>
      <c r="O11" s="772"/>
      <c r="P11" s="771" t="s">
        <v>11</v>
      </c>
      <c r="Q11" s="20"/>
    </row>
    <row r="12" spans="1:18" ht="96" customHeight="1" thickTop="1" thickBot="1" x14ac:dyDescent="0.25">
      <c r="A12" s="771"/>
      <c r="B12" s="776"/>
      <c r="C12" s="776"/>
      <c r="D12" s="771"/>
      <c r="E12" s="773" t="s">
        <v>383</v>
      </c>
      <c r="F12" s="773" t="s">
        <v>53</v>
      </c>
      <c r="G12" s="773" t="s">
        <v>13</v>
      </c>
      <c r="H12" s="773"/>
      <c r="I12" s="773" t="s">
        <v>55</v>
      </c>
      <c r="J12" s="773" t="s">
        <v>383</v>
      </c>
      <c r="K12" s="773" t="s">
        <v>384</v>
      </c>
      <c r="L12" s="773" t="s">
        <v>53</v>
      </c>
      <c r="M12" s="773" t="s">
        <v>13</v>
      </c>
      <c r="N12" s="773"/>
      <c r="O12" s="773" t="s">
        <v>55</v>
      </c>
      <c r="P12" s="771"/>
      <c r="Q12" s="20"/>
    </row>
    <row r="13" spans="1:18" ht="328.7" customHeight="1" thickTop="1" thickBot="1" x14ac:dyDescent="0.25">
      <c r="A13" s="776"/>
      <c r="B13" s="776"/>
      <c r="C13" s="776"/>
      <c r="D13" s="776"/>
      <c r="E13" s="773"/>
      <c r="F13" s="773"/>
      <c r="G13" s="310" t="s">
        <v>54</v>
      </c>
      <c r="H13" s="310" t="s">
        <v>15</v>
      </c>
      <c r="I13" s="773"/>
      <c r="J13" s="773"/>
      <c r="K13" s="773"/>
      <c r="L13" s="773"/>
      <c r="M13" s="310" t="s">
        <v>54</v>
      </c>
      <c r="N13" s="310" t="s">
        <v>15</v>
      </c>
      <c r="O13" s="773"/>
      <c r="P13" s="771"/>
      <c r="Q13" s="20"/>
    </row>
    <row r="14" spans="1:18" s="24" customFormat="1" ht="47.25" thickTop="1" thickBot="1" x14ac:dyDescent="0.25">
      <c r="A14" s="307" t="s">
        <v>2</v>
      </c>
      <c r="B14" s="307" t="s">
        <v>3</v>
      </c>
      <c r="C14" s="307" t="s">
        <v>14</v>
      </c>
      <c r="D14" s="307" t="s">
        <v>5</v>
      </c>
      <c r="E14" s="307" t="s">
        <v>391</v>
      </c>
      <c r="F14" s="307" t="s">
        <v>392</v>
      </c>
      <c r="G14" s="307" t="s">
        <v>393</v>
      </c>
      <c r="H14" s="307" t="s">
        <v>394</v>
      </c>
      <c r="I14" s="307" t="s">
        <v>395</v>
      </c>
      <c r="J14" s="307" t="s">
        <v>396</v>
      </c>
      <c r="K14" s="307" t="s">
        <v>397</v>
      </c>
      <c r="L14" s="307" t="s">
        <v>398</v>
      </c>
      <c r="M14" s="307" t="s">
        <v>399</v>
      </c>
      <c r="N14" s="307" t="s">
        <v>400</v>
      </c>
      <c r="O14" s="307" t="s">
        <v>401</v>
      </c>
      <c r="P14" s="307" t="s">
        <v>402</v>
      </c>
      <c r="Q14" s="124"/>
      <c r="R14" s="23"/>
    </row>
    <row r="15" spans="1:18" s="24" customFormat="1" ht="120" customHeight="1" thickTop="1" thickBot="1" x14ac:dyDescent="0.25">
      <c r="A15" s="639" t="s">
        <v>148</v>
      </c>
      <c r="B15" s="639"/>
      <c r="C15" s="639"/>
      <c r="D15" s="640" t="s">
        <v>150</v>
      </c>
      <c r="E15" s="641">
        <f>E16</f>
        <v>281597339</v>
      </c>
      <c r="F15" s="642">
        <f t="shared" ref="F15:N15" si="0">F16</f>
        <v>281597339</v>
      </c>
      <c r="G15" s="642">
        <f t="shared" si="0"/>
        <v>106818628</v>
      </c>
      <c r="H15" s="642">
        <f t="shared" si="0"/>
        <v>5861100</v>
      </c>
      <c r="I15" s="642">
        <f t="shared" si="0"/>
        <v>0</v>
      </c>
      <c r="J15" s="641">
        <f t="shared" si="0"/>
        <v>36682000</v>
      </c>
      <c r="K15" s="642">
        <f t="shared" si="0"/>
        <v>32182000</v>
      </c>
      <c r="L15" s="642">
        <f t="shared" si="0"/>
        <v>4350000</v>
      </c>
      <c r="M15" s="642">
        <f t="shared" si="0"/>
        <v>0</v>
      </c>
      <c r="N15" s="642">
        <f t="shared" si="0"/>
        <v>0</v>
      </c>
      <c r="O15" s="641">
        <f>O16</f>
        <v>32332000</v>
      </c>
      <c r="P15" s="642">
        <f t="shared" ref="P15" si="1">P16</f>
        <v>318279339</v>
      </c>
      <c r="Q15" s="25"/>
      <c r="R15" s="25"/>
    </row>
    <row r="16" spans="1:18" s="24" customFormat="1" ht="120" customHeight="1" thickTop="1" thickBot="1" x14ac:dyDescent="0.25">
      <c r="A16" s="603" t="s">
        <v>149</v>
      </c>
      <c r="B16" s="603"/>
      <c r="C16" s="603"/>
      <c r="D16" s="604" t="s">
        <v>151</v>
      </c>
      <c r="E16" s="605">
        <f>E17+E25+E36+E42+E22</f>
        <v>281597339</v>
      </c>
      <c r="F16" s="605">
        <f>F17+F25+F36+F42+F22</f>
        <v>281597339</v>
      </c>
      <c r="G16" s="605">
        <f>G17+G25+G36+G42+G22</f>
        <v>106818628</v>
      </c>
      <c r="H16" s="605">
        <f>H17+H25+H36+H42+H22</f>
        <v>5861100</v>
      </c>
      <c r="I16" s="605">
        <f>I17+I25+I36+I42+I22</f>
        <v>0</v>
      </c>
      <c r="J16" s="605">
        <f>L16+O16</f>
        <v>36682000</v>
      </c>
      <c r="K16" s="605">
        <f>K17+K25+K36+K42+K22</f>
        <v>32182000</v>
      </c>
      <c r="L16" s="605">
        <f>L17+L25+L36+L42+L22</f>
        <v>4350000</v>
      </c>
      <c r="M16" s="605">
        <f>M17+M25+M36+M42+M22</f>
        <v>0</v>
      </c>
      <c r="N16" s="605">
        <f>N17+N25+N36+N42+N22</f>
        <v>0</v>
      </c>
      <c r="O16" s="605">
        <f>O17+O25+O36+O42+O22</f>
        <v>32332000</v>
      </c>
      <c r="P16" s="605">
        <f>E16+J16</f>
        <v>318279339</v>
      </c>
      <c r="Q16" s="485" t="b">
        <f>P16=P18+P21+P24+P27+P31+P33+P35+P38+P39+P41+P44+P45+P46</f>
        <v>1</v>
      </c>
      <c r="R16" s="26"/>
    </row>
    <row r="17" spans="1:18" s="28" customFormat="1" ht="47.25" thickTop="1" thickBot="1" x14ac:dyDescent="0.25">
      <c r="A17" s="307" t="s">
        <v>675</v>
      </c>
      <c r="B17" s="307" t="s">
        <v>676</v>
      </c>
      <c r="C17" s="307"/>
      <c r="D17" s="307" t="s">
        <v>677</v>
      </c>
      <c r="E17" s="319">
        <f>SUM(E18:E21)</f>
        <v>173670030</v>
      </c>
      <c r="F17" s="319">
        <f>SUM(F18:F21)</f>
        <v>173670030</v>
      </c>
      <c r="G17" s="319">
        <f t="shared" ref="G17:P17" si="2">SUM(G18:G21)</f>
        <v>106818628</v>
      </c>
      <c r="H17" s="319">
        <f t="shared" si="2"/>
        <v>5861100</v>
      </c>
      <c r="I17" s="319">
        <f t="shared" si="2"/>
        <v>0</v>
      </c>
      <c r="J17" s="319">
        <f t="shared" si="2"/>
        <v>1557000</v>
      </c>
      <c r="K17" s="319">
        <f t="shared" si="2"/>
        <v>1557000</v>
      </c>
      <c r="L17" s="319">
        <f t="shared" si="2"/>
        <v>0</v>
      </c>
      <c r="M17" s="319">
        <f t="shared" si="2"/>
        <v>0</v>
      </c>
      <c r="N17" s="319">
        <f t="shared" si="2"/>
        <v>0</v>
      </c>
      <c r="O17" s="319">
        <f t="shared" si="2"/>
        <v>1557000</v>
      </c>
      <c r="P17" s="319">
        <f t="shared" si="2"/>
        <v>175227030</v>
      </c>
      <c r="Q17" s="31"/>
      <c r="R17" s="27"/>
    </row>
    <row r="18" spans="1:18" ht="173.25" customHeight="1" thickTop="1" thickBot="1" x14ac:dyDescent="0.25">
      <c r="A18" s="101" t="s">
        <v>232</v>
      </c>
      <c r="B18" s="101" t="s">
        <v>233</v>
      </c>
      <c r="C18" s="101" t="s">
        <v>234</v>
      </c>
      <c r="D18" s="101" t="s">
        <v>231</v>
      </c>
      <c r="E18" s="319">
        <f t="shared" ref="E18:E44" si="3">F18</f>
        <v>143894830</v>
      </c>
      <c r="F18" s="317">
        <f>145451830-200000-1357000</f>
        <v>143894830</v>
      </c>
      <c r="G18" s="317">
        <v>106818628</v>
      </c>
      <c r="H18" s="317">
        <f>2700000+100000+2720000+267000+74100</f>
        <v>5861100</v>
      </c>
      <c r="I18" s="317"/>
      <c r="J18" s="319">
        <f t="shared" ref="J18:J31" si="4">L18+O18</f>
        <v>1557000</v>
      </c>
      <c r="K18" s="317">
        <f>200000+1357000</f>
        <v>1557000</v>
      </c>
      <c r="L18" s="431"/>
      <c r="M18" s="630"/>
      <c r="N18" s="630"/>
      <c r="O18" s="432">
        <f t="shared" ref="O18:O31" si="5">K18</f>
        <v>1557000</v>
      </c>
      <c r="P18" s="319">
        <f>+J18+E18</f>
        <v>145451830</v>
      </c>
      <c r="Q18" s="131"/>
      <c r="R18" s="29"/>
    </row>
    <row r="19" spans="1:18" ht="93" hidden="1" thickTop="1" thickBot="1" x14ac:dyDescent="0.25">
      <c r="A19" s="126" t="s">
        <v>580</v>
      </c>
      <c r="B19" s="126" t="s">
        <v>236</v>
      </c>
      <c r="C19" s="126" t="s">
        <v>234</v>
      </c>
      <c r="D19" s="126" t="s">
        <v>235</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618</v>
      </c>
      <c r="B20" s="126" t="s">
        <v>361</v>
      </c>
      <c r="C20" s="126" t="s">
        <v>619</v>
      </c>
      <c r="D20" s="126" t="s">
        <v>620</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48" thickTop="1" thickBot="1" x14ac:dyDescent="0.25">
      <c r="A21" s="101" t="s">
        <v>246</v>
      </c>
      <c r="B21" s="101" t="s">
        <v>43</v>
      </c>
      <c r="C21" s="101" t="s">
        <v>42</v>
      </c>
      <c r="D21" s="101" t="s">
        <v>247</v>
      </c>
      <c r="E21" s="319">
        <f t="shared" si="3"/>
        <v>29775200</v>
      </c>
      <c r="F21" s="435">
        <v>29775200</v>
      </c>
      <c r="G21" s="435"/>
      <c r="H21" s="435"/>
      <c r="I21" s="435"/>
      <c r="J21" s="319">
        <f t="shared" si="4"/>
        <v>0</v>
      </c>
      <c r="K21" s="435"/>
      <c r="L21" s="435"/>
      <c r="M21" s="435"/>
      <c r="N21" s="435"/>
      <c r="O21" s="432">
        <f t="shared" si="5"/>
        <v>0</v>
      </c>
      <c r="P21" s="319">
        <f>E21+J21</f>
        <v>29775200</v>
      </c>
      <c r="Q21" s="131"/>
      <c r="R21" s="30"/>
    </row>
    <row r="22" spans="1:18" ht="47.25" thickTop="1" thickBot="1" x14ac:dyDescent="0.25">
      <c r="A22" s="307" t="s">
        <v>1531</v>
      </c>
      <c r="B22" s="307" t="s">
        <v>702</v>
      </c>
      <c r="C22" s="307"/>
      <c r="D22" s="307" t="s">
        <v>703</v>
      </c>
      <c r="E22" s="319">
        <f>E23</f>
        <v>4160029</v>
      </c>
      <c r="F22" s="319">
        <f t="shared" ref="F22:P22" si="10">F23</f>
        <v>4160029</v>
      </c>
      <c r="G22" s="319">
        <f t="shared" si="10"/>
        <v>0</v>
      </c>
      <c r="H22" s="319">
        <f t="shared" si="10"/>
        <v>0</v>
      </c>
      <c r="I22" s="319">
        <f t="shared" si="10"/>
        <v>0</v>
      </c>
      <c r="J22" s="319">
        <f t="shared" si="10"/>
        <v>425000</v>
      </c>
      <c r="K22" s="319">
        <f t="shared" si="10"/>
        <v>425000</v>
      </c>
      <c r="L22" s="319">
        <f t="shared" si="10"/>
        <v>0</v>
      </c>
      <c r="M22" s="319">
        <f t="shared" si="10"/>
        <v>0</v>
      </c>
      <c r="N22" s="319">
        <f t="shared" si="10"/>
        <v>0</v>
      </c>
      <c r="O22" s="319">
        <f t="shared" si="10"/>
        <v>425000</v>
      </c>
      <c r="P22" s="319">
        <f t="shared" si="10"/>
        <v>4585029</v>
      </c>
      <c r="Q22" s="131"/>
      <c r="R22" s="30"/>
    </row>
    <row r="23" spans="1:18" ht="48" thickTop="1" thickBot="1" x14ac:dyDescent="0.25">
      <c r="A23" s="613" t="s">
        <v>1532</v>
      </c>
      <c r="B23" s="613" t="s">
        <v>730</v>
      </c>
      <c r="C23" s="613"/>
      <c r="D23" s="613" t="s">
        <v>731</v>
      </c>
      <c r="E23" s="614">
        <f>E24</f>
        <v>4160029</v>
      </c>
      <c r="F23" s="614">
        <f t="shared" ref="F23:P23" si="11">F24</f>
        <v>4160029</v>
      </c>
      <c r="G23" s="614">
        <f t="shared" si="11"/>
        <v>0</v>
      </c>
      <c r="H23" s="614">
        <f t="shared" si="11"/>
        <v>0</v>
      </c>
      <c r="I23" s="614">
        <f t="shared" si="11"/>
        <v>0</v>
      </c>
      <c r="J23" s="614">
        <f t="shared" si="11"/>
        <v>425000</v>
      </c>
      <c r="K23" s="614">
        <f t="shared" si="11"/>
        <v>425000</v>
      </c>
      <c r="L23" s="614">
        <f t="shared" si="11"/>
        <v>0</v>
      </c>
      <c r="M23" s="614">
        <f t="shared" si="11"/>
        <v>0</v>
      </c>
      <c r="N23" s="614">
        <f t="shared" si="11"/>
        <v>0</v>
      </c>
      <c r="O23" s="614">
        <f t="shared" si="11"/>
        <v>425000</v>
      </c>
      <c r="P23" s="614">
        <f t="shared" si="11"/>
        <v>4585029</v>
      </c>
      <c r="Q23" s="131"/>
      <c r="R23" s="30"/>
    </row>
    <row r="24" spans="1:18" ht="93" thickTop="1" thickBot="1" x14ac:dyDescent="0.25">
      <c r="A24" s="101" t="s">
        <v>1533</v>
      </c>
      <c r="B24" s="101" t="s">
        <v>328</v>
      </c>
      <c r="C24" s="101" t="s">
        <v>191</v>
      </c>
      <c r="D24" s="615" t="s">
        <v>330</v>
      </c>
      <c r="E24" s="319">
        <f t="shared" ref="E24" si="12">F24</f>
        <v>4160029</v>
      </c>
      <c r="F24" s="435">
        <f>4585029-425000</f>
        <v>4160029</v>
      </c>
      <c r="G24" s="317"/>
      <c r="H24" s="317"/>
      <c r="I24" s="435"/>
      <c r="J24" s="319">
        <f t="shared" ref="J24" si="13">L24+O24</f>
        <v>425000</v>
      </c>
      <c r="K24" s="435">
        <v>425000</v>
      </c>
      <c r="L24" s="435"/>
      <c r="M24" s="435"/>
      <c r="N24" s="435"/>
      <c r="O24" s="432">
        <f>(K24)</f>
        <v>425000</v>
      </c>
      <c r="P24" s="319">
        <f t="shared" ref="P24" si="14">E24+J24</f>
        <v>4585029</v>
      </c>
      <c r="Q24" s="131"/>
      <c r="R24" s="30"/>
    </row>
    <row r="25" spans="1:18" s="28" customFormat="1" ht="47.25" thickTop="1" thickBot="1" x14ac:dyDescent="0.3">
      <c r="A25" s="307" t="s">
        <v>738</v>
      </c>
      <c r="B25" s="307" t="s">
        <v>739</v>
      </c>
      <c r="C25" s="307"/>
      <c r="D25" s="307" t="s">
        <v>740</v>
      </c>
      <c r="E25" s="319">
        <f t="shared" ref="E25:P25" si="15">SUM(E26:E35)-E26-E29-E32</f>
        <v>9286795</v>
      </c>
      <c r="F25" s="319">
        <f t="shared" si="15"/>
        <v>9286795</v>
      </c>
      <c r="G25" s="319">
        <f t="shared" si="15"/>
        <v>0</v>
      </c>
      <c r="H25" s="319">
        <f t="shared" si="15"/>
        <v>0</v>
      </c>
      <c r="I25" s="319">
        <f t="shared" si="15"/>
        <v>0</v>
      </c>
      <c r="J25" s="319">
        <f t="shared" si="15"/>
        <v>4500000</v>
      </c>
      <c r="K25" s="319">
        <f t="shared" si="15"/>
        <v>0</v>
      </c>
      <c r="L25" s="319">
        <f t="shared" si="15"/>
        <v>4350000</v>
      </c>
      <c r="M25" s="319">
        <f t="shared" si="15"/>
        <v>0</v>
      </c>
      <c r="N25" s="319">
        <f t="shared" si="15"/>
        <v>0</v>
      </c>
      <c r="O25" s="319">
        <f t="shared" si="15"/>
        <v>150000</v>
      </c>
      <c r="P25" s="319">
        <f t="shared" si="15"/>
        <v>13786795</v>
      </c>
      <c r="Q25" s="133"/>
      <c r="R25" s="31"/>
    </row>
    <row r="26" spans="1:18" s="33" customFormat="1" ht="47.25" thickTop="1" thickBot="1" x14ac:dyDescent="0.25">
      <c r="A26" s="608" t="s">
        <v>678</v>
      </c>
      <c r="B26" s="608" t="s">
        <v>679</v>
      </c>
      <c r="C26" s="608"/>
      <c r="D26" s="608" t="s">
        <v>680</v>
      </c>
      <c r="E26" s="610">
        <f t="shared" ref="E26:P26" si="16">SUM(E27:E28)</f>
        <v>6305100</v>
      </c>
      <c r="F26" s="610">
        <f t="shared" si="16"/>
        <v>6305100</v>
      </c>
      <c r="G26" s="610">
        <f t="shared" si="16"/>
        <v>0</v>
      </c>
      <c r="H26" s="610">
        <f t="shared" si="16"/>
        <v>0</v>
      </c>
      <c r="I26" s="610">
        <f t="shared" si="16"/>
        <v>0</v>
      </c>
      <c r="J26" s="610">
        <f t="shared" si="16"/>
        <v>0</v>
      </c>
      <c r="K26" s="610">
        <f t="shared" si="16"/>
        <v>0</v>
      </c>
      <c r="L26" s="610">
        <f t="shared" si="16"/>
        <v>0</v>
      </c>
      <c r="M26" s="610">
        <f t="shared" si="16"/>
        <v>0</v>
      </c>
      <c r="N26" s="610">
        <f t="shared" si="16"/>
        <v>0</v>
      </c>
      <c r="O26" s="610">
        <f t="shared" si="16"/>
        <v>0</v>
      </c>
      <c r="P26" s="610">
        <f t="shared" si="16"/>
        <v>6305100</v>
      </c>
      <c r="Q26" s="136"/>
      <c r="R26" s="32"/>
    </row>
    <row r="27" spans="1:18" ht="48" thickTop="1" thickBot="1" x14ac:dyDescent="0.25">
      <c r="A27" s="101" t="s">
        <v>238</v>
      </c>
      <c r="B27" s="101" t="s">
        <v>239</v>
      </c>
      <c r="C27" s="101" t="s">
        <v>240</v>
      </c>
      <c r="D27" s="101" t="s">
        <v>237</v>
      </c>
      <c r="E27" s="319">
        <f t="shared" si="3"/>
        <v>6305100</v>
      </c>
      <c r="F27" s="435">
        <v>6305100</v>
      </c>
      <c r="G27" s="435"/>
      <c r="H27" s="435"/>
      <c r="I27" s="435"/>
      <c r="J27" s="319">
        <f t="shared" si="4"/>
        <v>0</v>
      </c>
      <c r="K27" s="435"/>
      <c r="L27" s="435"/>
      <c r="M27" s="435"/>
      <c r="N27" s="435"/>
      <c r="O27" s="432">
        <f t="shared" si="5"/>
        <v>0</v>
      </c>
      <c r="P27" s="319">
        <f>+J27+E27</f>
        <v>6305100</v>
      </c>
      <c r="Q27" s="131"/>
      <c r="R27" s="29"/>
    </row>
    <row r="28" spans="1:18" ht="93" hidden="1" thickTop="1" thickBot="1" x14ac:dyDescent="0.25">
      <c r="A28" s="41" t="s">
        <v>961</v>
      </c>
      <c r="B28" s="41" t="s">
        <v>962</v>
      </c>
      <c r="C28" s="41" t="s">
        <v>240</v>
      </c>
      <c r="D28" s="41" t="s">
        <v>963</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608" t="s">
        <v>682</v>
      </c>
      <c r="B29" s="608" t="s">
        <v>683</v>
      </c>
      <c r="C29" s="608"/>
      <c r="D29" s="608" t="s">
        <v>681</v>
      </c>
      <c r="E29" s="610">
        <f>SUM(E31)+E32+E30</f>
        <v>2981695</v>
      </c>
      <c r="F29" s="610">
        <f t="shared" ref="F29:P29" si="17">SUM(F31)+F32+F30</f>
        <v>2981695</v>
      </c>
      <c r="G29" s="610">
        <f t="shared" si="17"/>
        <v>0</v>
      </c>
      <c r="H29" s="610">
        <f t="shared" si="17"/>
        <v>0</v>
      </c>
      <c r="I29" s="610">
        <f t="shared" si="17"/>
        <v>0</v>
      </c>
      <c r="J29" s="610">
        <f t="shared" si="17"/>
        <v>4500000</v>
      </c>
      <c r="K29" s="610">
        <f t="shared" si="17"/>
        <v>0</v>
      </c>
      <c r="L29" s="610">
        <f t="shared" si="17"/>
        <v>4350000</v>
      </c>
      <c r="M29" s="610">
        <f t="shared" si="17"/>
        <v>0</v>
      </c>
      <c r="N29" s="610">
        <f t="shared" si="17"/>
        <v>0</v>
      </c>
      <c r="O29" s="610">
        <f t="shared" si="17"/>
        <v>150000</v>
      </c>
      <c r="P29" s="610">
        <f t="shared" si="17"/>
        <v>7481695</v>
      </c>
      <c r="Q29" s="137"/>
      <c r="R29" s="34"/>
    </row>
    <row r="30" spans="1:18" ht="48" hidden="1" thickTop="1" thickBot="1" x14ac:dyDescent="0.25">
      <c r="A30" s="101" t="s">
        <v>1362</v>
      </c>
      <c r="B30" s="101" t="s">
        <v>212</v>
      </c>
      <c r="C30" s="101" t="s">
        <v>213</v>
      </c>
      <c r="D30" s="101" t="s">
        <v>41</v>
      </c>
      <c r="E30" s="319">
        <f t="shared" si="3"/>
        <v>0</v>
      </c>
      <c r="F30" s="435"/>
      <c r="G30" s="435"/>
      <c r="H30" s="435"/>
      <c r="I30" s="435"/>
      <c r="J30" s="319">
        <f t="shared" si="4"/>
        <v>0</v>
      </c>
      <c r="K30" s="435"/>
      <c r="L30" s="435"/>
      <c r="M30" s="435"/>
      <c r="N30" s="435"/>
      <c r="O30" s="432">
        <f t="shared" si="5"/>
        <v>0</v>
      </c>
      <c r="P30" s="319">
        <f>+J30+E30</f>
        <v>0</v>
      </c>
      <c r="Q30" s="137"/>
      <c r="R30" s="34"/>
    </row>
    <row r="31" spans="1:18" ht="48" thickTop="1" thickBot="1" x14ac:dyDescent="0.25">
      <c r="A31" s="101" t="s">
        <v>298</v>
      </c>
      <c r="B31" s="101" t="s">
        <v>299</v>
      </c>
      <c r="C31" s="101" t="s">
        <v>170</v>
      </c>
      <c r="D31" s="101" t="s">
        <v>440</v>
      </c>
      <c r="E31" s="319">
        <f t="shared" si="3"/>
        <v>326435</v>
      </c>
      <c r="F31" s="435">
        <v>326435</v>
      </c>
      <c r="G31" s="435"/>
      <c r="H31" s="435"/>
      <c r="I31" s="435"/>
      <c r="J31" s="319">
        <f t="shared" si="4"/>
        <v>0</v>
      </c>
      <c r="K31" s="435"/>
      <c r="L31" s="435"/>
      <c r="M31" s="435"/>
      <c r="N31" s="435"/>
      <c r="O31" s="432">
        <f t="shared" si="5"/>
        <v>0</v>
      </c>
      <c r="P31" s="319">
        <f>+J31+E31</f>
        <v>326435</v>
      </c>
      <c r="Q31" s="131"/>
      <c r="R31" s="30"/>
    </row>
    <row r="32" spans="1:18" ht="48" thickTop="1" thickBot="1" x14ac:dyDescent="0.25">
      <c r="A32" s="613" t="s">
        <v>685</v>
      </c>
      <c r="B32" s="613" t="s">
        <v>686</v>
      </c>
      <c r="C32" s="613"/>
      <c r="D32" s="631" t="s">
        <v>684</v>
      </c>
      <c r="E32" s="614">
        <f>SUM(E33:E35)</f>
        <v>2655260</v>
      </c>
      <c r="F32" s="614">
        <f t="shared" ref="F32:O32" si="18">SUM(F33:F35)</f>
        <v>2655260</v>
      </c>
      <c r="G32" s="614">
        <f t="shared" si="18"/>
        <v>0</v>
      </c>
      <c r="H32" s="614">
        <f t="shared" si="18"/>
        <v>0</v>
      </c>
      <c r="I32" s="614">
        <f t="shared" si="18"/>
        <v>0</v>
      </c>
      <c r="J32" s="614">
        <f t="shared" si="18"/>
        <v>4500000</v>
      </c>
      <c r="K32" s="614">
        <f t="shared" si="18"/>
        <v>0</v>
      </c>
      <c r="L32" s="614">
        <f t="shared" si="18"/>
        <v>4350000</v>
      </c>
      <c r="M32" s="614">
        <f t="shared" si="18"/>
        <v>0</v>
      </c>
      <c r="N32" s="614">
        <f t="shared" si="18"/>
        <v>0</v>
      </c>
      <c r="O32" s="614">
        <f t="shared" si="18"/>
        <v>150000</v>
      </c>
      <c r="P32" s="614">
        <f>E32+J32</f>
        <v>7155260</v>
      </c>
      <c r="Q32" s="137"/>
      <c r="R32" s="35"/>
    </row>
    <row r="33" spans="1:18" s="33" customFormat="1" ht="156.75" customHeight="1" thickTop="1" thickBot="1" x14ac:dyDescent="0.7">
      <c r="A33" s="737" t="s">
        <v>338</v>
      </c>
      <c r="B33" s="737" t="s">
        <v>337</v>
      </c>
      <c r="C33" s="737" t="s">
        <v>170</v>
      </c>
      <c r="D33" s="486" t="s">
        <v>438</v>
      </c>
      <c r="E33" s="739">
        <f t="shared" si="3"/>
        <v>0</v>
      </c>
      <c r="F33" s="740"/>
      <c r="G33" s="740"/>
      <c r="H33" s="740"/>
      <c r="I33" s="740"/>
      <c r="J33" s="742">
        <f>L33+O33</f>
        <v>4500000</v>
      </c>
      <c r="K33" s="740"/>
      <c r="L33" s="740">
        <f>1071271+285129+2993600</f>
        <v>4350000</v>
      </c>
      <c r="M33" s="740"/>
      <c r="N33" s="740"/>
      <c r="O33" s="758">
        <f>150000</f>
        <v>150000</v>
      </c>
      <c r="P33" s="760">
        <f>E33+J33</f>
        <v>4500000</v>
      </c>
      <c r="Q33" s="140"/>
      <c r="R33" s="36"/>
    </row>
    <row r="34" spans="1:18" s="33" customFormat="1" ht="120.75" customHeight="1" thickTop="1" thickBot="1" x14ac:dyDescent="0.25">
      <c r="A34" s="738"/>
      <c r="B34" s="748"/>
      <c r="C34" s="738"/>
      <c r="D34" s="487" t="s">
        <v>439</v>
      </c>
      <c r="E34" s="738"/>
      <c r="F34" s="741"/>
      <c r="G34" s="741"/>
      <c r="H34" s="741"/>
      <c r="I34" s="741"/>
      <c r="J34" s="743"/>
      <c r="K34" s="741"/>
      <c r="L34" s="741"/>
      <c r="M34" s="741"/>
      <c r="N34" s="741"/>
      <c r="O34" s="759"/>
      <c r="P34" s="761"/>
      <c r="Q34" s="36"/>
      <c r="R34" s="36"/>
    </row>
    <row r="35" spans="1:18" s="33" customFormat="1" ht="79.5" customHeight="1" thickTop="1" thickBot="1" x14ac:dyDescent="0.25">
      <c r="A35" s="101" t="s">
        <v>901</v>
      </c>
      <c r="B35" s="101" t="s">
        <v>256</v>
      </c>
      <c r="C35" s="101" t="s">
        <v>170</v>
      </c>
      <c r="D35" s="101" t="s">
        <v>254</v>
      </c>
      <c r="E35" s="319">
        <f>F35</f>
        <v>2655260</v>
      </c>
      <c r="F35" s="435">
        <v>2655260</v>
      </c>
      <c r="G35" s="435"/>
      <c r="H35" s="435"/>
      <c r="I35" s="435"/>
      <c r="J35" s="319">
        <f>L35+O35</f>
        <v>0</v>
      </c>
      <c r="K35" s="435"/>
      <c r="L35" s="435"/>
      <c r="M35" s="435"/>
      <c r="N35" s="435"/>
      <c r="O35" s="432"/>
      <c r="P35" s="319">
        <f>E35+J35</f>
        <v>2655260</v>
      </c>
      <c r="Q35" s="36"/>
      <c r="R35" s="36"/>
    </row>
    <row r="36" spans="1:18" s="33" customFormat="1" ht="65.25" customHeight="1" thickTop="1" thickBot="1" x14ac:dyDescent="0.25">
      <c r="A36" s="307" t="s">
        <v>687</v>
      </c>
      <c r="B36" s="307" t="s">
        <v>688</v>
      </c>
      <c r="C36" s="307"/>
      <c r="D36" s="307" t="s">
        <v>689</v>
      </c>
      <c r="E36" s="319">
        <f t="shared" ref="E36:P36" si="19">E40+E37</f>
        <v>27954685</v>
      </c>
      <c r="F36" s="319">
        <f t="shared" si="19"/>
        <v>27954685</v>
      </c>
      <c r="G36" s="319">
        <f t="shared" si="19"/>
        <v>0</v>
      </c>
      <c r="H36" s="319">
        <f t="shared" si="19"/>
        <v>0</v>
      </c>
      <c r="I36" s="319">
        <f t="shared" si="19"/>
        <v>0</v>
      </c>
      <c r="J36" s="319">
        <f t="shared" si="19"/>
        <v>30200000</v>
      </c>
      <c r="K36" s="319">
        <f t="shared" si="19"/>
        <v>30200000</v>
      </c>
      <c r="L36" s="319">
        <f t="shared" si="19"/>
        <v>0</v>
      </c>
      <c r="M36" s="319">
        <f t="shared" si="19"/>
        <v>0</v>
      </c>
      <c r="N36" s="319">
        <f t="shared" si="19"/>
        <v>0</v>
      </c>
      <c r="O36" s="319">
        <f t="shared" si="19"/>
        <v>30200000</v>
      </c>
      <c r="P36" s="319">
        <f t="shared" si="19"/>
        <v>58154685</v>
      </c>
      <c r="Q36" s="36"/>
      <c r="R36" s="36"/>
    </row>
    <row r="37" spans="1:18" s="33" customFormat="1" ht="75.75" customHeight="1" thickTop="1" thickBot="1" x14ac:dyDescent="0.25">
      <c r="A37" s="608" t="s">
        <v>1150</v>
      </c>
      <c r="B37" s="608" t="s">
        <v>1151</v>
      </c>
      <c r="C37" s="608"/>
      <c r="D37" s="608" t="s">
        <v>1149</v>
      </c>
      <c r="E37" s="610">
        <f t="shared" ref="E37:P37" si="20">SUM(E38:E39)</f>
        <v>16806114</v>
      </c>
      <c r="F37" s="610">
        <f t="shared" si="20"/>
        <v>16806114</v>
      </c>
      <c r="G37" s="610">
        <f t="shared" si="20"/>
        <v>0</v>
      </c>
      <c r="H37" s="610">
        <f t="shared" si="20"/>
        <v>0</v>
      </c>
      <c r="I37" s="610">
        <f t="shared" si="20"/>
        <v>0</v>
      </c>
      <c r="J37" s="610">
        <f t="shared" si="20"/>
        <v>30200000</v>
      </c>
      <c r="K37" s="610">
        <f t="shared" si="20"/>
        <v>30200000</v>
      </c>
      <c r="L37" s="610">
        <f t="shared" si="20"/>
        <v>0</v>
      </c>
      <c r="M37" s="610">
        <f t="shared" si="20"/>
        <v>0</v>
      </c>
      <c r="N37" s="610">
        <f t="shared" si="20"/>
        <v>0</v>
      </c>
      <c r="O37" s="610">
        <f t="shared" si="20"/>
        <v>30200000</v>
      </c>
      <c r="P37" s="610">
        <f t="shared" si="20"/>
        <v>47006114</v>
      </c>
      <c r="Q37" s="36"/>
      <c r="R37" s="36"/>
    </row>
    <row r="38" spans="1:18" s="33" customFormat="1" ht="60.75" customHeight="1" thickTop="1" thickBot="1" x14ac:dyDescent="0.25">
      <c r="A38" s="101" t="s">
        <v>1177</v>
      </c>
      <c r="B38" s="101" t="s">
        <v>1178</v>
      </c>
      <c r="C38" s="101" t="s">
        <v>1153</v>
      </c>
      <c r="D38" s="101" t="s">
        <v>1179</v>
      </c>
      <c r="E38" s="319">
        <f>F38</f>
        <v>10000000</v>
      </c>
      <c r="F38" s="435">
        <v>10000000</v>
      </c>
      <c r="G38" s="435"/>
      <c r="H38" s="435"/>
      <c r="I38" s="435"/>
      <c r="J38" s="319">
        <f>L38+O38</f>
        <v>30200000</v>
      </c>
      <c r="K38" s="435">
        <f>30000000+200000</f>
        <v>30200000</v>
      </c>
      <c r="L38" s="435"/>
      <c r="M38" s="435"/>
      <c r="N38" s="435"/>
      <c r="O38" s="432">
        <f>K38</f>
        <v>30200000</v>
      </c>
      <c r="P38" s="319">
        <f>E38+J38</f>
        <v>40200000</v>
      </c>
      <c r="Q38" s="36"/>
      <c r="R38" s="36"/>
    </row>
    <row r="39" spans="1:18" s="33" customFormat="1" ht="72.75" customHeight="1" thickTop="1" thickBot="1" x14ac:dyDescent="0.25">
      <c r="A39" s="101" t="s">
        <v>1154</v>
      </c>
      <c r="B39" s="101" t="s">
        <v>1155</v>
      </c>
      <c r="C39" s="101" t="s">
        <v>1153</v>
      </c>
      <c r="D39" s="101" t="s">
        <v>1152</v>
      </c>
      <c r="E39" s="319">
        <f>F39</f>
        <v>6806114</v>
      </c>
      <c r="F39" s="435">
        <v>6806114</v>
      </c>
      <c r="G39" s="435"/>
      <c r="H39" s="435"/>
      <c r="I39" s="435"/>
      <c r="J39" s="319">
        <f>L39+O39</f>
        <v>0</v>
      </c>
      <c r="K39" s="435"/>
      <c r="L39" s="435"/>
      <c r="M39" s="435"/>
      <c r="N39" s="435"/>
      <c r="O39" s="432">
        <f>K39</f>
        <v>0</v>
      </c>
      <c r="P39" s="319">
        <f>E39+J39</f>
        <v>6806114</v>
      </c>
      <c r="Q39" s="36"/>
      <c r="R39" s="36"/>
    </row>
    <row r="40" spans="1:18" s="33" customFormat="1" ht="47.25" thickTop="1" thickBot="1" x14ac:dyDescent="0.25">
      <c r="A40" s="608" t="s">
        <v>690</v>
      </c>
      <c r="B40" s="608" t="s">
        <v>691</v>
      </c>
      <c r="C40" s="608"/>
      <c r="D40" s="608" t="s">
        <v>1623</v>
      </c>
      <c r="E40" s="610">
        <f>SUM(E41)</f>
        <v>11148571</v>
      </c>
      <c r="F40" s="610">
        <f t="shared" ref="F40:P40" si="21">SUM(F41)</f>
        <v>11148571</v>
      </c>
      <c r="G40" s="610">
        <f t="shared" si="21"/>
        <v>0</v>
      </c>
      <c r="H40" s="610">
        <f t="shared" si="21"/>
        <v>0</v>
      </c>
      <c r="I40" s="610">
        <f t="shared" si="21"/>
        <v>0</v>
      </c>
      <c r="J40" s="610">
        <f t="shared" si="21"/>
        <v>0</v>
      </c>
      <c r="K40" s="610">
        <f t="shared" si="21"/>
        <v>0</v>
      </c>
      <c r="L40" s="610">
        <f t="shared" si="21"/>
        <v>0</v>
      </c>
      <c r="M40" s="610">
        <f t="shared" si="21"/>
        <v>0</v>
      </c>
      <c r="N40" s="610">
        <f t="shared" si="21"/>
        <v>0</v>
      </c>
      <c r="O40" s="610">
        <f t="shared" si="21"/>
        <v>0</v>
      </c>
      <c r="P40" s="610">
        <f t="shared" si="21"/>
        <v>11148571</v>
      </c>
      <c r="Q40" s="36"/>
    </row>
    <row r="41" spans="1:18" ht="48" thickTop="1" thickBot="1" x14ac:dyDescent="0.25">
      <c r="A41" s="101" t="s">
        <v>241</v>
      </c>
      <c r="B41" s="101" t="s">
        <v>242</v>
      </c>
      <c r="C41" s="101" t="s">
        <v>243</v>
      </c>
      <c r="D41" s="101" t="s">
        <v>1624</v>
      </c>
      <c r="E41" s="319">
        <f>F41</f>
        <v>11148571</v>
      </c>
      <c r="F41" s="435">
        <v>11148571</v>
      </c>
      <c r="G41" s="435"/>
      <c r="H41" s="435"/>
      <c r="I41" s="435"/>
      <c r="J41" s="319">
        <f>L41+O41</f>
        <v>0</v>
      </c>
      <c r="K41" s="435"/>
      <c r="L41" s="435"/>
      <c r="M41" s="435"/>
      <c r="N41" s="435"/>
      <c r="O41" s="432">
        <f>K41</f>
        <v>0</v>
      </c>
      <c r="P41" s="319">
        <f>E41+J41</f>
        <v>11148571</v>
      </c>
      <c r="Q41" s="20"/>
    </row>
    <row r="42" spans="1:18" ht="72" customHeight="1" thickTop="1" thickBot="1" x14ac:dyDescent="0.25">
      <c r="A42" s="307" t="s">
        <v>692</v>
      </c>
      <c r="B42" s="307" t="s">
        <v>693</v>
      </c>
      <c r="C42" s="307"/>
      <c r="D42" s="307" t="s">
        <v>694</v>
      </c>
      <c r="E42" s="319">
        <f>E43+E46</f>
        <v>66525800</v>
      </c>
      <c r="F42" s="319">
        <f t="shared" ref="F42:P42" si="22">F43+F46</f>
        <v>66525800</v>
      </c>
      <c r="G42" s="319">
        <f t="shared" si="22"/>
        <v>0</v>
      </c>
      <c r="H42" s="319">
        <f t="shared" si="22"/>
        <v>0</v>
      </c>
      <c r="I42" s="319">
        <f t="shared" si="22"/>
        <v>0</v>
      </c>
      <c r="J42" s="319">
        <f t="shared" si="22"/>
        <v>0</v>
      </c>
      <c r="K42" s="319">
        <f t="shared" si="22"/>
        <v>0</v>
      </c>
      <c r="L42" s="319">
        <f t="shared" si="22"/>
        <v>0</v>
      </c>
      <c r="M42" s="319">
        <f t="shared" si="22"/>
        <v>0</v>
      </c>
      <c r="N42" s="319">
        <f t="shared" si="22"/>
        <v>0</v>
      </c>
      <c r="O42" s="319">
        <f t="shared" si="22"/>
        <v>0</v>
      </c>
      <c r="P42" s="319">
        <f t="shared" si="22"/>
        <v>66525800</v>
      </c>
      <c r="Q42" s="20"/>
    </row>
    <row r="43" spans="1:18" s="33" customFormat="1" ht="91.5" thickTop="1" thickBot="1" x14ac:dyDescent="0.25">
      <c r="A43" s="608" t="s">
        <v>695</v>
      </c>
      <c r="B43" s="608" t="s">
        <v>696</v>
      </c>
      <c r="C43" s="608"/>
      <c r="D43" s="608" t="s">
        <v>697</v>
      </c>
      <c r="E43" s="610">
        <f>SUM(E44:E45)</f>
        <v>1525800</v>
      </c>
      <c r="F43" s="610">
        <f t="shared" ref="F43:P43" si="23">SUM(F44:F45)</f>
        <v>1525800</v>
      </c>
      <c r="G43" s="610">
        <f t="shared" si="23"/>
        <v>0</v>
      </c>
      <c r="H43" s="610">
        <f t="shared" si="23"/>
        <v>0</v>
      </c>
      <c r="I43" s="610">
        <f t="shared" si="23"/>
        <v>0</v>
      </c>
      <c r="J43" s="610">
        <f t="shared" si="23"/>
        <v>0</v>
      </c>
      <c r="K43" s="610">
        <f t="shared" si="23"/>
        <v>0</v>
      </c>
      <c r="L43" s="610">
        <f t="shared" si="23"/>
        <v>0</v>
      </c>
      <c r="M43" s="610">
        <f t="shared" si="23"/>
        <v>0</v>
      </c>
      <c r="N43" s="610">
        <f t="shared" si="23"/>
        <v>0</v>
      </c>
      <c r="O43" s="610">
        <f t="shared" si="23"/>
        <v>0</v>
      </c>
      <c r="P43" s="610">
        <f t="shared" si="23"/>
        <v>1525800</v>
      </c>
      <c r="Q43" s="36"/>
      <c r="R43" s="36"/>
    </row>
    <row r="44" spans="1:18" ht="138.75" thickTop="1" thickBot="1" x14ac:dyDescent="0.25">
      <c r="A44" s="101" t="s">
        <v>244</v>
      </c>
      <c r="B44" s="101" t="s">
        <v>245</v>
      </c>
      <c r="C44" s="101" t="s">
        <v>43</v>
      </c>
      <c r="D44" s="101" t="s">
        <v>441</v>
      </c>
      <c r="E44" s="319">
        <f t="shared" si="3"/>
        <v>1359600</v>
      </c>
      <c r="F44" s="435">
        <v>1359600</v>
      </c>
      <c r="G44" s="435"/>
      <c r="H44" s="435"/>
      <c r="I44" s="435"/>
      <c r="J44" s="319">
        <f>L44+O44</f>
        <v>0</v>
      </c>
      <c r="K44" s="435"/>
      <c r="L44" s="435"/>
      <c r="M44" s="435"/>
      <c r="N44" s="435"/>
      <c r="O44" s="432">
        <f>K44</f>
        <v>0</v>
      </c>
      <c r="P44" s="319">
        <f>E44+J44</f>
        <v>1359600</v>
      </c>
      <c r="Q44" s="20"/>
    </row>
    <row r="45" spans="1:18" ht="48" thickTop="1" thickBot="1" x14ac:dyDescent="0.25">
      <c r="A45" s="101" t="s">
        <v>571</v>
      </c>
      <c r="B45" s="101" t="s">
        <v>362</v>
      </c>
      <c r="C45" s="101" t="s">
        <v>43</v>
      </c>
      <c r="D45" s="101" t="s">
        <v>363</v>
      </c>
      <c r="E45" s="319">
        <f t="shared" ref="E45:E46" si="24">F45</f>
        <v>166200</v>
      </c>
      <c r="F45" s="435">
        <v>166200</v>
      </c>
      <c r="G45" s="435"/>
      <c r="H45" s="435"/>
      <c r="I45" s="435"/>
      <c r="J45" s="319">
        <f>L45+O45</f>
        <v>0</v>
      </c>
      <c r="K45" s="435">
        <f>(1000000)-1000000</f>
        <v>0</v>
      </c>
      <c r="L45" s="435"/>
      <c r="M45" s="435"/>
      <c r="N45" s="435"/>
      <c r="O45" s="432">
        <f>K45</f>
        <v>0</v>
      </c>
      <c r="P45" s="319">
        <f>E45+J45</f>
        <v>166200</v>
      </c>
      <c r="Q45" s="20"/>
    </row>
    <row r="46" spans="1:18" ht="93" thickTop="1" thickBot="1" x14ac:dyDescent="0.25">
      <c r="A46" s="101" t="s">
        <v>511</v>
      </c>
      <c r="B46" s="101" t="s">
        <v>512</v>
      </c>
      <c r="C46" s="101" t="s">
        <v>43</v>
      </c>
      <c r="D46" s="101" t="s">
        <v>513</v>
      </c>
      <c r="E46" s="319">
        <f t="shared" si="24"/>
        <v>65000000</v>
      </c>
      <c r="F46" s="435">
        <f>55000000+10000000</f>
        <v>65000000</v>
      </c>
      <c r="G46" s="435"/>
      <c r="H46" s="435"/>
      <c r="I46" s="435"/>
      <c r="J46" s="319">
        <f>L46+O46</f>
        <v>0</v>
      </c>
      <c r="K46" s="435"/>
      <c r="L46" s="435"/>
      <c r="M46" s="435"/>
      <c r="N46" s="435"/>
      <c r="O46" s="432">
        <f>K46</f>
        <v>0</v>
      </c>
      <c r="P46" s="319">
        <f>E46+J46</f>
        <v>65000000</v>
      </c>
      <c r="Q46" s="20"/>
      <c r="R46" s="26"/>
    </row>
    <row r="47" spans="1:18" ht="120" customHeight="1" thickTop="1" thickBot="1" x14ac:dyDescent="0.25">
      <c r="A47" s="639" t="s">
        <v>152</v>
      </c>
      <c r="B47" s="639"/>
      <c r="C47" s="639"/>
      <c r="D47" s="640" t="s">
        <v>0</v>
      </c>
      <c r="E47" s="641">
        <f>E48</f>
        <v>1376984092</v>
      </c>
      <c r="F47" s="642">
        <f t="shared" ref="F47" si="25">F48</f>
        <v>1376984092</v>
      </c>
      <c r="G47" s="642">
        <f>G48</f>
        <v>811737240</v>
      </c>
      <c r="H47" s="642">
        <f>H48</f>
        <v>174499778</v>
      </c>
      <c r="I47" s="642">
        <f t="shared" ref="I47" si="26">I48</f>
        <v>0</v>
      </c>
      <c r="J47" s="641">
        <f>J48</f>
        <v>258115730</v>
      </c>
      <c r="K47" s="642">
        <f>K48</f>
        <v>14395320</v>
      </c>
      <c r="L47" s="642">
        <f>L48</f>
        <v>237626300</v>
      </c>
      <c r="M47" s="642">
        <f t="shared" ref="M47" si="27">M48</f>
        <v>59655330</v>
      </c>
      <c r="N47" s="642">
        <f>N48</f>
        <v>34018360</v>
      </c>
      <c r="O47" s="641">
        <f>O48</f>
        <v>20489430</v>
      </c>
      <c r="P47" s="642">
        <f t="shared" ref="P47" si="28">P48</f>
        <v>1635099822</v>
      </c>
      <c r="Q47" s="20"/>
    </row>
    <row r="48" spans="1:18" ht="120" customHeight="1" thickTop="1" thickBot="1" x14ac:dyDescent="0.25">
      <c r="A48" s="603" t="s">
        <v>153</v>
      </c>
      <c r="B48" s="603"/>
      <c r="C48" s="603"/>
      <c r="D48" s="604" t="s">
        <v>1</v>
      </c>
      <c r="E48" s="605">
        <f>E49+E91+E100+E94+E97</f>
        <v>1376984092</v>
      </c>
      <c r="F48" s="605">
        <f>F49+F91+F100+F94+F97</f>
        <v>1376984092</v>
      </c>
      <c r="G48" s="605">
        <f>G49+G91+G100+G94+G97</f>
        <v>811737240</v>
      </c>
      <c r="H48" s="605">
        <f>H49+H91+H100+H94+H97</f>
        <v>174499778</v>
      </c>
      <c r="I48" s="605">
        <f>I49+I91+I100+I94+I97</f>
        <v>0</v>
      </c>
      <c r="J48" s="605">
        <f>L48+O48</f>
        <v>258115730</v>
      </c>
      <c r="K48" s="605">
        <f>K49+K91+K100+K94+K97</f>
        <v>14395320</v>
      </c>
      <c r="L48" s="605">
        <f>L49+L91+L100+L94+L97</f>
        <v>237626300</v>
      </c>
      <c r="M48" s="605">
        <f>M49+M91+M100+M94+M97</f>
        <v>59655330</v>
      </c>
      <c r="N48" s="605">
        <f>N49+N91+N100+N94+N97</f>
        <v>34018360</v>
      </c>
      <c r="O48" s="605">
        <f>O49+O91+O100+O94+O97</f>
        <v>20489430</v>
      </c>
      <c r="P48" s="605">
        <f>E48+J48</f>
        <v>1635099822</v>
      </c>
      <c r="Q48" s="485" t="b">
        <f>P48=P50+P52+P53+P54+P56+P57+P60+P62+P63+P65+P66+P68+P70+P80+P88+P92+P96</f>
        <v>1</v>
      </c>
      <c r="R48" s="26"/>
    </row>
    <row r="49" spans="1:20" ht="47.25" thickTop="1" thickBot="1" x14ac:dyDescent="0.25">
      <c r="A49" s="307" t="s">
        <v>698</v>
      </c>
      <c r="B49" s="307" t="s">
        <v>699</v>
      </c>
      <c r="C49" s="307"/>
      <c r="D49" s="307" t="s">
        <v>700</v>
      </c>
      <c r="E49" s="319">
        <f>E50+E51+E55+E60+E61+E64+E67+E70+E71+E74+E58+E75+E76+E79+E82+E85+E89+E88</f>
        <v>1376269092</v>
      </c>
      <c r="F49" s="319">
        <f t="shared" ref="F49:P49" si="29">F50+F51+F55+F60+F61+F64+F67+F70+F71+F74+F58+F75+F76+F79+F82+F85+F89+F88</f>
        <v>1376269092</v>
      </c>
      <c r="G49" s="319">
        <f t="shared" si="29"/>
        <v>811737240</v>
      </c>
      <c r="H49" s="319">
        <f t="shared" si="29"/>
        <v>174499778</v>
      </c>
      <c r="I49" s="319">
        <f t="shared" si="29"/>
        <v>0</v>
      </c>
      <c r="J49" s="319">
        <f t="shared" si="29"/>
        <v>257115730</v>
      </c>
      <c r="K49" s="319">
        <f t="shared" si="29"/>
        <v>13395320</v>
      </c>
      <c r="L49" s="319">
        <f t="shared" si="29"/>
        <v>237626300</v>
      </c>
      <c r="M49" s="319">
        <f t="shared" si="29"/>
        <v>59655330</v>
      </c>
      <c r="N49" s="319">
        <f t="shared" si="29"/>
        <v>34018360</v>
      </c>
      <c r="O49" s="319">
        <f t="shared" si="29"/>
        <v>19489430</v>
      </c>
      <c r="P49" s="319">
        <f t="shared" si="29"/>
        <v>1633384822</v>
      </c>
      <c r="Q49" s="30"/>
      <c r="R49" s="26"/>
    </row>
    <row r="50" spans="1:20" ht="48" thickTop="1" thickBot="1" x14ac:dyDescent="0.6">
      <c r="A50" s="101" t="s">
        <v>198</v>
      </c>
      <c r="B50" s="101" t="s">
        <v>199</v>
      </c>
      <c r="C50" s="101" t="s">
        <v>201</v>
      </c>
      <c r="D50" s="101" t="s">
        <v>202</v>
      </c>
      <c r="E50" s="319">
        <f>F50</f>
        <v>601825737</v>
      </c>
      <c r="F50" s="435">
        <f>477977500+6866485+114420+49500000+5542513+28411368+2932706+26402917+1410722+947676+1569795+101940+445+47250</f>
        <v>601825737</v>
      </c>
      <c r="G50" s="435">
        <v>391784840</v>
      </c>
      <c r="H50" s="435">
        <f>28411368+2932706+26402917+1410722+947676+1569795</f>
        <v>61675184</v>
      </c>
      <c r="I50" s="132"/>
      <c r="J50" s="319">
        <f t="shared" ref="J50:J73" si="30">L50+O50</f>
        <v>107876830</v>
      </c>
      <c r="K50" s="132"/>
      <c r="L50" s="435">
        <v>105579470</v>
      </c>
      <c r="M50" s="435">
        <v>18140670</v>
      </c>
      <c r="N50" s="435">
        <v>12182510</v>
      </c>
      <c r="O50" s="432">
        <f>K50+2297360</f>
        <v>2297360</v>
      </c>
      <c r="P50" s="319">
        <f t="shared" ref="P50:P62" si="31">E50+J50</f>
        <v>709702567</v>
      </c>
      <c r="Q50" s="141"/>
      <c r="R50" s="26"/>
    </row>
    <row r="51" spans="1:20" ht="48" thickTop="1" thickBot="1" x14ac:dyDescent="0.6">
      <c r="A51" s="613" t="s">
        <v>203</v>
      </c>
      <c r="B51" s="613" t="s">
        <v>200</v>
      </c>
      <c r="C51" s="613"/>
      <c r="D51" s="613" t="s">
        <v>637</v>
      </c>
      <c r="E51" s="614">
        <f>E52+E53+E54</f>
        <v>545242816</v>
      </c>
      <c r="F51" s="614">
        <f>F52+F53+F54</f>
        <v>545242816</v>
      </c>
      <c r="G51" s="614">
        <f t="shared" ref="G51:I51" si="32">G52+G53+G54</f>
        <v>290041730</v>
      </c>
      <c r="H51" s="614">
        <f t="shared" si="32"/>
        <v>85324552</v>
      </c>
      <c r="I51" s="614">
        <f t="shared" si="32"/>
        <v>0</v>
      </c>
      <c r="J51" s="614">
        <f t="shared" ref="J51" si="33">J52+J53+J54</f>
        <v>102592460</v>
      </c>
      <c r="K51" s="614">
        <f t="shared" ref="K51" si="34">K52+K53+K54</f>
        <v>2840000</v>
      </c>
      <c r="L51" s="614">
        <f t="shared" ref="L51" si="35">L52+L53+L54</f>
        <v>97586420</v>
      </c>
      <c r="M51" s="614">
        <f t="shared" ref="M51" si="36">M52+M53+M54</f>
        <v>32076750</v>
      </c>
      <c r="N51" s="614">
        <f t="shared" ref="N51" si="37">N52+N53+N54</f>
        <v>9928600</v>
      </c>
      <c r="O51" s="614">
        <f t="shared" ref="O51" si="38">O52+O53+O54</f>
        <v>5006040</v>
      </c>
      <c r="P51" s="614">
        <f>E51+J51</f>
        <v>647835276</v>
      </c>
      <c r="Q51" s="141"/>
      <c r="R51" s="37"/>
    </row>
    <row r="52" spans="1:20" ht="93" thickTop="1" thickBot="1" x14ac:dyDescent="0.6">
      <c r="A52" s="101" t="s">
        <v>635</v>
      </c>
      <c r="B52" s="101" t="s">
        <v>636</v>
      </c>
      <c r="C52" s="101" t="s">
        <v>204</v>
      </c>
      <c r="D52" s="101" t="s">
        <v>1239</v>
      </c>
      <c r="E52" s="319">
        <f t="shared" ref="E52:E62" si="39">F52</f>
        <v>494944038</v>
      </c>
      <c r="F52" s="435">
        <f>318809505+15650400+700000+227022+69800000+7818953+522250+39874763+2573113+29717492+4836961+2726746+235220+21075+953088+1275+431675+44500</f>
        <v>494944038</v>
      </c>
      <c r="G52" s="435">
        <v>261319265</v>
      </c>
      <c r="H52" s="435">
        <f>39874763+2573113+29717492+4836961+2726746</f>
        <v>79729075</v>
      </c>
      <c r="I52" s="132"/>
      <c r="J52" s="319">
        <f t="shared" si="30"/>
        <v>102375360</v>
      </c>
      <c r="K52" s="435">
        <f>300000+500000+1995000</f>
        <v>2795000</v>
      </c>
      <c r="L52" s="435">
        <f>97414320</f>
        <v>97414320</v>
      </c>
      <c r="M52" s="435">
        <v>32076750</v>
      </c>
      <c r="N52" s="435">
        <v>9848400</v>
      </c>
      <c r="O52" s="432">
        <f>K52+2166040</f>
        <v>4961040</v>
      </c>
      <c r="P52" s="319">
        <f t="shared" si="31"/>
        <v>597319398</v>
      </c>
      <c r="Q52" s="141"/>
      <c r="R52" s="26"/>
      <c r="T52" s="38"/>
    </row>
    <row r="53" spans="1:20" ht="184.5" thickTop="1" thickBot="1" x14ac:dyDescent="0.25">
      <c r="A53" s="101" t="s">
        <v>644</v>
      </c>
      <c r="B53" s="101" t="s">
        <v>645</v>
      </c>
      <c r="C53" s="101" t="s">
        <v>207</v>
      </c>
      <c r="D53" s="101" t="s">
        <v>1629</v>
      </c>
      <c r="E53" s="319">
        <f t="shared" si="39"/>
        <v>30239872</v>
      </c>
      <c r="F53" s="435">
        <f>26210800+345700+8100+1543600+261820+2100+1425516+31646+338301+7577+14940+44272+5500</f>
        <v>30239872</v>
      </c>
      <c r="G53" s="435">
        <v>21484265</v>
      </c>
      <c r="H53" s="435">
        <f>1425516+31646+338301+7577</f>
        <v>1803040</v>
      </c>
      <c r="I53" s="132"/>
      <c r="J53" s="319">
        <f t="shared" si="30"/>
        <v>202100</v>
      </c>
      <c r="K53" s="435">
        <v>30000</v>
      </c>
      <c r="L53" s="435">
        <v>172100</v>
      </c>
      <c r="M53" s="435"/>
      <c r="N53" s="435">
        <v>80200</v>
      </c>
      <c r="O53" s="432">
        <f>K53+0</f>
        <v>30000</v>
      </c>
      <c r="P53" s="319">
        <f t="shared" si="31"/>
        <v>30441972</v>
      </c>
      <c r="Q53" s="20"/>
      <c r="R53" s="27"/>
    </row>
    <row r="54" spans="1:20" ht="93" thickTop="1" thickBot="1" x14ac:dyDescent="0.25">
      <c r="A54" s="101" t="s">
        <v>979</v>
      </c>
      <c r="B54" s="101" t="s">
        <v>980</v>
      </c>
      <c r="C54" s="101" t="s">
        <v>207</v>
      </c>
      <c r="D54" s="101" t="s">
        <v>1240</v>
      </c>
      <c r="E54" s="319">
        <f t="shared" ref="E54" si="40">F54</f>
        <v>20058906</v>
      </c>
      <c r="F54" s="435">
        <f>8830550+467150+14000+6371300+273559+300000+2389362+154507+1235065+13503+4200+2960+2750</f>
        <v>20058906</v>
      </c>
      <c r="G54" s="435">
        <v>7238200</v>
      </c>
      <c r="H54" s="435">
        <f>2389362+154507+1235065+13503</f>
        <v>3792437</v>
      </c>
      <c r="I54" s="132"/>
      <c r="J54" s="319">
        <f t="shared" ref="J54" si="41">L54+O54</f>
        <v>15000</v>
      </c>
      <c r="K54" s="435">
        <v>15000</v>
      </c>
      <c r="L54" s="435"/>
      <c r="M54" s="435"/>
      <c r="N54" s="435"/>
      <c r="O54" s="432">
        <f>K54</f>
        <v>15000</v>
      </c>
      <c r="P54" s="319">
        <f t="shared" ref="P54" si="42">E54+J54</f>
        <v>20073906</v>
      </c>
      <c r="Q54" s="20"/>
      <c r="R54" s="27"/>
    </row>
    <row r="55" spans="1:20" ht="48" thickTop="1" thickBot="1" x14ac:dyDescent="0.25">
      <c r="A55" s="613" t="s">
        <v>496</v>
      </c>
      <c r="B55" s="613" t="s">
        <v>205</v>
      </c>
      <c r="C55" s="613"/>
      <c r="D55" s="613" t="s">
        <v>650</v>
      </c>
      <c r="E55" s="614">
        <f>SUM(E56:E57)</f>
        <v>0</v>
      </c>
      <c r="F55" s="614">
        <f>SUM(F56:F57)</f>
        <v>0</v>
      </c>
      <c r="G55" s="614">
        <f>SUM(G56:G57)</f>
        <v>0</v>
      </c>
      <c r="H55" s="614">
        <f>SUM(H56:H57)</f>
        <v>0</v>
      </c>
      <c r="I55" s="614">
        <f>SUM(I56:I57)</f>
        <v>0</v>
      </c>
      <c r="J55" s="614">
        <f t="shared" ref="J55:P55" si="43">SUM(J56:J57)</f>
        <v>0</v>
      </c>
      <c r="K55" s="614">
        <f t="shared" si="43"/>
        <v>0</v>
      </c>
      <c r="L55" s="614">
        <f t="shared" si="43"/>
        <v>0</v>
      </c>
      <c r="M55" s="614">
        <f t="shared" si="43"/>
        <v>0</v>
      </c>
      <c r="N55" s="614">
        <f t="shared" si="43"/>
        <v>0</v>
      </c>
      <c r="O55" s="614">
        <f t="shared" si="43"/>
        <v>0</v>
      </c>
      <c r="P55" s="614">
        <f t="shared" si="43"/>
        <v>0</v>
      </c>
      <c r="Q55" s="21"/>
      <c r="R55" s="37"/>
    </row>
    <row r="56" spans="1:20" ht="93" thickTop="1" thickBot="1" x14ac:dyDescent="0.25">
      <c r="A56" s="101" t="s">
        <v>651</v>
      </c>
      <c r="B56" s="101" t="s">
        <v>652</v>
      </c>
      <c r="C56" s="101" t="s">
        <v>204</v>
      </c>
      <c r="D56" s="101" t="s">
        <v>1241</v>
      </c>
      <c r="E56" s="319">
        <f t="shared" ref="E56:E57" si="44">F56</f>
        <v>0</v>
      </c>
      <c r="F56" s="435"/>
      <c r="G56" s="435"/>
      <c r="H56" s="435"/>
      <c r="I56" s="435"/>
      <c r="J56" s="319">
        <f t="shared" ref="J56:J57" si="45">L56+O56</f>
        <v>0</v>
      </c>
      <c r="K56" s="435"/>
      <c r="L56" s="435"/>
      <c r="M56" s="435"/>
      <c r="N56" s="435"/>
      <c r="O56" s="432">
        <f>K56</f>
        <v>0</v>
      </c>
      <c r="P56" s="319">
        <f t="shared" ref="P56:P59" si="46">E56+J56</f>
        <v>0</v>
      </c>
      <c r="Q56" s="21"/>
      <c r="R56" s="26"/>
    </row>
    <row r="57" spans="1:20" ht="93" thickTop="1" thickBot="1" x14ac:dyDescent="0.25">
      <c r="A57" s="101" t="s">
        <v>1098</v>
      </c>
      <c r="B57" s="327" t="s">
        <v>1099</v>
      </c>
      <c r="C57" s="101" t="s">
        <v>207</v>
      </c>
      <c r="D57" s="101" t="s">
        <v>1242</v>
      </c>
      <c r="E57" s="319">
        <f t="shared" si="44"/>
        <v>0</v>
      </c>
      <c r="F57" s="644"/>
      <c r="G57" s="644"/>
      <c r="H57" s="644"/>
      <c r="I57" s="644"/>
      <c r="J57" s="319">
        <f t="shared" si="45"/>
        <v>0</v>
      </c>
      <c r="K57" s="644"/>
      <c r="L57" s="644"/>
      <c r="M57" s="644"/>
      <c r="N57" s="644"/>
      <c r="O57" s="620"/>
      <c r="P57" s="319">
        <f t="shared" si="46"/>
        <v>0</v>
      </c>
      <c r="Q57" s="21"/>
      <c r="R57" s="26"/>
    </row>
    <row r="58" spans="1:20" ht="184.5" hidden="1" thickTop="1" thickBot="1" x14ac:dyDescent="0.25">
      <c r="A58" s="570" t="s">
        <v>915</v>
      </c>
      <c r="B58" s="570" t="s">
        <v>50</v>
      </c>
      <c r="C58" s="570"/>
      <c r="D58" s="643" t="s">
        <v>1630</v>
      </c>
      <c r="E58" s="571">
        <f t="shared" ref="E58:O58" si="47">E59</f>
        <v>0</v>
      </c>
      <c r="F58" s="571">
        <f>F59</f>
        <v>0</v>
      </c>
      <c r="G58" s="571">
        <f t="shared" si="47"/>
        <v>0</v>
      </c>
      <c r="H58" s="571">
        <f t="shared" si="47"/>
        <v>0</v>
      </c>
      <c r="I58" s="571">
        <f t="shared" si="47"/>
        <v>0</v>
      </c>
      <c r="J58" s="571">
        <f t="shared" si="47"/>
        <v>0</v>
      </c>
      <c r="K58" s="571">
        <f t="shared" si="47"/>
        <v>0</v>
      </c>
      <c r="L58" s="571">
        <f t="shared" si="47"/>
        <v>0</v>
      </c>
      <c r="M58" s="571">
        <f t="shared" si="47"/>
        <v>0</v>
      </c>
      <c r="N58" s="571">
        <f t="shared" si="47"/>
        <v>0</v>
      </c>
      <c r="O58" s="571">
        <f t="shared" si="47"/>
        <v>0</v>
      </c>
      <c r="P58" s="571">
        <f>E58+J58</f>
        <v>0</v>
      </c>
      <c r="Q58" s="20"/>
      <c r="R58" s="30"/>
    </row>
    <row r="59" spans="1:20" ht="230.25" hidden="1" thickTop="1" thickBot="1" x14ac:dyDescent="0.25">
      <c r="A59" s="126" t="s">
        <v>916</v>
      </c>
      <c r="B59" s="126" t="s">
        <v>917</v>
      </c>
      <c r="C59" s="126" t="s">
        <v>204</v>
      </c>
      <c r="D59" s="101" t="s">
        <v>1631</v>
      </c>
      <c r="E59" s="125">
        <f t="shared" ref="E59" si="48">F59</f>
        <v>0</v>
      </c>
      <c r="F59" s="132"/>
      <c r="G59" s="132"/>
      <c r="H59" s="132"/>
      <c r="I59" s="132"/>
      <c r="J59" s="125">
        <f t="shared" ref="J59" si="49">L59+O59</f>
        <v>0</v>
      </c>
      <c r="K59" s="132"/>
      <c r="L59" s="132"/>
      <c r="M59" s="132"/>
      <c r="N59" s="132"/>
      <c r="O59" s="130">
        <f>K59</f>
        <v>0</v>
      </c>
      <c r="P59" s="125">
        <f t="shared" si="46"/>
        <v>0</v>
      </c>
      <c r="Q59" s="20"/>
      <c r="R59" s="26"/>
    </row>
    <row r="60" spans="1:20" ht="93" thickTop="1" thickBot="1" x14ac:dyDescent="0.25">
      <c r="A60" s="101" t="s">
        <v>653</v>
      </c>
      <c r="B60" s="101" t="s">
        <v>206</v>
      </c>
      <c r="C60" s="101" t="s">
        <v>181</v>
      </c>
      <c r="D60" s="101" t="s">
        <v>497</v>
      </c>
      <c r="E60" s="319">
        <f t="shared" si="39"/>
        <v>36783932</v>
      </c>
      <c r="F60" s="435">
        <f>31733000+663955+18300+614918+174450+2208293+87334+1130177+82818+14977+17780+37880+50</f>
        <v>36783932</v>
      </c>
      <c r="G60" s="435">
        <v>26010660</v>
      </c>
      <c r="H60" s="435">
        <f>2208293+87334+1130177+82818+14977</f>
        <v>3523599</v>
      </c>
      <c r="I60" s="132"/>
      <c r="J60" s="319">
        <f t="shared" si="30"/>
        <v>1467860</v>
      </c>
      <c r="K60" s="435"/>
      <c r="L60" s="435">
        <v>1057860</v>
      </c>
      <c r="M60" s="435">
        <v>123010</v>
      </c>
      <c r="N60" s="435">
        <v>150360</v>
      </c>
      <c r="O60" s="432">
        <f>(K60+410000)</f>
        <v>410000</v>
      </c>
      <c r="P60" s="319">
        <f t="shared" si="31"/>
        <v>38251792</v>
      </c>
      <c r="Q60" s="20"/>
      <c r="R60" s="26"/>
    </row>
    <row r="61" spans="1:20" ht="93" thickTop="1" thickBot="1" x14ac:dyDescent="0.25">
      <c r="A61" s="613" t="s">
        <v>208</v>
      </c>
      <c r="B61" s="613" t="s">
        <v>191</v>
      </c>
      <c r="C61" s="613"/>
      <c r="D61" s="613" t="s">
        <v>498</v>
      </c>
      <c r="E61" s="614">
        <f>E62+E63</f>
        <v>161147012</v>
      </c>
      <c r="F61" s="614">
        <f t="shared" ref="F61:O61" si="50">F62+F63</f>
        <v>161147012</v>
      </c>
      <c r="G61" s="614">
        <f t="shared" si="50"/>
        <v>83373123</v>
      </c>
      <c r="H61" s="614">
        <f t="shared" si="50"/>
        <v>21846990</v>
      </c>
      <c r="I61" s="614">
        <f t="shared" si="50"/>
        <v>0</v>
      </c>
      <c r="J61" s="614">
        <f t="shared" si="50"/>
        <v>34500000</v>
      </c>
      <c r="K61" s="614">
        <f t="shared" si="50"/>
        <v>180000</v>
      </c>
      <c r="L61" s="614">
        <f t="shared" si="50"/>
        <v>33180000</v>
      </c>
      <c r="M61" s="614">
        <f t="shared" si="50"/>
        <v>9314900</v>
      </c>
      <c r="N61" s="614">
        <f t="shared" si="50"/>
        <v>11756890</v>
      </c>
      <c r="O61" s="614">
        <f t="shared" si="50"/>
        <v>1320000</v>
      </c>
      <c r="P61" s="614">
        <f t="shared" si="31"/>
        <v>195647012</v>
      </c>
      <c r="Q61" s="20"/>
      <c r="R61" s="35"/>
    </row>
    <row r="62" spans="1:20" ht="93" thickTop="1" thickBot="1" x14ac:dyDescent="0.25">
      <c r="A62" s="101" t="s">
        <v>654</v>
      </c>
      <c r="B62" s="101" t="s">
        <v>655</v>
      </c>
      <c r="C62" s="101" t="s">
        <v>209</v>
      </c>
      <c r="D62" s="101" t="s">
        <v>656</v>
      </c>
      <c r="E62" s="319">
        <f t="shared" si="39"/>
        <v>161147012</v>
      </c>
      <c r="F62" s="435">
        <f>101715200+657500+27400+3656150+719800+14543250+1127080+6012350+30660+133650+17940+31500000+1006032</f>
        <v>161147012</v>
      </c>
      <c r="G62" s="435">
        <v>83373123</v>
      </c>
      <c r="H62" s="435">
        <f>14543250+1127080+6012350+30660+133650</f>
        <v>21846990</v>
      </c>
      <c r="I62" s="132"/>
      <c r="J62" s="319">
        <f>L62+O62</f>
        <v>34500000</v>
      </c>
      <c r="K62" s="435">
        <v>180000</v>
      </c>
      <c r="L62" s="435">
        <v>33180000</v>
      </c>
      <c r="M62" s="435">
        <v>9314900</v>
      </c>
      <c r="N62" s="435">
        <v>11756890</v>
      </c>
      <c r="O62" s="432">
        <f>K62+1140000</f>
        <v>1320000</v>
      </c>
      <c r="P62" s="319">
        <f t="shared" si="31"/>
        <v>195647012</v>
      </c>
      <c r="Q62" s="20"/>
      <c r="R62" s="26"/>
    </row>
    <row r="63" spans="1:20" ht="93" thickTop="1" thickBot="1" x14ac:dyDescent="0.25">
      <c r="A63" s="101" t="s">
        <v>658</v>
      </c>
      <c r="B63" s="101" t="s">
        <v>657</v>
      </c>
      <c r="C63" s="101" t="s">
        <v>209</v>
      </c>
      <c r="D63" s="101" t="s">
        <v>659</v>
      </c>
      <c r="E63" s="319">
        <f t="shared" ref="E63" si="51">F63</f>
        <v>0</v>
      </c>
      <c r="F63" s="435"/>
      <c r="G63" s="435"/>
      <c r="H63" s="435"/>
      <c r="I63" s="435"/>
      <c r="J63" s="319">
        <f>L63+O63</f>
        <v>0</v>
      </c>
      <c r="K63" s="435"/>
      <c r="L63" s="435"/>
      <c r="M63" s="435"/>
      <c r="N63" s="435"/>
      <c r="O63" s="432"/>
      <c r="P63" s="319">
        <f t="shared" ref="P63" si="52">E63+J63</f>
        <v>0</v>
      </c>
      <c r="Q63" s="20"/>
      <c r="R63" s="30"/>
    </row>
    <row r="64" spans="1:20" ht="48" thickTop="1" thickBot="1" x14ac:dyDescent="0.25">
      <c r="A64" s="613" t="s">
        <v>661</v>
      </c>
      <c r="B64" s="613" t="s">
        <v>660</v>
      </c>
      <c r="C64" s="613"/>
      <c r="D64" s="613" t="s">
        <v>662</v>
      </c>
      <c r="E64" s="614">
        <f>E65+E66</f>
        <v>26649630</v>
      </c>
      <c r="F64" s="614">
        <f t="shared" ref="F64:O64" si="53">F65+F66</f>
        <v>26649630</v>
      </c>
      <c r="G64" s="614">
        <f t="shared" si="53"/>
        <v>17729672</v>
      </c>
      <c r="H64" s="614">
        <f t="shared" si="53"/>
        <v>1690280</v>
      </c>
      <c r="I64" s="614">
        <f t="shared" si="53"/>
        <v>0</v>
      </c>
      <c r="J64" s="614">
        <f t="shared" si="53"/>
        <v>678580</v>
      </c>
      <c r="K64" s="614">
        <f t="shared" si="53"/>
        <v>375320</v>
      </c>
      <c r="L64" s="614">
        <f t="shared" si="53"/>
        <v>222550</v>
      </c>
      <c r="M64" s="614">
        <f t="shared" si="53"/>
        <v>0</v>
      </c>
      <c r="N64" s="614">
        <f t="shared" si="53"/>
        <v>0</v>
      </c>
      <c r="O64" s="614">
        <f t="shared" si="53"/>
        <v>456030</v>
      </c>
      <c r="P64" s="614">
        <f>E64+J64</f>
        <v>27328210</v>
      </c>
      <c r="Q64" s="20"/>
      <c r="R64" s="35"/>
    </row>
    <row r="65" spans="1:18" ht="48" thickTop="1" thickBot="1" x14ac:dyDescent="0.25">
      <c r="A65" s="101" t="s">
        <v>663</v>
      </c>
      <c r="B65" s="101" t="s">
        <v>664</v>
      </c>
      <c r="C65" s="101" t="s">
        <v>210</v>
      </c>
      <c r="D65" s="101" t="s">
        <v>499</v>
      </c>
      <c r="E65" s="319">
        <f>F65</f>
        <v>25845410</v>
      </c>
      <c r="F65" s="435">
        <f>21630200+785270+2250+1579810+1247010+24757+402076+16437+7600+150000</f>
        <v>25845410</v>
      </c>
      <c r="G65" s="435">
        <v>17729672</v>
      </c>
      <c r="H65" s="435">
        <f>1247010+24757+402076+16437</f>
        <v>1690280</v>
      </c>
      <c r="I65" s="132"/>
      <c r="J65" s="319">
        <f>L65+O65</f>
        <v>303260</v>
      </c>
      <c r="K65" s="435"/>
      <c r="L65" s="435">
        <v>222550</v>
      </c>
      <c r="M65" s="435"/>
      <c r="N65" s="435"/>
      <c r="O65" s="432">
        <f>K65+80710</f>
        <v>80710</v>
      </c>
      <c r="P65" s="319">
        <f>E65+J65</f>
        <v>26148670</v>
      </c>
      <c r="Q65" s="20"/>
      <c r="R65" s="30"/>
    </row>
    <row r="66" spans="1:18" ht="48" thickTop="1" thickBot="1" x14ac:dyDescent="0.25">
      <c r="A66" s="101" t="s">
        <v>665</v>
      </c>
      <c r="B66" s="101" t="s">
        <v>666</v>
      </c>
      <c r="C66" s="101" t="s">
        <v>210</v>
      </c>
      <c r="D66" s="101" t="s">
        <v>336</v>
      </c>
      <c r="E66" s="319">
        <f>F66</f>
        <v>804220</v>
      </c>
      <c r="F66" s="435">
        <f>24680+779540</f>
        <v>804220</v>
      </c>
      <c r="G66" s="435"/>
      <c r="H66" s="435"/>
      <c r="I66" s="435"/>
      <c r="J66" s="319">
        <f>L66+O66</f>
        <v>375320</v>
      </c>
      <c r="K66" s="435">
        <v>375320</v>
      </c>
      <c r="L66" s="435"/>
      <c r="M66" s="435"/>
      <c r="N66" s="435"/>
      <c r="O66" s="432">
        <f>K66</f>
        <v>375320</v>
      </c>
      <c r="P66" s="319">
        <f>E66+J66</f>
        <v>1179540</v>
      </c>
      <c r="Q66" s="20"/>
      <c r="R66" s="30"/>
    </row>
    <row r="67" spans="1:18" ht="48" thickTop="1" thickBot="1" x14ac:dyDescent="0.25">
      <c r="A67" s="613" t="s">
        <v>667</v>
      </c>
      <c r="B67" s="613" t="s">
        <v>668</v>
      </c>
      <c r="C67" s="613"/>
      <c r="D67" s="613" t="s">
        <v>427</v>
      </c>
      <c r="E67" s="614">
        <f>E68+E69</f>
        <v>1579578</v>
      </c>
      <c r="F67" s="614">
        <f>F68+F69</f>
        <v>1579578</v>
      </c>
      <c r="G67" s="614">
        <f t="shared" ref="G67:O67" si="54">G68+G69</f>
        <v>628690</v>
      </c>
      <c r="H67" s="614">
        <f t="shared" si="54"/>
        <v>353856</v>
      </c>
      <c r="I67" s="614">
        <f t="shared" si="54"/>
        <v>0</v>
      </c>
      <c r="J67" s="614">
        <f t="shared" si="54"/>
        <v>0</v>
      </c>
      <c r="K67" s="614">
        <f t="shared" si="54"/>
        <v>0</v>
      </c>
      <c r="L67" s="614">
        <f t="shared" si="54"/>
        <v>0</v>
      </c>
      <c r="M67" s="614">
        <f t="shared" si="54"/>
        <v>0</v>
      </c>
      <c r="N67" s="614">
        <f t="shared" si="54"/>
        <v>0</v>
      </c>
      <c r="O67" s="614">
        <f t="shared" si="54"/>
        <v>0</v>
      </c>
      <c r="P67" s="614">
        <f>E67+J67</f>
        <v>1579578</v>
      </c>
      <c r="Q67" s="20"/>
      <c r="R67" s="35"/>
    </row>
    <row r="68" spans="1:18" ht="93" thickTop="1" thickBot="1" x14ac:dyDescent="0.25">
      <c r="A68" s="101" t="s">
        <v>669</v>
      </c>
      <c r="B68" s="101" t="s">
        <v>670</v>
      </c>
      <c r="C68" s="101" t="s">
        <v>210</v>
      </c>
      <c r="D68" s="101" t="s">
        <v>671</v>
      </c>
      <c r="E68" s="319">
        <f>F68</f>
        <v>1579578</v>
      </c>
      <c r="F68" s="435">
        <f>767000+346760+3580+99622+5480+298038+7585+44033+4200+3280</f>
        <v>1579578</v>
      </c>
      <c r="G68" s="435">
        <v>628690</v>
      </c>
      <c r="H68" s="435">
        <f>298038+7585+44033+4200</f>
        <v>353856</v>
      </c>
      <c r="I68" s="132"/>
      <c r="J68" s="319">
        <f>L68+O68</f>
        <v>0</v>
      </c>
      <c r="K68" s="435"/>
      <c r="L68" s="435"/>
      <c r="M68" s="435"/>
      <c r="N68" s="435"/>
      <c r="O68" s="432">
        <f>K68</f>
        <v>0</v>
      </c>
      <c r="P68" s="319">
        <f>E68+J68</f>
        <v>1579578</v>
      </c>
      <c r="Q68" s="20"/>
      <c r="R68" s="26"/>
    </row>
    <row r="69" spans="1:18" ht="93" hidden="1" thickTop="1" thickBot="1" x14ac:dyDescent="0.25">
      <c r="A69" s="126" t="s">
        <v>672</v>
      </c>
      <c r="B69" s="126" t="s">
        <v>673</v>
      </c>
      <c r="C69" s="126" t="s">
        <v>210</v>
      </c>
      <c r="D69" s="126" t="s">
        <v>674</v>
      </c>
      <c r="E69" s="125">
        <f>F69</f>
        <v>0</v>
      </c>
      <c r="F69" s="132"/>
      <c r="G69" s="132"/>
      <c r="H69" s="132"/>
      <c r="I69" s="132"/>
      <c r="J69" s="125">
        <f t="shared" ref="J69" si="55">L69+O69</f>
        <v>0</v>
      </c>
      <c r="K69" s="132"/>
      <c r="L69" s="132"/>
      <c r="M69" s="132"/>
      <c r="N69" s="132"/>
      <c r="O69" s="130">
        <f t="shared" ref="O69" si="56">K69</f>
        <v>0</v>
      </c>
      <c r="P69" s="125">
        <f t="shared" ref="P69" si="57">E69+J69</f>
        <v>0</v>
      </c>
      <c r="Q69" s="20"/>
      <c r="R69" s="30"/>
    </row>
    <row r="70" spans="1:18" ht="93" thickTop="1" thickBot="1" x14ac:dyDescent="0.25">
      <c r="A70" s="101" t="s">
        <v>641</v>
      </c>
      <c r="B70" s="101" t="s">
        <v>642</v>
      </c>
      <c r="C70" s="101" t="s">
        <v>210</v>
      </c>
      <c r="D70" s="101" t="s">
        <v>643</v>
      </c>
      <c r="E70" s="319">
        <f t="shared" ref="E70" si="58">F70</f>
        <v>3040387</v>
      </c>
      <c r="F70" s="435">
        <f>2645600+239500+59000+10970+38780+8148+37589+800</f>
        <v>3040387</v>
      </c>
      <c r="G70" s="435">
        <v>2168525</v>
      </c>
      <c r="H70" s="435">
        <f>38780+8148+37589+800</f>
        <v>85317</v>
      </c>
      <c r="I70" s="132"/>
      <c r="J70" s="319">
        <f t="shared" ref="J70" si="59">L70+O70</f>
        <v>0</v>
      </c>
      <c r="K70" s="435"/>
      <c r="L70" s="435"/>
      <c r="M70" s="435"/>
      <c r="N70" s="435"/>
      <c r="O70" s="432">
        <f t="shared" ref="O70" si="60">K70</f>
        <v>0</v>
      </c>
      <c r="P70" s="319">
        <f t="shared" ref="P70" si="61">E70+J70</f>
        <v>3040387</v>
      </c>
      <c r="Q70" s="20"/>
      <c r="R70" s="26"/>
    </row>
    <row r="71" spans="1:18" s="33" customFormat="1" ht="93" hidden="1" thickTop="1" thickBot="1" x14ac:dyDescent="0.25">
      <c r="A71" s="138" t="s">
        <v>646</v>
      </c>
      <c r="B71" s="138" t="s">
        <v>647</v>
      </c>
      <c r="C71" s="138"/>
      <c r="D71" s="138" t="s">
        <v>1549</v>
      </c>
      <c r="E71" s="139">
        <f t="shared" ref="E71:E93" si="62">F71</f>
        <v>0</v>
      </c>
      <c r="F71" s="139">
        <f>SUM(F72:F73)</f>
        <v>0</v>
      </c>
      <c r="G71" s="139">
        <f t="shared" ref="G71:I71" si="63">SUM(G72:G73)</f>
        <v>0</v>
      </c>
      <c r="H71" s="139">
        <f t="shared" si="63"/>
        <v>0</v>
      </c>
      <c r="I71" s="139">
        <f t="shared" si="63"/>
        <v>0</v>
      </c>
      <c r="J71" s="139">
        <f t="shared" si="30"/>
        <v>0</v>
      </c>
      <c r="K71" s="139">
        <f>SUM(K72:K73)</f>
        <v>0</v>
      </c>
      <c r="L71" s="139">
        <f t="shared" ref="L71:N71" si="64">SUM(L72:L73)</f>
        <v>0</v>
      </c>
      <c r="M71" s="139">
        <f t="shared" si="64"/>
        <v>0</v>
      </c>
      <c r="N71" s="139">
        <f t="shared" si="64"/>
        <v>0</v>
      </c>
      <c r="O71" s="139">
        <f>SUM(O72:O73)</f>
        <v>0</v>
      </c>
      <c r="P71" s="139">
        <f t="shared" ref="P71:P73" si="65">E71+J71</f>
        <v>0</v>
      </c>
      <c r="Q71" s="36"/>
      <c r="R71" s="37"/>
    </row>
    <row r="72" spans="1:18" s="33" customFormat="1" ht="180.75" hidden="1" customHeight="1" thickTop="1" thickBot="1" x14ac:dyDescent="0.25">
      <c r="A72" s="126" t="s">
        <v>648</v>
      </c>
      <c r="B72" s="126" t="s">
        <v>649</v>
      </c>
      <c r="C72" s="126" t="s">
        <v>210</v>
      </c>
      <c r="D72" s="126" t="s">
        <v>1550</v>
      </c>
      <c r="E72" s="125">
        <f t="shared" si="62"/>
        <v>0</v>
      </c>
      <c r="F72" s="132"/>
      <c r="G72" s="132"/>
      <c r="H72" s="132"/>
      <c r="I72" s="132"/>
      <c r="J72" s="125">
        <f t="shared" si="30"/>
        <v>0</v>
      </c>
      <c r="K72" s="132">
        <v>0</v>
      </c>
      <c r="L72" s="132"/>
      <c r="M72" s="132"/>
      <c r="N72" s="132"/>
      <c r="O72" s="130">
        <f t="shared" ref="O72:O73" si="66">K72</f>
        <v>0</v>
      </c>
      <c r="P72" s="125">
        <f t="shared" si="65"/>
        <v>0</v>
      </c>
      <c r="Q72" s="36"/>
      <c r="R72" s="26"/>
    </row>
    <row r="73" spans="1:18" s="33" customFormat="1" ht="171.75" hidden="1" customHeight="1" thickTop="1" thickBot="1" x14ac:dyDescent="0.25">
      <c r="A73" s="126" t="s">
        <v>964</v>
      </c>
      <c r="B73" s="126" t="s">
        <v>965</v>
      </c>
      <c r="C73" s="126" t="s">
        <v>210</v>
      </c>
      <c r="D73" s="126" t="s">
        <v>1551</v>
      </c>
      <c r="E73" s="125">
        <f t="shared" si="62"/>
        <v>0</v>
      </c>
      <c r="F73" s="132"/>
      <c r="G73" s="132"/>
      <c r="H73" s="132"/>
      <c r="I73" s="132"/>
      <c r="J73" s="125">
        <f t="shared" si="30"/>
        <v>0</v>
      </c>
      <c r="K73" s="132">
        <v>0</v>
      </c>
      <c r="L73" s="132"/>
      <c r="M73" s="132"/>
      <c r="N73" s="132"/>
      <c r="O73" s="130">
        <f t="shared" si="66"/>
        <v>0</v>
      </c>
      <c r="P73" s="125">
        <f t="shared" si="65"/>
        <v>0</v>
      </c>
      <c r="Q73" s="36"/>
      <c r="R73" s="26"/>
    </row>
    <row r="74" spans="1:18" s="33" customFormat="1" ht="138.75" hidden="1" thickTop="1" thickBot="1" x14ac:dyDescent="0.25">
      <c r="A74" s="126" t="s">
        <v>638</v>
      </c>
      <c r="B74" s="126" t="s">
        <v>639</v>
      </c>
      <c r="C74" s="126" t="s">
        <v>210</v>
      </c>
      <c r="D74" s="126" t="s">
        <v>640</v>
      </c>
      <c r="E74" s="125">
        <f t="shared" si="62"/>
        <v>0</v>
      </c>
      <c r="F74" s="132"/>
      <c r="G74" s="132"/>
      <c r="H74" s="132"/>
      <c r="I74" s="132"/>
      <c r="J74" s="125">
        <f t="shared" ref="J74" si="67">L74+O74</f>
        <v>0</v>
      </c>
      <c r="K74" s="132"/>
      <c r="L74" s="132"/>
      <c r="M74" s="132"/>
      <c r="N74" s="132"/>
      <c r="O74" s="130">
        <f t="shared" ref="O74" si="68">K74</f>
        <v>0</v>
      </c>
      <c r="P74" s="125">
        <f t="shared" ref="P74" si="69">E74+J74</f>
        <v>0</v>
      </c>
      <c r="Q74" s="36"/>
      <c r="R74" s="26"/>
    </row>
    <row r="75" spans="1:18" s="33" customFormat="1" ht="160.5" hidden="1" customHeight="1" thickTop="1" thickBot="1" x14ac:dyDescent="0.25">
      <c r="A75" s="126" t="s">
        <v>926</v>
      </c>
      <c r="B75" s="126" t="s">
        <v>927</v>
      </c>
      <c r="C75" s="126" t="s">
        <v>210</v>
      </c>
      <c r="D75" s="126" t="s">
        <v>1402</v>
      </c>
      <c r="E75" s="125">
        <f t="shared" ref="E75" si="70">F75</f>
        <v>0</v>
      </c>
      <c r="F75" s="132"/>
      <c r="G75" s="132"/>
      <c r="H75" s="132"/>
      <c r="I75" s="132"/>
      <c r="J75" s="125">
        <f t="shared" ref="J75" si="71">L75+O75</f>
        <v>0</v>
      </c>
      <c r="K75" s="132"/>
      <c r="L75" s="132"/>
      <c r="M75" s="132"/>
      <c r="N75" s="132"/>
      <c r="O75" s="130">
        <f t="shared" ref="O75" si="72">K75</f>
        <v>0</v>
      </c>
      <c r="P75" s="125">
        <f t="shared" ref="P75" si="73">E75+J75</f>
        <v>0</v>
      </c>
      <c r="Q75" s="36"/>
      <c r="R75" s="26"/>
    </row>
    <row r="76" spans="1:18" s="33" customFormat="1" ht="93" hidden="1" thickTop="1" thickBot="1" x14ac:dyDescent="0.25">
      <c r="A76" s="138" t="s">
        <v>981</v>
      </c>
      <c r="B76" s="138" t="s">
        <v>983</v>
      </c>
      <c r="C76" s="138"/>
      <c r="D76" s="138" t="s">
        <v>1394</v>
      </c>
      <c r="E76" s="139">
        <f>F76</f>
        <v>0</v>
      </c>
      <c r="F76" s="139">
        <f>SUM(F77:F78)</f>
        <v>0</v>
      </c>
      <c r="G76" s="139">
        <f>SUM(G77:G78)</f>
        <v>0</v>
      </c>
      <c r="H76" s="139">
        <f>SUM(H77:H78)</f>
        <v>0</v>
      </c>
      <c r="I76" s="139">
        <f>SUM(I77:I78)</f>
        <v>0</v>
      </c>
      <c r="J76" s="139">
        <f>L76+O76</f>
        <v>0</v>
      </c>
      <c r="K76" s="139">
        <f>SUM(K77:K78)</f>
        <v>0</v>
      </c>
      <c r="L76" s="139">
        <f>SUM(L77:L78)</f>
        <v>0</v>
      </c>
      <c r="M76" s="139">
        <f>SUM(M77:M78)</f>
        <v>0</v>
      </c>
      <c r="N76" s="139">
        <f>SUM(N77:N78)</f>
        <v>0</v>
      </c>
      <c r="O76" s="139">
        <f>SUM(O77:O78)</f>
        <v>0</v>
      </c>
      <c r="P76" s="139">
        <f>E76+J76</f>
        <v>0</v>
      </c>
      <c r="Q76" s="36"/>
      <c r="R76" s="26"/>
    </row>
    <row r="77" spans="1:18" s="33" customFormat="1" ht="189" hidden="1" customHeight="1" thickTop="1" thickBot="1" x14ac:dyDescent="0.25">
      <c r="A77" s="126" t="s">
        <v>982</v>
      </c>
      <c r="B77" s="126" t="s">
        <v>984</v>
      </c>
      <c r="C77" s="126" t="s">
        <v>210</v>
      </c>
      <c r="D77" s="126" t="s">
        <v>1216</v>
      </c>
      <c r="E77" s="125">
        <f>F77</f>
        <v>0</v>
      </c>
      <c r="F77" s="132"/>
      <c r="G77" s="132"/>
      <c r="H77" s="132"/>
      <c r="I77" s="132"/>
      <c r="J77" s="125">
        <f t="shared" ref="J77:J78" si="74">L77+O77</f>
        <v>0</v>
      </c>
      <c r="K77" s="132">
        <v>0</v>
      </c>
      <c r="L77" s="132"/>
      <c r="M77" s="132"/>
      <c r="N77" s="132"/>
      <c r="O77" s="130">
        <f t="shared" ref="O77:O78" si="75">K77</f>
        <v>0</v>
      </c>
      <c r="P77" s="125">
        <f>E77+J77</f>
        <v>0</v>
      </c>
      <c r="Q77" s="36"/>
      <c r="R77" s="26"/>
    </row>
    <row r="78" spans="1:18" s="33" customFormat="1" ht="176.25" hidden="1" customHeight="1" thickTop="1" thickBot="1" x14ac:dyDescent="0.25">
      <c r="A78" s="126" t="s">
        <v>1022</v>
      </c>
      <c r="B78" s="126" t="s">
        <v>1023</v>
      </c>
      <c r="C78" s="126" t="s">
        <v>210</v>
      </c>
      <c r="D78" s="126" t="s">
        <v>1510</v>
      </c>
      <c r="E78" s="125">
        <f>F78</f>
        <v>0</v>
      </c>
      <c r="F78" s="132">
        <f>(553900)-553900</f>
        <v>0</v>
      </c>
      <c r="G78" s="132"/>
      <c r="H78" s="132"/>
      <c r="I78" s="132"/>
      <c r="J78" s="125">
        <f t="shared" si="74"/>
        <v>0</v>
      </c>
      <c r="K78" s="132">
        <v>0</v>
      </c>
      <c r="L78" s="132"/>
      <c r="M78" s="132"/>
      <c r="N78" s="132"/>
      <c r="O78" s="130">
        <f t="shared" si="75"/>
        <v>0</v>
      </c>
      <c r="P78" s="125">
        <f>E78+J78</f>
        <v>0</v>
      </c>
      <c r="Q78" s="36"/>
      <c r="R78" s="26"/>
    </row>
    <row r="79" spans="1:18" s="33" customFormat="1" ht="114.75" customHeight="1" thickTop="1" thickBot="1" x14ac:dyDescent="0.25">
      <c r="A79" s="613" t="s">
        <v>1349</v>
      </c>
      <c r="B79" s="613" t="s">
        <v>1350</v>
      </c>
      <c r="C79" s="613"/>
      <c r="D79" s="613" t="s">
        <v>1478</v>
      </c>
      <c r="E79" s="614">
        <f>SUM(E80:E81)</f>
        <v>0</v>
      </c>
      <c r="F79" s="614">
        <f t="shared" ref="F79:P79" si="76">SUM(F80:F81)</f>
        <v>0</v>
      </c>
      <c r="G79" s="614">
        <f t="shared" si="76"/>
        <v>0</v>
      </c>
      <c r="H79" s="614">
        <f t="shared" si="76"/>
        <v>0</v>
      </c>
      <c r="I79" s="614">
        <f t="shared" si="76"/>
        <v>0</v>
      </c>
      <c r="J79" s="614">
        <f t="shared" si="76"/>
        <v>5000000</v>
      </c>
      <c r="K79" s="614">
        <f t="shared" si="76"/>
        <v>5000000</v>
      </c>
      <c r="L79" s="614">
        <f t="shared" si="76"/>
        <v>0</v>
      </c>
      <c r="M79" s="614">
        <f t="shared" si="76"/>
        <v>0</v>
      </c>
      <c r="N79" s="614">
        <f t="shared" si="76"/>
        <v>0</v>
      </c>
      <c r="O79" s="614">
        <f t="shared" si="76"/>
        <v>5000000</v>
      </c>
      <c r="P79" s="614">
        <f t="shared" si="76"/>
        <v>5000000</v>
      </c>
      <c r="Q79" s="36"/>
      <c r="R79" s="26"/>
    </row>
    <row r="80" spans="1:18" s="33" customFormat="1" ht="163.5" customHeight="1" thickTop="1" thickBot="1" x14ac:dyDescent="0.25">
      <c r="A80" s="101" t="s">
        <v>1351</v>
      </c>
      <c r="B80" s="101" t="s">
        <v>1352</v>
      </c>
      <c r="C80" s="101" t="s">
        <v>210</v>
      </c>
      <c r="D80" s="101" t="s">
        <v>1479</v>
      </c>
      <c r="E80" s="319">
        <f>F80</f>
        <v>0</v>
      </c>
      <c r="F80" s="435"/>
      <c r="G80" s="435"/>
      <c r="H80" s="435"/>
      <c r="I80" s="435"/>
      <c r="J80" s="319">
        <f t="shared" ref="J80:J81" si="77">L80+O80</f>
        <v>5000000</v>
      </c>
      <c r="K80" s="435">
        <v>5000000</v>
      </c>
      <c r="L80" s="435"/>
      <c r="M80" s="435"/>
      <c r="N80" s="435"/>
      <c r="O80" s="432">
        <f t="shared" ref="O80:O81" si="78">K80</f>
        <v>5000000</v>
      </c>
      <c r="P80" s="319">
        <f>E80+J80</f>
        <v>5000000</v>
      </c>
      <c r="Q80" s="36"/>
      <c r="R80" s="26"/>
    </row>
    <row r="81" spans="1:18" s="33" customFormat="1" ht="138.75" hidden="1" thickTop="1" thickBot="1" x14ac:dyDescent="0.25">
      <c r="A81" s="126" t="s">
        <v>1353</v>
      </c>
      <c r="B81" s="126" t="s">
        <v>1354</v>
      </c>
      <c r="C81" s="126" t="s">
        <v>210</v>
      </c>
      <c r="D81" s="126" t="s">
        <v>1355</v>
      </c>
      <c r="E81" s="125">
        <f>F81</f>
        <v>0</v>
      </c>
      <c r="F81" s="132"/>
      <c r="G81" s="132"/>
      <c r="H81" s="132"/>
      <c r="I81" s="132"/>
      <c r="J81" s="125">
        <f t="shared" si="77"/>
        <v>0</v>
      </c>
      <c r="K81" s="132"/>
      <c r="L81" s="132"/>
      <c r="M81" s="132"/>
      <c r="N81" s="132"/>
      <c r="O81" s="130">
        <f t="shared" si="78"/>
        <v>0</v>
      </c>
      <c r="P81" s="125">
        <f>E81+J81</f>
        <v>0</v>
      </c>
      <c r="Q81" s="36"/>
      <c r="R81" s="26"/>
    </row>
    <row r="82" spans="1:18" s="33" customFormat="1" ht="138.75" hidden="1" thickTop="1" thickBot="1" x14ac:dyDescent="0.25">
      <c r="A82" s="138" t="s">
        <v>1414</v>
      </c>
      <c r="B82" s="138" t="s">
        <v>1413</v>
      </c>
      <c r="C82" s="138"/>
      <c r="D82" s="138" t="s">
        <v>1415</v>
      </c>
      <c r="E82" s="139">
        <f>SUM(E83:E84)</f>
        <v>0</v>
      </c>
      <c r="F82" s="139">
        <f t="shared" ref="F82:O82" si="79">SUM(F83:F84)</f>
        <v>0</v>
      </c>
      <c r="G82" s="139">
        <f t="shared" si="79"/>
        <v>0</v>
      </c>
      <c r="H82" s="139">
        <f t="shared" si="79"/>
        <v>0</v>
      </c>
      <c r="I82" s="139">
        <f t="shared" si="79"/>
        <v>0</v>
      </c>
      <c r="J82" s="139">
        <f t="shared" si="79"/>
        <v>0</v>
      </c>
      <c r="K82" s="139">
        <f t="shared" si="79"/>
        <v>0</v>
      </c>
      <c r="L82" s="139">
        <f t="shared" si="79"/>
        <v>0</v>
      </c>
      <c r="M82" s="139">
        <f t="shared" si="79"/>
        <v>0</v>
      </c>
      <c r="N82" s="139">
        <f t="shared" si="79"/>
        <v>0</v>
      </c>
      <c r="O82" s="139">
        <f t="shared" si="79"/>
        <v>0</v>
      </c>
      <c r="P82" s="139">
        <f>SUM(P83:P84)</f>
        <v>0</v>
      </c>
      <c r="Q82" s="36"/>
      <c r="R82" s="26"/>
    </row>
    <row r="83" spans="1:18" s="33" customFormat="1" ht="93" hidden="1" thickTop="1" thickBot="1" x14ac:dyDescent="0.25">
      <c r="A83" s="126" t="s">
        <v>1416</v>
      </c>
      <c r="B83" s="126" t="s">
        <v>1417</v>
      </c>
      <c r="C83" s="126" t="s">
        <v>210</v>
      </c>
      <c r="D83" s="126" t="s">
        <v>1421</v>
      </c>
      <c r="E83" s="125">
        <f t="shared" ref="E83:E84" si="80">F83</f>
        <v>0</v>
      </c>
      <c r="F83" s="132">
        <v>0</v>
      </c>
      <c r="G83" s="132"/>
      <c r="H83" s="132"/>
      <c r="I83" s="132"/>
      <c r="J83" s="125">
        <f t="shared" ref="J83:J84" si="81">L83+O83</f>
        <v>0</v>
      </c>
      <c r="K83" s="132"/>
      <c r="L83" s="132"/>
      <c r="M83" s="132"/>
      <c r="N83" s="132"/>
      <c r="O83" s="130">
        <f t="shared" ref="O83" si="82">K83</f>
        <v>0</v>
      </c>
      <c r="P83" s="125">
        <f t="shared" ref="P83:P84" si="83">E83+J83</f>
        <v>0</v>
      </c>
      <c r="Q83" s="36"/>
      <c r="R83" s="26"/>
    </row>
    <row r="84" spans="1:18" s="33" customFormat="1" ht="138.75" hidden="1" thickTop="1" thickBot="1" x14ac:dyDescent="0.25">
      <c r="A84" s="126" t="s">
        <v>1418</v>
      </c>
      <c r="B84" s="126" t="s">
        <v>1419</v>
      </c>
      <c r="C84" s="126" t="s">
        <v>210</v>
      </c>
      <c r="D84" s="126" t="s">
        <v>1420</v>
      </c>
      <c r="E84" s="125">
        <f t="shared" si="80"/>
        <v>0</v>
      </c>
      <c r="F84" s="132"/>
      <c r="G84" s="132"/>
      <c r="H84" s="132"/>
      <c r="I84" s="132"/>
      <c r="J84" s="125">
        <f t="shared" si="81"/>
        <v>0</v>
      </c>
      <c r="K84" s="132"/>
      <c r="L84" s="132"/>
      <c r="M84" s="132"/>
      <c r="N84" s="132"/>
      <c r="O84" s="130">
        <f>K84</f>
        <v>0</v>
      </c>
      <c r="P84" s="125">
        <f t="shared" si="83"/>
        <v>0</v>
      </c>
      <c r="Q84" s="36"/>
      <c r="R84" s="26"/>
    </row>
    <row r="85" spans="1:18" s="33" customFormat="1" ht="213" hidden="1" customHeight="1" thickTop="1" thickBot="1" x14ac:dyDescent="0.25">
      <c r="A85" s="138" t="s">
        <v>1487</v>
      </c>
      <c r="B85" s="138" t="s">
        <v>1489</v>
      </c>
      <c r="C85" s="126"/>
      <c r="D85" s="138" t="s">
        <v>1486</v>
      </c>
      <c r="E85" s="139">
        <f>SUM(E86:E87)</f>
        <v>0</v>
      </c>
      <c r="F85" s="139">
        <f t="shared" ref="F85:O85" si="84">SUM(F86:F87)</f>
        <v>0</v>
      </c>
      <c r="G85" s="139">
        <f t="shared" si="84"/>
        <v>0</v>
      </c>
      <c r="H85" s="139">
        <f t="shared" si="84"/>
        <v>0</v>
      </c>
      <c r="I85" s="139">
        <f t="shared" si="84"/>
        <v>0</v>
      </c>
      <c r="J85" s="139">
        <f t="shared" si="84"/>
        <v>0</v>
      </c>
      <c r="K85" s="139">
        <f t="shared" si="84"/>
        <v>0</v>
      </c>
      <c r="L85" s="139">
        <f t="shared" si="84"/>
        <v>0</v>
      </c>
      <c r="M85" s="139">
        <f t="shared" si="84"/>
        <v>0</v>
      </c>
      <c r="N85" s="139">
        <f t="shared" si="84"/>
        <v>0</v>
      </c>
      <c r="O85" s="139">
        <f t="shared" si="84"/>
        <v>0</v>
      </c>
      <c r="P85" s="139">
        <f>SUM(P86:P87)</f>
        <v>0</v>
      </c>
      <c r="Q85" s="36"/>
      <c r="R85" s="26"/>
    </row>
    <row r="86" spans="1:18" s="33" customFormat="1" ht="230.25" hidden="1" thickTop="1" thickBot="1" x14ac:dyDescent="0.25">
      <c r="A86" s="126" t="s">
        <v>1490</v>
      </c>
      <c r="B86" s="126" t="s">
        <v>1488</v>
      </c>
      <c r="C86" s="126" t="s">
        <v>210</v>
      </c>
      <c r="D86" s="126" t="s">
        <v>1491</v>
      </c>
      <c r="E86" s="125">
        <f>F86</f>
        <v>0</v>
      </c>
      <c r="F86" s="132">
        <v>0</v>
      </c>
      <c r="G86" s="132"/>
      <c r="H86" s="132"/>
      <c r="I86" s="132"/>
      <c r="J86" s="125">
        <f t="shared" ref="J86:J88" si="85">L86+O86</f>
        <v>0</v>
      </c>
      <c r="K86" s="132">
        <v>0</v>
      </c>
      <c r="L86" s="132"/>
      <c r="M86" s="132"/>
      <c r="N86" s="132"/>
      <c r="O86" s="130">
        <f t="shared" ref="O86" si="86">K86</f>
        <v>0</v>
      </c>
      <c r="P86" s="125">
        <f>E86+J86</f>
        <v>0</v>
      </c>
      <c r="Q86" s="36"/>
      <c r="R86" s="26"/>
    </row>
    <row r="87" spans="1:18" s="33" customFormat="1" ht="219" hidden="1" customHeight="1" thickTop="1" thickBot="1" x14ac:dyDescent="0.25">
      <c r="A87" s="126" t="s">
        <v>1492</v>
      </c>
      <c r="B87" s="126" t="s">
        <v>1493</v>
      </c>
      <c r="C87" s="126" t="s">
        <v>210</v>
      </c>
      <c r="D87" s="126" t="s">
        <v>1494</v>
      </c>
      <c r="E87" s="125">
        <f>F87</f>
        <v>0</v>
      </c>
      <c r="F87" s="132"/>
      <c r="G87" s="132"/>
      <c r="H87" s="132"/>
      <c r="I87" s="132"/>
      <c r="J87" s="125">
        <f t="shared" si="85"/>
        <v>0</v>
      </c>
      <c r="K87" s="132"/>
      <c r="L87" s="132">
        <v>0</v>
      </c>
      <c r="M87" s="132"/>
      <c r="N87" s="132"/>
      <c r="O87" s="130">
        <f>K87+0</f>
        <v>0</v>
      </c>
      <c r="P87" s="125">
        <f>E87+J87</f>
        <v>0</v>
      </c>
      <c r="Q87" s="36"/>
      <c r="R87" s="26"/>
    </row>
    <row r="88" spans="1:18" s="33" customFormat="1" ht="54" thickTop="1" thickBot="1" x14ac:dyDescent="0.25">
      <c r="A88" s="101" t="s">
        <v>1632</v>
      </c>
      <c r="B88" s="101" t="s">
        <v>1612</v>
      </c>
      <c r="C88" s="101" t="s">
        <v>210</v>
      </c>
      <c r="D88" s="101" t="s">
        <v>1613</v>
      </c>
      <c r="E88" s="319">
        <f>F88</f>
        <v>0</v>
      </c>
      <c r="F88" s="435"/>
      <c r="G88" s="435"/>
      <c r="H88" s="435"/>
      <c r="I88" s="435"/>
      <c r="J88" s="319">
        <f t="shared" si="85"/>
        <v>5000000</v>
      </c>
      <c r="K88" s="435">
        <f>2000000+3000000</f>
        <v>5000000</v>
      </c>
      <c r="L88" s="435"/>
      <c r="M88" s="435"/>
      <c r="N88" s="435"/>
      <c r="O88" s="432">
        <f t="shared" ref="O88" si="87">K88</f>
        <v>5000000</v>
      </c>
      <c r="P88" s="319">
        <f>E88+J88</f>
        <v>5000000</v>
      </c>
      <c r="Q88" s="36"/>
      <c r="R88" s="26"/>
    </row>
    <row r="89" spans="1:18" s="33" customFormat="1" ht="93" hidden="1" thickTop="1" thickBot="1" x14ac:dyDescent="0.25">
      <c r="A89" s="138" t="s">
        <v>1554</v>
      </c>
      <c r="B89" s="138" t="s">
        <v>1557</v>
      </c>
      <c r="C89" s="126"/>
      <c r="D89" s="138" t="s">
        <v>1558</v>
      </c>
      <c r="E89" s="139">
        <f>E90</f>
        <v>0</v>
      </c>
      <c r="F89" s="139">
        <f t="shared" ref="F89:P89" si="88">F90</f>
        <v>0</v>
      </c>
      <c r="G89" s="139">
        <f t="shared" si="88"/>
        <v>0</v>
      </c>
      <c r="H89" s="139">
        <f t="shared" si="88"/>
        <v>0</v>
      </c>
      <c r="I89" s="139">
        <f t="shared" si="88"/>
        <v>0</v>
      </c>
      <c r="J89" s="139">
        <f t="shared" si="88"/>
        <v>0</v>
      </c>
      <c r="K89" s="139">
        <f t="shared" si="88"/>
        <v>0</v>
      </c>
      <c r="L89" s="139">
        <f t="shared" si="88"/>
        <v>0</v>
      </c>
      <c r="M89" s="139">
        <f t="shared" si="88"/>
        <v>0</v>
      </c>
      <c r="N89" s="139">
        <f t="shared" si="88"/>
        <v>0</v>
      </c>
      <c r="O89" s="139">
        <f t="shared" si="88"/>
        <v>0</v>
      </c>
      <c r="P89" s="139">
        <f t="shared" si="88"/>
        <v>0</v>
      </c>
      <c r="Q89" s="36"/>
      <c r="R89" s="26"/>
    </row>
    <row r="90" spans="1:18" s="33" customFormat="1" ht="138.75" hidden="1" thickTop="1" thickBot="1" x14ac:dyDescent="0.25">
      <c r="A90" s="126" t="s">
        <v>1555</v>
      </c>
      <c r="B90" s="126" t="s">
        <v>1556</v>
      </c>
      <c r="C90" s="126" t="s">
        <v>210</v>
      </c>
      <c r="D90" s="126" t="s">
        <v>1559</v>
      </c>
      <c r="E90" s="125">
        <f>F90</f>
        <v>0</v>
      </c>
      <c r="F90" s="132"/>
      <c r="G90" s="132"/>
      <c r="H90" s="132"/>
      <c r="I90" s="132"/>
      <c r="J90" s="125">
        <f t="shared" ref="J90" si="89">L90+O90</f>
        <v>0</v>
      </c>
      <c r="K90" s="132"/>
      <c r="L90" s="132"/>
      <c r="M90" s="132"/>
      <c r="N90" s="132"/>
      <c r="O90" s="130">
        <f t="shared" ref="O90" si="90">K90</f>
        <v>0</v>
      </c>
      <c r="P90" s="125">
        <f>E90+J90</f>
        <v>0</v>
      </c>
      <c r="Q90" s="36"/>
      <c r="R90" s="26"/>
    </row>
    <row r="91" spans="1:18" s="33" customFormat="1" ht="47.25" thickTop="1" thickBot="1" x14ac:dyDescent="0.25">
      <c r="A91" s="307" t="s">
        <v>701</v>
      </c>
      <c r="B91" s="307" t="s">
        <v>702</v>
      </c>
      <c r="C91" s="307"/>
      <c r="D91" s="307" t="s">
        <v>703</v>
      </c>
      <c r="E91" s="319">
        <f>SUM(E92:E93)</f>
        <v>715000</v>
      </c>
      <c r="F91" s="319">
        <f t="shared" ref="F91:P91" si="91">SUM(F92:F93)</f>
        <v>715000</v>
      </c>
      <c r="G91" s="319">
        <f t="shared" si="91"/>
        <v>0</v>
      </c>
      <c r="H91" s="319">
        <f t="shared" si="91"/>
        <v>0</v>
      </c>
      <c r="I91" s="319">
        <f t="shared" si="91"/>
        <v>0</v>
      </c>
      <c r="J91" s="319">
        <f t="shared" si="91"/>
        <v>0</v>
      </c>
      <c r="K91" s="319">
        <f t="shared" si="91"/>
        <v>0</v>
      </c>
      <c r="L91" s="319">
        <f t="shared" si="91"/>
        <v>0</v>
      </c>
      <c r="M91" s="319">
        <f t="shared" si="91"/>
        <v>0</v>
      </c>
      <c r="N91" s="319">
        <f t="shared" si="91"/>
        <v>0</v>
      </c>
      <c r="O91" s="319">
        <f t="shared" si="91"/>
        <v>0</v>
      </c>
      <c r="P91" s="319">
        <f t="shared" si="91"/>
        <v>715000</v>
      </c>
      <c r="Q91" s="36"/>
      <c r="R91" s="26"/>
    </row>
    <row r="92" spans="1:18" s="33" customFormat="1" ht="167.25" customHeight="1" thickTop="1" thickBot="1" x14ac:dyDescent="0.25">
      <c r="A92" s="101" t="s">
        <v>429</v>
      </c>
      <c r="B92" s="101" t="s">
        <v>430</v>
      </c>
      <c r="C92" s="101" t="s">
        <v>185</v>
      </c>
      <c r="D92" s="101" t="s">
        <v>428</v>
      </c>
      <c r="E92" s="319">
        <f t="shared" si="62"/>
        <v>715000</v>
      </c>
      <c r="F92" s="435">
        <v>715000</v>
      </c>
      <c r="G92" s="435"/>
      <c r="H92" s="435"/>
      <c r="I92" s="435"/>
      <c r="J92" s="319">
        <f>L92+O92</f>
        <v>0</v>
      </c>
      <c r="K92" s="435"/>
      <c r="L92" s="435"/>
      <c r="M92" s="435"/>
      <c r="N92" s="435"/>
      <c r="O92" s="432">
        <f>K92</f>
        <v>0</v>
      </c>
      <c r="P92" s="319">
        <f>E92+J92</f>
        <v>715000</v>
      </c>
      <c r="Q92" s="36"/>
      <c r="R92" s="39"/>
    </row>
    <row r="93" spans="1:18" s="33" customFormat="1" ht="114.75" hidden="1" customHeight="1" thickTop="1" thickBot="1" x14ac:dyDescent="0.25">
      <c r="A93" s="126" t="s">
        <v>1198</v>
      </c>
      <c r="B93" s="126" t="s">
        <v>1165</v>
      </c>
      <c r="C93" s="126" t="s">
        <v>206</v>
      </c>
      <c r="D93" s="379" t="s">
        <v>1166</v>
      </c>
      <c r="E93" s="125">
        <f t="shared" si="62"/>
        <v>0</v>
      </c>
      <c r="F93" s="132"/>
      <c r="G93" s="132"/>
      <c r="H93" s="132"/>
      <c r="I93" s="132"/>
      <c r="J93" s="125">
        <f>L93+O93</f>
        <v>0</v>
      </c>
      <c r="K93" s="132"/>
      <c r="L93" s="132"/>
      <c r="M93" s="132"/>
      <c r="N93" s="132"/>
      <c r="O93" s="130">
        <f>K93</f>
        <v>0</v>
      </c>
      <c r="P93" s="125">
        <f>E93+J93</f>
        <v>0</v>
      </c>
      <c r="Q93" s="36"/>
      <c r="R93" s="39"/>
    </row>
    <row r="94" spans="1:18" s="33" customFormat="1" ht="57" customHeight="1" thickTop="1" thickBot="1" x14ac:dyDescent="0.25">
      <c r="A94" s="307" t="s">
        <v>1059</v>
      </c>
      <c r="B94" s="307" t="s">
        <v>739</v>
      </c>
      <c r="C94" s="307"/>
      <c r="D94" s="307" t="s">
        <v>1058</v>
      </c>
      <c r="E94" s="319">
        <f>E95</f>
        <v>0</v>
      </c>
      <c r="F94" s="319">
        <f t="shared" ref="F94:P94" si="92">F95</f>
        <v>0</v>
      </c>
      <c r="G94" s="319">
        <f t="shared" si="92"/>
        <v>0</v>
      </c>
      <c r="H94" s="319">
        <f t="shared" si="92"/>
        <v>0</v>
      </c>
      <c r="I94" s="319">
        <f t="shared" si="92"/>
        <v>0</v>
      </c>
      <c r="J94" s="319">
        <f t="shared" si="92"/>
        <v>1000000</v>
      </c>
      <c r="K94" s="319">
        <f t="shared" si="92"/>
        <v>1000000</v>
      </c>
      <c r="L94" s="319">
        <f t="shared" si="92"/>
        <v>0</v>
      </c>
      <c r="M94" s="319">
        <f t="shared" si="92"/>
        <v>0</v>
      </c>
      <c r="N94" s="319">
        <f t="shared" si="92"/>
        <v>0</v>
      </c>
      <c r="O94" s="319">
        <f t="shared" si="92"/>
        <v>1000000</v>
      </c>
      <c r="P94" s="319">
        <f t="shared" si="92"/>
        <v>1000000</v>
      </c>
      <c r="Q94" s="36"/>
      <c r="R94" s="26"/>
    </row>
    <row r="95" spans="1:18" s="33" customFormat="1" ht="57" customHeight="1" thickTop="1" thickBot="1" x14ac:dyDescent="0.25">
      <c r="A95" s="608" t="s">
        <v>1060</v>
      </c>
      <c r="B95" s="608" t="s">
        <v>683</v>
      </c>
      <c r="C95" s="608"/>
      <c r="D95" s="608" t="s">
        <v>681</v>
      </c>
      <c r="E95" s="610">
        <f>E96</f>
        <v>0</v>
      </c>
      <c r="F95" s="610">
        <f t="shared" ref="F95:P95" si="93">F96</f>
        <v>0</v>
      </c>
      <c r="G95" s="610">
        <f t="shared" si="93"/>
        <v>0</v>
      </c>
      <c r="H95" s="610">
        <f t="shared" si="93"/>
        <v>0</v>
      </c>
      <c r="I95" s="610">
        <f t="shared" si="93"/>
        <v>0</v>
      </c>
      <c r="J95" s="610">
        <f t="shared" si="93"/>
        <v>1000000</v>
      </c>
      <c r="K95" s="610">
        <f t="shared" si="93"/>
        <v>1000000</v>
      </c>
      <c r="L95" s="610">
        <f t="shared" si="93"/>
        <v>0</v>
      </c>
      <c r="M95" s="610">
        <f t="shared" si="93"/>
        <v>0</v>
      </c>
      <c r="N95" s="610">
        <f t="shared" si="93"/>
        <v>0</v>
      </c>
      <c r="O95" s="610">
        <f t="shared" si="93"/>
        <v>1000000</v>
      </c>
      <c r="P95" s="610">
        <f t="shared" si="93"/>
        <v>1000000</v>
      </c>
      <c r="Q95" s="30"/>
      <c r="R95" s="26"/>
    </row>
    <row r="96" spans="1:18" s="33" customFormat="1" ht="57" customHeight="1" thickTop="1" thickBot="1" x14ac:dyDescent="0.25">
      <c r="A96" s="101" t="s">
        <v>1061</v>
      </c>
      <c r="B96" s="101" t="s">
        <v>212</v>
      </c>
      <c r="C96" s="101" t="s">
        <v>213</v>
      </c>
      <c r="D96" s="101" t="s">
        <v>41</v>
      </c>
      <c r="E96" s="319">
        <f t="shared" ref="E96" si="94">F96</f>
        <v>0</v>
      </c>
      <c r="F96" s="435"/>
      <c r="G96" s="435"/>
      <c r="H96" s="435"/>
      <c r="I96" s="435"/>
      <c r="J96" s="319">
        <f t="shared" ref="J96" si="95">L96+O96</f>
        <v>1000000</v>
      </c>
      <c r="K96" s="435">
        <v>1000000</v>
      </c>
      <c r="L96" s="435"/>
      <c r="M96" s="435"/>
      <c r="N96" s="435"/>
      <c r="O96" s="432">
        <f t="shared" ref="O96" si="96">K96</f>
        <v>1000000</v>
      </c>
      <c r="P96" s="319">
        <f>E96+J96</f>
        <v>1000000</v>
      </c>
      <c r="Q96" s="30"/>
      <c r="R96" s="26"/>
    </row>
    <row r="97" spans="1:18" s="33" customFormat="1" ht="47.25" hidden="1" thickTop="1" thickBot="1" x14ac:dyDescent="0.25">
      <c r="A97" s="123" t="s">
        <v>1189</v>
      </c>
      <c r="B97" s="123" t="s">
        <v>688</v>
      </c>
      <c r="C97" s="123"/>
      <c r="D97" s="123" t="s">
        <v>689</v>
      </c>
      <c r="E97" s="125">
        <f t="shared" ref="E97:P98" si="97">E98</f>
        <v>0</v>
      </c>
      <c r="F97" s="125">
        <f t="shared" si="97"/>
        <v>0</v>
      </c>
      <c r="G97" s="125">
        <f t="shared" si="97"/>
        <v>0</v>
      </c>
      <c r="H97" s="125">
        <f t="shared" si="97"/>
        <v>0</v>
      </c>
      <c r="I97" s="125">
        <f t="shared" si="97"/>
        <v>0</v>
      </c>
      <c r="J97" s="125">
        <f t="shared" si="97"/>
        <v>0</v>
      </c>
      <c r="K97" s="125">
        <f t="shared" si="97"/>
        <v>0</v>
      </c>
      <c r="L97" s="125">
        <f t="shared" si="97"/>
        <v>0</v>
      </c>
      <c r="M97" s="125">
        <f t="shared" si="97"/>
        <v>0</v>
      </c>
      <c r="N97" s="125">
        <f t="shared" si="97"/>
        <v>0</v>
      </c>
      <c r="O97" s="125">
        <f t="shared" si="97"/>
        <v>0</v>
      </c>
      <c r="P97" s="125">
        <f t="shared" si="97"/>
        <v>0</v>
      </c>
      <c r="Q97" s="30"/>
      <c r="R97" s="26"/>
    </row>
    <row r="98" spans="1:18" s="33" customFormat="1" ht="47.25" hidden="1" thickTop="1" thickBot="1" x14ac:dyDescent="0.25">
      <c r="A98" s="134" t="s">
        <v>1190</v>
      </c>
      <c r="B98" s="134" t="s">
        <v>1151</v>
      </c>
      <c r="C98" s="134"/>
      <c r="D98" s="134" t="s">
        <v>1149</v>
      </c>
      <c r="E98" s="135">
        <f t="shared" si="97"/>
        <v>0</v>
      </c>
      <c r="F98" s="135">
        <f t="shared" si="97"/>
        <v>0</v>
      </c>
      <c r="G98" s="135">
        <f t="shared" si="97"/>
        <v>0</v>
      </c>
      <c r="H98" s="135">
        <f t="shared" si="97"/>
        <v>0</v>
      </c>
      <c r="I98" s="135">
        <f t="shared" si="97"/>
        <v>0</v>
      </c>
      <c r="J98" s="135">
        <f t="shared" si="97"/>
        <v>0</v>
      </c>
      <c r="K98" s="135">
        <f t="shared" si="97"/>
        <v>0</v>
      </c>
      <c r="L98" s="135">
        <f t="shared" si="97"/>
        <v>0</v>
      </c>
      <c r="M98" s="135">
        <f t="shared" si="97"/>
        <v>0</v>
      </c>
      <c r="N98" s="135">
        <f t="shared" si="97"/>
        <v>0</v>
      </c>
      <c r="O98" s="135">
        <f t="shared" si="97"/>
        <v>0</v>
      </c>
      <c r="P98" s="135">
        <f t="shared" si="97"/>
        <v>0</v>
      </c>
      <c r="Q98" s="30"/>
      <c r="R98" s="26"/>
    </row>
    <row r="99" spans="1:18" s="33" customFormat="1" ht="48" hidden="1" thickTop="1" thickBot="1" x14ac:dyDescent="0.25">
      <c r="A99" s="126" t="s">
        <v>1191</v>
      </c>
      <c r="B99" s="126" t="s">
        <v>1155</v>
      </c>
      <c r="C99" s="126" t="s">
        <v>1153</v>
      </c>
      <c r="D99" s="126" t="s">
        <v>1152</v>
      </c>
      <c r="E99" s="125">
        <f>F99</f>
        <v>0</v>
      </c>
      <c r="F99" s="132"/>
      <c r="G99" s="132"/>
      <c r="H99" s="132"/>
      <c r="I99" s="132"/>
      <c r="J99" s="125">
        <f>L99+O99</f>
        <v>0</v>
      </c>
      <c r="K99" s="132">
        <v>0</v>
      </c>
      <c r="L99" s="132"/>
      <c r="M99" s="132"/>
      <c r="N99" s="132"/>
      <c r="O99" s="130">
        <f>K99</f>
        <v>0</v>
      </c>
      <c r="P99" s="125">
        <f>E99+J99</f>
        <v>0</v>
      </c>
      <c r="Q99" s="30"/>
      <c r="R99" s="26"/>
    </row>
    <row r="100" spans="1:18" s="33" customFormat="1" ht="47.25" hidden="1" customHeight="1" thickTop="1" thickBot="1" x14ac:dyDescent="0.25">
      <c r="A100" s="144" t="s">
        <v>1002</v>
      </c>
      <c r="B100" s="144" t="s">
        <v>693</v>
      </c>
      <c r="C100" s="144"/>
      <c r="D100" s="144" t="s">
        <v>694</v>
      </c>
      <c r="E100" s="42">
        <f>E101</f>
        <v>0</v>
      </c>
      <c r="F100" s="42">
        <f t="shared" ref="F100:P101" si="98">F101</f>
        <v>0</v>
      </c>
      <c r="G100" s="42">
        <f t="shared" si="98"/>
        <v>0</v>
      </c>
      <c r="H100" s="42">
        <f t="shared" si="98"/>
        <v>0</v>
      </c>
      <c r="I100" s="42">
        <f t="shared" si="98"/>
        <v>0</v>
      </c>
      <c r="J100" s="42">
        <f t="shared" si="98"/>
        <v>0</v>
      </c>
      <c r="K100" s="42">
        <f t="shared" si="98"/>
        <v>0</v>
      </c>
      <c r="L100" s="42">
        <f t="shared" si="98"/>
        <v>0</v>
      </c>
      <c r="M100" s="42">
        <f t="shared" si="98"/>
        <v>0</v>
      </c>
      <c r="N100" s="42">
        <f t="shared" si="98"/>
        <v>0</v>
      </c>
      <c r="O100" s="42">
        <f t="shared" si="98"/>
        <v>0</v>
      </c>
      <c r="P100" s="42">
        <f t="shared" si="98"/>
        <v>0</v>
      </c>
      <c r="Q100" s="36"/>
      <c r="R100" s="26"/>
    </row>
    <row r="101" spans="1:18" s="33" customFormat="1" ht="91.5" hidden="1" thickTop="1" thickBot="1" x14ac:dyDescent="0.25">
      <c r="A101" s="145" t="s">
        <v>1003</v>
      </c>
      <c r="B101" s="145" t="s">
        <v>696</v>
      </c>
      <c r="C101" s="145"/>
      <c r="D101" s="145" t="s">
        <v>697</v>
      </c>
      <c r="E101" s="146">
        <f>E102</f>
        <v>0</v>
      </c>
      <c r="F101" s="146">
        <f t="shared" si="98"/>
        <v>0</v>
      </c>
      <c r="G101" s="146">
        <f t="shared" si="98"/>
        <v>0</v>
      </c>
      <c r="H101" s="146">
        <f t="shared" si="98"/>
        <v>0</v>
      </c>
      <c r="I101" s="146">
        <f t="shared" si="98"/>
        <v>0</v>
      </c>
      <c r="J101" s="146">
        <f t="shared" si="98"/>
        <v>0</v>
      </c>
      <c r="K101" s="146">
        <f t="shared" si="98"/>
        <v>0</v>
      </c>
      <c r="L101" s="146">
        <f t="shared" si="98"/>
        <v>0</v>
      </c>
      <c r="M101" s="146">
        <f t="shared" si="98"/>
        <v>0</v>
      </c>
      <c r="N101" s="146">
        <f t="shared" si="98"/>
        <v>0</v>
      </c>
      <c r="O101" s="146">
        <f t="shared" si="98"/>
        <v>0</v>
      </c>
      <c r="P101" s="146">
        <f t="shared" si="98"/>
        <v>0</v>
      </c>
      <c r="Q101" s="36"/>
      <c r="R101" s="26"/>
    </row>
    <row r="102" spans="1:18" s="33" customFormat="1" ht="48" hidden="1" thickTop="1" thickBot="1" x14ac:dyDescent="0.25">
      <c r="A102" s="41" t="s">
        <v>1004</v>
      </c>
      <c r="B102" s="41" t="s">
        <v>362</v>
      </c>
      <c r="C102" s="41" t="s">
        <v>43</v>
      </c>
      <c r="D102" s="41" t="s">
        <v>363</v>
      </c>
      <c r="E102" s="42">
        <f t="shared" ref="E102" si="99">F102</f>
        <v>0</v>
      </c>
      <c r="F102" s="43"/>
      <c r="G102" s="43"/>
      <c r="H102" s="43"/>
      <c r="I102" s="43"/>
      <c r="J102" s="42">
        <f>L102+O102</f>
        <v>0</v>
      </c>
      <c r="K102" s="43"/>
      <c r="L102" s="43"/>
      <c r="M102" s="43"/>
      <c r="N102" s="43"/>
      <c r="O102" s="44">
        <f>K102</f>
        <v>0</v>
      </c>
      <c r="P102" s="42">
        <f>E102+J102</f>
        <v>0</v>
      </c>
      <c r="Q102" s="36"/>
      <c r="R102" s="26"/>
    </row>
    <row r="103" spans="1:18" ht="120" customHeight="1" thickTop="1" thickBot="1" x14ac:dyDescent="0.25">
      <c r="A103" s="639" t="s">
        <v>154</v>
      </c>
      <c r="B103" s="639"/>
      <c r="C103" s="639"/>
      <c r="D103" s="640" t="s">
        <v>18</v>
      </c>
      <c r="E103" s="641">
        <f>E104</f>
        <v>103789357</v>
      </c>
      <c r="F103" s="642">
        <f t="shared" ref="F103:G103" si="100">F104</f>
        <v>103789357</v>
      </c>
      <c r="G103" s="642">
        <f t="shared" si="100"/>
        <v>6098092</v>
      </c>
      <c r="H103" s="642">
        <f>H104</f>
        <v>402300</v>
      </c>
      <c r="I103" s="642">
        <f t="shared" ref="I103" si="101">I104</f>
        <v>0</v>
      </c>
      <c r="J103" s="641">
        <f>J104</f>
        <v>14540852</v>
      </c>
      <c r="K103" s="642">
        <f>K104</f>
        <v>14540852</v>
      </c>
      <c r="L103" s="642">
        <f>L104</f>
        <v>0</v>
      </c>
      <c r="M103" s="642">
        <f t="shared" ref="M103" si="102">M104</f>
        <v>0</v>
      </c>
      <c r="N103" s="642">
        <f>N104</f>
        <v>0</v>
      </c>
      <c r="O103" s="641">
        <f>O104</f>
        <v>14540852</v>
      </c>
      <c r="P103" s="642">
        <f>P104</f>
        <v>118330209</v>
      </c>
      <c r="Q103" s="20"/>
    </row>
    <row r="104" spans="1:18" ht="120" customHeight="1" thickTop="1" thickBot="1" x14ac:dyDescent="0.25">
      <c r="A104" s="603" t="s">
        <v>155</v>
      </c>
      <c r="B104" s="603"/>
      <c r="C104" s="603"/>
      <c r="D104" s="604" t="s">
        <v>36</v>
      </c>
      <c r="E104" s="605">
        <f>E105+E108+E123</f>
        <v>103789357</v>
      </c>
      <c r="F104" s="605">
        <f t="shared" ref="F104:P104" si="103">F105+F108+F123</f>
        <v>103789357</v>
      </c>
      <c r="G104" s="605">
        <f t="shared" si="103"/>
        <v>6098092</v>
      </c>
      <c r="H104" s="605">
        <f t="shared" si="103"/>
        <v>402300</v>
      </c>
      <c r="I104" s="605">
        <f t="shared" si="103"/>
        <v>0</v>
      </c>
      <c r="J104" s="605">
        <f t="shared" si="103"/>
        <v>14540852</v>
      </c>
      <c r="K104" s="605">
        <f t="shared" si="103"/>
        <v>14540852</v>
      </c>
      <c r="L104" s="605">
        <f t="shared" si="103"/>
        <v>0</v>
      </c>
      <c r="M104" s="605">
        <f t="shared" si="103"/>
        <v>0</v>
      </c>
      <c r="N104" s="605">
        <f t="shared" si="103"/>
        <v>0</v>
      </c>
      <c r="O104" s="605">
        <f t="shared" si="103"/>
        <v>14540852</v>
      </c>
      <c r="P104" s="605">
        <f t="shared" si="103"/>
        <v>118330209</v>
      </c>
      <c r="Q104" s="485" t="b">
        <f>P104=P106+P109+P110+P111+P112+P115+P119+P120+P124</f>
        <v>1</v>
      </c>
      <c r="R104" s="26"/>
    </row>
    <row r="105" spans="1:18" ht="47.25" thickTop="1" thickBot="1" x14ac:dyDescent="0.25">
      <c r="A105" s="307" t="s">
        <v>704</v>
      </c>
      <c r="B105" s="307" t="s">
        <v>676</v>
      </c>
      <c r="C105" s="307"/>
      <c r="D105" s="307" t="s">
        <v>677</v>
      </c>
      <c r="E105" s="319">
        <f>SUM(E106:E107)</f>
        <v>3876038</v>
      </c>
      <c r="F105" s="319">
        <f t="shared" ref="F105:P105" si="104">SUM(F106:F107)</f>
        <v>3876038</v>
      </c>
      <c r="G105" s="319">
        <f t="shared" si="104"/>
        <v>2828211</v>
      </c>
      <c r="H105" s="319">
        <f t="shared" si="104"/>
        <v>192320</v>
      </c>
      <c r="I105" s="319">
        <f t="shared" si="104"/>
        <v>0</v>
      </c>
      <c r="J105" s="319">
        <f t="shared" si="104"/>
        <v>0</v>
      </c>
      <c r="K105" s="319">
        <f t="shared" si="104"/>
        <v>0</v>
      </c>
      <c r="L105" s="319">
        <f t="shared" si="104"/>
        <v>0</v>
      </c>
      <c r="M105" s="319">
        <f t="shared" si="104"/>
        <v>0</v>
      </c>
      <c r="N105" s="319">
        <f t="shared" si="104"/>
        <v>0</v>
      </c>
      <c r="O105" s="319">
        <f t="shared" si="104"/>
        <v>0</v>
      </c>
      <c r="P105" s="319">
        <f t="shared" si="104"/>
        <v>3876038</v>
      </c>
      <c r="Q105" s="30"/>
      <c r="R105" s="26"/>
    </row>
    <row r="106" spans="1:18" ht="93" thickTop="1" thickBot="1" x14ac:dyDescent="0.25">
      <c r="A106" s="101" t="s">
        <v>414</v>
      </c>
      <c r="B106" s="101" t="s">
        <v>236</v>
      </c>
      <c r="C106" s="101" t="s">
        <v>234</v>
      </c>
      <c r="D106" s="101" t="s">
        <v>235</v>
      </c>
      <c r="E106" s="319">
        <f>F106</f>
        <v>3876038</v>
      </c>
      <c r="F106" s="435">
        <v>3876038</v>
      </c>
      <c r="G106" s="435">
        <v>2828211</v>
      </c>
      <c r="H106" s="435">
        <v>192320</v>
      </c>
      <c r="I106" s="435"/>
      <c r="J106" s="319">
        <f t="shared" ref="J106:J130" si="105">L106+O106</f>
        <v>0</v>
      </c>
      <c r="K106" s="435"/>
      <c r="L106" s="435"/>
      <c r="M106" s="435"/>
      <c r="N106" s="435"/>
      <c r="O106" s="432">
        <f>K106</f>
        <v>0</v>
      </c>
      <c r="P106" s="319">
        <f t="shared" ref="P106:P130" si="106">E106+J106</f>
        <v>3876038</v>
      </c>
      <c r="Q106" s="39"/>
      <c r="R106" s="26"/>
    </row>
    <row r="107" spans="1:18" ht="93" hidden="1" thickTop="1" thickBot="1" x14ac:dyDescent="0.25">
      <c r="A107" s="126" t="s">
        <v>1222</v>
      </c>
      <c r="B107" s="126" t="s">
        <v>361</v>
      </c>
      <c r="C107" s="126" t="s">
        <v>619</v>
      </c>
      <c r="D107" s="126" t="s">
        <v>620</v>
      </c>
      <c r="E107" s="125">
        <f>F107</f>
        <v>0</v>
      </c>
      <c r="F107" s="132">
        <v>0</v>
      </c>
      <c r="G107" s="132"/>
      <c r="H107" s="132"/>
      <c r="I107" s="132"/>
      <c r="J107" s="125">
        <f t="shared" si="105"/>
        <v>0</v>
      </c>
      <c r="K107" s="132"/>
      <c r="L107" s="132"/>
      <c r="M107" s="132"/>
      <c r="N107" s="132"/>
      <c r="O107" s="130">
        <f>K107</f>
        <v>0</v>
      </c>
      <c r="P107" s="125">
        <f t="shared" si="106"/>
        <v>0</v>
      </c>
      <c r="Q107" s="39"/>
      <c r="R107" s="26"/>
    </row>
    <row r="108" spans="1:18" ht="47.25" thickTop="1" thickBot="1" x14ac:dyDescent="0.25">
      <c r="A108" s="307" t="s">
        <v>705</v>
      </c>
      <c r="B108" s="307" t="s">
        <v>706</v>
      </c>
      <c r="C108" s="307"/>
      <c r="D108" s="307" t="s">
        <v>707</v>
      </c>
      <c r="E108" s="319">
        <f>SUM(E109:E122)-E114-E116-E118-E121</f>
        <v>99813319</v>
      </c>
      <c r="F108" s="319">
        <f t="shared" ref="F108:P108" si="107">SUM(F109:F122)-F114-F116-F118-F121</f>
        <v>99813319</v>
      </c>
      <c r="G108" s="319">
        <f t="shared" si="107"/>
        <v>3269881</v>
      </c>
      <c r="H108" s="319">
        <f t="shared" si="107"/>
        <v>209980</v>
      </c>
      <c r="I108" s="319">
        <f t="shared" si="107"/>
        <v>0</v>
      </c>
      <c r="J108" s="319">
        <f t="shared" si="107"/>
        <v>14540852</v>
      </c>
      <c r="K108" s="319">
        <f t="shared" si="107"/>
        <v>14540852</v>
      </c>
      <c r="L108" s="319">
        <f t="shared" si="107"/>
        <v>0</v>
      </c>
      <c r="M108" s="319">
        <f t="shared" si="107"/>
        <v>0</v>
      </c>
      <c r="N108" s="319">
        <f t="shared" si="107"/>
        <v>0</v>
      </c>
      <c r="O108" s="319">
        <f t="shared" si="107"/>
        <v>14540852</v>
      </c>
      <c r="P108" s="319">
        <f t="shared" si="107"/>
        <v>114354171</v>
      </c>
      <c r="Q108" s="39"/>
      <c r="R108" s="39"/>
    </row>
    <row r="109" spans="1:18" ht="48" thickTop="1" thickBot="1" x14ac:dyDescent="0.25">
      <c r="A109" s="101" t="s">
        <v>214</v>
      </c>
      <c r="B109" s="101" t="s">
        <v>211</v>
      </c>
      <c r="C109" s="101" t="s">
        <v>215</v>
      </c>
      <c r="D109" s="101" t="s">
        <v>19</v>
      </c>
      <c r="E109" s="319">
        <f>F109</f>
        <v>28342986</v>
      </c>
      <c r="F109" s="435">
        <v>28342986</v>
      </c>
      <c r="G109" s="435"/>
      <c r="H109" s="435"/>
      <c r="I109" s="435"/>
      <c r="J109" s="319">
        <f t="shared" si="105"/>
        <v>8413552</v>
      </c>
      <c r="K109" s="435">
        <f>4413552+4000000</f>
        <v>8413552</v>
      </c>
      <c r="L109" s="435"/>
      <c r="M109" s="435"/>
      <c r="N109" s="435"/>
      <c r="O109" s="432">
        <f>K109</f>
        <v>8413552</v>
      </c>
      <c r="P109" s="319">
        <f t="shared" si="106"/>
        <v>36756538</v>
      </c>
      <c r="Q109" s="20"/>
      <c r="R109" s="30"/>
    </row>
    <row r="110" spans="1:18" ht="48" thickTop="1" thickBot="1" x14ac:dyDescent="0.25">
      <c r="A110" s="101" t="s">
        <v>503</v>
      </c>
      <c r="B110" s="101" t="s">
        <v>506</v>
      </c>
      <c r="C110" s="101" t="s">
        <v>505</v>
      </c>
      <c r="D110" s="101" t="s">
        <v>504</v>
      </c>
      <c r="E110" s="319">
        <f>F110</f>
        <v>8260600</v>
      </c>
      <c r="F110" s="435">
        <v>8260600</v>
      </c>
      <c r="G110" s="435"/>
      <c r="H110" s="435"/>
      <c r="I110" s="435"/>
      <c r="J110" s="319">
        <f t="shared" si="105"/>
        <v>0</v>
      </c>
      <c r="K110" s="435"/>
      <c r="L110" s="435"/>
      <c r="M110" s="435"/>
      <c r="N110" s="435"/>
      <c r="O110" s="432">
        <f>K110</f>
        <v>0</v>
      </c>
      <c r="P110" s="319">
        <f t="shared" si="106"/>
        <v>8260600</v>
      </c>
      <c r="Q110" s="20"/>
      <c r="R110" s="39"/>
    </row>
    <row r="111" spans="1:18" ht="48" thickTop="1" thickBot="1" x14ac:dyDescent="0.25">
      <c r="A111" s="101" t="s">
        <v>216</v>
      </c>
      <c r="B111" s="101" t="s">
        <v>217</v>
      </c>
      <c r="C111" s="101" t="s">
        <v>218</v>
      </c>
      <c r="D111" s="101" t="s">
        <v>219</v>
      </c>
      <c r="E111" s="319">
        <f t="shared" ref="E111:E130" si="108">F111</f>
        <v>8489900</v>
      </c>
      <c r="F111" s="435">
        <v>8489900</v>
      </c>
      <c r="G111" s="435"/>
      <c r="H111" s="435"/>
      <c r="I111" s="435"/>
      <c r="J111" s="319">
        <f t="shared" si="105"/>
        <v>6127300</v>
      </c>
      <c r="K111" s="435">
        <v>6127300</v>
      </c>
      <c r="L111" s="435"/>
      <c r="M111" s="435"/>
      <c r="N111" s="435"/>
      <c r="O111" s="432">
        <f>K111</f>
        <v>6127300</v>
      </c>
      <c r="P111" s="319">
        <f t="shared" si="106"/>
        <v>14617200</v>
      </c>
      <c r="Q111" s="20"/>
      <c r="R111" s="39"/>
    </row>
    <row r="112" spans="1:18" ht="93" thickTop="1" thickBot="1" x14ac:dyDescent="0.25">
      <c r="A112" s="101" t="s">
        <v>220</v>
      </c>
      <c r="B112" s="101" t="s">
        <v>221</v>
      </c>
      <c r="C112" s="101" t="s">
        <v>222</v>
      </c>
      <c r="D112" s="101" t="s">
        <v>344</v>
      </c>
      <c r="E112" s="319">
        <f t="shared" si="108"/>
        <v>24013785</v>
      </c>
      <c r="F112" s="435">
        <v>24013785</v>
      </c>
      <c r="G112" s="435"/>
      <c r="H112" s="435"/>
      <c r="I112" s="435"/>
      <c r="J112" s="319">
        <f t="shared" si="105"/>
        <v>0</v>
      </c>
      <c r="K112" s="435"/>
      <c r="L112" s="435"/>
      <c r="M112" s="435"/>
      <c r="N112" s="435"/>
      <c r="O112" s="432">
        <f>K112</f>
        <v>0</v>
      </c>
      <c r="P112" s="319">
        <f t="shared" si="106"/>
        <v>24013785</v>
      </c>
      <c r="Q112" s="20"/>
      <c r="R112" s="39"/>
    </row>
    <row r="113" spans="1:18" ht="48" hidden="1" thickTop="1" thickBot="1" x14ac:dyDescent="0.25">
      <c r="A113" s="126" t="s">
        <v>223</v>
      </c>
      <c r="B113" s="126" t="s">
        <v>224</v>
      </c>
      <c r="C113" s="126" t="s">
        <v>225</v>
      </c>
      <c r="D113" s="126" t="s">
        <v>226</v>
      </c>
      <c r="E113" s="125">
        <f t="shared" si="108"/>
        <v>0</v>
      </c>
      <c r="F113" s="132">
        <f>(7556300)-7556300</f>
        <v>0</v>
      </c>
      <c r="G113" s="132"/>
      <c r="H113" s="132"/>
      <c r="I113" s="132"/>
      <c r="J113" s="125">
        <f t="shared" si="105"/>
        <v>0</v>
      </c>
      <c r="K113" s="132">
        <f>(200000)-200000</f>
        <v>0</v>
      </c>
      <c r="L113" s="132"/>
      <c r="M113" s="132"/>
      <c r="N113" s="132"/>
      <c r="O113" s="130">
        <f>K113</f>
        <v>0</v>
      </c>
      <c r="P113" s="125">
        <f t="shared" si="106"/>
        <v>0</v>
      </c>
      <c r="Q113" s="20"/>
      <c r="R113" s="39"/>
    </row>
    <row r="114" spans="1:18" ht="48" thickTop="1" thickBot="1" x14ac:dyDescent="0.25">
      <c r="A114" s="613" t="s">
        <v>708</v>
      </c>
      <c r="B114" s="613" t="s">
        <v>709</v>
      </c>
      <c r="C114" s="613"/>
      <c r="D114" s="613" t="s">
        <v>710</v>
      </c>
      <c r="E114" s="614">
        <f>E115</f>
        <v>20992313</v>
      </c>
      <c r="F114" s="614">
        <f t="shared" ref="F114:P114" si="109">F115</f>
        <v>20992313</v>
      </c>
      <c r="G114" s="614">
        <f t="shared" si="109"/>
        <v>0</v>
      </c>
      <c r="H114" s="614">
        <f t="shared" si="109"/>
        <v>0</v>
      </c>
      <c r="I114" s="614">
        <f t="shared" si="109"/>
        <v>0</v>
      </c>
      <c r="J114" s="614">
        <f t="shared" si="109"/>
        <v>0</v>
      </c>
      <c r="K114" s="614">
        <f t="shared" si="109"/>
        <v>0</v>
      </c>
      <c r="L114" s="614">
        <f t="shared" si="109"/>
        <v>0</v>
      </c>
      <c r="M114" s="614">
        <f t="shared" si="109"/>
        <v>0</v>
      </c>
      <c r="N114" s="614">
        <f t="shared" si="109"/>
        <v>0</v>
      </c>
      <c r="O114" s="614">
        <f t="shared" si="109"/>
        <v>0</v>
      </c>
      <c r="P114" s="614">
        <f t="shared" si="109"/>
        <v>20992313</v>
      </c>
      <c r="Q114" s="20"/>
      <c r="R114" s="39"/>
    </row>
    <row r="115" spans="1:18" ht="93" thickTop="1" thickBot="1" x14ac:dyDescent="0.25">
      <c r="A115" s="101" t="s">
        <v>227</v>
      </c>
      <c r="B115" s="101" t="s">
        <v>228</v>
      </c>
      <c r="C115" s="101" t="s">
        <v>345</v>
      </c>
      <c r="D115" s="101" t="s">
        <v>229</v>
      </c>
      <c r="E115" s="319">
        <f t="shared" si="108"/>
        <v>20992313</v>
      </c>
      <c r="F115" s="435">
        <v>20992313</v>
      </c>
      <c r="G115" s="435"/>
      <c r="H115" s="435"/>
      <c r="I115" s="435"/>
      <c r="J115" s="319">
        <f t="shared" si="105"/>
        <v>0</v>
      </c>
      <c r="K115" s="435"/>
      <c r="L115" s="435"/>
      <c r="M115" s="435"/>
      <c r="N115" s="435"/>
      <c r="O115" s="432">
        <f t="shared" ref="O115:O130" si="110">K115</f>
        <v>0</v>
      </c>
      <c r="P115" s="319">
        <f t="shared" si="106"/>
        <v>20992313</v>
      </c>
      <c r="Q115" s="20"/>
      <c r="R115" s="39"/>
    </row>
    <row r="116" spans="1:18" ht="48" hidden="1" thickTop="1" thickBot="1" x14ac:dyDescent="0.25">
      <c r="A116" s="138" t="s">
        <v>711</v>
      </c>
      <c r="B116" s="138" t="s">
        <v>712</v>
      </c>
      <c r="C116" s="138"/>
      <c r="D116" s="138" t="s">
        <v>713</v>
      </c>
      <c r="E116" s="139">
        <f>E117</f>
        <v>0</v>
      </c>
      <c r="F116" s="139">
        <f t="shared" ref="F116:P116" si="111">F117</f>
        <v>0</v>
      </c>
      <c r="G116" s="139">
        <f t="shared" si="111"/>
        <v>0</v>
      </c>
      <c r="H116" s="139">
        <f t="shared" si="111"/>
        <v>0</v>
      </c>
      <c r="I116" s="139">
        <f t="shared" si="111"/>
        <v>0</v>
      </c>
      <c r="J116" s="143">
        <f t="shared" si="111"/>
        <v>0</v>
      </c>
      <c r="K116" s="143">
        <f t="shared" si="111"/>
        <v>0</v>
      </c>
      <c r="L116" s="143">
        <f t="shared" si="111"/>
        <v>0</v>
      </c>
      <c r="M116" s="143">
        <f t="shared" si="111"/>
        <v>0</v>
      </c>
      <c r="N116" s="143">
        <f t="shared" si="111"/>
        <v>0</v>
      </c>
      <c r="O116" s="143">
        <f t="shared" si="111"/>
        <v>0</v>
      </c>
      <c r="P116" s="143">
        <f t="shared" si="111"/>
        <v>0</v>
      </c>
      <c r="Q116" s="20"/>
      <c r="R116" s="39"/>
    </row>
    <row r="117" spans="1:18" ht="48" hidden="1" thickTop="1" thickBot="1" x14ac:dyDescent="0.25">
      <c r="A117" s="126" t="s">
        <v>473</v>
      </c>
      <c r="B117" s="126" t="s">
        <v>474</v>
      </c>
      <c r="C117" s="126" t="s">
        <v>230</v>
      </c>
      <c r="D117" s="126" t="s">
        <v>475</v>
      </c>
      <c r="E117" s="125">
        <f t="shared" si="108"/>
        <v>0</v>
      </c>
      <c r="F117" s="132">
        <v>0</v>
      </c>
      <c r="G117" s="132"/>
      <c r="H117" s="132"/>
      <c r="I117" s="132"/>
      <c r="J117" s="42">
        <f t="shared" si="105"/>
        <v>0</v>
      </c>
      <c r="K117" s="43"/>
      <c r="L117" s="43"/>
      <c r="M117" s="43"/>
      <c r="N117" s="43"/>
      <c r="O117" s="44">
        <f t="shared" si="110"/>
        <v>0</v>
      </c>
      <c r="P117" s="42">
        <f t="shared" si="106"/>
        <v>0</v>
      </c>
      <c r="Q117" s="20"/>
      <c r="R117" s="39"/>
    </row>
    <row r="118" spans="1:18" ht="48" thickTop="1" thickBot="1" x14ac:dyDescent="0.25">
      <c r="A118" s="613" t="s">
        <v>714</v>
      </c>
      <c r="B118" s="613" t="s">
        <v>715</v>
      </c>
      <c r="C118" s="613"/>
      <c r="D118" s="613" t="s">
        <v>716</v>
      </c>
      <c r="E118" s="614">
        <f>SUM(E119:E120)</f>
        <v>9713735</v>
      </c>
      <c r="F118" s="614">
        <f t="shared" ref="F118:P118" si="112">SUM(F119:F120)</f>
        <v>9713735</v>
      </c>
      <c r="G118" s="614">
        <f t="shared" si="112"/>
        <v>3269881</v>
      </c>
      <c r="H118" s="614">
        <f t="shared" si="112"/>
        <v>209980</v>
      </c>
      <c r="I118" s="614">
        <f t="shared" si="112"/>
        <v>0</v>
      </c>
      <c r="J118" s="614">
        <f t="shared" si="112"/>
        <v>0</v>
      </c>
      <c r="K118" s="614">
        <f t="shared" si="112"/>
        <v>0</v>
      </c>
      <c r="L118" s="614">
        <f t="shared" si="112"/>
        <v>0</v>
      </c>
      <c r="M118" s="614">
        <f t="shared" si="112"/>
        <v>0</v>
      </c>
      <c r="N118" s="614">
        <f t="shared" si="112"/>
        <v>0</v>
      </c>
      <c r="O118" s="614">
        <f t="shared" si="112"/>
        <v>0</v>
      </c>
      <c r="P118" s="614">
        <f t="shared" si="112"/>
        <v>9713735</v>
      </c>
      <c r="Q118" s="20"/>
      <c r="R118" s="39"/>
    </row>
    <row r="119" spans="1:18" s="33" customFormat="1" ht="48" thickTop="1" thickBot="1" x14ac:dyDescent="0.25">
      <c r="A119" s="101" t="s">
        <v>320</v>
      </c>
      <c r="B119" s="101" t="s">
        <v>322</v>
      </c>
      <c r="C119" s="101" t="s">
        <v>230</v>
      </c>
      <c r="D119" s="615" t="s">
        <v>318</v>
      </c>
      <c r="E119" s="319">
        <f t="shared" si="108"/>
        <v>4424235</v>
      </c>
      <c r="F119" s="435">
        <v>4424235</v>
      </c>
      <c r="G119" s="435">
        <v>3269881</v>
      </c>
      <c r="H119" s="435">
        <v>209980</v>
      </c>
      <c r="I119" s="435"/>
      <c r="J119" s="319">
        <f t="shared" si="105"/>
        <v>0</v>
      </c>
      <c r="K119" s="435"/>
      <c r="L119" s="435"/>
      <c r="M119" s="435"/>
      <c r="N119" s="435"/>
      <c r="O119" s="432">
        <f t="shared" si="110"/>
        <v>0</v>
      </c>
      <c r="P119" s="319">
        <f t="shared" si="106"/>
        <v>4424235</v>
      </c>
      <c r="Q119" s="36"/>
      <c r="R119" s="26"/>
    </row>
    <row r="120" spans="1:18" s="33" customFormat="1" ht="48" thickTop="1" thickBot="1" x14ac:dyDescent="0.25">
      <c r="A120" s="101" t="s">
        <v>321</v>
      </c>
      <c r="B120" s="101" t="s">
        <v>323</v>
      </c>
      <c r="C120" s="101" t="s">
        <v>230</v>
      </c>
      <c r="D120" s="615" t="s">
        <v>319</v>
      </c>
      <c r="E120" s="319">
        <f t="shared" si="108"/>
        <v>5289500</v>
      </c>
      <c r="F120" s="435">
        <v>5289500</v>
      </c>
      <c r="G120" s="435"/>
      <c r="H120" s="435"/>
      <c r="I120" s="435"/>
      <c r="J120" s="319">
        <f t="shared" si="105"/>
        <v>0</v>
      </c>
      <c r="K120" s="435"/>
      <c r="L120" s="435"/>
      <c r="M120" s="435"/>
      <c r="N120" s="435"/>
      <c r="O120" s="432">
        <f t="shared" si="110"/>
        <v>0</v>
      </c>
      <c r="P120" s="319">
        <f t="shared" si="106"/>
        <v>5289500</v>
      </c>
      <c r="Q120" s="36"/>
      <c r="R120" s="39"/>
    </row>
    <row r="121" spans="1:18" s="33" customFormat="1" ht="127.5" hidden="1" customHeight="1" thickTop="1" thickBot="1" x14ac:dyDescent="0.25">
      <c r="A121" s="138" t="s">
        <v>1512</v>
      </c>
      <c r="B121" s="138" t="s">
        <v>1513</v>
      </c>
      <c r="C121" s="138"/>
      <c r="D121" s="138" t="s">
        <v>1511</v>
      </c>
      <c r="E121" s="139">
        <f>E122</f>
        <v>0</v>
      </c>
      <c r="F121" s="139">
        <f t="shared" ref="F121:P121" si="113">F122</f>
        <v>0</v>
      </c>
      <c r="G121" s="139">
        <f t="shared" si="113"/>
        <v>0</v>
      </c>
      <c r="H121" s="139">
        <f t="shared" si="113"/>
        <v>0</v>
      </c>
      <c r="I121" s="139">
        <f t="shared" si="113"/>
        <v>0</v>
      </c>
      <c r="J121" s="139">
        <f t="shared" si="113"/>
        <v>0</v>
      </c>
      <c r="K121" s="139">
        <f t="shared" si="113"/>
        <v>0</v>
      </c>
      <c r="L121" s="139">
        <f t="shared" si="113"/>
        <v>0</v>
      </c>
      <c r="M121" s="139">
        <f t="shared" si="113"/>
        <v>0</v>
      </c>
      <c r="N121" s="139">
        <f t="shared" si="113"/>
        <v>0</v>
      </c>
      <c r="O121" s="139">
        <f t="shared" si="113"/>
        <v>0</v>
      </c>
      <c r="P121" s="139">
        <f t="shared" si="113"/>
        <v>0</v>
      </c>
      <c r="Q121" s="36"/>
      <c r="R121" s="39"/>
    </row>
    <row r="122" spans="1:18" s="543" customFormat="1" ht="138.75" hidden="1" thickTop="1" thickBot="1" x14ac:dyDescent="0.25">
      <c r="A122" s="126" t="s">
        <v>1515</v>
      </c>
      <c r="B122" s="126" t="s">
        <v>1516</v>
      </c>
      <c r="C122" s="126" t="s">
        <v>230</v>
      </c>
      <c r="D122" s="379" t="s">
        <v>1514</v>
      </c>
      <c r="E122" s="125">
        <f t="shared" ref="E122" si="114">F122</f>
        <v>0</v>
      </c>
      <c r="F122" s="132"/>
      <c r="G122" s="132"/>
      <c r="H122" s="132"/>
      <c r="I122" s="132"/>
      <c r="J122" s="125">
        <f t="shared" ref="J122" si="115">L122+O122</f>
        <v>0</v>
      </c>
      <c r="K122" s="132">
        <f>(2994000)-2994000</f>
        <v>0</v>
      </c>
      <c r="L122" s="132"/>
      <c r="M122" s="132"/>
      <c r="N122" s="132"/>
      <c r="O122" s="130">
        <f t="shared" ref="O122" si="116">K122</f>
        <v>0</v>
      </c>
      <c r="P122" s="125">
        <f t="shared" ref="P122" si="117">E122+J122</f>
        <v>0</v>
      </c>
      <c r="Q122" s="541"/>
      <c r="R122" s="542"/>
    </row>
    <row r="123" spans="1:18" s="33" customFormat="1" ht="47.25" thickTop="1" thickBot="1" x14ac:dyDescent="0.25">
      <c r="A123" s="307" t="s">
        <v>1163</v>
      </c>
      <c r="B123" s="307" t="s">
        <v>702</v>
      </c>
      <c r="C123" s="307"/>
      <c r="D123" s="307" t="s">
        <v>703</v>
      </c>
      <c r="E123" s="319">
        <f>E124</f>
        <v>100000</v>
      </c>
      <c r="F123" s="319">
        <f t="shared" ref="F123:P123" si="118">F124</f>
        <v>100000</v>
      </c>
      <c r="G123" s="319">
        <f t="shared" si="118"/>
        <v>0</v>
      </c>
      <c r="H123" s="319">
        <f t="shared" si="118"/>
        <v>0</v>
      </c>
      <c r="I123" s="319">
        <f t="shared" si="118"/>
        <v>0</v>
      </c>
      <c r="J123" s="319">
        <f t="shared" si="118"/>
        <v>0</v>
      </c>
      <c r="K123" s="319">
        <f t="shared" si="118"/>
        <v>0</v>
      </c>
      <c r="L123" s="319">
        <f t="shared" si="118"/>
        <v>0</v>
      </c>
      <c r="M123" s="319">
        <f t="shared" si="118"/>
        <v>0</v>
      </c>
      <c r="N123" s="319">
        <f t="shared" si="118"/>
        <v>0</v>
      </c>
      <c r="O123" s="319">
        <f t="shared" si="118"/>
        <v>0</v>
      </c>
      <c r="P123" s="319">
        <f t="shared" si="118"/>
        <v>100000</v>
      </c>
      <c r="Q123" s="36"/>
      <c r="R123" s="39"/>
    </row>
    <row r="124" spans="1:18" s="33" customFormat="1" ht="93" thickTop="1" thickBot="1" x14ac:dyDescent="0.25">
      <c r="A124" s="101" t="s">
        <v>1164</v>
      </c>
      <c r="B124" s="101" t="s">
        <v>1165</v>
      </c>
      <c r="C124" s="101" t="s">
        <v>206</v>
      </c>
      <c r="D124" s="615" t="s">
        <v>1166</v>
      </c>
      <c r="E124" s="319">
        <f t="shared" ref="E124" si="119">F124</f>
        <v>100000</v>
      </c>
      <c r="F124" s="435">
        <v>100000</v>
      </c>
      <c r="G124" s="435"/>
      <c r="H124" s="435"/>
      <c r="I124" s="435"/>
      <c r="J124" s="319">
        <f t="shared" ref="J124" si="120">L124+O124</f>
        <v>0</v>
      </c>
      <c r="K124" s="435"/>
      <c r="L124" s="435"/>
      <c r="M124" s="435"/>
      <c r="N124" s="435"/>
      <c r="O124" s="432">
        <f t="shared" ref="O124" si="121">K124</f>
        <v>0</v>
      </c>
      <c r="P124" s="319">
        <f t="shared" ref="P124" si="122">E124+J124</f>
        <v>100000</v>
      </c>
      <c r="Q124" s="36"/>
      <c r="R124" s="39"/>
    </row>
    <row r="125" spans="1:18" s="33" customFormat="1" ht="48" hidden="1" thickTop="1" thickBot="1" x14ac:dyDescent="0.25">
      <c r="A125" s="142" t="s">
        <v>1026</v>
      </c>
      <c r="B125" s="142" t="s">
        <v>1025</v>
      </c>
      <c r="C125" s="142"/>
      <c r="D125" s="142" t="s">
        <v>1024</v>
      </c>
      <c r="E125" s="143">
        <f>E126</f>
        <v>0</v>
      </c>
      <c r="F125" s="143">
        <f t="shared" ref="F125:P125" si="123">F126</f>
        <v>0</v>
      </c>
      <c r="G125" s="143">
        <f t="shared" si="123"/>
        <v>0</v>
      </c>
      <c r="H125" s="143">
        <f t="shared" si="123"/>
        <v>0</v>
      </c>
      <c r="I125" s="143">
        <f t="shared" si="123"/>
        <v>0</v>
      </c>
      <c r="J125" s="143">
        <f t="shared" si="123"/>
        <v>0</v>
      </c>
      <c r="K125" s="143">
        <f t="shared" si="123"/>
        <v>0</v>
      </c>
      <c r="L125" s="143">
        <f t="shared" si="123"/>
        <v>0</v>
      </c>
      <c r="M125" s="143">
        <f t="shared" si="123"/>
        <v>0</v>
      </c>
      <c r="N125" s="143">
        <f t="shared" si="123"/>
        <v>0</v>
      </c>
      <c r="O125" s="143">
        <f t="shared" si="123"/>
        <v>0</v>
      </c>
      <c r="P125" s="143">
        <f t="shared" si="123"/>
        <v>0</v>
      </c>
      <c r="Q125" s="36"/>
      <c r="R125" s="39"/>
    </row>
    <row r="126" spans="1:18" s="33" customFormat="1" ht="93" hidden="1" thickTop="1" thickBot="1" x14ac:dyDescent="0.25">
      <c r="A126" s="41" t="s">
        <v>1027</v>
      </c>
      <c r="B126" s="41" t="s">
        <v>1028</v>
      </c>
      <c r="C126" s="41" t="s">
        <v>170</v>
      </c>
      <c r="D126" s="41" t="s">
        <v>1029</v>
      </c>
      <c r="E126" s="42">
        <f t="shared" si="108"/>
        <v>0</v>
      </c>
      <c r="F126" s="43"/>
      <c r="G126" s="43"/>
      <c r="H126" s="43"/>
      <c r="I126" s="43"/>
      <c r="J126" s="42">
        <f t="shared" si="105"/>
        <v>0</v>
      </c>
      <c r="K126" s="43"/>
      <c r="L126" s="43"/>
      <c r="M126" s="43"/>
      <c r="N126" s="43"/>
      <c r="O126" s="44">
        <f>K126</f>
        <v>0</v>
      </c>
      <c r="P126" s="42">
        <f t="shared" si="106"/>
        <v>0</v>
      </c>
      <c r="Q126" s="36"/>
      <c r="R126" s="26"/>
    </row>
    <row r="127" spans="1:18" s="28" customFormat="1" ht="47.25" hidden="1" thickTop="1" thickBot="1" x14ac:dyDescent="0.25">
      <c r="A127" s="134" t="s">
        <v>717</v>
      </c>
      <c r="B127" s="134" t="s">
        <v>683</v>
      </c>
      <c r="C127" s="134"/>
      <c r="D127" s="134" t="s">
        <v>681</v>
      </c>
      <c r="E127" s="135">
        <f>E128</f>
        <v>0</v>
      </c>
      <c r="F127" s="135">
        <f t="shared" ref="F127:P127" si="124">F128</f>
        <v>0</v>
      </c>
      <c r="G127" s="135">
        <f t="shared" si="124"/>
        <v>0</v>
      </c>
      <c r="H127" s="135">
        <f t="shared" si="124"/>
        <v>0</v>
      </c>
      <c r="I127" s="135">
        <f t="shared" si="124"/>
        <v>0</v>
      </c>
      <c r="J127" s="135">
        <f t="shared" si="124"/>
        <v>0</v>
      </c>
      <c r="K127" s="135">
        <f t="shared" si="124"/>
        <v>0</v>
      </c>
      <c r="L127" s="135">
        <f t="shared" si="124"/>
        <v>0</v>
      </c>
      <c r="M127" s="135">
        <f t="shared" si="124"/>
        <v>0</v>
      </c>
      <c r="N127" s="135">
        <f t="shared" si="124"/>
        <v>0</v>
      </c>
      <c r="O127" s="135">
        <f t="shared" si="124"/>
        <v>0</v>
      </c>
      <c r="P127" s="135">
        <f t="shared" si="124"/>
        <v>0</v>
      </c>
      <c r="Q127" s="147"/>
      <c r="R127" s="40"/>
    </row>
    <row r="128" spans="1:18" s="28" customFormat="1" ht="48" hidden="1" thickTop="1" thickBot="1" x14ac:dyDescent="0.25">
      <c r="A128" s="126" t="s">
        <v>1220</v>
      </c>
      <c r="B128" s="126" t="s">
        <v>212</v>
      </c>
      <c r="C128" s="126" t="s">
        <v>213</v>
      </c>
      <c r="D128" s="126" t="s">
        <v>41</v>
      </c>
      <c r="E128" s="125">
        <f t="shared" si="108"/>
        <v>0</v>
      </c>
      <c r="F128" s="132"/>
      <c r="G128" s="132"/>
      <c r="H128" s="132"/>
      <c r="I128" s="132"/>
      <c r="J128" s="125">
        <f t="shared" ref="J128" si="125">L128+O128</f>
        <v>0</v>
      </c>
      <c r="K128" s="132">
        <f>((0)+2000000)-2000000</f>
        <v>0</v>
      </c>
      <c r="L128" s="132"/>
      <c r="M128" s="132"/>
      <c r="N128" s="132"/>
      <c r="O128" s="130">
        <f t="shared" ref="O128" si="126">K128</f>
        <v>0</v>
      </c>
      <c r="P128" s="125">
        <f t="shared" si="106"/>
        <v>0</v>
      </c>
      <c r="Q128" s="147"/>
      <c r="R128" s="40"/>
    </row>
    <row r="129" spans="1:20" s="33" customFormat="1" ht="48" hidden="1" thickTop="1" thickBot="1" x14ac:dyDescent="0.25">
      <c r="A129" s="41" t="s">
        <v>433</v>
      </c>
      <c r="B129" s="41" t="s">
        <v>197</v>
      </c>
      <c r="C129" s="41" t="s">
        <v>170</v>
      </c>
      <c r="D129" s="41" t="s">
        <v>34</v>
      </c>
      <c r="E129" s="42">
        <f t="shared" si="108"/>
        <v>0</v>
      </c>
      <c r="F129" s="43"/>
      <c r="G129" s="43"/>
      <c r="H129" s="43"/>
      <c r="I129" s="43"/>
      <c r="J129" s="42">
        <f t="shared" si="105"/>
        <v>0</v>
      </c>
      <c r="K129" s="43"/>
      <c r="L129" s="43"/>
      <c r="M129" s="43"/>
      <c r="N129" s="43"/>
      <c r="O129" s="44">
        <f t="shared" si="110"/>
        <v>0</v>
      </c>
      <c r="P129" s="42">
        <f t="shared" si="106"/>
        <v>0</v>
      </c>
      <c r="Q129" s="36"/>
      <c r="R129" s="26"/>
    </row>
    <row r="130" spans="1:20" s="33" customFormat="1" ht="48" hidden="1" thickTop="1" thickBot="1" x14ac:dyDescent="0.25">
      <c r="A130" s="41" t="s">
        <v>507</v>
      </c>
      <c r="B130" s="41" t="s">
        <v>362</v>
      </c>
      <c r="C130" s="41" t="s">
        <v>43</v>
      </c>
      <c r="D130" s="41" t="s">
        <v>363</v>
      </c>
      <c r="E130" s="42">
        <f t="shared" si="108"/>
        <v>0</v>
      </c>
      <c r="F130" s="43"/>
      <c r="G130" s="43"/>
      <c r="H130" s="43"/>
      <c r="I130" s="43"/>
      <c r="J130" s="42">
        <f t="shared" si="105"/>
        <v>0</v>
      </c>
      <c r="K130" s="43"/>
      <c r="L130" s="43"/>
      <c r="M130" s="43"/>
      <c r="N130" s="43"/>
      <c r="O130" s="44">
        <f t="shared" si="110"/>
        <v>0</v>
      </c>
      <c r="P130" s="42">
        <f t="shared" si="106"/>
        <v>0</v>
      </c>
      <c r="Q130" s="36"/>
      <c r="R130" s="30"/>
    </row>
    <row r="131" spans="1:20" ht="120" customHeight="1" thickTop="1" thickBot="1" x14ac:dyDescent="0.25">
      <c r="A131" s="639" t="s">
        <v>156</v>
      </c>
      <c r="B131" s="639"/>
      <c r="C131" s="639"/>
      <c r="D131" s="640" t="s">
        <v>37</v>
      </c>
      <c r="E131" s="641">
        <f>E132</f>
        <v>350130076</v>
      </c>
      <c r="F131" s="642">
        <f t="shared" ref="F131:G131" si="127">F132</f>
        <v>350130076</v>
      </c>
      <c r="G131" s="642">
        <f t="shared" si="127"/>
        <v>103963775</v>
      </c>
      <c r="H131" s="642">
        <f>H132</f>
        <v>6075281</v>
      </c>
      <c r="I131" s="642">
        <f t="shared" ref="I131" si="128">I132</f>
        <v>0</v>
      </c>
      <c r="J131" s="641">
        <f>J132</f>
        <v>87257331</v>
      </c>
      <c r="K131" s="642">
        <f>K132</f>
        <v>77206781</v>
      </c>
      <c r="L131" s="642">
        <f>L132</f>
        <v>10030550</v>
      </c>
      <c r="M131" s="642">
        <f t="shared" ref="M131" si="129">M132</f>
        <v>4670511</v>
      </c>
      <c r="N131" s="642">
        <f>N132</f>
        <v>774200</v>
      </c>
      <c r="O131" s="641">
        <f>O132</f>
        <v>77226781</v>
      </c>
      <c r="P131" s="642">
        <f>P132</f>
        <v>437387407</v>
      </c>
      <c r="Q131" s="20"/>
    </row>
    <row r="132" spans="1:20" ht="120" customHeight="1" thickTop="1" thickBot="1" x14ac:dyDescent="0.25">
      <c r="A132" s="603" t="s">
        <v>157</v>
      </c>
      <c r="B132" s="603"/>
      <c r="C132" s="603"/>
      <c r="D132" s="604" t="s">
        <v>38</v>
      </c>
      <c r="E132" s="605">
        <f>E133+E137+E178+E182</f>
        <v>350130076</v>
      </c>
      <c r="F132" s="605">
        <f>F133+F137+F178+F182</f>
        <v>350130076</v>
      </c>
      <c r="G132" s="605">
        <f>G133+G137+G178+G182</f>
        <v>103963775</v>
      </c>
      <c r="H132" s="605">
        <f>H133+H137+H178+H182</f>
        <v>6075281</v>
      </c>
      <c r="I132" s="605">
        <f>I133+I137+I178+I182</f>
        <v>0</v>
      </c>
      <c r="J132" s="605">
        <f t="shared" ref="J132:J159" si="130">L132+O132</f>
        <v>87257331</v>
      </c>
      <c r="K132" s="605">
        <f>K133+K137+K178+K182</f>
        <v>77206781</v>
      </c>
      <c r="L132" s="605">
        <f>L133+L137+L178+L182</f>
        <v>10030550</v>
      </c>
      <c r="M132" s="605">
        <f>M133+M137+M178+M182</f>
        <v>4670511</v>
      </c>
      <c r="N132" s="605">
        <f>N133+N137+N178+N182</f>
        <v>774200</v>
      </c>
      <c r="O132" s="605">
        <f>O133+O137+O178+O182</f>
        <v>77226781</v>
      </c>
      <c r="P132" s="605">
        <f>E132+J132</f>
        <v>437387407</v>
      </c>
      <c r="Q132" s="462" t="b">
        <f>P132=P134+P136+P139+P140+P141+P142+P143+P144+P145+P146+P148+P149+P151+P152+P153+P155+P156+P158+P159+P173+P175+P176+P177+P180</f>
        <v>1</v>
      </c>
      <c r="R132" s="46"/>
      <c r="S132" s="46"/>
      <c r="T132" s="45"/>
    </row>
    <row r="133" spans="1:20" ht="47.25" thickTop="1" thickBot="1" x14ac:dyDescent="0.25">
      <c r="A133" s="307" t="s">
        <v>718</v>
      </c>
      <c r="B133" s="307" t="s">
        <v>676</v>
      </c>
      <c r="C133" s="307"/>
      <c r="D133" s="307" t="s">
        <v>677</v>
      </c>
      <c r="E133" s="319">
        <f t="shared" ref="E133:P133" si="131">SUM(E134:E136)</f>
        <v>58001713</v>
      </c>
      <c r="F133" s="319">
        <f t="shared" si="131"/>
        <v>58001713</v>
      </c>
      <c r="G133" s="319">
        <f t="shared" si="131"/>
        <v>43619896</v>
      </c>
      <c r="H133" s="319">
        <f t="shared" si="131"/>
        <v>2034640</v>
      </c>
      <c r="I133" s="319">
        <f t="shared" si="131"/>
        <v>0</v>
      </c>
      <c r="J133" s="319">
        <f t="shared" si="131"/>
        <v>0</v>
      </c>
      <c r="K133" s="319">
        <f t="shared" si="131"/>
        <v>0</v>
      </c>
      <c r="L133" s="319">
        <f t="shared" si="131"/>
        <v>0</v>
      </c>
      <c r="M133" s="319">
        <f t="shared" si="131"/>
        <v>0</v>
      </c>
      <c r="N133" s="319">
        <f t="shared" si="131"/>
        <v>0</v>
      </c>
      <c r="O133" s="319">
        <f t="shared" si="131"/>
        <v>0</v>
      </c>
      <c r="P133" s="319">
        <f t="shared" si="131"/>
        <v>58001713</v>
      </c>
      <c r="Q133" s="47"/>
      <c r="R133" s="46"/>
      <c r="T133" s="45"/>
    </row>
    <row r="134" spans="1:20" ht="93" thickTop="1" thickBot="1" x14ac:dyDescent="0.25">
      <c r="A134" s="101" t="s">
        <v>413</v>
      </c>
      <c r="B134" s="101" t="s">
        <v>236</v>
      </c>
      <c r="C134" s="101" t="s">
        <v>234</v>
      </c>
      <c r="D134" s="101" t="s">
        <v>235</v>
      </c>
      <c r="E134" s="319">
        <f t="shared" ref="E134" si="132">F134</f>
        <v>57971713</v>
      </c>
      <c r="F134" s="435">
        <v>57971713</v>
      </c>
      <c r="G134" s="435">
        <v>43619896</v>
      </c>
      <c r="H134" s="435">
        <v>2034640</v>
      </c>
      <c r="I134" s="435"/>
      <c r="J134" s="319">
        <f t="shared" si="130"/>
        <v>0</v>
      </c>
      <c r="K134" s="435"/>
      <c r="L134" s="435"/>
      <c r="M134" s="435"/>
      <c r="N134" s="435"/>
      <c r="O134" s="432">
        <f>K134</f>
        <v>0</v>
      </c>
      <c r="P134" s="319">
        <f t="shared" ref="P134:P149" si="133">E134+J134</f>
        <v>57971713</v>
      </c>
      <c r="Q134" s="47"/>
      <c r="R134" s="46"/>
      <c r="T134" s="45"/>
    </row>
    <row r="135" spans="1:20" ht="93" hidden="1" thickTop="1" thickBot="1" x14ac:dyDescent="0.25">
      <c r="A135" s="126" t="s">
        <v>622</v>
      </c>
      <c r="B135" s="126" t="s">
        <v>361</v>
      </c>
      <c r="C135" s="126" t="s">
        <v>619</v>
      </c>
      <c r="D135" s="126" t="s">
        <v>620</v>
      </c>
      <c r="E135" s="125">
        <f t="shared" ref="E135:E136" si="134">F135</f>
        <v>0</v>
      </c>
      <c r="F135" s="132">
        <v>0</v>
      </c>
      <c r="G135" s="132"/>
      <c r="H135" s="132"/>
      <c r="I135" s="132"/>
      <c r="J135" s="125">
        <f t="shared" ref="J135:J136" si="135">L135+O135</f>
        <v>0</v>
      </c>
      <c r="K135" s="132"/>
      <c r="L135" s="132"/>
      <c r="M135" s="132"/>
      <c r="N135" s="132"/>
      <c r="O135" s="130">
        <f>K135</f>
        <v>0</v>
      </c>
      <c r="P135" s="125">
        <f t="shared" ref="P135:P136" si="136">E135+J135</f>
        <v>0</v>
      </c>
      <c r="Q135" s="47"/>
      <c r="R135" s="46"/>
      <c r="T135" s="45"/>
    </row>
    <row r="136" spans="1:20" ht="48" thickTop="1" thickBot="1" x14ac:dyDescent="0.25">
      <c r="A136" s="101" t="s">
        <v>906</v>
      </c>
      <c r="B136" s="101" t="s">
        <v>43</v>
      </c>
      <c r="C136" s="101" t="s">
        <v>42</v>
      </c>
      <c r="D136" s="101" t="s">
        <v>247</v>
      </c>
      <c r="E136" s="319">
        <f t="shared" si="134"/>
        <v>30000</v>
      </c>
      <c r="F136" s="435">
        <v>30000</v>
      </c>
      <c r="G136" s="435"/>
      <c r="H136" s="435"/>
      <c r="I136" s="435"/>
      <c r="J136" s="319">
        <f t="shared" si="135"/>
        <v>0</v>
      </c>
      <c r="K136" s="435"/>
      <c r="L136" s="435"/>
      <c r="M136" s="435"/>
      <c r="N136" s="435"/>
      <c r="O136" s="432"/>
      <c r="P136" s="319">
        <f t="shared" si="136"/>
        <v>30000</v>
      </c>
      <c r="Q136" s="47"/>
      <c r="R136" s="46"/>
      <c r="T136" s="45"/>
    </row>
    <row r="137" spans="1:20" ht="47.25" thickTop="1" thickBot="1" x14ac:dyDescent="0.25">
      <c r="A137" s="307" t="s">
        <v>719</v>
      </c>
      <c r="B137" s="307" t="s">
        <v>702</v>
      </c>
      <c r="C137" s="307"/>
      <c r="D137" s="307" t="s">
        <v>703</v>
      </c>
      <c r="E137" s="319">
        <f>SUM(E138:E177)-E138-E147-E157-E160-E174-E154-E150</f>
        <v>292128363</v>
      </c>
      <c r="F137" s="319">
        <f t="shared" ref="F137:P137" si="137">SUM(F138:F177)-F138-F147-F157-F160-F174-F154-F150</f>
        <v>292128363</v>
      </c>
      <c r="G137" s="319">
        <f t="shared" si="137"/>
        <v>60343879</v>
      </c>
      <c r="H137" s="319">
        <f t="shared" si="137"/>
        <v>4040641</v>
      </c>
      <c r="I137" s="319">
        <f t="shared" si="137"/>
        <v>0</v>
      </c>
      <c r="J137" s="319">
        <f t="shared" si="137"/>
        <v>62257331</v>
      </c>
      <c r="K137" s="319">
        <f t="shared" si="137"/>
        <v>52206781</v>
      </c>
      <c r="L137" s="319">
        <f t="shared" si="137"/>
        <v>10030550</v>
      </c>
      <c r="M137" s="319">
        <f t="shared" si="137"/>
        <v>4670511</v>
      </c>
      <c r="N137" s="319">
        <f t="shared" si="137"/>
        <v>774200</v>
      </c>
      <c r="O137" s="319">
        <f t="shared" si="137"/>
        <v>52226781</v>
      </c>
      <c r="P137" s="319">
        <f t="shared" si="137"/>
        <v>354385694</v>
      </c>
      <c r="Q137" s="47"/>
      <c r="R137" s="46"/>
      <c r="T137" s="45"/>
    </row>
    <row r="138" spans="1:20" ht="138.75" thickTop="1" thickBot="1" x14ac:dyDescent="0.25">
      <c r="A138" s="613" t="s">
        <v>720</v>
      </c>
      <c r="B138" s="613" t="s">
        <v>721</v>
      </c>
      <c r="C138" s="613"/>
      <c r="D138" s="613" t="s">
        <v>722</v>
      </c>
      <c r="E138" s="614">
        <f>SUM(E139:E143)</f>
        <v>92308000</v>
      </c>
      <c r="F138" s="614">
        <f t="shared" ref="F138:P138" si="138">SUM(F139:F143)</f>
        <v>92308000</v>
      </c>
      <c r="G138" s="614">
        <f t="shared" si="138"/>
        <v>0</v>
      </c>
      <c r="H138" s="614">
        <f t="shared" si="138"/>
        <v>0</v>
      </c>
      <c r="I138" s="614">
        <f t="shared" si="138"/>
        <v>0</v>
      </c>
      <c r="J138" s="614">
        <f t="shared" si="138"/>
        <v>50000</v>
      </c>
      <c r="K138" s="614">
        <f t="shared" si="138"/>
        <v>50000</v>
      </c>
      <c r="L138" s="614">
        <f t="shared" si="138"/>
        <v>0</v>
      </c>
      <c r="M138" s="614">
        <f t="shared" si="138"/>
        <v>0</v>
      </c>
      <c r="N138" s="614">
        <f t="shared" si="138"/>
        <v>0</v>
      </c>
      <c r="O138" s="614">
        <f t="shared" si="138"/>
        <v>50000</v>
      </c>
      <c r="P138" s="614">
        <f t="shared" si="138"/>
        <v>92358000</v>
      </c>
      <c r="Q138" s="148"/>
      <c r="R138" s="48"/>
      <c r="T138" s="49"/>
    </row>
    <row r="139" spans="1:20" s="33" customFormat="1" ht="93" thickTop="1" thickBot="1" x14ac:dyDescent="0.25">
      <c r="A139" s="101" t="s">
        <v>268</v>
      </c>
      <c r="B139" s="101" t="s">
        <v>269</v>
      </c>
      <c r="C139" s="101" t="s">
        <v>205</v>
      </c>
      <c r="D139" s="320" t="s">
        <v>270</v>
      </c>
      <c r="E139" s="319">
        <f>F139</f>
        <v>858000</v>
      </c>
      <c r="F139" s="435">
        <f>(835000)+23000</f>
        <v>858000</v>
      </c>
      <c r="G139" s="435"/>
      <c r="H139" s="435"/>
      <c r="I139" s="435"/>
      <c r="J139" s="319">
        <f t="shared" si="130"/>
        <v>50000</v>
      </c>
      <c r="K139" s="435">
        <v>50000</v>
      </c>
      <c r="L139" s="435"/>
      <c r="M139" s="435"/>
      <c r="N139" s="435"/>
      <c r="O139" s="432">
        <f t="shared" ref="O139:O159" si="139">K139</f>
        <v>50000</v>
      </c>
      <c r="P139" s="319">
        <f t="shared" si="133"/>
        <v>908000</v>
      </c>
      <c r="Q139" s="36"/>
      <c r="R139" s="46"/>
    </row>
    <row r="140" spans="1:20" s="33" customFormat="1" ht="48" thickTop="1" thickBot="1" x14ac:dyDescent="0.25">
      <c r="A140" s="101" t="s">
        <v>271</v>
      </c>
      <c r="B140" s="101" t="s">
        <v>272</v>
      </c>
      <c r="C140" s="101" t="s">
        <v>206</v>
      </c>
      <c r="D140" s="101" t="s">
        <v>6</v>
      </c>
      <c r="E140" s="319">
        <f t="shared" ref="E140:E186" si="140">F140</f>
        <v>650000</v>
      </c>
      <c r="F140" s="435">
        <v>650000</v>
      </c>
      <c r="G140" s="435"/>
      <c r="H140" s="435"/>
      <c r="I140" s="435"/>
      <c r="J140" s="319">
        <f t="shared" si="130"/>
        <v>0</v>
      </c>
      <c r="K140" s="435"/>
      <c r="L140" s="435"/>
      <c r="M140" s="435"/>
      <c r="N140" s="435"/>
      <c r="O140" s="432">
        <f t="shared" si="139"/>
        <v>0</v>
      </c>
      <c r="P140" s="319">
        <f t="shared" si="133"/>
        <v>650000</v>
      </c>
      <c r="Q140" s="36"/>
      <c r="R140" s="50"/>
    </row>
    <row r="141" spans="1:20" s="33" customFormat="1" ht="93" thickTop="1" thickBot="1" x14ac:dyDescent="0.25">
      <c r="A141" s="101" t="s">
        <v>274</v>
      </c>
      <c r="B141" s="101" t="s">
        <v>275</v>
      </c>
      <c r="C141" s="101" t="s">
        <v>206</v>
      </c>
      <c r="D141" s="101" t="s">
        <v>7</v>
      </c>
      <c r="E141" s="319">
        <f t="shared" si="140"/>
        <v>40000000</v>
      </c>
      <c r="F141" s="435">
        <v>40000000</v>
      </c>
      <c r="G141" s="435"/>
      <c r="H141" s="435"/>
      <c r="I141" s="435"/>
      <c r="J141" s="319">
        <f t="shared" si="130"/>
        <v>0</v>
      </c>
      <c r="K141" s="435"/>
      <c r="L141" s="435"/>
      <c r="M141" s="435"/>
      <c r="N141" s="435"/>
      <c r="O141" s="432">
        <f t="shared" si="139"/>
        <v>0</v>
      </c>
      <c r="P141" s="319">
        <f t="shared" si="133"/>
        <v>40000000</v>
      </c>
      <c r="Q141" s="36"/>
      <c r="R141" s="50"/>
    </row>
    <row r="142" spans="1:20" s="33" customFormat="1" ht="93" thickTop="1" thickBot="1" x14ac:dyDescent="0.25">
      <c r="A142" s="101" t="s">
        <v>276</v>
      </c>
      <c r="B142" s="101" t="s">
        <v>273</v>
      </c>
      <c r="C142" s="101" t="s">
        <v>206</v>
      </c>
      <c r="D142" s="101" t="s">
        <v>8</v>
      </c>
      <c r="E142" s="319">
        <f t="shared" si="140"/>
        <v>800000</v>
      </c>
      <c r="F142" s="435">
        <v>800000</v>
      </c>
      <c r="G142" s="435"/>
      <c r="H142" s="435"/>
      <c r="I142" s="435"/>
      <c r="J142" s="319">
        <f t="shared" si="130"/>
        <v>0</v>
      </c>
      <c r="K142" s="435"/>
      <c r="L142" s="435"/>
      <c r="M142" s="435"/>
      <c r="N142" s="435"/>
      <c r="O142" s="432">
        <f t="shared" si="139"/>
        <v>0</v>
      </c>
      <c r="P142" s="319">
        <f t="shared" si="133"/>
        <v>800000</v>
      </c>
      <c r="Q142" s="36"/>
      <c r="R142" s="50"/>
    </row>
    <row r="143" spans="1:20" s="33" customFormat="1" ht="93" thickTop="1" thickBot="1" x14ac:dyDescent="0.25">
      <c r="A143" s="101" t="s">
        <v>277</v>
      </c>
      <c r="B143" s="101" t="s">
        <v>278</v>
      </c>
      <c r="C143" s="101" t="s">
        <v>206</v>
      </c>
      <c r="D143" s="101" t="s">
        <v>9</v>
      </c>
      <c r="E143" s="319">
        <f t="shared" si="140"/>
        <v>50000000</v>
      </c>
      <c r="F143" s="435">
        <f>(58000000-3000000)-5000000</f>
        <v>50000000</v>
      </c>
      <c r="G143" s="435"/>
      <c r="H143" s="435"/>
      <c r="I143" s="435"/>
      <c r="J143" s="319">
        <f t="shared" si="130"/>
        <v>0</v>
      </c>
      <c r="K143" s="435"/>
      <c r="L143" s="435"/>
      <c r="M143" s="435"/>
      <c r="N143" s="435"/>
      <c r="O143" s="432">
        <f t="shared" si="139"/>
        <v>0</v>
      </c>
      <c r="P143" s="319">
        <f t="shared" si="133"/>
        <v>50000000</v>
      </c>
      <c r="Q143" s="36"/>
      <c r="R143" s="50"/>
    </row>
    <row r="144" spans="1:20" s="33" customFormat="1" ht="93" thickTop="1" thickBot="1" x14ac:dyDescent="0.25">
      <c r="A144" s="101" t="s">
        <v>476</v>
      </c>
      <c r="B144" s="101" t="s">
        <v>477</v>
      </c>
      <c r="C144" s="101" t="s">
        <v>206</v>
      </c>
      <c r="D144" s="101" t="s">
        <v>478</v>
      </c>
      <c r="E144" s="319">
        <f t="shared" si="140"/>
        <v>381295</v>
      </c>
      <c r="F144" s="435">
        <v>381295</v>
      </c>
      <c r="G144" s="435"/>
      <c r="H144" s="435"/>
      <c r="I144" s="435"/>
      <c r="J144" s="319">
        <f t="shared" si="130"/>
        <v>0</v>
      </c>
      <c r="K144" s="435"/>
      <c r="L144" s="435"/>
      <c r="M144" s="435"/>
      <c r="N144" s="435"/>
      <c r="O144" s="432">
        <f t="shared" si="139"/>
        <v>0</v>
      </c>
      <c r="P144" s="319">
        <f t="shared" si="133"/>
        <v>381295</v>
      </c>
      <c r="Q144" s="36"/>
      <c r="R144" s="50"/>
    </row>
    <row r="145" spans="1:18" s="33" customFormat="1" ht="93" thickTop="1" thickBot="1" x14ac:dyDescent="0.25">
      <c r="A145" s="101" t="s">
        <v>907</v>
      </c>
      <c r="B145" s="101" t="s">
        <v>908</v>
      </c>
      <c r="C145" s="101" t="s">
        <v>206</v>
      </c>
      <c r="D145" s="101" t="s">
        <v>909</v>
      </c>
      <c r="E145" s="319">
        <f t="shared" ref="E145" si="141">F145</f>
        <v>2000000</v>
      </c>
      <c r="F145" s="435">
        <v>2000000</v>
      </c>
      <c r="G145" s="435"/>
      <c r="H145" s="435"/>
      <c r="I145" s="435"/>
      <c r="J145" s="319">
        <f t="shared" ref="J145" si="142">L145+O145</f>
        <v>0</v>
      </c>
      <c r="K145" s="435"/>
      <c r="L145" s="435"/>
      <c r="M145" s="435"/>
      <c r="N145" s="435"/>
      <c r="O145" s="432">
        <f t="shared" ref="O145" si="143">K145</f>
        <v>0</v>
      </c>
      <c r="P145" s="319">
        <f t="shared" ref="P145" si="144">E145+J145</f>
        <v>2000000</v>
      </c>
      <c r="Q145" s="36"/>
      <c r="R145" s="50"/>
    </row>
    <row r="146" spans="1:18" ht="93" thickTop="1" thickBot="1" x14ac:dyDescent="0.25">
      <c r="A146" s="101" t="s">
        <v>479</v>
      </c>
      <c r="B146" s="101" t="s">
        <v>480</v>
      </c>
      <c r="C146" s="101" t="s">
        <v>205</v>
      </c>
      <c r="D146" s="101" t="s">
        <v>481</v>
      </c>
      <c r="E146" s="319">
        <f t="shared" si="140"/>
        <v>629581</v>
      </c>
      <c r="F146" s="435">
        <v>629581</v>
      </c>
      <c r="G146" s="435"/>
      <c r="H146" s="435"/>
      <c r="I146" s="435"/>
      <c r="J146" s="319">
        <f t="shared" si="130"/>
        <v>0</v>
      </c>
      <c r="K146" s="435"/>
      <c r="L146" s="435"/>
      <c r="M146" s="435"/>
      <c r="N146" s="435"/>
      <c r="O146" s="432">
        <f>K146</f>
        <v>0</v>
      </c>
      <c r="P146" s="319">
        <f t="shared" si="133"/>
        <v>629581</v>
      </c>
      <c r="Q146" s="20"/>
      <c r="R146" s="50"/>
    </row>
    <row r="147" spans="1:18" s="33" customFormat="1" ht="138.75" thickTop="1" thickBot="1" x14ac:dyDescent="0.25">
      <c r="A147" s="613" t="s">
        <v>723</v>
      </c>
      <c r="B147" s="613" t="s">
        <v>724</v>
      </c>
      <c r="C147" s="613"/>
      <c r="D147" s="613" t="s">
        <v>725</v>
      </c>
      <c r="E147" s="614">
        <f>SUM(E148:E149)</f>
        <v>61723437</v>
      </c>
      <c r="F147" s="614">
        <f t="shared" ref="F147:P147" si="145">SUM(F148:F149)</f>
        <v>61723437</v>
      </c>
      <c r="G147" s="614">
        <f t="shared" si="145"/>
        <v>36435489</v>
      </c>
      <c r="H147" s="614">
        <f t="shared" si="145"/>
        <v>1299069</v>
      </c>
      <c r="I147" s="614">
        <f t="shared" si="145"/>
        <v>0</v>
      </c>
      <c r="J147" s="614">
        <f t="shared" si="145"/>
        <v>1950000</v>
      </c>
      <c r="K147" s="614">
        <f t="shared" si="145"/>
        <v>150000</v>
      </c>
      <c r="L147" s="614">
        <f t="shared" si="145"/>
        <v>1800000</v>
      </c>
      <c r="M147" s="614">
        <f t="shared" si="145"/>
        <v>1000000</v>
      </c>
      <c r="N147" s="614">
        <f t="shared" si="145"/>
        <v>320000</v>
      </c>
      <c r="O147" s="614">
        <f t="shared" si="145"/>
        <v>150000</v>
      </c>
      <c r="P147" s="614">
        <f t="shared" si="145"/>
        <v>63673437</v>
      </c>
      <c r="Q147" s="36"/>
      <c r="R147" s="51"/>
    </row>
    <row r="148" spans="1:18" ht="138.75" thickTop="1" thickBot="1" x14ac:dyDescent="0.25">
      <c r="A148" s="101" t="s">
        <v>266</v>
      </c>
      <c r="B148" s="101" t="s">
        <v>264</v>
      </c>
      <c r="C148" s="101" t="s">
        <v>200</v>
      </c>
      <c r="D148" s="101" t="s">
        <v>17</v>
      </c>
      <c r="E148" s="319">
        <f t="shared" si="140"/>
        <v>47853535</v>
      </c>
      <c r="F148" s="435">
        <f>48003535-150000</f>
        <v>47853535</v>
      </c>
      <c r="G148" s="435">
        <v>26737646</v>
      </c>
      <c r="H148" s="435">
        <f>374515+20707+169000+10800</f>
        <v>575022</v>
      </c>
      <c r="I148" s="435"/>
      <c r="J148" s="319">
        <f t="shared" si="130"/>
        <v>1950000</v>
      </c>
      <c r="K148" s="435">
        <v>150000</v>
      </c>
      <c r="L148" s="435">
        <v>1800000</v>
      </c>
      <c r="M148" s="435">
        <v>1000000</v>
      </c>
      <c r="N148" s="435">
        <f>200000+20000+100000</f>
        <v>320000</v>
      </c>
      <c r="O148" s="432">
        <f>K148+0</f>
        <v>150000</v>
      </c>
      <c r="P148" s="319">
        <f t="shared" si="133"/>
        <v>49803535</v>
      </c>
      <c r="Q148" s="20"/>
      <c r="R148" s="46"/>
    </row>
    <row r="149" spans="1:18" ht="93" thickTop="1" thickBot="1" x14ac:dyDescent="0.25">
      <c r="A149" s="101" t="s">
        <v>267</v>
      </c>
      <c r="B149" s="101" t="s">
        <v>265</v>
      </c>
      <c r="C149" s="101" t="s">
        <v>199</v>
      </c>
      <c r="D149" s="101" t="s">
        <v>453</v>
      </c>
      <c r="E149" s="319">
        <f t="shared" si="140"/>
        <v>13869902</v>
      </c>
      <c r="F149" s="435">
        <f>13869902</f>
        <v>13869902</v>
      </c>
      <c r="G149" s="435">
        <f>6448188+3249655</f>
        <v>9697843</v>
      </c>
      <c r="H149" s="435">
        <f>305211+9225+75000+833+271602+8695+53172+309</f>
        <v>724047</v>
      </c>
      <c r="I149" s="435"/>
      <c r="J149" s="319">
        <f t="shared" si="130"/>
        <v>0</v>
      </c>
      <c r="K149" s="435"/>
      <c r="L149" s="435"/>
      <c r="M149" s="435"/>
      <c r="N149" s="435"/>
      <c r="O149" s="432">
        <f t="shared" si="139"/>
        <v>0</v>
      </c>
      <c r="P149" s="319">
        <f t="shared" si="133"/>
        <v>13869902</v>
      </c>
      <c r="Q149" s="20"/>
      <c r="R149" s="46"/>
    </row>
    <row r="150" spans="1:18" ht="48" thickTop="1" thickBot="1" x14ac:dyDescent="0.25">
      <c r="A150" s="613" t="s">
        <v>994</v>
      </c>
      <c r="B150" s="613" t="s">
        <v>755</v>
      </c>
      <c r="C150" s="613"/>
      <c r="D150" s="613" t="s">
        <v>756</v>
      </c>
      <c r="E150" s="614">
        <f t="shared" ref="E150:P150" si="146">SUM(E151:E152)</f>
        <v>12844965</v>
      </c>
      <c r="F150" s="614">
        <f t="shared" si="146"/>
        <v>12844965</v>
      </c>
      <c r="G150" s="614">
        <f t="shared" si="146"/>
        <v>6345349</v>
      </c>
      <c r="H150" s="614">
        <f t="shared" si="146"/>
        <v>158766</v>
      </c>
      <c r="I150" s="614">
        <f t="shared" si="146"/>
        <v>0</v>
      </c>
      <c r="J150" s="614">
        <f t="shared" si="146"/>
        <v>51600</v>
      </c>
      <c r="K150" s="614">
        <f t="shared" si="146"/>
        <v>0</v>
      </c>
      <c r="L150" s="614">
        <f t="shared" si="146"/>
        <v>51600</v>
      </c>
      <c r="M150" s="614">
        <f t="shared" si="146"/>
        <v>0</v>
      </c>
      <c r="N150" s="614">
        <f t="shared" si="146"/>
        <v>0</v>
      </c>
      <c r="O150" s="614">
        <f t="shared" si="146"/>
        <v>0</v>
      </c>
      <c r="P150" s="614">
        <f t="shared" si="146"/>
        <v>12896565</v>
      </c>
      <c r="Q150" s="20"/>
      <c r="R150" s="46"/>
    </row>
    <row r="151" spans="1:18" ht="48" thickTop="1" thickBot="1" x14ac:dyDescent="0.25">
      <c r="A151" s="101" t="s">
        <v>1180</v>
      </c>
      <c r="B151" s="101" t="s">
        <v>184</v>
      </c>
      <c r="C151" s="101" t="s">
        <v>185</v>
      </c>
      <c r="D151" s="101" t="s">
        <v>632</v>
      </c>
      <c r="E151" s="308">
        <f t="shared" ref="E151" si="147">F151</f>
        <v>8619292</v>
      </c>
      <c r="F151" s="317">
        <v>8619292</v>
      </c>
      <c r="G151" s="317">
        <v>6345349</v>
      </c>
      <c r="H151" s="317">
        <f>87620+6430+58705+6011</f>
        <v>158766</v>
      </c>
      <c r="I151" s="317"/>
      <c r="J151" s="319">
        <f t="shared" ref="J151" si="148">L151+O151</f>
        <v>51600</v>
      </c>
      <c r="K151" s="317"/>
      <c r="L151" s="431">
        <v>51600</v>
      </c>
      <c r="M151" s="431"/>
      <c r="N151" s="431"/>
      <c r="O151" s="432">
        <f>K151+0</f>
        <v>0</v>
      </c>
      <c r="P151" s="319">
        <f>+J151+E151</f>
        <v>8670892</v>
      </c>
      <c r="Q151" s="20"/>
      <c r="R151" s="46"/>
    </row>
    <row r="152" spans="1:18" ht="138.75" thickTop="1" thickBot="1" x14ac:dyDescent="0.25">
      <c r="A152" s="101" t="s">
        <v>995</v>
      </c>
      <c r="B152" s="101" t="s">
        <v>996</v>
      </c>
      <c r="C152" s="101" t="s">
        <v>185</v>
      </c>
      <c r="D152" s="101" t="s">
        <v>997</v>
      </c>
      <c r="E152" s="308">
        <f t="shared" ref="E152" si="149">F152</f>
        <v>4225673</v>
      </c>
      <c r="F152" s="317">
        <v>4225673</v>
      </c>
      <c r="G152" s="317"/>
      <c r="H152" s="317"/>
      <c r="I152" s="317"/>
      <c r="J152" s="319">
        <f t="shared" ref="J152" si="150">L152+O152</f>
        <v>0</v>
      </c>
      <c r="K152" s="317"/>
      <c r="L152" s="431"/>
      <c r="M152" s="431"/>
      <c r="N152" s="431"/>
      <c r="O152" s="432">
        <f t="shared" ref="O152" si="151">K152</f>
        <v>0</v>
      </c>
      <c r="P152" s="319">
        <f>+J152+E152</f>
        <v>4225673</v>
      </c>
      <c r="Q152" s="20"/>
      <c r="R152" s="46"/>
    </row>
    <row r="153" spans="1:18" ht="184.5" thickTop="1" thickBot="1" x14ac:dyDescent="0.25">
      <c r="A153" s="101" t="s">
        <v>262</v>
      </c>
      <c r="B153" s="101" t="s">
        <v>263</v>
      </c>
      <c r="C153" s="101" t="s">
        <v>199</v>
      </c>
      <c r="D153" s="101" t="s">
        <v>451</v>
      </c>
      <c r="E153" s="319">
        <f t="shared" si="140"/>
        <v>9547200</v>
      </c>
      <c r="F153" s="435">
        <v>9547200</v>
      </c>
      <c r="G153" s="435"/>
      <c r="H153" s="435"/>
      <c r="I153" s="435"/>
      <c r="J153" s="319">
        <f t="shared" si="130"/>
        <v>0</v>
      </c>
      <c r="K153" s="319"/>
      <c r="L153" s="435"/>
      <c r="M153" s="435"/>
      <c r="N153" s="435"/>
      <c r="O153" s="432">
        <f t="shared" si="139"/>
        <v>0</v>
      </c>
      <c r="P153" s="319">
        <f>+J153+E153</f>
        <v>9547200</v>
      </c>
      <c r="Q153" s="20"/>
      <c r="R153" s="50"/>
    </row>
    <row r="154" spans="1:18" ht="48" thickTop="1" thickBot="1" x14ac:dyDescent="0.25">
      <c r="A154" s="613" t="s">
        <v>868</v>
      </c>
      <c r="B154" s="613" t="s">
        <v>869</v>
      </c>
      <c r="C154" s="613"/>
      <c r="D154" s="613" t="s">
        <v>870</v>
      </c>
      <c r="E154" s="614">
        <f t="shared" si="140"/>
        <v>160170</v>
      </c>
      <c r="F154" s="614">
        <f>F155</f>
        <v>160170</v>
      </c>
      <c r="G154" s="614">
        <f t="shared" ref="G154:I154" si="152">G155</f>
        <v>0</v>
      </c>
      <c r="H154" s="614">
        <f t="shared" si="152"/>
        <v>0</v>
      </c>
      <c r="I154" s="614">
        <f t="shared" si="152"/>
        <v>0</v>
      </c>
      <c r="J154" s="614">
        <f t="shared" si="130"/>
        <v>0</v>
      </c>
      <c r="K154" s="614">
        <f t="shared" ref="K154:N154" si="153">K155</f>
        <v>0</v>
      </c>
      <c r="L154" s="614">
        <f t="shared" si="153"/>
        <v>0</v>
      </c>
      <c r="M154" s="614">
        <f t="shared" si="153"/>
        <v>0</v>
      </c>
      <c r="N154" s="614">
        <f t="shared" si="153"/>
        <v>0</v>
      </c>
      <c r="O154" s="614">
        <f t="shared" si="139"/>
        <v>0</v>
      </c>
      <c r="P154" s="614">
        <f>+J154+E154</f>
        <v>160170</v>
      </c>
      <c r="Q154" s="20"/>
      <c r="R154" s="50"/>
    </row>
    <row r="155" spans="1:18" ht="93" thickTop="1" thickBot="1" x14ac:dyDescent="0.25">
      <c r="A155" s="101" t="s">
        <v>482</v>
      </c>
      <c r="B155" s="101" t="s">
        <v>483</v>
      </c>
      <c r="C155" s="101" t="s">
        <v>199</v>
      </c>
      <c r="D155" s="101" t="s">
        <v>484</v>
      </c>
      <c r="E155" s="319">
        <f t="shared" si="140"/>
        <v>160170</v>
      </c>
      <c r="F155" s="435">
        <v>160170</v>
      </c>
      <c r="G155" s="435"/>
      <c r="H155" s="435"/>
      <c r="I155" s="435"/>
      <c r="J155" s="319">
        <f t="shared" si="130"/>
        <v>0</v>
      </c>
      <c r="K155" s="319"/>
      <c r="L155" s="435"/>
      <c r="M155" s="435"/>
      <c r="N155" s="435"/>
      <c r="O155" s="432">
        <f t="shared" si="139"/>
        <v>0</v>
      </c>
      <c r="P155" s="319">
        <f>+J155+E155</f>
        <v>160170</v>
      </c>
      <c r="Q155" s="20"/>
      <c r="R155" s="50"/>
    </row>
    <row r="156" spans="1:18" ht="138.75" thickTop="1" thickBot="1" x14ac:dyDescent="0.25">
      <c r="A156" s="101" t="s">
        <v>347</v>
      </c>
      <c r="B156" s="101" t="s">
        <v>346</v>
      </c>
      <c r="C156" s="101" t="s">
        <v>50</v>
      </c>
      <c r="D156" s="101" t="s">
        <v>452</v>
      </c>
      <c r="E156" s="319">
        <f t="shared" si="140"/>
        <v>5175144</v>
      </c>
      <c r="F156" s="435">
        <v>5175144</v>
      </c>
      <c r="G156" s="435"/>
      <c r="H156" s="435"/>
      <c r="I156" s="435"/>
      <c r="J156" s="319">
        <f t="shared" si="130"/>
        <v>0</v>
      </c>
      <c r="K156" s="319"/>
      <c r="L156" s="435"/>
      <c r="M156" s="435"/>
      <c r="N156" s="435"/>
      <c r="O156" s="432">
        <f t="shared" si="139"/>
        <v>0</v>
      </c>
      <c r="P156" s="319">
        <f>E156+J156</f>
        <v>5175144</v>
      </c>
      <c r="Q156" s="20"/>
      <c r="R156" s="50"/>
    </row>
    <row r="157" spans="1:18" s="33" customFormat="1" ht="48" thickTop="1" thickBot="1" x14ac:dyDescent="0.25">
      <c r="A157" s="613" t="s">
        <v>726</v>
      </c>
      <c r="B157" s="613" t="s">
        <v>727</v>
      </c>
      <c r="C157" s="613"/>
      <c r="D157" s="613" t="s">
        <v>728</v>
      </c>
      <c r="E157" s="614">
        <f>E158</f>
        <v>500000</v>
      </c>
      <c r="F157" s="614">
        <f t="shared" ref="F157:P157" si="154">F158</f>
        <v>500000</v>
      </c>
      <c r="G157" s="614">
        <f t="shared" si="154"/>
        <v>0</v>
      </c>
      <c r="H157" s="614">
        <f t="shared" si="154"/>
        <v>0</v>
      </c>
      <c r="I157" s="614">
        <f t="shared" si="154"/>
        <v>0</v>
      </c>
      <c r="J157" s="614">
        <f t="shared" si="154"/>
        <v>0</v>
      </c>
      <c r="K157" s="614">
        <f t="shared" si="154"/>
        <v>0</v>
      </c>
      <c r="L157" s="614">
        <f t="shared" si="154"/>
        <v>0</v>
      </c>
      <c r="M157" s="614">
        <f t="shared" si="154"/>
        <v>0</v>
      </c>
      <c r="N157" s="614">
        <f t="shared" si="154"/>
        <v>0</v>
      </c>
      <c r="O157" s="614">
        <f t="shared" si="154"/>
        <v>0</v>
      </c>
      <c r="P157" s="614">
        <f t="shared" si="154"/>
        <v>500000</v>
      </c>
      <c r="Q157" s="36"/>
      <c r="R157" s="51"/>
    </row>
    <row r="158" spans="1:18" ht="93" thickTop="1" thickBot="1" x14ac:dyDescent="0.25">
      <c r="A158" s="101" t="s">
        <v>324</v>
      </c>
      <c r="B158" s="101" t="s">
        <v>325</v>
      </c>
      <c r="C158" s="101" t="s">
        <v>205</v>
      </c>
      <c r="D158" s="101" t="s">
        <v>629</v>
      </c>
      <c r="E158" s="319">
        <f t="shared" si="140"/>
        <v>500000</v>
      </c>
      <c r="F158" s="435">
        <v>500000</v>
      </c>
      <c r="G158" s="435"/>
      <c r="H158" s="435"/>
      <c r="I158" s="435"/>
      <c r="J158" s="319">
        <f t="shared" si="130"/>
        <v>0</v>
      </c>
      <c r="K158" s="435"/>
      <c r="L158" s="435"/>
      <c r="M158" s="435"/>
      <c r="N158" s="435"/>
      <c r="O158" s="432">
        <f t="shared" si="139"/>
        <v>0</v>
      </c>
      <c r="P158" s="319">
        <f>E158+J158</f>
        <v>500000</v>
      </c>
      <c r="Q158" s="20"/>
      <c r="R158" s="50"/>
    </row>
    <row r="159" spans="1:18" ht="48" thickTop="1" thickBot="1" x14ac:dyDescent="0.25">
      <c r="A159" s="101" t="s">
        <v>426</v>
      </c>
      <c r="B159" s="101" t="s">
        <v>371</v>
      </c>
      <c r="C159" s="101" t="s">
        <v>372</v>
      </c>
      <c r="D159" s="101" t="s">
        <v>370</v>
      </c>
      <c r="E159" s="651">
        <f t="shared" si="140"/>
        <v>117000</v>
      </c>
      <c r="F159" s="435">
        <v>117000</v>
      </c>
      <c r="G159" s="435">
        <v>90000</v>
      </c>
      <c r="H159" s="435"/>
      <c r="I159" s="435"/>
      <c r="J159" s="319">
        <f t="shared" si="130"/>
        <v>0</v>
      </c>
      <c r="K159" s="435"/>
      <c r="L159" s="435"/>
      <c r="M159" s="435"/>
      <c r="N159" s="435"/>
      <c r="O159" s="432">
        <f t="shared" si="139"/>
        <v>0</v>
      </c>
      <c r="P159" s="319">
        <f>E159+J159</f>
        <v>117000</v>
      </c>
      <c r="Q159" s="20"/>
      <c r="R159" s="50"/>
    </row>
    <row r="160" spans="1:18" ht="93" hidden="1" thickTop="1" thickBot="1" x14ac:dyDescent="0.25">
      <c r="A160" s="138" t="s">
        <v>1031</v>
      </c>
      <c r="B160" s="138" t="s">
        <v>1032</v>
      </c>
      <c r="C160" s="138"/>
      <c r="D160" s="138" t="s">
        <v>1030</v>
      </c>
      <c r="E160" s="139">
        <f t="shared" ref="E160:P160" si="155">E161+E165+E167+E170</f>
        <v>0</v>
      </c>
      <c r="F160" s="139">
        <f t="shared" si="155"/>
        <v>0</v>
      </c>
      <c r="G160" s="139">
        <f t="shared" si="155"/>
        <v>0</v>
      </c>
      <c r="H160" s="139">
        <f t="shared" si="155"/>
        <v>0</v>
      </c>
      <c r="I160" s="139">
        <f t="shared" si="155"/>
        <v>0</v>
      </c>
      <c r="J160" s="139">
        <f t="shared" si="155"/>
        <v>0</v>
      </c>
      <c r="K160" s="139">
        <f t="shared" si="155"/>
        <v>0</v>
      </c>
      <c r="L160" s="139">
        <f t="shared" si="155"/>
        <v>0</v>
      </c>
      <c r="M160" s="139">
        <f t="shared" si="155"/>
        <v>0</v>
      </c>
      <c r="N160" s="139">
        <f t="shared" si="155"/>
        <v>0</v>
      </c>
      <c r="O160" s="139">
        <f t="shared" si="155"/>
        <v>0</v>
      </c>
      <c r="P160" s="139">
        <f t="shared" si="155"/>
        <v>0</v>
      </c>
      <c r="Q160" s="20"/>
      <c r="R160" s="50"/>
    </row>
    <row r="161" spans="1:18" ht="183.75" hidden="1" thickTop="1" x14ac:dyDescent="0.65">
      <c r="A161" s="745" t="s">
        <v>1033</v>
      </c>
      <c r="B161" s="745" t="s">
        <v>1034</v>
      </c>
      <c r="C161" s="745" t="s">
        <v>50</v>
      </c>
      <c r="D161" s="572" t="s">
        <v>1388</v>
      </c>
      <c r="E161" s="756">
        <f t="shared" ref="E161:E165" si="156">F161</f>
        <v>0</v>
      </c>
      <c r="F161" s="756"/>
      <c r="G161" s="756"/>
      <c r="H161" s="756"/>
      <c r="I161" s="756"/>
      <c r="J161" s="756">
        <f t="shared" ref="J161:J165" si="157">L161+O161</f>
        <v>0</v>
      </c>
      <c r="K161" s="763"/>
      <c r="L161" s="756"/>
      <c r="M161" s="756"/>
      <c r="N161" s="756"/>
      <c r="O161" s="763">
        <f t="shared" ref="O161:O165" si="158">K161</f>
        <v>0</v>
      </c>
      <c r="P161" s="756">
        <f t="shared" ref="P161:P165" si="159">E161+J161</f>
        <v>0</v>
      </c>
      <c r="Q161" s="785"/>
      <c r="R161" s="790"/>
    </row>
    <row r="162" spans="1:18" ht="204.75" hidden="1" customHeight="1" x14ac:dyDescent="0.2">
      <c r="A162" s="746"/>
      <c r="B162" s="746"/>
      <c r="C162" s="746"/>
      <c r="D162" s="573" t="s">
        <v>1389</v>
      </c>
      <c r="E162" s="746"/>
      <c r="F162" s="746"/>
      <c r="G162" s="746"/>
      <c r="H162" s="746"/>
      <c r="I162" s="746"/>
      <c r="J162" s="746"/>
      <c r="K162" s="746"/>
      <c r="L162" s="746"/>
      <c r="M162" s="746"/>
      <c r="N162" s="746"/>
      <c r="O162" s="746"/>
      <c r="P162" s="746"/>
      <c r="Q162" s="785"/>
      <c r="R162" s="791"/>
    </row>
    <row r="163" spans="1:18" ht="180" hidden="1" customHeight="1" x14ac:dyDescent="0.2">
      <c r="A163" s="746"/>
      <c r="B163" s="746"/>
      <c r="C163" s="746"/>
      <c r="D163" s="573" t="s">
        <v>1390</v>
      </c>
      <c r="E163" s="746"/>
      <c r="F163" s="746"/>
      <c r="G163" s="746"/>
      <c r="H163" s="746"/>
      <c r="I163" s="746"/>
      <c r="J163" s="746"/>
      <c r="K163" s="746"/>
      <c r="L163" s="746"/>
      <c r="M163" s="746"/>
      <c r="N163" s="746"/>
      <c r="O163" s="746"/>
      <c r="P163" s="746"/>
      <c r="Q163" s="785"/>
      <c r="R163" s="791"/>
    </row>
    <row r="164" spans="1:18" ht="117" hidden="1" customHeight="1" thickBot="1" x14ac:dyDescent="0.25">
      <c r="A164" s="747"/>
      <c r="B164" s="747"/>
      <c r="C164" s="747"/>
      <c r="D164" s="574" t="s">
        <v>1391</v>
      </c>
      <c r="E164" s="747"/>
      <c r="F164" s="747"/>
      <c r="G164" s="747"/>
      <c r="H164" s="747"/>
      <c r="I164" s="747"/>
      <c r="J164" s="747"/>
      <c r="K164" s="747"/>
      <c r="L164" s="747"/>
      <c r="M164" s="747"/>
      <c r="N164" s="747"/>
      <c r="O164" s="747"/>
      <c r="P164" s="747"/>
      <c r="Q164" s="785"/>
      <c r="R164" s="791"/>
    </row>
    <row r="165" spans="1:18" ht="409.6" hidden="1" thickTop="1" x14ac:dyDescent="0.65">
      <c r="A165" s="745" t="s">
        <v>1035</v>
      </c>
      <c r="B165" s="745" t="s">
        <v>1036</v>
      </c>
      <c r="C165" s="745" t="s">
        <v>50</v>
      </c>
      <c r="D165" s="572" t="s">
        <v>1634</v>
      </c>
      <c r="E165" s="756">
        <f t="shared" si="156"/>
        <v>0</v>
      </c>
      <c r="F165" s="756"/>
      <c r="G165" s="756"/>
      <c r="H165" s="756"/>
      <c r="I165" s="756"/>
      <c r="J165" s="756">
        <f t="shared" si="157"/>
        <v>0</v>
      </c>
      <c r="K165" s="763"/>
      <c r="L165" s="756"/>
      <c r="M165" s="756"/>
      <c r="N165" s="756"/>
      <c r="O165" s="756">
        <f t="shared" si="158"/>
        <v>0</v>
      </c>
      <c r="P165" s="756">
        <f t="shared" si="159"/>
        <v>0</v>
      </c>
      <c r="Q165" s="20"/>
      <c r="R165" s="790"/>
    </row>
    <row r="166" spans="1:18" ht="204.75" hidden="1" customHeight="1" thickBot="1" x14ac:dyDescent="0.25">
      <c r="A166" s="746"/>
      <c r="B166" s="746"/>
      <c r="C166" s="746"/>
      <c r="D166" s="573" t="s">
        <v>1635</v>
      </c>
      <c r="E166" s="746"/>
      <c r="F166" s="746"/>
      <c r="G166" s="746"/>
      <c r="H166" s="746"/>
      <c r="I166" s="746"/>
      <c r="J166" s="746"/>
      <c r="K166" s="746"/>
      <c r="L166" s="746"/>
      <c r="M166" s="746"/>
      <c r="N166" s="746"/>
      <c r="O166" s="746"/>
      <c r="P166" s="746"/>
      <c r="Q166" s="20"/>
      <c r="R166" s="792"/>
    </row>
    <row r="167" spans="1:18" ht="183.75" hidden="1" thickTop="1" x14ac:dyDescent="0.65">
      <c r="A167" s="745" t="s">
        <v>1037</v>
      </c>
      <c r="B167" s="745" t="s">
        <v>1038</v>
      </c>
      <c r="C167" s="745" t="s">
        <v>50</v>
      </c>
      <c r="D167" s="572" t="s">
        <v>1392</v>
      </c>
      <c r="E167" s="756">
        <f t="shared" ref="E167" si="160">F167</f>
        <v>0</v>
      </c>
      <c r="F167" s="756"/>
      <c r="G167" s="756"/>
      <c r="H167" s="756"/>
      <c r="I167" s="756"/>
      <c r="J167" s="756">
        <f t="shared" ref="J167" si="161">L167+O167</f>
        <v>0</v>
      </c>
      <c r="K167" s="763"/>
      <c r="L167" s="756"/>
      <c r="M167" s="756"/>
      <c r="N167" s="756"/>
      <c r="O167" s="763">
        <f t="shared" ref="O167" si="162">K167</f>
        <v>0</v>
      </c>
      <c r="P167" s="756">
        <f t="shared" ref="P167" si="163">E167+J167</f>
        <v>0</v>
      </c>
      <c r="Q167" s="20"/>
      <c r="R167" s="790"/>
    </row>
    <row r="168" spans="1:18" ht="183" hidden="1" x14ac:dyDescent="0.2">
      <c r="A168" s="746"/>
      <c r="B168" s="746"/>
      <c r="C168" s="746"/>
      <c r="D168" s="573" t="s">
        <v>1393</v>
      </c>
      <c r="E168" s="746"/>
      <c r="F168" s="746"/>
      <c r="G168" s="746"/>
      <c r="H168" s="746"/>
      <c r="I168" s="746"/>
      <c r="J168" s="746"/>
      <c r="K168" s="746"/>
      <c r="L168" s="746"/>
      <c r="M168" s="746"/>
      <c r="N168" s="746"/>
      <c r="O168" s="746"/>
      <c r="P168" s="746"/>
      <c r="Q168" s="20"/>
      <c r="R168" s="791"/>
    </row>
    <row r="169" spans="1:18" ht="70.5" hidden="1" customHeight="1" thickBot="1" x14ac:dyDescent="0.25">
      <c r="A169" s="747"/>
      <c r="B169" s="747"/>
      <c r="C169" s="747"/>
      <c r="D169" s="574" t="s">
        <v>1039</v>
      </c>
      <c r="E169" s="747"/>
      <c r="F169" s="747"/>
      <c r="G169" s="747"/>
      <c r="H169" s="747"/>
      <c r="I169" s="747"/>
      <c r="J169" s="747"/>
      <c r="K169" s="747"/>
      <c r="L169" s="747"/>
      <c r="M169" s="747"/>
      <c r="N169" s="747"/>
      <c r="O169" s="747"/>
      <c r="P169" s="747"/>
      <c r="Q169" s="20"/>
      <c r="R169" s="791"/>
    </row>
    <row r="170" spans="1:18" ht="183.75" hidden="1" thickTop="1" x14ac:dyDescent="0.65">
      <c r="A170" s="753" t="s">
        <v>1043</v>
      </c>
      <c r="B170" s="753" t="s">
        <v>1044</v>
      </c>
      <c r="C170" s="753" t="s">
        <v>50</v>
      </c>
      <c r="D170" s="380" t="s">
        <v>1040</v>
      </c>
      <c r="E170" s="756">
        <f t="shared" ref="E170" si="164">F170</f>
        <v>0</v>
      </c>
      <c r="F170" s="756"/>
      <c r="G170" s="756"/>
      <c r="H170" s="756"/>
      <c r="I170" s="756"/>
      <c r="J170" s="756">
        <f t="shared" ref="J170" si="165">L170+O170</f>
        <v>0</v>
      </c>
      <c r="K170" s="796">
        <v>0</v>
      </c>
      <c r="L170" s="795"/>
      <c r="M170" s="795"/>
      <c r="N170" s="795"/>
      <c r="O170" s="796">
        <f t="shared" ref="O170" si="166">K170</f>
        <v>0</v>
      </c>
      <c r="P170" s="795">
        <f t="shared" ref="P170" si="167">E170+J170</f>
        <v>0</v>
      </c>
      <c r="Q170" s="20"/>
      <c r="R170" s="790"/>
    </row>
    <row r="171" spans="1:18" ht="183" hidden="1" x14ac:dyDescent="0.2">
      <c r="A171" s="754"/>
      <c r="B171" s="754"/>
      <c r="C171" s="754"/>
      <c r="D171" s="124" t="s">
        <v>1041</v>
      </c>
      <c r="E171" s="746"/>
      <c r="F171" s="746"/>
      <c r="G171" s="746"/>
      <c r="H171" s="746"/>
      <c r="I171" s="746"/>
      <c r="J171" s="746"/>
      <c r="K171" s="754"/>
      <c r="L171" s="754"/>
      <c r="M171" s="754"/>
      <c r="N171" s="754"/>
      <c r="O171" s="754"/>
      <c r="P171" s="754"/>
      <c r="Q171" s="20"/>
      <c r="R171" s="791"/>
    </row>
    <row r="172" spans="1:18" ht="47.25" hidden="1" thickTop="1" thickBot="1" x14ac:dyDescent="0.25">
      <c r="A172" s="755"/>
      <c r="B172" s="755"/>
      <c r="C172" s="755"/>
      <c r="D172" s="381" t="s">
        <v>1042</v>
      </c>
      <c r="E172" s="747"/>
      <c r="F172" s="747"/>
      <c r="G172" s="747"/>
      <c r="H172" s="747"/>
      <c r="I172" s="747"/>
      <c r="J172" s="747"/>
      <c r="K172" s="755"/>
      <c r="L172" s="755"/>
      <c r="M172" s="755"/>
      <c r="N172" s="755"/>
      <c r="O172" s="755"/>
      <c r="P172" s="755"/>
      <c r="Q172" s="20"/>
      <c r="R172" s="791"/>
    </row>
    <row r="173" spans="1:18" ht="93" thickTop="1" thickBot="1" x14ac:dyDescent="0.25">
      <c r="A173" s="101" t="s">
        <v>1168</v>
      </c>
      <c r="B173" s="101" t="s">
        <v>1165</v>
      </c>
      <c r="C173" s="101" t="s">
        <v>206</v>
      </c>
      <c r="D173" s="615" t="s">
        <v>1166</v>
      </c>
      <c r="E173" s="651">
        <f t="shared" ref="E173" si="168">F173</f>
        <v>5176195</v>
      </c>
      <c r="F173" s="435">
        <v>5176195</v>
      </c>
      <c r="G173" s="435"/>
      <c r="H173" s="435"/>
      <c r="I173" s="435"/>
      <c r="J173" s="319">
        <f t="shared" ref="J173" si="169">L173+O173</f>
        <v>4560281</v>
      </c>
      <c r="K173" s="435">
        <v>4560281</v>
      </c>
      <c r="L173" s="435"/>
      <c r="M173" s="435"/>
      <c r="N173" s="435"/>
      <c r="O173" s="432">
        <f t="shared" ref="O173" si="170">K173</f>
        <v>4560281</v>
      </c>
      <c r="P173" s="319">
        <f>E173+J173</f>
        <v>9736476</v>
      </c>
      <c r="Q173" s="20"/>
      <c r="R173" s="21"/>
    </row>
    <row r="174" spans="1:18" s="33" customFormat="1" ht="48" thickTop="1" thickBot="1" x14ac:dyDescent="0.25">
      <c r="A174" s="613" t="s">
        <v>729</v>
      </c>
      <c r="B174" s="613" t="s">
        <v>730</v>
      </c>
      <c r="C174" s="613"/>
      <c r="D174" s="613" t="s">
        <v>731</v>
      </c>
      <c r="E174" s="614">
        <f>SUM(E175:E176)</f>
        <v>101565376</v>
      </c>
      <c r="F174" s="614">
        <f t="shared" ref="F174:P174" si="171">SUM(F175:F176)</f>
        <v>101565376</v>
      </c>
      <c r="G174" s="614">
        <f t="shared" si="171"/>
        <v>17473041</v>
      </c>
      <c r="H174" s="614">
        <f t="shared" si="171"/>
        <v>2582806</v>
      </c>
      <c r="I174" s="614">
        <f t="shared" si="171"/>
        <v>0</v>
      </c>
      <c r="J174" s="614">
        <f t="shared" si="171"/>
        <v>42645450</v>
      </c>
      <c r="K174" s="614">
        <f t="shared" si="171"/>
        <v>34446500</v>
      </c>
      <c r="L174" s="614">
        <f t="shared" si="171"/>
        <v>8178950</v>
      </c>
      <c r="M174" s="614">
        <f t="shared" si="171"/>
        <v>3670511</v>
      </c>
      <c r="N174" s="614">
        <f t="shared" si="171"/>
        <v>454200</v>
      </c>
      <c r="O174" s="614">
        <f t="shared" si="171"/>
        <v>34466500</v>
      </c>
      <c r="P174" s="614">
        <f t="shared" si="171"/>
        <v>144210826</v>
      </c>
      <c r="Q174" s="36"/>
      <c r="R174" s="51"/>
    </row>
    <row r="175" spans="1:18" ht="93" thickTop="1" thickBot="1" x14ac:dyDescent="0.25">
      <c r="A175" s="101" t="s">
        <v>326</v>
      </c>
      <c r="B175" s="101" t="s">
        <v>328</v>
      </c>
      <c r="C175" s="101" t="s">
        <v>191</v>
      </c>
      <c r="D175" s="615" t="s">
        <v>330</v>
      </c>
      <c r="E175" s="319">
        <f t="shared" si="140"/>
        <v>32434295</v>
      </c>
      <c r="F175" s="435">
        <f>35730795-296500-3000000</f>
        <v>32434295</v>
      </c>
      <c r="G175" s="317">
        <f>5328862+7922303+4221876</f>
        <v>17473041</v>
      </c>
      <c r="H175" s="317">
        <f>103200+360000+275270+20306+305000+175725+995030+348275</f>
        <v>2582806</v>
      </c>
      <c r="I175" s="435"/>
      <c r="J175" s="319">
        <f t="shared" ref="J175:J186" si="172">L175+O175</f>
        <v>8495450</v>
      </c>
      <c r="K175" s="435">
        <f>296500</f>
        <v>296500</v>
      </c>
      <c r="L175" s="435">
        <v>8178950</v>
      </c>
      <c r="M175" s="435">
        <v>3670511</v>
      </c>
      <c r="N175" s="435">
        <f>387200+67000</f>
        <v>454200</v>
      </c>
      <c r="O175" s="432">
        <f>K175+20000</f>
        <v>316500</v>
      </c>
      <c r="P175" s="319">
        <f t="shared" ref="P175:P186" si="173">E175+J175</f>
        <v>40929745</v>
      </c>
      <c r="Q175" s="20"/>
      <c r="R175" s="46"/>
    </row>
    <row r="176" spans="1:18" ht="66.75" customHeight="1" thickTop="1" thickBot="1" x14ac:dyDescent="0.25">
      <c r="A176" s="101" t="s">
        <v>327</v>
      </c>
      <c r="B176" s="101" t="s">
        <v>329</v>
      </c>
      <c r="C176" s="101" t="s">
        <v>191</v>
      </c>
      <c r="D176" s="615" t="s">
        <v>331</v>
      </c>
      <c r="E176" s="319">
        <f t="shared" si="140"/>
        <v>69131081</v>
      </c>
      <c r="F176" s="435">
        <f>103281081-34000000-150000</f>
        <v>69131081</v>
      </c>
      <c r="G176" s="435"/>
      <c r="H176" s="435"/>
      <c r="I176" s="435"/>
      <c r="J176" s="319">
        <f t="shared" si="172"/>
        <v>34150000</v>
      </c>
      <c r="K176" s="435">
        <f>34000000+150000</f>
        <v>34150000</v>
      </c>
      <c r="L176" s="435"/>
      <c r="M176" s="435"/>
      <c r="N176" s="435"/>
      <c r="O176" s="432">
        <f t="shared" ref="O176:O186" si="174">K176</f>
        <v>34150000</v>
      </c>
      <c r="P176" s="319">
        <f t="shared" si="173"/>
        <v>103281081</v>
      </c>
      <c r="Q176" s="20"/>
      <c r="R176" s="46"/>
    </row>
    <row r="177" spans="1:18" ht="66.75" customHeight="1" thickTop="1" thickBot="1" x14ac:dyDescent="0.25">
      <c r="A177" s="101" t="s">
        <v>1637</v>
      </c>
      <c r="B177" s="101" t="s">
        <v>1638</v>
      </c>
      <c r="C177" s="101" t="s">
        <v>191</v>
      </c>
      <c r="D177" s="101" t="s">
        <v>1639</v>
      </c>
      <c r="E177" s="319">
        <f t="shared" si="140"/>
        <v>0</v>
      </c>
      <c r="F177" s="435"/>
      <c r="G177" s="435"/>
      <c r="H177" s="435"/>
      <c r="I177" s="435"/>
      <c r="J177" s="319">
        <f>L177+O177</f>
        <v>13000000</v>
      </c>
      <c r="K177" s="435">
        <f>10000000+3000000</f>
        <v>13000000</v>
      </c>
      <c r="L177" s="435"/>
      <c r="M177" s="435"/>
      <c r="N177" s="435"/>
      <c r="O177" s="432">
        <f>K177</f>
        <v>13000000</v>
      </c>
      <c r="P177" s="319">
        <f>E177+J177</f>
        <v>13000000</v>
      </c>
      <c r="Q177" s="20"/>
      <c r="R177" s="46"/>
    </row>
    <row r="178" spans="1:18" ht="47.25" thickTop="1" thickBot="1" x14ac:dyDescent="0.25">
      <c r="A178" s="307" t="s">
        <v>732</v>
      </c>
      <c r="B178" s="307" t="s">
        <v>733</v>
      </c>
      <c r="C178" s="307"/>
      <c r="D178" s="612" t="s">
        <v>734</v>
      </c>
      <c r="E178" s="319">
        <f>SUM(E179)</f>
        <v>0</v>
      </c>
      <c r="F178" s="319">
        <f t="shared" ref="F178:P178" si="175">SUM(F179)</f>
        <v>0</v>
      </c>
      <c r="G178" s="319">
        <f t="shared" si="175"/>
        <v>0</v>
      </c>
      <c r="H178" s="319">
        <f t="shared" si="175"/>
        <v>0</v>
      </c>
      <c r="I178" s="319">
        <f t="shared" si="175"/>
        <v>0</v>
      </c>
      <c r="J178" s="319">
        <f>SUM(J179)</f>
        <v>25000000</v>
      </c>
      <c r="K178" s="319">
        <f t="shared" si="175"/>
        <v>25000000</v>
      </c>
      <c r="L178" s="319">
        <f t="shared" si="175"/>
        <v>0</v>
      </c>
      <c r="M178" s="319">
        <f t="shared" si="175"/>
        <v>0</v>
      </c>
      <c r="N178" s="319">
        <f t="shared" si="175"/>
        <v>0</v>
      </c>
      <c r="O178" s="319">
        <f t="shared" si="175"/>
        <v>25000000</v>
      </c>
      <c r="P178" s="319">
        <f t="shared" si="175"/>
        <v>25000000</v>
      </c>
      <c r="Q178" s="20"/>
      <c r="R178" s="46"/>
    </row>
    <row r="179" spans="1:18" s="33" customFormat="1" ht="48" thickTop="1" thickBot="1" x14ac:dyDescent="0.25">
      <c r="A179" s="613" t="s">
        <v>735</v>
      </c>
      <c r="B179" s="613" t="s">
        <v>736</v>
      </c>
      <c r="C179" s="613"/>
      <c r="D179" s="654" t="s">
        <v>737</v>
      </c>
      <c r="E179" s="614">
        <f>SUM(E180:E181)</f>
        <v>0</v>
      </c>
      <c r="F179" s="614">
        <f>SUM(F180:F181)</f>
        <v>0</v>
      </c>
      <c r="G179" s="614">
        <f>SUM(G180:G181)</f>
        <v>0</v>
      </c>
      <c r="H179" s="614">
        <f>SUM(H180:H181)</f>
        <v>0</v>
      </c>
      <c r="I179" s="614">
        <f>SUM(I180:I181)</f>
        <v>0</v>
      </c>
      <c r="J179" s="614">
        <f t="shared" ref="J179:O179" si="176">SUM(J180:J181)</f>
        <v>25000000</v>
      </c>
      <c r="K179" s="614">
        <f t="shared" si="176"/>
        <v>25000000</v>
      </c>
      <c r="L179" s="614">
        <f t="shared" si="176"/>
        <v>0</v>
      </c>
      <c r="M179" s="614">
        <f t="shared" si="176"/>
        <v>0</v>
      </c>
      <c r="N179" s="614">
        <f t="shared" si="176"/>
        <v>0</v>
      </c>
      <c r="O179" s="614">
        <f t="shared" si="176"/>
        <v>25000000</v>
      </c>
      <c r="P179" s="614">
        <f>SUM(P180:P181)</f>
        <v>25000000</v>
      </c>
      <c r="Q179" s="36"/>
      <c r="R179" s="52"/>
    </row>
    <row r="180" spans="1:18" ht="93" thickTop="1" thickBot="1" x14ac:dyDescent="0.25">
      <c r="A180" s="101" t="s">
        <v>366</v>
      </c>
      <c r="B180" s="101" t="s">
        <v>364</v>
      </c>
      <c r="C180" s="101" t="s">
        <v>339</v>
      </c>
      <c r="D180" s="615" t="s">
        <v>365</v>
      </c>
      <c r="E180" s="319">
        <f t="shared" si="140"/>
        <v>0</v>
      </c>
      <c r="F180" s="435"/>
      <c r="G180" s="435"/>
      <c r="H180" s="435"/>
      <c r="I180" s="435"/>
      <c r="J180" s="319">
        <f t="shared" si="172"/>
        <v>25000000</v>
      </c>
      <c r="K180" s="435">
        <v>25000000</v>
      </c>
      <c r="L180" s="435"/>
      <c r="M180" s="435"/>
      <c r="N180" s="435"/>
      <c r="O180" s="432">
        <f t="shared" si="174"/>
        <v>25000000</v>
      </c>
      <c r="P180" s="319">
        <f t="shared" si="173"/>
        <v>25000000</v>
      </c>
      <c r="Q180" s="20"/>
      <c r="R180" s="46"/>
    </row>
    <row r="181" spans="1:18" ht="197.25" hidden="1" customHeight="1" thickTop="1" thickBot="1" x14ac:dyDescent="0.25">
      <c r="A181" s="126" t="s">
        <v>1045</v>
      </c>
      <c r="B181" s="126" t="s">
        <v>1046</v>
      </c>
      <c r="C181" s="126" t="s">
        <v>339</v>
      </c>
      <c r="D181" s="379" t="s">
        <v>1047</v>
      </c>
      <c r="E181" s="125">
        <f t="shared" si="140"/>
        <v>0</v>
      </c>
      <c r="F181" s="132"/>
      <c r="G181" s="132"/>
      <c r="H181" s="132"/>
      <c r="I181" s="132"/>
      <c r="J181" s="125">
        <f t="shared" si="172"/>
        <v>0</v>
      </c>
      <c r="K181" s="132"/>
      <c r="L181" s="132"/>
      <c r="M181" s="132"/>
      <c r="N181" s="132"/>
      <c r="O181" s="130">
        <f t="shared" si="174"/>
        <v>0</v>
      </c>
      <c r="P181" s="125">
        <f t="shared" si="173"/>
        <v>0</v>
      </c>
      <c r="Q181" s="20"/>
      <c r="R181" s="46"/>
    </row>
    <row r="182" spans="1:18" ht="47.25" hidden="1" thickTop="1" thickBot="1" x14ac:dyDescent="0.25">
      <c r="A182" s="123" t="s">
        <v>741</v>
      </c>
      <c r="B182" s="123" t="s">
        <v>739</v>
      </c>
      <c r="C182" s="123"/>
      <c r="D182" s="123" t="s">
        <v>740</v>
      </c>
      <c r="E182" s="125">
        <f>E183</f>
        <v>0</v>
      </c>
      <c r="F182" s="125">
        <f t="shared" ref="F182:P182" si="177">F183</f>
        <v>0</v>
      </c>
      <c r="G182" s="125">
        <f t="shared" si="177"/>
        <v>0</v>
      </c>
      <c r="H182" s="125">
        <f t="shared" si="177"/>
        <v>0</v>
      </c>
      <c r="I182" s="125">
        <f t="shared" si="177"/>
        <v>0</v>
      </c>
      <c r="J182" s="125">
        <f t="shared" si="177"/>
        <v>0</v>
      </c>
      <c r="K182" s="125">
        <f t="shared" si="177"/>
        <v>0</v>
      </c>
      <c r="L182" s="125">
        <f t="shared" si="177"/>
        <v>0</v>
      </c>
      <c r="M182" s="125">
        <f t="shared" si="177"/>
        <v>0</v>
      </c>
      <c r="N182" s="125">
        <f t="shared" si="177"/>
        <v>0</v>
      </c>
      <c r="O182" s="125">
        <f t="shared" si="177"/>
        <v>0</v>
      </c>
      <c r="P182" s="125">
        <f t="shared" si="177"/>
        <v>0</v>
      </c>
      <c r="Q182" s="20"/>
      <c r="R182" s="46"/>
    </row>
    <row r="183" spans="1:18" ht="47.25" hidden="1" thickTop="1" thickBot="1" x14ac:dyDescent="0.25">
      <c r="A183" s="134" t="s">
        <v>743</v>
      </c>
      <c r="B183" s="134" t="s">
        <v>683</v>
      </c>
      <c r="C183" s="134"/>
      <c r="D183" s="134" t="s">
        <v>681</v>
      </c>
      <c r="E183" s="135">
        <f>E185+E184</f>
        <v>0</v>
      </c>
      <c r="F183" s="135">
        <f t="shared" ref="F183:I183" si="178">F185+F184</f>
        <v>0</v>
      </c>
      <c r="G183" s="135">
        <f t="shared" si="178"/>
        <v>0</v>
      </c>
      <c r="H183" s="135">
        <f t="shared" si="178"/>
        <v>0</v>
      </c>
      <c r="I183" s="135">
        <f t="shared" si="178"/>
        <v>0</v>
      </c>
      <c r="J183" s="135">
        <f>J185+J184</f>
        <v>0</v>
      </c>
      <c r="K183" s="135">
        <f t="shared" ref="K183" si="179">K185+K184</f>
        <v>0</v>
      </c>
      <c r="L183" s="135">
        <f t="shared" ref="L183" si="180">L185+L184</f>
        <v>0</v>
      </c>
      <c r="M183" s="135">
        <f t="shared" ref="M183" si="181">M185+M184</f>
        <v>0</v>
      </c>
      <c r="N183" s="135">
        <f t="shared" ref="N183" si="182">N185+N184</f>
        <v>0</v>
      </c>
      <c r="O183" s="135">
        <f t="shared" ref="O183" si="183">O185+O184</f>
        <v>0</v>
      </c>
      <c r="P183" s="135">
        <f>P185+P184</f>
        <v>0</v>
      </c>
      <c r="Q183" s="20"/>
      <c r="R183" s="46"/>
    </row>
    <row r="184" spans="1:18" ht="48" hidden="1" thickTop="1" thickBot="1" x14ac:dyDescent="0.25">
      <c r="A184" s="126" t="s">
        <v>1268</v>
      </c>
      <c r="B184" s="126" t="s">
        <v>212</v>
      </c>
      <c r="C184" s="126" t="s">
        <v>213</v>
      </c>
      <c r="D184" s="126" t="s">
        <v>41</v>
      </c>
      <c r="E184" s="125">
        <f t="shared" ref="E184" si="184">F184</f>
        <v>0</v>
      </c>
      <c r="F184" s="132">
        <v>0</v>
      </c>
      <c r="G184" s="132"/>
      <c r="H184" s="132"/>
      <c r="I184" s="132"/>
      <c r="J184" s="125">
        <f t="shared" ref="J184" si="185">L184+O184</f>
        <v>0</v>
      </c>
      <c r="K184" s="132"/>
      <c r="L184" s="132"/>
      <c r="M184" s="132"/>
      <c r="N184" s="132"/>
      <c r="O184" s="130">
        <f t="shared" ref="O184" si="186">K184</f>
        <v>0</v>
      </c>
      <c r="P184" s="125">
        <f t="shared" ref="P184" si="187">E184+J184</f>
        <v>0</v>
      </c>
      <c r="Q184" s="20"/>
      <c r="R184" s="46"/>
    </row>
    <row r="185" spans="1:18" ht="48" hidden="1" thickTop="1" thickBot="1" x14ac:dyDescent="0.25">
      <c r="A185" s="138" t="s">
        <v>742</v>
      </c>
      <c r="B185" s="138" t="s">
        <v>686</v>
      </c>
      <c r="C185" s="138"/>
      <c r="D185" s="151" t="s">
        <v>684</v>
      </c>
      <c r="E185" s="139">
        <f>E186</f>
        <v>0</v>
      </c>
      <c r="F185" s="139">
        <f t="shared" ref="F185:P185" si="188">F186</f>
        <v>0</v>
      </c>
      <c r="G185" s="139">
        <f t="shared" si="188"/>
        <v>0</v>
      </c>
      <c r="H185" s="139">
        <f t="shared" si="188"/>
        <v>0</v>
      </c>
      <c r="I185" s="139">
        <f t="shared" si="188"/>
        <v>0</v>
      </c>
      <c r="J185" s="139">
        <f t="shared" si="188"/>
        <v>0</v>
      </c>
      <c r="K185" s="139">
        <f t="shared" si="188"/>
        <v>0</v>
      </c>
      <c r="L185" s="139">
        <f t="shared" si="188"/>
        <v>0</v>
      </c>
      <c r="M185" s="139">
        <f t="shared" si="188"/>
        <v>0</v>
      </c>
      <c r="N185" s="139">
        <f t="shared" si="188"/>
        <v>0</v>
      </c>
      <c r="O185" s="139">
        <f t="shared" si="188"/>
        <v>0</v>
      </c>
      <c r="P185" s="139">
        <f t="shared" si="188"/>
        <v>0</v>
      </c>
      <c r="Q185" s="20"/>
      <c r="R185" s="46"/>
    </row>
    <row r="186" spans="1:18" ht="184.5" hidden="1" thickTop="1" thickBot="1" x14ac:dyDescent="0.7">
      <c r="A186" s="749" t="s">
        <v>421</v>
      </c>
      <c r="B186" s="749" t="s">
        <v>337</v>
      </c>
      <c r="C186" s="749" t="s">
        <v>170</v>
      </c>
      <c r="D186" s="152" t="s">
        <v>438</v>
      </c>
      <c r="E186" s="750">
        <f t="shared" si="140"/>
        <v>0</v>
      </c>
      <c r="F186" s="744"/>
      <c r="G186" s="744"/>
      <c r="H186" s="744"/>
      <c r="I186" s="744"/>
      <c r="J186" s="750">
        <f t="shared" si="172"/>
        <v>0</v>
      </c>
      <c r="K186" s="744"/>
      <c r="L186" s="744"/>
      <c r="M186" s="744"/>
      <c r="N186" s="744"/>
      <c r="O186" s="789">
        <f t="shared" si="174"/>
        <v>0</v>
      </c>
      <c r="P186" s="797">
        <f t="shared" si="173"/>
        <v>0</v>
      </c>
      <c r="Q186" s="20"/>
      <c r="R186" s="50"/>
    </row>
    <row r="187" spans="1:18" ht="93" hidden="1" thickTop="1" thickBot="1" x14ac:dyDescent="0.25">
      <c r="A187" s="751"/>
      <c r="B187" s="752"/>
      <c r="C187" s="751"/>
      <c r="D187" s="153" t="s">
        <v>439</v>
      </c>
      <c r="E187" s="751"/>
      <c r="F187" s="762"/>
      <c r="G187" s="762"/>
      <c r="H187" s="762"/>
      <c r="I187" s="762"/>
      <c r="J187" s="751"/>
      <c r="K187" s="751"/>
      <c r="L187" s="762"/>
      <c r="M187" s="762"/>
      <c r="N187" s="762"/>
      <c r="O187" s="798"/>
      <c r="P187" s="799"/>
      <c r="Q187" s="20"/>
      <c r="R187" s="50"/>
    </row>
    <row r="188" spans="1:18" ht="120" customHeight="1" thickTop="1" thickBot="1" x14ac:dyDescent="0.25">
      <c r="A188" s="639">
        <v>1000000</v>
      </c>
      <c r="B188" s="639"/>
      <c r="C188" s="639"/>
      <c r="D188" s="640" t="s">
        <v>24</v>
      </c>
      <c r="E188" s="641">
        <f>E189</f>
        <v>170994814</v>
      </c>
      <c r="F188" s="642">
        <f t="shared" ref="F188:G188" si="189">F189</f>
        <v>170994814</v>
      </c>
      <c r="G188" s="642">
        <f t="shared" si="189"/>
        <v>123795559</v>
      </c>
      <c r="H188" s="642">
        <f>H189</f>
        <v>8706450</v>
      </c>
      <c r="I188" s="642">
        <f>I189</f>
        <v>0</v>
      </c>
      <c r="J188" s="641">
        <f>J189</f>
        <v>12483391</v>
      </c>
      <c r="K188" s="642">
        <f>K189</f>
        <v>131591</v>
      </c>
      <c r="L188" s="642">
        <f>L189</f>
        <v>11983500</v>
      </c>
      <c r="M188" s="642">
        <f t="shared" ref="M188" si="190">M189</f>
        <v>8781040</v>
      </c>
      <c r="N188" s="642">
        <f>N189</f>
        <v>330880</v>
      </c>
      <c r="O188" s="641">
        <f>O189</f>
        <v>499891</v>
      </c>
      <c r="P188" s="642">
        <f t="shared" ref="P188" si="191">P189</f>
        <v>183478205</v>
      </c>
      <c r="Q188" s="20"/>
    </row>
    <row r="189" spans="1:18" ht="120" customHeight="1" thickTop="1" thickBot="1" x14ac:dyDescent="0.25">
      <c r="A189" s="603">
        <v>1010000</v>
      </c>
      <c r="B189" s="603"/>
      <c r="C189" s="603"/>
      <c r="D189" s="604" t="s">
        <v>39</v>
      </c>
      <c r="E189" s="605">
        <f>E190+E192+E206+E200</f>
        <v>170994814</v>
      </c>
      <c r="F189" s="605">
        <f>F190+F192+F206+F200</f>
        <v>170994814</v>
      </c>
      <c r="G189" s="605">
        <f>G190+G192+G206+G200</f>
        <v>123795559</v>
      </c>
      <c r="H189" s="605">
        <f>H190+H192+H206+H200</f>
        <v>8706450</v>
      </c>
      <c r="I189" s="605">
        <f>I190+I192+I206+I200</f>
        <v>0</v>
      </c>
      <c r="J189" s="605">
        <f t="shared" ref="J189:J199" si="192">L189+O189</f>
        <v>12483391</v>
      </c>
      <c r="K189" s="605">
        <f>K190+K192+K206+K200</f>
        <v>131591</v>
      </c>
      <c r="L189" s="605">
        <f>L190+L192+L206+L200</f>
        <v>11983500</v>
      </c>
      <c r="M189" s="605">
        <f>M190+M192+M206+M200</f>
        <v>8781040</v>
      </c>
      <c r="N189" s="605">
        <f>N190+N192+N206+N200</f>
        <v>330880</v>
      </c>
      <c r="O189" s="605">
        <f>O190+O192+O206+O200</f>
        <v>499891</v>
      </c>
      <c r="P189" s="605">
        <f t="shared" ref="P189:P199" si="193">E189+J189</f>
        <v>183478205</v>
      </c>
      <c r="Q189" s="462" t="b">
        <f>P189=P191+P193+P194+P195+P198+P199+P203</f>
        <v>1</v>
      </c>
      <c r="R189" s="46"/>
    </row>
    <row r="190" spans="1:18" ht="47.25" thickTop="1" thickBot="1" x14ac:dyDescent="0.25">
      <c r="A190" s="307" t="s">
        <v>744</v>
      </c>
      <c r="B190" s="307" t="s">
        <v>699</v>
      </c>
      <c r="C190" s="307"/>
      <c r="D190" s="307" t="s">
        <v>700</v>
      </c>
      <c r="E190" s="319">
        <f>E191</f>
        <v>93548990</v>
      </c>
      <c r="F190" s="319">
        <f t="shared" ref="F190:P190" si="194">F191</f>
        <v>93548990</v>
      </c>
      <c r="G190" s="319">
        <f t="shared" si="194"/>
        <v>71756430</v>
      </c>
      <c r="H190" s="319">
        <f t="shared" si="194"/>
        <v>4813455</v>
      </c>
      <c r="I190" s="319">
        <f t="shared" si="194"/>
        <v>0</v>
      </c>
      <c r="J190" s="319">
        <f t="shared" si="194"/>
        <v>11108960</v>
      </c>
      <c r="K190" s="319">
        <f t="shared" si="194"/>
        <v>0</v>
      </c>
      <c r="L190" s="319">
        <f t="shared" si="194"/>
        <v>10949260</v>
      </c>
      <c r="M190" s="319">
        <f t="shared" si="194"/>
        <v>8313040</v>
      </c>
      <c r="N190" s="319">
        <f t="shared" si="194"/>
        <v>261910</v>
      </c>
      <c r="O190" s="319">
        <f t="shared" si="194"/>
        <v>159700</v>
      </c>
      <c r="P190" s="319">
        <f t="shared" si="194"/>
        <v>104657950</v>
      </c>
      <c r="Q190" s="47"/>
      <c r="R190" s="46"/>
    </row>
    <row r="191" spans="1:18" ht="48" thickTop="1" thickBot="1" x14ac:dyDescent="0.25">
      <c r="A191" s="101" t="s">
        <v>630</v>
      </c>
      <c r="B191" s="101" t="s">
        <v>631</v>
      </c>
      <c r="C191" s="101" t="s">
        <v>181</v>
      </c>
      <c r="D191" s="101" t="s">
        <v>1089</v>
      </c>
      <c r="E191" s="319">
        <f>F191</f>
        <v>93548990</v>
      </c>
      <c r="F191" s="435">
        <v>93548990</v>
      </c>
      <c r="G191" s="435">
        <v>71756430</v>
      </c>
      <c r="H191" s="435">
        <f>3957440+51430+621275+130700+52610</f>
        <v>4813455</v>
      </c>
      <c r="I191" s="435"/>
      <c r="J191" s="319">
        <f t="shared" si="192"/>
        <v>11108960</v>
      </c>
      <c r="K191" s="435"/>
      <c r="L191" s="435">
        <v>10949260</v>
      </c>
      <c r="M191" s="435">
        <v>8313040</v>
      </c>
      <c r="N191" s="435">
        <v>261910</v>
      </c>
      <c r="O191" s="432">
        <f>(K191+159700)</f>
        <v>159700</v>
      </c>
      <c r="P191" s="319">
        <f t="shared" si="193"/>
        <v>104657950</v>
      </c>
      <c r="Q191" s="20"/>
      <c r="R191" s="46"/>
    </row>
    <row r="192" spans="1:18" s="24" customFormat="1" ht="47.25" thickTop="1" thickBot="1" x14ac:dyDescent="0.25">
      <c r="A192" s="307" t="s">
        <v>745</v>
      </c>
      <c r="B192" s="307" t="s">
        <v>746</v>
      </c>
      <c r="C192" s="307"/>
      <c r="D192" s="307" t="s">
        <v>747</v>
      </c>
      <c r="E192" s="319">
        <f t="shared" ref="E192:P192" si="195">SUM(E193:E199)-E197</f>
        <v>76418974</v>
      </c>
      <c r="F192" s="319">
        <f t="shared" si="195"/>
        <v>76418974</v>
      </c>
      <c r="G192" s="319">
        <f t="shared" si="195"/>
        <v>52039129</v>
      </c>
      <c r="H192" s="319">
        <f t="shared" si="195"/>
        <v>3892995</v>
      </c>
      <c r="I192" s="319">
        <f t="shared" si="195"/>
        <v>0</v>
      </c>
      <c r="J192" s="319">
        <f t="shared" si="195"/>
        <v>1374431</v>
      </c>
      <c r="K192" s="319">
        <f t="shared" si="195"/>
        <v>131591</v>
      </c>
      <c r="L192" s="319">
        <f t="shared" si="195"/>
        <v>1034240</v>
      </c>
      <c r="M192" s="319">
        <f t="shared" si="195"/>
        <v>468000</v>
      </c>
      <c r="N192" s="319">
        <f t="shared" si="195"/>
        <v>68970</v>
      </c>
      <c r="O192" s="319">
        <f t="shared" si="195"/>
        <v>340191</v>
      </c>
      <c r="P192" s="319">
        <f t="shared" si="195"/>
        <v>77793405</v>
      </c>
      <c r="Q192" s="25"/>
      <c r="R192" s="50"/>
    </row>
    <row r="193" spans="1:18" ht="48" thickTop="1" thickBot="1" x14ac:dyDescent="0.25">
      <c r="A193" s="101" t="s">
        <v>172</v>
      </c>
      <c r="B193" s="101" t="s">
        <v>173</v>
      </c>
      <c r="C193" s="101" t="s">
        <v>174</v>
      </c>
      <c r="D193" s="101" t="s">
        <v>175</v>
      </c>
      <c r="E193" s="319">
        <f t="shared" ref="E193:E195" si="196">F193</f>
        <v>18367742</v>
      </c>
      <c r="F193" s="435">
        <v>18367742</v>
      </c>
      <c r="G193" s="435">
        <v>13222210</v>
      </c>
      <c r="H193" s="435">
        <f>936420+15590+217910+30390+23720</f>
        <v>1224030</v>
      </c>
      <c r="I193" s="435"/>
      <c r="J193" s="319">
        <f t="shared" si="192"/>
        <v>210000</v>
      </c>
      <c r="K193" s="435"/>
      <c r="L193" s="435">
        <v>165000</v>
      </c>
      <c r="M193" s="435">
        <v>40000</v>
      </c>
      <c r="N193" s="435">
        <v>23300</v>
      </c>
      <c r="O193" s="432">
        <f>K193+45000</f>
        <v>45000</v>
      </c>
      <c r="P193" s="319">
        <f t="shared" si="193"/>
        <v>18577742</v>
      </c>
      <c r="Q193" s="20"/>
      <c r="R193" s="46"/>
    </row>
    <row r="194" spans="1:18" ht="48" thickTop="1" thickBot="1" x14ac:dyDescent="0.25">
      <c r="A194" s="101" t="s">
        <v>176</v>
      </c>
      <c r="B194" s="101" t="s">
        <v>177</v>
      </c>
      <c r="C194" s="101" t="s">
        <v>174</v>
      </c>
      <c r="D194" s="101" t="s">
        <v>461</v>
      </c>
      <c r="E194" s="319">
        <f t="shared" si="196"/>
        <v>2851170</v>
      </c>
      <c r="F194" s="435">
        <v>2851170</v>
      </c>
      <c r="G194" s="435">
        <v>1844800</v>
      </c>
      <c r="H194" s="435">
        <f>350640+7600+160900+3990</f>
        <v>523130</v>
      </c>
      <c r="I194" s="435"/>
      <c r="J194" s="319">
        <f t="shared" si="192"/>
        <v>125600</v>
      </c>
      <c r="K194" s="435"/>
      <c r="L194" s="435">
        <v>125600</v>
      </c>
      <c r="M194" s="435">
        <v>22100</v>
      </c>
      <c r="N194" s="435">
        <v>5700</v>
      </c>
      <c r="O194" s="432">
        <f t="shared" ref="O194:O199" si="197">K194</f>
        <v>0</v>
      </c>
      <c r="P194" s="319">
        <f t="shared" si="193"/>
        <v>2976770</v>
      </c>
      <c r="Q194" s="20"/>
      <c r="R194" s="46"/>
    </row>
    <row r="195" spans="1:18" ht="93" thickTop="1" thickBot="1" x14ac:dyDescent="0.25">
      <c r="A195" s="101" t="s">
        <v>178</v>
      </c>
      <c r="B195" s="101" t="s">
        <v>171</v>
      </c>
      <c r="C195" s="101" t="s">
        <v>179</v>
      </c>
      <c r="D195" s="101" t="s">
        <v>180</v>
      </c>
      <c r="E195" s="319">
        <f t="shared" si="196"/>
        <v>21605273</v>
      </c>
      <c r="F195" s="435">
        <v>21605273</v>
      </c>
      <c r="G195" s="435">
        <v>15142100</v>
      </c>
      <c r="H195" s="435">
        <f>1001090+17600+901975+92400+45410</f>
        <v>2058475</v>
      </c>
      <c r="I195" s="435"/>
      <c r="J195" s="319">
        <f t="shared" si="192"/>
        <v>723240</v>
      </c>
      <c r="K195" s="435"/>
      <c r="L195" s="435">
        <v>643640</v>
      </c>
      <c r="M195" s="435">
        <v>395000</v>
      </c>
      <c r="N195" s="435">
        <v>39970</v>
      </c>
      <c r="O195" s="432">
        <f>(K195+79600)</f>
        <v>79600</v>
      </c>
      <c r="P195" s="319">
        <f t="shared" si="193"/>
        <v>22328513</v>
      </c>
      <c r="Q195" s="20"/>
      <c r="R195" s="46"/>
    </row>
    <row r="196" spans="1:18" ht="48" hidden="1" thickTop="1" thickBot="1" x14ac:dyDescent="0.25">
      <c r="A196" s="126" t="s">
        <v>1159</v>
      </c>
      <c r="B196" s="126" t="s">
        <v>1160</v>
      </c>
      <c r="C196" s="126" t="s">
        <v>1162</v>
      </c>
      <c r="D196" s="126" t="s">
        <v>1161</v>
      </c>
      <c r="E196" s="125">
        <f t="shared" ref="E196" si="198">F196</f>
        <v>0</v>
      </c>
      <c r="F196" s="132"/>
      <c r="G196" s="132"/>
      <c r="H196" s="132"/>
      <c r="I196" s="132"/>
      <c r="J196" s="125">
        <f t="shared" ref="J196" si="199">L196+O196</f>
        <v>0</v>
      </c>
      <c r="K196" s="132"/>
      <c r="L196" s="132"/>
      <c r="M196" s="132"/>
      <c r="N196" s="132"/>
      <c r="O196" s="130">
        <f>(K196)</f>
        <v>0</v>
      </c>
      <c r="P196" s="125">
        <f t="shared" ref="P196" si="200">E196+J196</f>
        <v>0</v>
      </c>
      <c r="Q196" s="20"/>
      <c r="R196" s="46"/>
    </row>
    <row r="197" spans="1:18" ht="48" thickTop="1" thickBot="1" x14ac:dyDescent="0.25">
      <c r="A197" s="613" t="s">
        <v>748</v>
      </c>
      <c r="B197" s="613" t="s">
        <v>749</v>
      </c>
      <c r="C197" s="613"/>
      <c r="D197" s="613" t="s">
        <v>750</v>
      </c>
      <c r="E197" s="614">
        <f>SUM(E198:E199)</f>
        <v>33594789</v>
      </c>
      <c r="F197" s="614">
        <f t="shared" ref="F197:P197" si="201">SUM(F198:F199)</f>
        <v>33594789</v>
      </c>
      <c r="G197" s="614">
        <f t="shared" si="201"/>
        <v>21830019</v>
      </c>
      <c r="H197" s="614">
        <f t="shared" si="201"/>
        <v>87360</v>
      </c>
      <c r="I197" s="614">
        <f t="shared" si="201"/>
        <v>0</v>
      </c>
      <c r="J197" s="614">
        <f t="shared" si="201"/>
        <v>315591</v>
      </c>
      <c r="K197" s="614">
        <f t="shared" si="201"/>
        <v>131591</v>
      </c>
      <c r="L197" s="614">
        <f t="shared" si="201"/>
        <v>100000</v>
      </c>
      <c r="M197" s="614">
        <f t="shared" si="201"/>
        <v>10900</v>
      </c>
      <c r="N197" s="614">
        <f t="shared" si="201"/>
        <v>0</v>
      </c>
      <c r="O197" s="614">
        <f t="shared" si="201"/>
        <v>215591</v>
      </c>
      <c r="P197" s="614">
        <f t="shared" si="201"/>
        <v>33910380</v>
      </c>
      <c r="Q197" s="20"/>
      <c r="R197" s="46"/>
    </row>
    <row r="198" spans="1:18" ht="48" thickTop="1" thickBot="1" x14ac:dyDescent="0.25">
      <c r="A198" s="101" t="s">
        <v>332</v>
      </c>
      <c r="B198" s="101" t="s">
        <v>333</v>
      </c>
      <c r="C198" s="101" t="s">
        <v>182</v>
      </c>
      <c r="D198" s="101" t="s">
        <v>462</v>
      </c>
      <c r="E198" s="319">
        <f>F198</f>
        <v>28822789</v>
      </c>
      <c r="F198" s="435">
        <v>28822789</v>
      </c>
      <c r="G198" s="435">
        <v>21830019</v>
      </c>
      <c r="H198" s="435">
        <f>78870+8250+240</f>
        <v>87360</v>
      </c>
      <c r="I198" s="435"/>
      <c r="J198" s="319">
        <f t="shared" si="192"/>
        <v>184000</v>
      </c>
      <c r="K198" s="435"/>
      <c r="L198" s="435">
        <v>100000</v>
      </c>
      <c r="M198" s="435">
        <v>10900</v>
      </c>
      <c r="N198" s="435"/>
      <c r="O198" s="432">
        <f>(K198+84000)</f>
        <v>84000</v>
      </c>
      <c r="P198" s="319">
        <f t="shared" si="193"/>
        <v>29006789</v>
      </c>
      <c r="Q198" s="20"/>
      <c r="R198" s="46"/>
    </row>
    <row r="199" spans="1:18" ht="48" thickTop="1" thickBot="1" x14ac:dyDescent="0.25">
      <c r="A199" s="101" t="s">
        <v>334</v>
      </c>
      <c r="B199" s="101" t="s">
        <v>335</v>
      </c>
      <c r="C199" s="101" t="s">
        <v>182</v>
      </c>
      <c r="D199" s="101" t="s">
        <v>463</v>
      </c>
      <c r="E199" s="319">
        <f>F199</f>
        <v>4772000</v>
      </c>
      <c r="F199" s="435">
        <f>4903591-131591</f>
        <v>4772000</v>
      </c>
      <c r="G199" s="435"/>
      <c r="H199" s="435"/>
      <c r="I199" s="435"/>
      <c r="J199" s="319">
        <f t="shared" si="192"/>
        <v>131591</v>
      </c>
      <c r="K199" s="435">
        <v>131591</v>
      </c>
      <c r="L199" s="435"/>
      <c r="M199" s="435"/>
      <c r="N199" s="435"/>
      <c r="O199" s="432">
        <f t="shared" si="197"/>
        <v>131591</v>
      </c>
      <c r="P199" s="319">
        <f t="shared" si="193"/>
        <v>4903591</v>
      </c>
      <c r="Q199" s="20"/>
      <c r="R199" s="50"/>
    </row>
    <row r="200" spans="1:18" ht="47.25" thickTop="1" thickBot="1" x14ac:dyDescent="0.25">
      <c r="A200" s="307" t="s">
        <v>902</v>
      </c>
      <c r="B200" s="307" t="s">
        <v>739</v>
      </c>
      <c r="C200" s="307"/>
      <c r="D200" s="307" t="s">
        <v>740</v>
      </c>
      <c r="E200" s="319">
        <f>SUM(E201)</f>
        <v>1026850</v>
      </c>
      <c r="F200" s="319">
        <f t="shared" ref="F200:P200" si="202">SUM(F201)</f>
        <v>1026850</v>
      </c>
      <c r="G200" s="319">
        <f t="shared" si="202"/>
        <v>0</v>
      </c>
      <c r="H200" s="319">
        <f t="shared" si="202"/>
        <v>0</v>
      </c>
      <c r="I200" s="319">
        <f t="shared" si="202"/>
        <v>0</v>
      </c>
      <c r="J200" s="319">
        <f t="shared" si="202"/>
        <v>0</v>
      </c>
      <c r="K200" s="319">
        <f t="shared" si="202"/>
        <v>0</v>
      </c>
      <c r="L200" s="319">
        <f t="shared" si="202"/>
        <v>0</v>
      </c>
      <c r="M200" s="319">
        <f t="shared" si="202"/>
        <v>0</v>
      </c>
      <c r="N200" s="319">
        <f t="shared" si="202"/>
        <v>0</v>
      </c>
      <c r="O200" s="319">
        <f t="shared" si="202"/>
        <v>0</v>
      </c>
      <c r="P200" s="319">
        <f t="shared" si="202"/>
        <v>1026850</v>
      </c>
      <c r="Q200" s="20"/>
      <c r="R200" s="50"/>
    </row>
    <row r="201" spans="1:18" ht="47.25" thickTop="1" thickBot="1" x14ac:dyDescent="0.25">
      <c r="A201" s="608" t="s">
        <v>903</v>
      </c>
      <c r="B201" s="608" t="s">
        <v>683</v>
      </c>
      <c r="C201" s="608"/>
      <c r="D201" s="608" t="s">
        <v>681</v>
      </c>
      <c r="E201" s="610">
        <f>E202+E205+E204</f>
        <v>1026850</v>
      </c>
      <c r="F201" s="610">
        <f t="shared" ref="F201:P201" si="203">F202+F205+F204</f>
        <v>1026850</v>
      </c>
      <c r="G201" s="610">
        <f t="shared" si="203"/>
        <v>0</v>
      </c>
      <c r="H201" s="610">
        <f t="shared" si="203"/>
        <v>0</v>
      </c>
      <c r="I201" s="610">
        <f t="shared" si="203"/>
        <v>0</v>
      </c>
      <c r="J201" s="610">
        <f t="shared" si="203"/>
        <v>0</v>
      </c>
      <c r="K201" s="610">
        <f t="shared" si="203"/>
        <v>0</v>
      </c>
      <c r="L201" s="610">
        <f t="shared" si="203"/>
        <v>0</v>
      </c>
      <c r="M201" s="610">
        <f t="shared" si="203"/>
        <v>0</v>
      </c>
      <c r="N201" s="610">
        <f t="shared" si="203"/>
        <v>0</v>
      </c>
      <c r="O201" s="610">
        <f t="shared" si="203"/>
        <v>0</v>
      </c>
      <c r="P201" s="610">
        <f t="shared" si="203"/>
        <v>1026850</v>
      </c>
      <c r="Q201" s="20"/>
      <c r="R201" s="50"/>
    </row>
    <row r="202" spans="1:18" ht="48" thickTop="1" thickBot="1" x14ac:dyDescent="0.25">
      <c r="A202" s="613" t="s">
        <v>1006</v>
      </c>
      <c r="B202" s="613" t="s">
        <v>1007</v>
      </c>
      <c r="C202" s="613"/>
      <c r="D202" s="613" t="s">
        <v>1005</v>
      </c>
      <c r="E202" s="614">
        <f>E203</f>
        <v>1026850</v>
      </c>
      <c r="F202" s="614">
        <f t="shared" ref="F202:P202" si="204">F203</f>
        <v>1026850</v>
      </c>
      <c r="G202" s="614">
        <f t="shared" si="204"/>
        <v>0</v>
      </c>
      <c r="H202" s="614">
        <f t="shared" si="204"/>
        <v>0</v>
      </c>
      <c r="I202" s="614">
        <f t="shared" si="204"/>
        <v>0</v>
      </c>
      <c r="J202" s="614">
        <f t="shared" si="204"/>
        <v>0</v>
      </c>
      <c r="K202" s="614">
        <f t="shared" si="204"/>
        <v>0</v>
      </c>
      <c r="L202" s="614">
        <f t="shared" si="204"/>
        <v>0</v>
      </c>
      <c r="M202" s="614">
        <f t="shared" si="204"/>
        <v>0</v>
      </c>
      <c r="N202" s="614">
        <f t="shared" si="204"/>
        <v>0</v>
      </c>
      <c r="O202" s="614">
        <f t="shared" si="204"/>
        <v>0</v>
      </c>
      <c r="P202" s="614">
        <f t="shared" si="204"/>
        <v>1026850</v>
      </c>
      <c r="Q202" s="20"/>
      <c r="R202" s="50"/>
    </row>
    <row r="203" spans="1:18" ht="48" thickTop="1" thickBot="1" x14ac:dyDescent="0.25">
      <c r="A203" s="101" t="s">
        <v>1009</v>
      </c>
      <c r="B203" s="101" t="s">
        <v>1010</v>
      </c>
      <c r="C203" s="101" t="s">
        <v>213</v>
      </c>
      <c r="D203" s="101" t="s">
        <v>1008</v>
      </c>
      <c r="E203" s="319">
        <f>F203</f>
        <v>1026850</v>
      </c>
      <c r="F203" s="435">
        <v>1026850</v>
      </c>
      <c r="G203" s="435"/>
      <c r="H203" s="435"/>
      <c r="I203" s="435"/>
      <c r="J203" s="319">
        <f>L203+O203</f>
        <v>0</v>
      </c>
      <c r="K203" s="435"/>
      <c r="L203" s="435"/>
      <c r="M203" s="435"/>
      <c r="N203" s="435"/>
      <c r="O203" s="432">
        <f>K203</f>
        <v>0</v>
      </c>
      <c r="P203" s="319">
        <f>E203+J203</f>
        <v>1026850</v>
      </c>
      <c r="Q203" s="20"/>
      <c r="R203" s="50"/>
    </row>
    <row r="204" spans="1:18" ht="48" hidden="1" thickTop="1" thickBot="1" x14ac:dyDescent="0.25">
      <c r="A204" s="126" t="s">
        <v>1229</v>
      </c>
      <c r="B204" s="126" t="s">
        <v>212</v>
      </c>
      <c r="C204" s="126" t="s">
        <v>213</v>
      </c>
      <c r="D204" s="126" t="s">
        <v>41</v>
      </c>
      <c r="E204" s="125">
        <f t="shared" ref="E204" si="205">F204</f>
        <v>0</v>
      </c>
      <c r="F204" s="132"/>
      <c r="G204" s="132"/>
      <c r="H204" s="132"/>
      <c r="I204" s="132"/>
      <c r="J204" s="125">
        <f>L204+O204</f>
        <v>0</v>
      </c>
      <c r="K204" s="132"/>
      <c r="L204" s="132"/>
      <c r="M204" s="132"/>
      <c r="N204" s="132"/>
      <c r="O204" s="130">
        <f>K204</f>
        <v>0</v>
      </c>
      <c r="P204" s="125">
        <f>E204+J204</f>
        <v>0</v>
      </c>
      <c r="Q204" s="20"/>
      <c r="R204" s="50"/>
    </row>
    <row r="205" spans="1:18" ht="48" hidden="1" thickTop="1" thickBot="1" x14ac:dyDescent="0.25">
      <c r="A205" s="126" t="s">
        <v>904</v>
      </c>
      <c r="B205" s="126" t="s">
        <v>197</v>
      </c>
      <c r="C205" s="126" t="s">
        <v>170</v>
      </c>
      <c r="D205" s="126" t="s">
        <v>34</v>
      </c>
      <c r="E205" s="125">
        <f t="shared" ref="E205" si="206">F205</f>
        <v>0</v>
      </c>
      <c r="F205" s="132"/>
      <c r="G205" s="132"/>
      <c r="H205" s="132"/>
      <c r="I205" s="132"/>
      <c r="J205" s="125">
        <f t="shared" ref="J205" si="207">L205+O205</f>
        <v>0</v>
      </c>
      <c r="K205" s="132"/>
      <c r="L205" s="132"/>
      <c r="M205" s="132"/>
      <c r="N205" s="132"/>
      <c r="O205" s="130">
        <f t="shared" ref="O205" si="208">K205</f>
        <v>0</v>
      </c>
      <c r="P205" s="125">
        <f t="shared" ref="P205" si="209">E205+J205</f>
        <v>0</v>
      </c>
      <c r="Q205" s="20"/>
      <c r="R205" s="46"/>
    </row>
    <row r="206" spans="1:18" ht="47.25" hidden="1" thickTop="1" thickBot="1" x14ac:dyDescent="0.25">
      <c r="A206" s="144" t="s">
        <v>751</v>
      </c>
      <c r="B206" s="144" t="s">
        <v>693</v>
      </c>
      <c r="C206" s="144"/>
      <c r="D206" s="144" t="s">
        <v>694</v>
      </c>
      <c r="E206" s="42">
        <f>E207</f>
        <v>0</v>
      </c>
      <c r="F206" s="42">
        <f t="shared" ref="F206:P207" si="210">F207</f>
        <v>0</v>
      </c>
      <c r="G206" s="42">
        <f t="shared" si="210"/>
        <v>0</v>
      </c>
      <c r="H206" s="42">
        <f t="shared" si="210"/>
        <v>0</v>
      </c>
      <c r="I206" s="42">
        <f t="shared" si="210"/>
        <v>0</v>
      </c>
      <c r="J206" s="42">
        <f t="shared" si="210"/>
        <v>0</v>
      </c>
      <c r="K206" s="42">
        <f t="shared" si="210"/>
        <v>0</v>
      </c>
      <c r="L206" s="42">
        <f t="shared" si="210"/>
        <v>0</v>
      </c>
      <c r="M206" s="42">
        <f t="shared" si="210"/>
        <v>0</v>
      </c>
      <c r="N206" s="42">
        <f t="shared" si="210"/>
        <v>0</v>
      </c>
      <c r="O206" s="42">
        <f t="shared" si="210"/>
        <v>0</v>
      </c>
      <c r="P206" s="42">
        <f t="shared" si="210"/>
        <v>0</v>
      </c>
      <c r="Q206" s="20"/>
      <c r="R206" s="50"/>
    </row>
    <row r="207" spans="1:18" ht="91.5" hidden="1" thickTop="1" thickBot="1" x14ac:dyDescent="0.25">
      <c r="A207" s="145" t="s">
        <v>752</v>
      </c>
      <c r="B207" s="145" t="s">
        <v>696</v>
      </c>
      <c r="C207" s="145"/>
      <c r="D207" s="145" t="s">
        <v>697</v>
      </c>
      <c r="E207" s="146">
        <f>E208</f>
        <v>0</v>
      </c>
      <c r="F207" s="146">
        <f t="shared" si="210"/>
        <v>0</v>
      </c>
      <c r="G207" s="146">
        <f t="shared" si="210"/>
        <v>0</v>
      </c>
      <c r="H207" s="146">
        <f t="shared" si="210"/>
        <v>0</v>
      </c>
      <c r="I207" s="146">
        <f t="shared" si="210"/>
        <v>0</v>
      </c>
      <c r="J207" s="146">
        <f t="shared" si="210"/>
        <v>0</v>
      </c>
      <c r="K207" s="146">
        <f t="shared" si="210"/>
        <v>0</v>
      </c>
      <c r="L207" s="146">
        <f t="shared" si="210"/>
        <v>0</v>
      </c>
      <c r="M207" s="146">
        <f t="shared" si="210"/>
        <v>0</v>
      </c>
      <c r="N207" s="146">
        <f t="shared" si="210"/>
        <v>0</v>
      </c>
      <c r="O207" s="146">
        <f t="shared" si="210"/>
        <v>0</v>
      </c>
      <c r="P207" s="146">
        <f t="shared" si="210"/>
        <v>0</v>
      </c>
      <c r="Q207" s="20"/>
      <c r="R207" s="50"/>
    </row>
    <row r="208" spans="1:18" ht="48" hidden="1" thickTop="1" thickBot="1" x14ac:dyDescent="0.25">
      <c r="A208" s="41" t="s">
        <v>581</v>
      </c>
      <c r="B208" s="41" t="s">
        <v>362</v>
      </c>
      <c r="C208" s="41" t="s">
        <v>43</v>
      </c>
      <c r="D208" s="41" t="s">
        <v>363</v>
      </c>
      <c r="E208" s="42">
        <f t="shared" ref="E208" si="211">F208</f>
        <v>0</v>
      </c>
      <c r="F208" s="43">
        <v>0</v>
      </c>
      <c r="G208" s="43"/>
      <c r="H208" s="43"/>
      <c r="I208" s="43"/>
      <c r="J208" s="42">
        <f>L208+O208</f>
        <v>0</v>
      </c>
      <c r="K208" s="43"/>
      <c r="L208" s="43"/>
      <c r="M208" s="43"/>
      <c r="N208" s="43"/>
      <c r="O208" s="44">
        <f>K208</f>
        <v>0</v>
      </c>
      <c r="P208" s="42">
        <f>E208+J208</f>
        <v>0</v>
      </c>
      <c r="Q208" s="20"/>
      <c r="R208" s="50"/>
    </row>
    <row r="209" spans="1:18" ht="120" customHeight="1" thickTop="1" thickBot="1" x14ac:dyDescent="0.25">
      <c r="A209" s="639" t="s">
        <v>22</v>
      </c>
      <c r="B209" s="639"/>
      <c r="C209" s="639"/>
      <c r="D209" s="640" t="s">
        <v>23</v>
      </c>
      <c r="E209" s="641">
        <f>E210</f>
        <v>138458341</v>
      </c>
      <c r="F209" s="642">
        <f t="shared" ref="F209:G209" si="212">F210</f>
        <v>138458341</v>
      </c>
      <c r="G209" s="642">
        <f t="shared" si="212"/>
        <v>54280883</v>
      </c>
      <c r="H209" s="642">
        <f>H210</f>
        <v>4639939</v>
      </c>
      <c r="I209" s="642">
        <f t="shared" ref="I209" si="213">I210</f>
        <v>0</v>
      </c>
      <c r="J209" s="641">
        <f>J210</f>
        <v>2289715</v>
      </c>
      <c r="K209" s="642">
        <f>K210</f>
        <v>0</v>
      </c>
      <c r="L209" s="642">
        <f>L210</f>
        <v>2289715</v>
      </c>
      <c r="M209" s="642">
        <f t="shared" ref="M209" si="214">M210</f>
        <v>891107</v>
      </c>
      <c r="N209" s="642">
        <f>N210</f>
        <v>527653</v>
      </c>
      <c r="O209" s="641">
        <f>O210</f>
        <v>0</v>
      </c>
      <c r="P209" s="642">
        <f t="shared" ref="P209" si="215">P210</f>
        <v>140748056</v>
      </c>
      <c r="Q209" s="20"/>
    </row>
    <row r="210" spans="1:18" ht="120" customHeight="1" thickTop="1" thickBot="1" x14ac:dyDescent="0.25">
      <c r="A210" s="603" t="s">
        <v>21</v>
      </c>
      <c r="B210" s="603"/>
      <c r="C210" s="603"/>
      <c r="D210" s="604" t="s">
        <v>35</v>
      </c>
      <c r="E210" s="605">
        <f>E211+E217+E232+E235+E242</f>
        <v>138458341</v>
      </c>
      <c r="F210" s="605">
        <f t="shared" ref="F210:I210" si="216">F211+F217+F232+F235+F242</f>
        <v>138458341</v>
      </c>
      <c r="G210" s="605">
        <f t="shared" si="216"/>
        <v>54280883</v>
      </c>
      <c r="H210" s="605">
        <f t="shared" si="216"/>
        <v>4639939</v>
      </c>
      <c r="I210" s="605">
        <f t="shared" si="216"/>
        <v>0</v>
      </c>
      <c r="J210" s="605">
        <f>L210+O210</f>
        <v>2289715</v>
      </c>
      <c r="K210" s="605">
        <f t="shared" ref="K210" si="217">K211+K217+K232+K235+K242</f>
        <v>0</v>
      </c>
      <c r="L210" s="605">
        <f t="shared" ref="L210" si="218">L211+L217+L232+L235+L242</f>
        <v>2289715</v>
      </c>
      <c r="M210" s="605">
        <f t="shared" ref="M210" si="219">M211+M217+M232+M235+M242</f>
        <v>891107</v>
      </c>
      <c r="N210" s="605">
        <f t="shared" ref="N210" si="220">N211+N217+N232+N235+N242</f>
        <v>527653</v>
      </c>
      <c r="O210" s="605">
        <f t="shared" ref="O210" si="221">O211+O217+O232+O235+O242</f>
        <v>0</v>
      </c>
      <c r="P210" s="605">
        <f>E210+J210</f>
        <v>140748056</v>
      </c>
      <c r="Q210" s="462" t="b">
        <f>P210=P215+P216+P219+P220+P222+P224+P225+P229+P230+P231</f>
        <v>1</v>
      </c>
      <c r="R210" s="46"/>
    </row>
    <row r="211" spans="1:18" ht="47.25" thickTop="1" thickBot="1" x14ac:dyDescent="0.25">
      <c r="A211" s="307" t="s">
        <v>753</v>
      </c>
      <c r="B211" s="307" t="s">
        <v>702</v>
      </c>
      <c r="C211" s="307"/>
      <c r="D211" s="307" t="s">
        <v>703</v>
      </c>
      <c r="E211" s="655">
        <f>SUM(E212:E216)-E212-E214</f>
        <v>13124167</v>
      </c>
      <c r="F211" s="655">
        <f t="shared" ref="F211:P211" si="222">SUM(F212:F216)-F212-F214</f>
        <v>13124167</v>
      </c>
      <c r="G211" s="655">
        <f t="shared" si="222"/>
        <v>5600711</v>
      </c>
      <c r="H211" s="655">
        <f t="shared" si="222"/>
        <v>973296</v>
      </c>
      <c r="I211" s="655">
        <f t="shared" si="222"/>
        <v>0</v>
      </c>
      <c r="J211" s="655">
        <f t="shared" si="222"/>
        <v>663000</v>
      </c>
      <c r="K211" s="655">
        <f t="shared" si="222"/>
        <v>0</v>
      </c>
      <c r="L211" s="655">
        <f t="shared" si="222"/>
        <v>663000</v>
      </c>
      <c r="M211" s="655">
        <f t="shared" si="222"/>
        <v>316400</v>
      </c>
      <c r="N211" s="655">
        <f t="shared" si="222"/>
        <v>194400</v>
      </c>
      <c r="O211" s="655">
        <f t="shared" si="222"/>
        <v>0</v>
      </c>
      <c r="P211" s="655">
        <f t="shared" si="222"/>
        <v>13787167</v>
      </c>
      <c r="Q211" s="47"/>
      <c r="R211" s="46"/>
    </row>
    <row r="212" spans="1:18" s="33" customFormat="1" ht="48" hidden="1" thickTop="1" thickBot="1" x14ac:dyDescent="0.25">
      <c r="A212" s="613" t="s">
        <v>754</v>
      </c>
      <c r="B212" s="613" t="s">
        <v>755</v>
      </c>
      <c r="C212" s="613"/>
      <c r="D212" s="613" t="s">
        <v>756</v>
      </c>
      <c r="E212" s="656">
        <f>E213</f>
        <v>0</v>
      </c>
      <c r="F212" s="656">
        <f t="shared" ref="F212:P212" si="223">F213</f>
        <v>0</v>
      </c>
      <c r="G212" s="656">
        <f t="shared" si="223"/>
        <v>0</v>
      </c>
      <c r="H212" s="656">
        <f t="shared" si="223"/>
        <v>0</v>
      </c>
      <c r="I212" s="656">
        <f t="shared" si="223"/>
        <v>0</v>
      </c>
      <c r="J212" s="656">
        <f t="shared" si="223"/>
        <v>0</v>
      </c>
      <c r="K212" s="656">
        <f t="shared" si="223"/>
        <v>0</v>
      </c>
      <c r="L212" s="656">
        <f t="shared" si="223"/>
        <v>0</v>
      </c>
      <c r="M212" s="656">
        <f t="shared" si="223"/>
        <v>0</v>
      </c>
      <c r="N212" s="656">
        <f t="shared" si="223"/>
        <v>0</v>
      </c>
      <c r="O212" s="656">
        <f t="shared" si="223"/>
        <v>0</v>
      </c>
      <c r="P212" s="656">
        <f t="shared" si="223"/>
        <v>0</v>
      </c>
      <c r="Q212" s="154"/>
      <c r="R212" s="52"/>
    </row>
    <row r="213" spans="1:18" ht="48" hidden="1" thickTop="1" thickBot="1" x14ac:dyDescent="0.25">
      <c r="A213" s="101" t="s">
        <v>183</v>
      </c>
      <c r="B213" s="101" t="s">
        <v>184</v>
      </c>
      <c r="C213" s="101" t="s">
        <v>185</v>
      </c>
      <c r="D213" s="101" t="s">
        <v>632</v>
      </c>
      <c r="E213" s="308">
        <f t="shared" ref="E213:E230" si="224">F213</f>
        <v>0</v>
      </c>
      <c r="F213" s="317">
        <f>(6040461)-6040461</f>
        <v>0</v>
      </c>
      <c r="G213" s="317">
        <f>(4559615)-4559615</f>
        <v>0</v>
      </c>
      <c r="H213" s="317">
        <f>(96665+5295+31600+3840)-137400</f>
        <v>0</v>
      </c>
      <c r="I213" s="317"/>
      <c r="J213" s="319">
        <f t="shared" ref="J213:J241" si="225">L213+O213</f>
        <v>0</v>
      </c>
      <c r="K213" s="317"/>
      <c r="L213" s="431"/>
      <c r="M213" s="431"/>
      <c r="N213" s="431"/>
      <c r="O213" s="432">
        <f t="shared" ref="O213:O241" si="226">K213</f>
        <v>0</v>
      </c>
      <c r="P213" s="319">
        <f>+J213+E213</f>
        <v>0</v>
      </c>
      <c r="Q213" s="50"/>
      <c r="R213" s="50"/>
    </row>
    <row r="214" spans="1:18" s="33" customFormat="1" ht="93" thickTop="1" thickBot="1" x14ac:dyDescent="0.25">
      <c r="A214" s="613" t="s">
        <v>757</v>
      </c>
      <c r="B214" s="613" t="s">
        <v>758</v>
      </c>
      <c r="C214" s="613"/>
      <c r="D214" s="613" t="s">
        <v>1480</v>
      </c>
      <c r="E214" s="625">
        <f>SUM(E215:E216)</f>
        <v>13124167</v>
      </c>
      <c r="F214" s="625">
        <f t="shared" ref="F214:P214" si="227">SUM(F215:F216)</f>
        <v>13124167</v>
      </c>
      <c r="G214" s="625">
        <f t="shared" si="227"/>
        <v>5600711</v>
      </c>
      <c r="H214" s="625">
        <f t="shared" si="227"/>
        <v>973296</v>
      </c>
      <c r="I214" s="625">
        <f t="shared" si="227"/>
        <v>0</v>
      </c>
      <c r="J214" s="625">
        <f t="shared" si="227"/>
        <v>663000</v>
      </c>
      <c r="K214" s="625">
        <f t="shared" si="227"/>
        <v>0</v>
      </c>
      <c r="L214" s="625">
        <f>SUM(L215:L216)</f>
        <v>663000</v>
      </c>
      <c r="M214" s="625">
        <f t="shared" si="227"/>
        <v>316400</v>
      </c>
      <c r="N214" s="625">
        <f t="shared" si="227"/>
        <v>194400</v>
      </c>
      <c r="O214" s="625">
        <f t="shared" si="227"/>
        <v>0</v>
      </c>
      <c r="P214" s="625">
        <f t="shared" si="227"/>
        <v>13787167</v>
      </c>
      <c r="Q214" s="51"/>
      <c r="R214" s="51"/>
    </row>
    <row r="215" spans="1:18" ht="48" thickTop="1" thickBot="1" x14ac:dyDescent="0.25">
      <c r="A215" s="101" t="s">
        <v>189</v>
      </c>
      <c r="B215" s="101" t="s">
        <v>190</v>
      </c>
      <c r="C215" s="101" t="s">
        <v>185</v>
      </c>
      <c r="D215" s="101" t="s">
        <v>10</v>
      </c>
      <c r="E215" s="308">
        <f t="shared" si="224"/>
        <v>6076270</v>
      </c>
      <c r="F215" s="317">
        <v>6076270</v>
      </c>
      <c r="G215" s="317">
        <v>3853926</v>
      </c>
      <c r="H215" s="317">
        <f>545789+6906+227520+2675</f>
        <v>782890</v>
      </c>
      <c r="I215" s="317"/>
      <c r="J215" s="319">
        <f t="shared" si="225"/>
        <v>656000</v>
      </c>
      <c r="K215" s="317"/>
      <c r="L215" s="431">
        <v>656000</v>
      </c>
      <c r="M215" s="431">
        <v>316400</v>
      </c>
      <c r="N215" s="431">
        <v>194400</v>
      </c>
      <c r="O215" s="432">
        <f>K215+0</f>
        <v>0</v>
      </c>
      <c r="P215" s="319">
        <f t="shared" ref="P215:P241" si="228">E215+J215</f>
        <v>6732270</v>
      </c>
      <c r="Q215" s="20"/>
      <c r="R215" s="46"/>
    </row>
    <row r="216" spans="1:18" ht="48" thickTop="1" thickBot="1" x14ac:dyDescent="0.25">
      <c r="A216" s="101" t="s">
        <v>350</v>
      </c>
      <c r="B216" s="101" t="s">
        <v>351</v>
      </c>
      <c r="C216" s="101" t="s">
        <v>185</v>
      </c>
      <c r="D216" s="101" t="s">
        <v>352</v>
      </c>
      <c r="E216" s="308">
        <f t="shared" si="224"/>
        <v>7047897</v>
      </c>
      <c r="F216" s="317">
        <v>7047897</v>
      </c>
      <c r="G216" s="317">
        <v>1746785</v>
      </c>
      <c r="H216" s="317">
        <f>100540+6560+80906+2400</f>
        <v>190406</v>
      </c>
      <c r="I216" s="317"/>
      <c r="J216" s="319">
        <f t="shared" si="225"/>
        <v>7000</v>
      </c>
      <c r="K216" s="317"/>
      <c r="L216" s="431">
        <v>7000</v>
      </c>
      <c r="M216" s="431"/>
      <c r="N216" s="431"/>
      <c r="O216" s="432">
        <f>K216+0</f>
        <v>0</v>
      </c>
      <c r="P216" s="319">
        <f t="shared" si="228"/>
        <v>7054897</v>
      </c>
      <c r="Q216" s="20"/>
      <c r="R216" s="46"/>
    </row>
    <row r="217" spans="1:18" ht="47.25" thickTop="1" thickBot="1" x14ac:dyDescent="0.25">
      <c r="A217" s="307" t="s">
        <v>759</v>
      </c>
      <c r="B217" s="307" t="s">
        <v>760</v>
      </c>
      <c r="C217" s="101"/>
      <c r="D217" s="307" t="s">
        <v>761</v>
      </c>
      <c r="E217" s="308">
        <f t="shared" ref="E217:P217" si="229">SUM(E218:E231)-E218-E221-E223-E228-E226</f>
        <v>125334174</v>
      </c>
      <c r="F217" s="308">
        <f t="shared" si="229"/>
        <v>125334174</v>
      </c>
      <c r="G217" s="308">
        <f t="shared" si="229"/>
        <v>48680172</v>
      </c>
      <c r="H217" s="308">
        <f t="shared" si="229"/>
        <v>3666643</v>
      </c>
      <c r="I217" s="308">
        <f t="shared" si="229"/>
        <v>0</v>
      </c>
      <c r="J217" s="308">
        <f t="shared" si="229"/>
        <v>1626715</v>
      </c>
      <c r="K217" s="308">
        <f t="shared" si="229"/>
        <v>0</v>
      </c>
      <c r="L217" s="308">
        <f t="shared" si="229"/>
        <v>1626715</v>
      </c>
      <c r="M217" s="308">
        <f t="shared" si="229"/>
        <v>574707</v>
      </c>
      <c r="N217" s="308">
        <f t="shared" si="229"/>
        <v>333253</v>
      </c>
      <c r="O217" s="308">
        <f t="shared" si="229"/>
        <v>0</v>
      </c>
      <c r="P217" s="308">
        <f t="shared" si="229"/>
        <v>126960889</v>
      </c>
      <c r="Q217" s="20"/>
      <c r="R217" s="46"/>
    </row>
    <row r="218" spans="1:18" s="33" customFormat="1" ht="48" thickTop="1" thickBot="1" x14ac:dyDescent="0.25">
      <c r="A218" s="613" t="s">
        <v>762</v>
      </c>
      <c r="B218" s="613" t="s">
        <v>763</v>
      </c>
      <c r="C218" s="613"/>
      <c r="D218" s="613" t="s">
        <v>764</v>
      </c>
      <c r="E218" s="625">
        <f>SUM(E219:E220)</f>
        <v>43223256</v>
      </c>
      <c r="F218" s="625">
        <f t="shared" ref="F218:P218" si="230">SUM(F219:F220)</f>
        <v>43223256</v>
      </c>
      <c r="G218" s="625">
        <f t="shared" si="230"/>
        <v>0</v>
      </c>
      <c r="H218" s="625">
        <f t="shared" si="230"/>
        <v>0</v>
      </c>
      <c r="I218" s="625">
        <f t="shared" si="230"/>
        <v>0</v>
      </c>
      <c r="J218" s="625">
        <f t="shared" si="230"/>
        <v>0</v>
      </c>
      <c r="K218" s="625">
        <f t="shared" si="230"/>
        <v>0</v>
      </c>
      <c r="L218" s="625">
        <f t="shared" si="230"/>
        <v>0</v>
      </c>
      <c r="M218" s="625">
        <f t="shared" si="230"/>
        <v>0</v>
      </c>
      <c r="N218" s="625">
        <f t="shared" si="230"/>
        <v>0</v>
      </c>
      <c r="O218" s="625">
        <f t="shared" si="230"/>
        <v>0</v>
      </c>
      <c r="P218" s="625">
        <f t="shared" si="230"/>
        <v>43223256</v>
      </c>
      <c r="Q218" s="36"/>
      <c r="R218" s="52"/>
    </row>
    <row r="219" spans="1:18" ht="93" thickTop="1" thickBot="1" x14ac:dyDescent="0.25">
      <c r="A219" s="101" t="s">
        <v>44</v>
      </c>
      <c r="B219" s="101" t="s">
        <v>186</v>
      </c>
      <c r="C219" s="101" t="s">
        <v>195</v>
      </c>
      <c r="D219" s="101" t="s">
        <v>45</v>
      </c>
      <c r="E219" s="308">
        <f t="shared" si="224"/>
        <v>39000000</v>
      </c>
      <c r="F219" s="317">
        <v>39000000</v>
      </c>
      <c r="G219" s="435"/>
      <c r="H219" s="435"/>
      <c r="I219" s="435"/>
      <c r="J219" s="319">
        <f t="shared" si="225"/>
        <v>0</v>
      </c>
      <c r="K219" s="435"/>
      <c r="L219" s="435"/>
      <c r="M219" s="435"/>
      <c r="N219" s="435"/>
      <c r="O219" s="432">
        <f t="shared" si="226"/>
        <v>0</v>
      </c>
      <c r="P219" s="319">
        <f t="shared" si="228"/>
        <v>39000000</v>
      </c>
      <c r="Q219" s="20"/>
      <c r="R219" s="46"/>
    </row>
    <row r="220" spans="1:18" ht="93" thickTop="1" thickBot="1" x14ac:dyDescent="0.25">
      <c r="A220" s="101" t="s">
        <v>46</v>
      </c>
      <c r="B220" s="101" t="s">
        <v>187</v>
      </c>
      <c r="C220" s="101" t="s">
        <v>195</v>
      </c>
      <c r="D220" s="101" t="s">
        <v>4</v>
      </c>
      <c r="E220" s="308">
        <f t="shared" si="224"/>
        <v>4223256</v>
      </c>
      <c r="F220" s="317">
        <v>4223256</v>
      </c>
      <c r="G220" s="435"/>
      <c r="H220" s="435"/>
      <c r="I220" s="435"/>
      <c r="J220" s="319">
        <f t="shared" si="225"/>
        <v>0</v>
      </c>
      <c r="K220" s="435"/>
      <c r="L220" s="435"/>
      <c r="M220" s="435"/>
      <c r="N220" s="435"/>
      <c r="O220" s="432">
        <f t="shared" si="226"/>
        <v>0</v>
      </c>
      <c r="P220" s="319">
        <f t="shared" si="228"/>
        <v>4223256</v>
      </c>
      <c r="Q220" s="20"/>
      <c r="R220" s="46"/>
    </row>
    <row r="221" spans="1:18" s="33" customFormat="1" ht="93" thickTop="1" thickBot="1" x14ac:dyDescent="0.25">
      <c r="A221" s="613" t="s">
        <v>765</v>
      </c>
      <c r="B221" s="613" t="s">
        <v>766</v>
      </c>
      <c r="C221" s="613"/>
      <c r="D221" s="613" t="s">
        <v>767</v>
      </c>
      <c r="E221" s="625">
        <f>E222</f>
        <v>28500</v>
      </c>
      <c r="F221" s="625">
        <f t="shared" ref="F221:P221" si="231">F222</f>
        <v>28500</v>
      </c>
      <c r="G221" s="625">
        <f t="shared" si="231"/>
        <v>0</v>
      </c>
      <c r="H221" s="625">
        <f t="shared" si="231"/>
        <v>0</v>
      </c>
      <c r="I221" s="625">
        <f t="shared" si="231"/>
        <v>0</v>
      </c>
      <c r="J221" s="625">
        <f t="shared" si="231"/>
        <v>0</v>
      </c>
      <c r="K221" s="625">
        <f t="shared" si="231"/>
        <v>0</v>
      </c>
      <c r="L221" s="625">
        <f t="shared" si="231"/>
        <v>0</v>
      </c>
      <c r="M221" s="625">
        <f t="shared" si="231"/>
        <v>0</v>
      </c>
      <c r="N221" s="625">
        <f t="shared" si="231"/>
        <v>0</v>
      </c>
      <c r="O221" s="625">
        <f t="shared" si="231"/>
        <v>0</v>
      </c>
      <c r="P221" s="625">
        <f t="shared" si="231"/>
        <v>28500</v>
      </c>
      <c r="Q221" s="36"/>
      <c r="R221" s="53"/>
    </row>
    <row r="222" spans="1:18" ht="93" thickTop="1" thickBot="1" x14ac:dyDescent="0.25">
      <c r="A222" s="101" t="s">
        <v>47</v>
      </c>
      <c r="B222" s="101" t="s">
        <v>188</v>
      </c>
      <c r="C222" s="101" t="s">
        <v>195</v>
      </c>
      <c r="D222" s="101" t="s">
        <v>348</v>
      </c>
      <c r="E222" s="308">
        <f>F222</f>
        <v>28500</v>
      </c>
      <c r="F222" s="317">
        <v>28500</v>
      </c>
      <c r="G222" s="317"/>
      <c r="H222" s="317"/>
      <c r="I222" s="435"/>
      <c r="J222" s="319">
        <f t="shared" si="225"/>
        <v>0</v>
      </c>
      <c r="K222" s="435"/>
      <c r="L222" s="317"/>
      <c r="M222" s="317"/>
      <c r="N222" s="317"/>
      <c r="O222" s="432">
        <f t="shared" si="226"/>
        <v>0</v>
      </c>
      <c r="P222" s="319">
        <f t="shared" si="228"/>
        <v>28500</v>
      </c>
      <c r="Q222" s="20"/>
      <c r="R222" s="46"/>
    </row>
    <row r="223" spans="1:18" ht="48" thickTop="1" thickBot="1" x14ac:dyDescent="0.25">
      <c r="A223" s="613" t="s">
        <v>768</v>
      </c>
      <c r="B223" s="613" t="s">
        <v>769</v>
      </c>
      <c r="C223" s="613"/>
      <c r="D223" s="613" t="s">
        <v>770</v>
      </c>
      <c r="E223" s="625">
        <f>SUM(E224:E225)</f>
        <v>74160314</v>
      </c>
      <c r="F223" s="625">
        <f t="shared" ref="F223:P223" si="232">SUM(F224:F225)</f>
        <v>74160314</v>
      </c>
      <c r="G223" s="625">
        <f t="shared" si="232"/>
        <v>47229151</v>
      </c>
      <c r="H223" s="625">
        <f t="shared" si="232"/>
        <v>3666643</v>
      </c>
      <c r="I223" s="625">
        <f t="shared" si="232"/>
        <v>0</v>
      </c>
      <c r="J223" s="625">
        <f t="shared" si="232"/>
        <v>1497556</v>
      </c>
      <c r="K223" s="625">
        <f t="shared" si="232"/>
        <v>0</v>
      </c>
      <c r="L223" s="625">
        <f t="shared" si="232"/>
        <v>1497556</v>
      </c>
      <c r="M223" s="625">
        <f t="shared" si="232"/>
        <v>574707</v>
      </c>
      <c r="N223" s="625">
        <f t="shared" si="232"/>
        <v>333253</v>
      </c>
      <c r="O223" s="625">
        <f t="shared" si="232"/>
        <v>0</v>
      </c>
      <c r="P223" s="625">
        <f t="shared" si="232"/>
        <v>75657870</v>
      </c>
      <c r="Q223" s="20"/>
      <c r="R223" s="46"/>
    </row>
    <row r="224" spans="1:18" ht="93" thickTop="1" thickBot="1" x14ac:dyDescent="0.25">
      <c r="A224" s="101" t="s">
        <v>28</v>
      </c>
      <c r="B224" s="101" t="s">
        <v>192</v>
      </c>
      <c r="C224" s="101" t="s">
        <v>195</v>
      </c>
      <c r="D224" s="101" t="s">
        <v>48</v>
      </c>
      <c r="E224" s="308">
        <f t="shared" si="224"/>
        <v>66836891</v>
      </c>
      <c r="F224" s="317">
        <v>66836891</v>
      </c>
      <c r="G224" s="317">
        <f>14527977+11809360+13664752+7227062</f>
        <v>47229151</v>
      </c>
      <c r="H224" s="317">
        <f>606847+129600+600000+67934+488337+52697+289933+57199+7194+27222+21756+456102+290424+8040+276756+16712+207990+59200+2700</f>
        <v>3666643</v>
      </c>
      <c r="I224" s="317"/>
      <c r="J224" s="319">
        <f t="shared" si="225"/>
        <v>1497556</v>
      </c>
      <c r="K224" s="317"/>
      <c r="L224" s="317">
        <f>1497556</f>
        <v>1497556</v>
      </c>
      <c r="M224" s="317">
        <v>574707</v>
      </c>
      <c r="N224" s="317">
        <v>333253</v>
      </c>
      <c r="O224" s="432">
        <f>(K224+0)</f>
        <v>0</v>
      </c>
      <c r="P224" s="319">
        <f t="shared" si="228"/>
        <v>68334447</v>
      </c>
      <c r="Q224" s="20"/>
      <c r="R224" s="46"/>
    </row>
    <row r="225" spans="1:18" ht="93" thickTop="1" thickBot="1" x14ac:dyDescent="0.25">
      <c r="A225" s="101" t="s">
        <v>29</v>
      </c>
      <c r="B225" s="101" t="s">
        <v>193</v>
      </c>
      <c r="C225" s="101" t="s">
        <v>195</v>
      </c>
      <c r="D225" s="101" t="s">
        <v>49</v>
      </c>
      <c r="E225" s="308">
        <f t="shared" si="224"/>
        <v>7323423</v>
      </c>
      <c r="F225" s="317">
        <v>7323423</v>
      </c>
      <c r="G225" s="317"/>
      <c r="H225" s="317"/>
      <c r="I225" s="317"/>
      <c r="J225" s="319">
        <f t="shared" si="225"/>
        <v>0</v>
      </c>
      <c r="K225" s="317">
        <v>0</v>
      </c>
      <c r="L225" s="317"/>
      <c r="M225" s="317"/>
      <c r="N225" s="317"/>
      <c r="O225" s="432">
        <f t="shared" si="226"/>
        <v>0</v>
      </c>
      <c r="P225" s="319">
        <f t="shared" si="228"/>
        <v>7323423</v>
      </c>
      <c r="Q225" s="20"/>
      <c r="R225" s="46"/>
    </row>
    <row r="226" spans="1:18" ht="69.75" hidden="1" customHeight="1" thickTop="1" thickBot="1" x14ac:dyDescent="0.25">
      <c r="A226" s="383" t="s">
        <v>1336</v>
      </c>
      <c r="B226" s="138" t="s">
        <v>805</v>
      </c>
      <c r="C226" s="138"/>
      <c r="D226" s="138" t="s">
        <v>806</v>
      </c>
      <c r="E226" s="155">
        <f>E227</f>
        <v>0</v>
      </c>
      <c r="F226" s="155">
        <f t="shared" ref="F226:P226" si="233">F227</f>
        <v>0</v>
      </c>
      <c r="G226" s="155">
        <f t="shared" si="233"/>
        <v>0</v>
      </c>
      <c r="H226" s="155">
        <f t="shared" si="233"/>
        <v>0</v>
      </c>
      <c r="I226" s="155">
        <f t="shared" si="233"/>
        <v>0</v>
      </c>
      <c r="J226" s="155">
        <f t="shared" si="233"/>
        <v>0</v>
      </c>
      <c r="K226" s="155">
        <f t="shared" si="233"/>
        <v>0</v>
      </c>
      <c r="L226" s="155">
        <f t="shared" si="233"/>
        <v>0</v>
      </c>
      <c r="M226" s="155">
        <f t="shared" si="233"/>
        <v>0</v>
      </c>
      <c r="N226" s="155">
        <f t="shared" si="233"/>
        <v>0</v>
      </c>
      <c r="O226" s="155">
        <f t="shared" si="233"/>
        <v>0</v>
      </c>
      <c r="P226" s="155">
        <f t="shared" si="233"/>
        <v>0</v>
      </c>
      <c r="Q226" s="20"/>
      <c r="R226" s="46"/>
    </row>
    <row r="227" spans="1:18" ht="93" hidden="1" customHeight="1" thickTop="1" thickBot="1" x14ac:dyDescent="0.25">
      <c r="A227" s="126" t="s">
        <v>1337</v>
      </c>
      <c r="B227" s="126" t="s">
        <v>1338</v>
      </c>
      <c r="C227" s="126" t="s">
        <v>195</v>
      </c>
      <c r="D227" s="126" t="s">
        <v>1339</v>
      </c>
      <c r="E227" s="150">
        <f t="shared" ref="E227" si="234">F227</f>
        <v>0</v>
      </c>
      <c r="F227" s="127"/>
      <c r="G227" s="127"/>
      <c r="H227" s="127"/>
      <c r="I227" s="127"/>
      <c r="J227" s="125">
        <f t="shared" ref="J227" si="235">L227+O227</f>
        <v>0</v>
      </c>
      <c r="K227" s="127">
        <v>0</v>
      </c>
      <c r="L227" s="127"/>
      <c r="M227" s="127"/>
      <c r="N227" s="127"/>
      <c r="O227" s="130">
        <f t="shared" ref="O227" si="236">K227</f>
        <v>0</v>
      </c>
      <c r="P227" s="125">
        <f t="shared" ref="P227" si="237">E227+J227</f>
        <v>0</v>
      </c>
      <c r="Q227" s="20"/>
      <c r="R227" s="46"/>
    </row>
    <row r="228" spans="1:18" ht="48" thickTop="1" thickBot="1" x14ac:dyDescent="0.25">
      <c r="A228" s="657" t="s">
        <v>771</v>
      </c>
      <c r="B228" s="613" t="s">
        <v>772</v>
      </c>
      <c r="C228" s="613"/>
      <c r="D228" s="613" t="s">
        <v>773</v>
      </c>
      <c r="E228" s="625">
        <f>SUM(E229:E231)</f>
        <v>7922104</v>
      </c>
      <c r="F228" s="625">
        <f t="shared" ref="F228:P228" si="238">SUM(F229:F231)</f>
        <v>7922104</v>
      </c>
      <c r="G228" s="625">
        <f t="shared" si="238"/>
        <v>1451021</v>
      </c>
      <c r="H228" s="625">
        <f t="shared" si="238"/>
        <v>0</v>
      </c>
      <c r="I228" s="625">
        <f t="shared" si="238"/>
        <v>0</v>
      </c>
      <c r="J228" s="625">
        <f t="shared" si="238"/>
        <v>129159</v>
      </c>
      <c r="K228" s="625">
        <f t="shared" si="238"/>
        <v>0</v>
      </c>
      <c r="L228" s="625">
        <f t="shared" si="238"/>
        <v>129159</v>
      </c>
      <c r="M228" s="625">
        <f t="shared" si="238"/>
        <v>0</v>
      </c>
      <c r="N228" s="625">
        <f t="shared" si="238"/>
        <v>0</v>
      </c>
      <c r="O228" s="625">
        <f t="shared" si="238"/>
        <v>0</v>
      </c>
      <c r="P228" s="625">
        <f t="shared" si="238"/>
        <v>8051263</v>
      </c>
      <c r="Q228" s="20"/>
      <c r="R228" s="46"/>
    </row>
    <row r="229" spans="1:18" ht="138.75" thickTop="1" thickBot="1" x14ac:dyDescent="0.25">
      <c r="A229" s="658" t="s">
        <v>30</v>
      </c>
      <c r="B229" s="658" t="s">
        <v>194</v>
      </c>
      <c r="C229" s="658" t="s">
        <v>195</v>
      </c>
      <c r="D229" s="101" t="s">
        <v>31</v>
      </c>
      <c r="E229" s="308">
        <f t="shared" si="224"/>
        <v>850564</v>
      </c>
      <c r="F229" s="317">
        <v>850564</v>
      </c>
      <c r="G229" s="435"/>
      <c r="H229" s="435"/>
      <c r="I229" s="435"/>
      <c r="J229" s="319">
        <f t="shared" si="225"/>
        <v>0</v>
      </c>
      <c r="K229" s="435"/>
      <c r="L229" s="435"/>
      <c r="M229" s="435"/>
      <c r="N229" s="435"/>
      <c r="O229" s="432">
        <f t="shared" si="226"/>
        <v>0</v>
      </c>
      <c r="P229" s="319">
        <f t="shared" si="228"/>
        <v>850564</v>
      </c>
      <c r="Q229" s="20"/>
      <c r="R229" s="46"/>
    </row>
    <row r="230" spans="1:18" ht="93" thickTop="1" thickBot="1" x14ac:dyDescent="0.25">
      <c r="A230" s="658" t="s">
        <v>510</v>
      </c>
      <c r="B230" s="658" t="s">
        <v>508</v>
      </c>
      <c r="C230" s="658" t="s">
        <v>195</v>
      </c>
      <c r="D230" s="101" t="s">
        <v>509</v>
      </c>
      <c r="E230" s="308">
        <f t="shared" si="224"/>
        <v>4892000</v>
      </c>
      <c r="F230" s="317">
        <v>4892000</v>
      </c>
      <c r="G230" s="435"/>
      <c r="H230" s="435"/>
      <c r="I230" s="435"/>
      <c r="J230" s="319">
        <f t="shared" si="225"/>
        <v>0</v>
      </c>
      <c r="K230" s="435"/>
      <c r="L230" s="435"/>
      <c r="M230" s="435"/>
      <c r="N230" s="435"/>
      <c r="O230" s="432">
        <f t="shared" si="226"/>
        <v>0</v>
      </c>
      <c r="P230" s="319">
        <f t="shared" si="228"/>
        <v>4892000</v>
      </c>
      <c r="Q230" s="20"/>
      <c r="R230" s="46"/>
    </row>
    <row r="231" spans="1:18" ht="73.5" customHeight="1" thickTop="1" thickBot="1" x14ac:dyDescent="0.25">
      <c r="A231" s="658" t="s">
        <v>32</v>
      </c>
      <c r="B231" s="658" t="s">
        <v>196</v>
      </c>
      <c r="C231" s="658" t="s">
        <v>195</v>
      </c>
      <c r="D231" s="101" t="s">
        <v>33</v>
      </c>
      <c r="E231" s="308">
        <f>F231</f>
        <v>2179540</v>
      </c>
      <c r="F231" s="317">
        <v>2179540</v>
      </c>
      <c r="G231" s="435">
        <v>1451021</v>
      </c>
      <c r="H231" s="435"/>
      <c r="I231" s="435"/>
      <c r="J231" s="319">
        <f t="shared" si="225"/>
        <v>129159</v>
      </c>
      <c r="K231" s="435"/>
      <c r="L231" s="435">
        <v>129159</v>
      </c>
      <c r="M231" s="435"/>
      <c r="N231" s="435"/>
      <c r="O231" s="432">
        <f>K231+0</f>
        <v>0</v>
      </c>
      <c r="P231" s="319">
        <f t="shared" si="228"/>
        <v>2308699</v>
      </c>
      <c r="Q231" s="20"/>
      <c r="R231" s="46"/>
    </row>
    <row r="232" spans="1:18" ht="47.25" hidden="1" thickTop="1" thickBot="1" x14ac:dyDescent="0.25">
      <c r="A232" s="123" t="s">
        <v>774</v>
      </c>
      <c r="B232" s="123" t="s">
        <v>733</v>
      </c>
      <c r="C232" s="123"/>
      <c r="D232" s="382" t="s">
        <v>734</v>
      </c>
      <c r="E232" s="150">
        <f>E233</f>
        <v>0</v>
      </c>
      <c r="F232" s="150">
        <f t="shared" ref="F232:P233" si="239">F233</f>
        <v>0</v>
      </c>
      <c r="G232" s="150">
        <f t="shared" si="239"/>
        <v>0</v>
      </c>
      <c r="H232" s="150">
        <f t="shared" si="239"/>
        <v>0</v>
      </c>
      <c r="I232" s="150">
        <f t="shared" si="239"/>
        <v>0</v>
      </c>
      <c r="J232" s="150">
        <f t="shared" si="239"/>
        <v>0</v>
      </c>
      <c r="K232" s="150">
        <f t="shared" si="239"/>
        <v>0</v>
      </c>
      <c r="L232" s="150">
        <f t="shared" si="239"/>
        <v>0</v>
      </c>
      <c r="M232" s="150">
        <f t="shared" si="239"/>
        <v>0</v>
      </c>
      <c r="N232" s="150">
        <f t="shared" si="239"/>
        <v>0</v>
      </c>
      <c r="O232" s="150">
        <f t="shared" si="239"/>
        <v>0</v>
      </c>
      <c r="P232" s="150">
        <f t="shared" si="239"/>
        <v>0</v>
      </c>
      <c r="Q232" s="20"/>
      <c r="R232" s="46"/>
    </row>
    <row r="233" spans="1:18" ht="48" hidden="1" thickTop="1" thickBot="1" x14ac:dyDescent="0.25">
      <c r="A233" s="383" t="s">
        <v>775</v>
      </c>
      <c r="B233" s="383" t="s">
        <v>736</v>
      </c>
      <c r="C233" s="383"/>
      <c r="D233" s="138" t="s">
        <v>737</v>
      </c>
      <c r="E233" s="155">
        <f>E234</f>
        <v>0</v>
      </c>
      <c r="F233" s="155">
        <f t="shared" si="239"/>
        <v>0</v>
      </c>
      <c r="G233" s="155">
        <f t="shared" si="239"/>
        <v>0</v>
      </c>
      <c r="H233" s="155">
        <f t="shared" si="239"/>
        <v>0</v>
      </c>
      <c r="I233" s="155">
        <f t="shared" si="239"/>
        <v>0</v>
      </c>
      <c r="J233" s="155">
        <f t="shared" si="239"/>
        <v>0</v>
      </c>
      <c r="K233" s="155">
        <f t="shared" si="239"/>
        <v>0</v>
      </c>
      <c r="L233" s="155">
        <f t="shared" si="239"/>
        <v>0</v>
      </c>
      <c r="M233" s="155">
        <f t="shared" si="239"/>
        <v>0</v>
      </c>
      <c r="N233" s="155">
        <f t="shared" si="239"/>
        <v>0</v>
      </c>
      <c r="O233" s="155">
        <f t="shared" si="239"/>
        <v>0</v>
      </c>
      <c r="P233" s="155">
        <f t="shared" si="239"/>
        <v>0</v>
      </c>
      <c r="Q233" s="20"/>
      <c r="R233" s="46"/>
    </row>
    <row r="234" spans="1:18" ht="138.75" hidden="1" thickTop="1" thickBot="1" x14ac:dyDescent="0.25">
      <c r="A234" s="384" t="s">
        <v>341</v>
      </c>
      <c r="B234" s="384" t="s">
        <v>340</v>
      </c>
      <c r="C234" s="384" t="s">
        <v>339</v>
      </c>
      <c r="D234" s="126" t="s">
        <v>633</v>
      </c>
      <c r="E234" s="150">
        <f>F234</f>
        <v>0</v>
      </c>
      <c r="F234" s="127"/>
      <c r="G234" s="132"/>
      <c r="H234" s="132"/>
      <c r="I234" s="132"/>
      <c r="J234" s="125">
        <f t="shared" si="225"/>
        <v>0</v>
      </c>
      <c r="K234" s="132"/>
      <c r="L234" s="132"/>
      <c r="M234" s="132"/>
      <c r="N234" s="132"/>
      <c r="O234" s="130">
        <f t="shared" si="226"/>
        <v>0</v>
      </c>
      <c r="P234" s="125">
        <f t="shared" si="228"/>
        <v>0</v>
      </c>
      <c r="Q234" s="20"/>
      <c r="R234" s="50"/>
    </row>
    <row r="235" spans="1:18" ht="47.25" hidden="1" thickTop="1" thickBot="1" x14ac:dyDescent="0.25">
      <c r="A235" s="123" t="s">
        <v>776</v>
      </c>
      <c r="B235" s="123" t="s">
        <v>739</v>
      </c>
      <c r="C235" s="123"/>
      <c r="D235" s="123" t="s">
        <v>740</v>
      </c>
      <c r="E235" s="150">
        <f>E239+E236</f>
        <v>0</v>
      </c>
      <c r="F235" s="150">
        <f t="shared" ref="F235:P235" si="240">F239+F236</f>
        <v>0</v>
      </c>
      <c r="G235" s="150">
        <f t="shared" si="240"/>
        <v>0</v>
      </c>
      <c r="H235" s="150">
        <f t="shared" si="240"/>
        <v>0</v>
      </c>
      <c r="I235" s="150">
        <f t="shared" si="240"/>
        <v>0</v>
      </c>
      <c r="J235" s="150">
        <f t="shared" si="240"/>
        <v>0</v>
      </c>
      <c r="K235" s="150">
        <f t="shared" si="240"/>
        <v>0</v>
      </c>
      <c r="L235" s="150">
        <f t="shared" si="240"/>
        <v>0</v>
      </c>
      <c r="M235" s="150">
        <f t="shared" si="240"/>
        <v>0</v>
      </c>
      <c r="N235" s="150">
        <f t="shared" si="240"/>
        <v>0</v>
      </c>
      <c r="O235" s="150">
        <f t="shared" si="240"/>
        <v>0</v>
      </c>
      <c r="P235" s="150">
        <f t="shared" si="240"/>
        <v>0</v>
      </c>
      <c r="Q235" s="20"/>
      <c r="R235" s="50"/>
    </row>
    <row r="236" spans="1:18" ht="47.25" hidden="1" thickTop="1" thickBot="1" x14ac:dyDescent="0.25">
      <c r="A236" s="134" t="s">
        <v>1068</v>
      </c>
      <c r="B236" s="134" t="s">
        <v>792</v>
      </c>
      <c r="C236" s="134"/>
      <c r="D236" s="134" t="s">
        <v>793</v>
      </c>
      <c r="E236" s="135">
        <f>E237</f>
        <v>0</v>
      </c>
      <c r="F236" s="135">
        <f t="shared" ref="F236:P237" si="241">F237</f>
        <v>0</v>
      </c>
      <c r="G236" s="135">
        <f t="shared" si="241"/>
        <v>0</v>
      </c>
      <c r="H236" s="135">
        <f t="shared" si="241"/>
        <v>0</v>
      </c>
      <c r="I236" s="135">
        <f t="shared" si="241"/>
        <v>0</v>
      </c>
      <c r="J236" s="135">
        <f t="shared" si="241"/>
        <v>0</v>
      </c>
      <c r="K236" s="135">
        <f t="shared" si="241"/>
        <v>0</v>
      </c>
      <c r="L236" s="135">
        <f t="shared" si="241"/>
        <v>0</v>
      </c>
      <c r="M236" s="135">
        <f t="shared" si="241"/>
        <v>0</v>
      </c>
      <c r="N236" s="135">
        <f t="shared" si="241"/>
        <v>0</v>
      </c>
      <c r="O236" s="135">
        <f t="shared" si="241"/>
        <v>0</v>
      </c>
      <c r="P236" s="135">
        <f t="shared" si="241"/>
        <v>0</v>
      </c>
      <c r="Q236" s="20"/>
      <c r="R236" s="50"/>
    </row>
    <row r="237" spans="1:18" ht="54" hidden="1" thickTop="1" thickBot="1" x14ac:dyDescent="0.25">
      <c r="A237" s="138" t="s">
        <v>1069</v>
      </c>
      <c r="B237" s="138" t="s">
        <v>809</v>
      </c>
      <c r="C237" s="138"/>
      <c r="D237" s="138" t="s">
        <v>1442</v>
      </c>
      <c r="E237" s="139">
        <f>E238</f>
        <v>0</v>
      </c>
      <c r="F237" s="139">
        <f t="shared" si="241"/>
        <v>0</v>
      </c>
      <c r="G237" s="139">
        <f t="shared" si="241"/>
        <v>0</v>
      </c>
      <c r="H237" s="139">
        <f t="shared" si="241"/>
        <v>0</v>
      </c>
      <c r="I237" s="139">
        <f t="shared" si="241"/>
        <v>0</v>
      </c>
      <c r="J237" s="139">
        <f t="shared" si="241"/>
        <v>0</v>
      </c>
      <c r="K237" s="139">
        <f t="shared" si="241"/>
        <v>0</v>
      </c>
      <c r="L237" s="139">
        <f t="shared" si="241"/>
        <v>0</v>
      </c>
      <c r="M237" s="139">
        <f t="shared" si="241"/>
        <v>0</v>
      </c>
      <c r="N237" s="139">
        <f t="shared" si="241"/>
        <v>0</v>
      </c>
      <c r="O237" s="139">
        <f t="shared" si="241"/>
        <v>0</v>
      </c>
      <c r="P237" s="139">
        <f t="shared" si="241"/>
        <v>0</v>
      </c>
      <c r="Q237" s="20"/>
      <c r="R237" s="50"/>
    </row>
    <row r="238" spans="1:18" ht="54" hidden="1" thickTop="1" thickBot="1" x14ac:dyDescent="0.25">
      <c r="A238" s="126" t="s">
        <v>1070</v>
      </c>
      <c r="B238" s="126" t="s">
        <v>312</v>
      </c>
      <c r="C238" s="126" t="s">
        <v>303</v>
      </c>
      <c r="D238" s="126" t="s">
        <v>1202</v>
      </c>
      <c r="E238" s="125">
        <f t="shared" ref="E238" si="242">F238</f>
        <v>0</v>
      </c>
      <c r="F238" s="132"/>
      <c r="G238" s="132"/>
      <c r="H238" s="132"/>
      <c r="I238" s="132"/>
      <c r="J238" s="125">
        <f t="shared" ref="J238" si="243">L238+O238</f>
        <v>0</v>
      </c>
      <c r="K238" s="132">
        <f>49500-49500</f>
        <v>0</v>
      </c>
      <c r="L238" s="132"/>
      <c r="M238" s="132"/>
      <c r="N238" s="132"/>
      <c r="O238" s="130">
        <f t="shared" ref="O238" si="244">K238</f>
        <v>0</v>
      </c>
      <c r="P238" s="125">
        <f>E238+J238</f>
        <v>0</v>
      </c>
      <c r="Q238" s="20"/>
      <c r="R238" s="50"/>
    </row>
    <row r="239" spans="1:18" ht="47.25" hidden="1" thickTop="1" thickBot="1" x14ac:dyDescent="0.25">
      <c r="A239" s="134" t="s">
        <v>777</v>
      </c>
      <c r="B239" s="134" t="s">
        <v>683</v>
      </c>
      <c r="C239" s="134"/>
      <c r="D239" s="134" t="s">
        <v>681</v>
      </c>
      <c r="E239" s="156">
        <f>E241+E240</f>
        <v>0</v>
      </c>
      <c r="F239" s="156">
        <f t="shared" ref="F239:H239" si="245">F241+F240</f>
        <v>0</v>
      </c>
      <c r="G239" s="156">
        <f t="shared" si="245"/>
        <v>0</v>
      </c>
      <c r="H239" s="156">
        <f t="shared" si="245"/>
        <v>0</v>
      </c>
      <c r="I239" s="156">
        <f>I241+I240</f>
        <v>0</v>
      </c>
      <c r="J239" s="156">
        <f>J241+J240</f>
        <v>0</v>
      </c>
      <c r="K239" s="156">
        <f>K241+K240</f>
        <v>0</v>
      </c>
      <c r="L239" s="156">
        <f t="shared" ref="L239:O239" si="246">L241+L240</f>
        <v>0</v>
      </c>
      <c r="M239" s="156">
        <f t="shared" si="246"/>
        <v>0</v>
      </c>
      <c r="N239" s="156">
        <f t="shared" si="246"/>
        <v>0</v>
      </c>
      <c r="O239" s="156">
        <f t="shared" si="246"/>
        <v>0</v>
      </c>
      <c r="P239" s="156">
        <f>P241+P240</f>
        <v>0</v>
      </c>
      <c r="Q239" s="20"/>
      <c r="R239" s="50"/>
    </row>
    <row r="240" spans="1:18" ht="48" hidden="1" thickTop="1" thickBot="1" x14ac:dyDescent="0.25">
      <c r="A240" s="384" t="s">
        <v>1294</v>
      </c>
      <c r="B240" s="384" t="s">
        <v>212</v>
      </c>
      <c r="C240" s="384"/>
      <c r="D240" s="126" t="s">
        <v>41</v>
      </c>
      <c r="E240" s="150">
        <f>F240</f>
        <v>0</v>
      </c>
      <c r="F240" s="127"/>
      <c r="G240" s="132"/>
      <c r="H240" s="132"/>
      <c r="I240" s="132"/>
      <c r="J240" s="125">
        <f t="shared" ref="J240" si="247">L240+O240</f>
        <v>0</v>
      </c>
      <c r="K240" s="132"/>
      <c r="L240" s="132"/>
      <c r="M240" s="132"/>
      <c r="N240" s="132"/>
      <c r="O240" s="130">
        <f t="shared" ref="O240" si="248">K240</f>
        <v>0</v>
      </c>
      <c r="P240" s="125">
        <f t="shared" ref="P240" si="249">E240+J240</f>
        <v>0</v>
      </c>
      <c r="Q240" s="20"/>
      <c r="R240" s="50"/>
    </row>
    <row r="241" spans="1:18" ht="48" hidden="1" thickTop="1" thickBot="1" x14ac:dyDescent="0.25">
      <c r="A241" s="126" t="s">
        <v>601</v>
      </c>
      <c r="B241" s="126" t="s">
        <v>197</v>
      </c>
      <c r="C241" s="126" t="s">
        <v>170</v>
      </c>
      <c r="D241" s="126" t="s">
        <v>34</v>
      </c>
      <c r="E241" s="125">
        <f t="shared" ref="E241" si="250">F241</f>
        <v>0</v>
      </c>
      <c r="F241" s="132"/>
      <c r="G241" s="132"/>
      <c r="H241" s="132"/>
      <c r="I241" s="132"/>
      <c r="J241" s="125">
        <f t="shared" si="225"/>
        <v>0</v>
      </c>
      <c r="K241" s="132"/>
      <c r="L241" s="132"/>
      <c r="M241" s="132"/>
      <c r="N241" s="132"/>
      <c r="O241" s="130">
        <f t="shared" si="226"/>
        <v>0</v>
      </c>
      <c r="P241" s="125">
        <f t="shared" si="228"/>
        <v>0</v>
      </c>
      <c r="Q241" s="20"/>
      <c r="R241" s="46"/>
    </row>
    <row r="242" spans="1:18" ht="47.25" hidden="1" thickTop="1" thickBot="1" x14ac:dyDescent="0.25">
      <c r="A242" s="123" t="s">
        <v>1076</v>
      </c>
      <c r="B242" s="123" t="s">
        <v>693</v>
      </c>
      <c r="C242" s="123"/>
      <c r="D242" s="123" t="s">
        <v>694</v>
      </c>
      <c r="E242" s="125">
        <f>E243</f>
        <v>0</v>
      </c>
      <c r="F242" s="125">
        <f t="shared" ref="F242:P243" si="251">F243</f>
        <v>0</v>
      </c>
      <c r="G242" s="125">
        <f t="shared" si="251"/>
        <v>0</v>
      </c>
      <c r="H242" s="125">
        <f t="shared" si="251"/>
        <v>0</v>
      </c>
      <c r="I242" s="125">
        <f t="shared" si="251"/>
        <v>0</v>
      </c>
      <c r="J242" s="125">
        <f t="shared" si="251"/>
        <v>0</v>
      </c>
      <c r="K242" s="125">
        <f t="shared" si="251"/>
        <v>0</v>
      </c>
      <c r="L242" s="125">
        <f t="shared" si="251"/>
        <v>0</v>
      </c>
      <c r="M242" s="125">
        <f t="shared" si="251"/>
        <v>0</v>
      </c>
      <c r="N242" s="125">
        <f t="shared" si="251"/>
        <v>0</v>
      </c>
      <c r="O242" s="125">
        <f t="shared" si="251"/>
        <v>0</v>
      </c>
      <c r="P242" s="125">
        <f t="shared" si="251"/>
        <v>0</v>
      </c>
      <c r="Q242" s="20"/>
      <c r="R242" s="46"/>
    </row>
    <row r="243" spans="1:18" ht="91.5" hidden="1" thickTop="1" thickBot="1" x14ac:dyDescent="0.25">
      <c r="A243" s="134" t="s">
        <v>1077</v>
      </c>
      <c r="B243" s="134" t="s">
        <v>696</v>
      </c>
      <c r="C243" s="134"/>
      <c r="D243" s="134" t="s">
        <v>697</v>
      </c>
      <c r="E243" s="135">
        <f>E244</f>
        <v>0</v>
      </c>
      <c r="F243" s="135">
        <f t="shared" si="251"/>
        <v>0</v>
      </c>
      <c r="G243" s="135">
        <f t="shared" si="251"/>
        <v>0</v>
      </c>
      <c r="H243" s="135">
        <f t="shared" si="251"/>
        <v>0</v>
      </c>
      <c r="I243" s="135">
        <f t="shared" si="251"/>
        <v>0</v>
      </c>
      <c r="J243" s="135">
        <f t="shared" si="251"/>
        <v>0</v>
      </c>
      <c r="K243" s="135">
        <f t="shared" si="251"/>
        <v>0</v>
      </c>
      <c r="L243" s="135">
        <f t="shared" si="251"/>
        <v>0</v>
      </c>
      <c r="M243" s="135">
        <f t="shared" si="251"/>
        <v>0</v>
      </c>
      <c r="N243" s="135">
        <f t="shared" si="251"/>
        <v>0</v>
      </c>
      <c r="O243" s="135">
        <f t="shared" si="251"/>
        <v>0</v>
      </c>
      <c r="P243" s="135">
        <f t="shared" si="251"/>
        <v>0</v>
      </c>
      <c r="Q243" s="20"/>
      <c r="R243" s="46"/>
    </row>
    <row r="244" spans="1:18" ht="48" hidden="1" thickTop="1" thickBot="1" x14ac:dyDescent="0.25">
      <c r="A244" s="126" t="s">
        <v>1078</v>
      </c>
      <c r="B244" s="126" t="s">
        <v>362</v>
      </c>
      <c r="C244" s="126" t="s">
        <v>43</v>
      </c>
      <c r="D244" s="126" t="s">
        <v>363</v>
      </c>
      <c r="E244" s="125">
        <f t="shared" ref="E244" si="252">F244</f>
        <v>0</v>
      </c>
      <c r="F244" s="132"/>
      <c r="G244" s="132"/>
      <c r="H244" s="132"/>
      <c r="I244" s="132"/>
      <c r="J244" s="125">
        <f>L244+O244</f>
        <v>0</v>
      </c>
      <c r="K244" s="132"/>
      <c r="L244" s="132"/>
      <c r="M244" s="132"/>
      <c r="N244" s="132"/>
      <c r="O244" s="130">
        <f>K244</f>
        <v>0</v>
      </c>
      <c r="P244" s="125">
        <f>E244+J244</f>
        <v>0</v>
      </c>
      <c r="Q244" s="20"/>
      <c r="R244" s="46"/>
    </row>
    <row r="245" spans="1:18" ht="120" customHeight="1" thickTop="1" thickBot="1" x14ac:dyDescent="0.25">
      <c r="A245" s="639" t="s">
        <v>158</v>
      </c>
      <c r="B245" s="639"/>
      <c r="C245" s="639"/>
      <c r="D245" s="640" t="s">
        <v>557</v>
      </c>
      <c r="E245" s="641">
        <f>E246</f>
        <v>22444688</v>
      </c>
      <c r="F245" s="642">
        <f t="shared" ref="F245:G245" si="253">F246</f>
        <v>22444688</v>
      </c>
      <c r="G245" s="642">
        <f t="shared" si="253"/>
        <v>7851426</v>
      </c>
      <c r="H245" s="642">
        <f>H246</f>
        <v>218448</v>
      </c>
      <c r="I245" s="642">
        <f t="shared" ref="I245" si="254">I246</f>
        <v>0</v>
      </c>
      <c r="J245" s="641">
        <f>J246</f>
        <v>16196028</v>
      </c>
      <c r="K245" s="642">
        <f>K246</f>
        <v>16196028</v>
      </c>
      <c r="L245" s="642">
        <f>L246</f>
        <v>0</v>
      </c>
      <c r="M245" s="642">
        <f t="shared" ref="M245" si="255">M246</f>
        <v>0</v>
      </c>
      <c r="N245" s="642">
        <f>N246</f>
        <v>0</v>
      </c>
      <c r="O245" s="641">
        <f>O246</f>
        <v>16196028</v>
      </c>
      <c r="P245" s="642">
        <f>P246</f>
        <v>38640716</v>
      </c>
      <c r="Q245" s="20"/>
      <c r="R245" s="50"/>
    </row>
    <row r="246" spans="1:18" ht="120" customHeight="1" thickTop="1" thickBot="1" x14ac:dyDescent="0.25">
      <c r="A246" s="603" t="s">
        <v>159</v>
      </c>
      <c r="B246" s="603"/>
      <c r="C246" s="603"/>
      <c r="D246" s="604" t="s">
        <v>558</v>
      </c>
      <c r="E246" s="605">
        <f>E247+E251+E261+E268</f>
        <v>22444688</v>
      </c>
      <c r="F246" s="605">
        <f>F247+F251+F261+F268</f>
        <v>22444688</v>
      </c>
      <c r="G246" s="605">
        <f>G247+G251+G261+G268</f>
        <v>7851426</v>
      </c>
      <c r="H246" s="605">
        <f>H247+H251+H261+H268</f>
        <v>218448</v>
      </c>
      <c r="I246" s="605">
        <f>I247+I251+I261+I268</f>
        <v>0</v>
      </c>
      <c r="J246" s="605">
        <f t="shared" ref="J246:J266" si="256">L246+O246</f>
        <v>16196028</v>
      </c>
      <c r="K246" s="605">
        <f>K247+K251+K261+K268</f>
        <v>16196028</v>
      </c>
      <c r="L246" s="605">
        <f>L247+L251+L261+L268</f>
        <v>0</v>
      </c>
      <c r="M246" s="605">
        <f>M247+M251+M261+M268</f>
        <v>0</v>
      </c>
      <c r="N246" s="605">
        <f>N247+N251+N261+N268</f>
        <v>0</v>
      </c>
      <c r="O246" s="605">
        <f>O247+O251+O261+O268</f>
        <v>16196028</v>
      </c>
      <c r="P246" s="605">
        <f>E246+J246</f>
        <v>38640716</v>
      </c>
      <c r="Q246" s="462" t="b">
        <f>P246=P248+P253+P255+P256+P258+P259+P260+P263+P264+P270</f>
        <v>1</v>
      </c>
      <c r="R246" s="54"/>
    </row>
    <row r="247" spans="1:18" ht="47.25" thickTop="1" thickBot="1" x14ac:dyDescent="0.25">
      <c r="A247" s="307" t="s">
        <v>778</v>
      </c>
      <c r="B247" s="307" t="s">
        <v>676</v>
      </c>
      <c r="C247" s="307"/>
      <c r="D247" s="307" t="s">
        <v>677</v>
      </c>
      <c r="E247" s="319">
        <f>SUM(E248:E250)</f>
        <v>10457112</v>
      </c>
      <c r="F247" s="319">
        <f t="shared" ref="F247:N247" si="257">SUM(F248:F250)</f>
        <v>10457112</v>
      </c>
      <c r="G247" s="319">
        <f t="shared" si="257"/>
        <v>7851426</v>
      </c>
      <c r="H247" s="319">
        <f t="shared" si="257"/>
        <v>218448</v>
      </c>
      <c r="I247" s="319">
        <f t="shared" si="257"/>
        <v>0</v>
      </c>
      <c r="J247" s="319">
        <f t="shared" si="257"/>
        <v>30000</v>
      </c>
      <c r="K247" s="319">
        <f t="shared" si="257"/>
        <v>30000</v>
      </c>
      <c r="L247" s="319">
        <f t="shared" si="257"/>
        <v>0</v>
      </c>
      <c r="M247" s="319">
        <f t="shared" si="257"/>
        <v>0</v>
      </c>
      <c r="N247" s="319">
        <f t="shared" si="257"/>
        <v>0</v>
      </c>
      <c r="O247" s="319">
        <f>SUM(O248:O250)</f>
        <v>30000</v>
      </c>
      <c r="P247" s="319">
        <f>SUM(P248:P250)</f>
        <v>10487112</v>
      </c>
      <c r="Q247" s="47"/>
      <c r="R247" s="54"/>
    </row>
    <row r="248" spans="1:18" ht="93" thickTop="1" thickBot="1" x14ac:dyDescent="0.25">
      <c r="A248" s="101" t="s">
        <v>419</v>
      </c>
      <c r="B248" s="101" t="s">
        <v>236</v>
      </c>
      <c r="C248" s="101" t="s">
        <v>234</v>
      </c>
      <c r="D248" s="101" t="s">
        <v>235</v>
      </c>
      <c r="E248" s="308">
        <f>F248</f>
        <v>10457112</v>
      </c>
      <c r="F248" s="317">
        <v>10457112</v>
      </c>
      <c r="G248" s="317">
        <v>7851426</v>
      </c>
      <c r="H248" s="317">
        <v>218448</v>
      </c>
      <c r="I248" s="317"/>
      <c r="J248" s="319">
        <f t="shared" si="256"/>
        <v>30000</v>
      </c>
      <c r="K248" s="317">
        <v>30000</v>
      </c>
      <c r="L248" s="431"/>
      <c r="M248" s="431"/>
      <c r="N248" s="431"/>
      <c r="O248" s="432">
        <f t="shared" ref="O248:O263" si="258">K248</f>
        <v>30000</v>
      </c>
      <c r="P248" s="319">
        <f t="shared" ref="P248:P256" si="259">+J248+E248</f>
        <v>10487112</v>
      </c>
      <c r="Q248" s="20"/>
      <c r="R248" s="54"/>
    </row>
    <row r="249" spans="1:18" ht="93" hidden="1" thickTop="1" thickBot="1" x14ac:dyDescent="0.25">
      <c r="A249" s="126" t="s">
        <v>621</v>
      </c>
      <c r="B249" s="126" t="s">
        <v>361</v>
      </c>
      <c r="C249" s="126" t="s">
        <v>619</v>
      </c>
      <c r="D249" s="126" t="s">
        <v>620</v>
      </c>
      <c r="E249" s="125">
        <f t="shared" ref="E249:E250" si="260">F249</f>
        <v>0</v>
      </c>
      <c r="F249" s="127">
        <v>0</v>
      </c>
      <c r="G249" s="127"/>
      <c r="H249" s="127"/>
      <c r="I249" s="127"/>
      <c r="J249" s="125">
        <f t="shared" si="256"/>
        <v>0</v>
      </c>
      <c r="K249" s="127"/>
      <c r="L249" s="128"/>
      <c r="M249" s="129"/>
      <c r="N249" s="129"/>
      <c r="O249" s="130">
        <f t="shared" si="258"/>
        <v>0</v>
      </c>
      <c r="P249" s="125">
        <f>+J249+E249</f>
        <v>0</v>
      </c>
      <c r="Q249" s="20"/>
      <c r="R249" s="54"/>
    </row>
    <row r="250" spans="1:18" ht="48" hidden="1" thickTop="1" thickBot="1" x14ac:dyDescent="0.25">
      <c r="A250" s="126" t="s">
        <v>1111</v>
      </c>
      <c r="B250" s="126" t="s">
        <v>43</v>
      </c>
      <c r="C250" s="126" t="s">
        <v>42</v>
      </c>
      <c r="D250" s="126" t="s">
        <v>247</v>
      </c>
      <c r="E250" s="125">
        <f t="shared" si="260"/>
        <v>0</v>
      </c>
      <c r="F250" s="127"/>
      <c r="G250" s="127"/>
      <c r="H250" s="127"/>
      <c r="I250" s="127"/>
      <c r="J250" s="125">
        <f t="shared" si="256"/>
        <v>0</v>
      </c>
      <c r="K250" s="127"/>
      <c r="L250" s="128"/>
      <c r="M250" s="129"/>
      <c r="N250" s="129"/>
      <c r="O250" s="130"/>
      <c r="P250" s="125">
        <f>+J250+E250</f>
        <v>0</v>
      </c>
      <c r="Q250" s="20"/>
      <c r="R250" s="54"/>
    </row>
    <row r="251" spans="1:18" ht="47.25" thickTop="1" thickBot="1" x14ac:dyDescent="0.25">
      <c r="A251" s="307" t="s">
        <v>779</v>
      </c>
      <c r="B251" s="307" t="s">
        <v>733</v>
      </c>
      <c r="C251" s="307"/>
      <c r="D251" s="612" t="s">
        <v>734</v>
      </c>
      <c r="E251" s="319">
        <f>SUM(E252:E260)-E252</f>
        <v>8508100</v>
      </c>
      <c r="F251" s="319">
        <f t="shared" ref="F251:P251" si="261">SUM(F252:F260)-F252</f>
        <v>8508100</v>
      </c>
      <c r="G251" s="319">
        <f t="shared" si="261"/>
        <v>0</v>
      </c>
      <c r="H251" s="319">
        <f t="shared" si="261"/>
        <v>0</v>
      </c>
      <c r="I251" s="319">
        <f t="shared" si="261"/>
        <v>0</v>
      </c>
      <c r="J251" s="319">
        <f t="shared" si="261"/>
        <v>6166028</v>
      </c>
      <c r="K251" s="319">
        <f t="shared" si="261"/>
        <v>6166028</v>
      </c>
      <c r="L251" s="319">
        <f t="shared" si="261"/>
        <v>0</v>
      </c>
      <c r="M251" s="319">
        <f t="shared" si="261"/>
        <v>0</v>
      </c>
      <c r="N251" s="319">
        <f t="shared" si="261"/>
        <v>0</v>
      </c>
      <c r="O251" s="319">
        <f t="shared" si="261"/>
        <v>6166028</v>
      </c>
      <c r="P251" s="319">
        <f t="shared" si="261"/>
        <v>14674128</v>
      </c>
      <c r="Q251" s="20"/>
      <c r="R251" s="54"/>
    </row>
    <row r="252" spans="1:18" s="33" customFormat="1" ht="93" thickTop="1" thickBot="1" x14ac:dyDescent="0.25">
      <c r="A252" s="613" t="s">
        <v>780</v>
      </c>
      <c r="B252" s="613" t="s">
        <v>781</v>
      </c>
      <c r="C252" s="613"/>
      <c r="D252" s="613" t="s">
        <v>782</v>
      </c>
      <c r="E252" s="614">
        <f>SUM(E253:E256)</f>
        <v>1962800</v>
      </c>
      <c r="F252" s="614">
        <f t="shared" ref="F252:P252" si="262">SUM(F253:F256)</f>
        <v>1962800</v>
      </c>
      <c r="G252" s="614">
        <f t="shared" si="262"/>
        <v>0</v>
      </c>
      <c r="H252" s="614">
        <f t="shared" si="262"/>
        <v>0</v>
      </c>
      <c r="I252" s="614">
        <f t="shared" si="262"/>
        <v>0</v>
      </c>
      <c r="J252" s="614">
        <f t="shared" si="262"/>
        <v>4884000</v>
      </c>
      <c r="K252" s="614">
        <f t="shared" si="262"/>
        <v>4884000</v>
      </c>
      <c r="L252" s="614">
        <f t="shared" si="262"/>
        <v>0</v>
      </c>
      <c r="M252" s="614">
        <f t="shared" si="262"/>
        <v>0</v>
      </c>
      <c r="N252" s="614">
        <f t="shared" si="262"/>
        <v>0</v>
      </c>
      <c r="O252" s="614">
        <f t="shared" si="262"/>
        <v>4884000</v>
      </c>
      <c r="P252" s="614">
        <f t="shared" si="262"/>
        <v>6846800</v>
      </c>
      <c r="Q252" s="36"/>
      <c r="R252" s="54"/>
    </row>
    <row r="253" spans="1:18" ht="66.75" customHeight="1" thickTop="1" thickBot="1" x14ac:dyDescent="0.25">
      <c r="A253" s="101" t="s">
        <v>279</v>
      </c>
      <c r="B253" s="101" t="s">
        <v>280</v>
      </c>
      <c r="C253" s="101" t="s">
        <v>339</v>
      </c>
      <c r="D253" s="101" t="s">
        <v>281</v>
      </c>
      <c r="E253" s="308">
        <f>F253</f>
        <v>1911200</v>
      </c>
      <c r="F253" s="317">
        <v>1911200</v>
      </c>
      <c r="G253" s="317"/>
      <c r="H253" s="317"/>
      <c r="I253" s="317"/>
      <c r="J253" s="319">
        <f t="shared" si="256"/>
        <v>1500000</v>
      </c>
      <c r="K253" s="317">
        <v>1500000</v>
      </c>
      <c r="L253" s="431"/>
      <c r="M253" s="431"/>
      <c r="N253" s="431"/>
      <c r="O253" s="432">
        <f t="shared" si="258"/>
        <v>1500000</v>
      </c>
      <c r="P253" s="319">
        <f t="shared" si="259"/>
        <v>3411200</v>
      </c>
      <c r="Q253" s="20"/>
      <c r="R253" s="54"/>
    </row>
    <row r="254" spans="1:18" ht="48" hidden="1" thickTop="1" thickBot="1" x14ac:dyDescent="0.25">
      <c r="A254" s="126" t="s">
        <v>1552</v>
      </c>
      <c r="B254" s="126" t="s">
        <v>285</v>
      </c>
      <c r="C254" s="126" t="s">
        <v>282</v>
      </c>
      <c r="D254" s="126" t="s">
        <v>286</v>
      </c>
      <c r="E254" s="150">
        <f>F254</f>
        <v>0</v>
      </c>
      <c r="F254" s="127"/>
      <c r="G254" s="127"/>
      <c r="H254" s="127"/>
      <c r="I254" s="127"/>
      <c r="J254" s="125">
        <f t="shared" ref="J254" si="263">L254+O254</f>
        <v>0</v>
      </c>
      <c r="K254" s="127"/>
      <c r="L254" s="128"/>
      <c r="M254" s="128"/>
      <c r="N254" s="128"/>
      <c r="O254" s="130">
        <f t="shared" ref="O254" si="264">K254</f>
        <v>0</v>
      </c>
      <c r="P254" s="125">
        <f t="shared" ref="P254" si="265">+J254+E254</f>
        <v>0</v>
      </c>
      <c r="Q254" s="20"/>
      <c r="R254" s="54"/>
    </row>
    <row r="255" spans="1:18" ht="48" thickTop="1" thickBot="1" x14ac:dyDescent="0.25">
      <c r="A255" s="101" t="s">
        <v>300</v>
      </c>
      <c r="B255" s="101" t="s">
        <v>301</v>
      </c>
      <c r="C255" s="101" t="s">
        <v>282</v>
      </c>
      <c r="D255" s="101" t="s">
        <v>302</v>
      </c>
      <c r="E255" s="308">
        <f t="shared" ref="E255:E266" si="266">F255</f>
        <v>0</v>
      </c>
      <c r="F255" s="317"/>
      <c r="G255" s="317"/>
      <c r="H255" s="317"/>
      <c r="I255" s="317"/>
      <c r="J255" s="319">
        <f t="shared" si="256"/>
        <v>3384000</v>
      </c>
      <c r="K255" s="317">
        <v>3384000</v>
      </c>
      <c r="L255" s="431"/>
      <c r="M255" s="431"/>
      <c r="N255" s="431"/>
      <c r="O255" s="432">
        <f t="shared" si="258"/>
        <v>3384000</v>
      </c>
      <c r="P255" s="319">
        <f t="shared" si="259"/>
        <v>3384000</v>
      </c>
      <c r="Q255" s="20"/>
      <c r="R255" s="54"/>
    </row>
    <row r="256" spans="1:18" ht="93" thickTop="1" thickBot="1" x14ac:dyDescent="0.25">
      <c r="A256" s="101" t="s">
        <v>283</v>
      </c>
      <c r="B256" s="101" t="s">
        <v>284</v>
      </c>
      <c r="C256" s="101" t="s">
        <v>282</v>
      </c>
      <c r="D256" s="101" t="s">
        <v>464</v>
      </c>
      <c r="E256" s="308">
        <f t="shared" si="266"/>
        <v>51600</v>
      </c>
      <c r="F256" s="317">
        <v>51600</v>
      </c>
      <c r="G256" s="317"/>
      <c r="H256" s="317"/>
      <c r="I256" s="317"/>
      <c r="J256" s="319">
        <f t="shared" si="256"/>
        <v>0</v>
      </c>
      <c r="K256" s="317"/>
      <c r="L256" s="431"/>
      <c r="M256" s="431"/>
      <c r="N256" s="431"/>
      <c r="O256" s="432">
        <f t="shared" si="258"/>
        <v>0</v>
      </c>
      <c r="P256" s="319">
        <f t="shared" si="259"/>
        <v>51600</v>
      </c>
      <c r="Q256" s="20"/>
      <c r="R256" s="54"/>
    </row>
    <row r="257" spans="1:18" ht="93" hidden="1" thickTop="1" thickBot="1" x14ac:dyDescent="0.25">
      <c r="A257" s="126" t="s">
        <v>914</v>
      </c>
      <c r="B257" s="126" t="s">
        <v>296</v>
      </c>
      <c r="C257" s="126" t="s">
        <v>282</v>
      </c>
      <c r="D257" s="126" t="s">
        <v>297</v>
      </c>
      <c r="E257" s="150">
        <f t="shared" ref="E257" si="267">F257</f>
        <v>0</v>
      </c>
      <c r="F257" s="127"/>
      <c r="G257" s="127"/>
      <c r="H257" s="127"/>
      <c r="I257" s="127"/>
      <c r="J257" s="125">
        <f t="shared" ref="J257" si="268">L257+O257</f>
        <v>0</v>
      </c>
      <c r="K257" s="127"/>
      <c r="L257" s="128"/>
      <c r="M257" s="128"/>
      <c r="N257" s="128"/>
      <c r="O257" s="130">
        <f t="shared" ref="O257" si="269">K257</f>
        <v>0</v>
      </c>
      <c r="P257" s="125">
        <f t="shared" ref="P257" si="270">+J257+E257</f>
        <v>0</v>
      </c>
      <c r="Q257" s="20"/>
      <c r="R257" s="54"/>
    </row>
    <row r="258" spans="1:18" ht="48" thickTop="1" thickBot="1" x14ac:dyDescent="0.25">
      <c r="A258" s="101" t="s">
        <v>287</v>
      </c>
      <c r="B258" s="101" t="s">
        <v>288</v>
      </c>
      <c r="C258" s="101" t="s">
        <v>282</v>
      </c>
      <c r="D258" s="101" t="s">
        <v>289</v>
      </c>
      <c r="E258" s="308">
        <f t="shared" si="266"/>
        <v>5000000</v>
      </c>
      <c r="F258" s="317">
        <v>5000000</v>
      </c>
      <c r="G258" s="317"/>
      <c r="H258" s="317"/>
      <c r="I258" s="317"/>
      <c r="J258" s="319">
        <f t="shared" si="256"/>
        <v>0</v>
      </c>
      <c r="K258" s="435"/>
      <c r="L258" s="317"/>
      <c r="M258" s="317"/>
      <c r="N258" s="317"/>
      <c r="O258" s="432">
        <f t="shared" si="258"/>
        <v>0</v>
      </c>
      <c r="P258" s="319">
        <f t="shared" ref="P258" si="271">E258+J258</f>
        <v>5000000</v>
      </c>
      <c r="Q258" s="20"/>
      <c r="R258" s="50"/>
    </row>
    <row r="259" spans="1:18" ht="72.75" customHeight="1" thickTop="1" thickBot="1" x14ac:dyDescent="0.25">
      <c r="A259" s="101" t="s">
        <v>1226</v>
      </c>
      <c r="B259" s="101" t="s">
        <v>1116</v>
      </c>
      <c r="C259" s="101" t="s">
        <v>1117</v>
      </c>
      <c r="D259" s="101" t="s">
        <v>1114</v>
      </c>
      <c r="E259" s="308">
        <f t="shared" ref="E259" si="272">F259</f>
        <v>1545300</v>
      </c>
      <c r="F259" s="317">
        <v>1545300</v>
      </c>
      <c r="G259" s="317"/>
      <c r="H259" s="317"/>
      <c r="I259" s="317"/>
      <c r="J259" s="319">
        <f t="shared" ref="J259" si="273">L259+O259</f>
        <v>0</v>
      </c>
      <c r="K259" s="435"/>
      <c r="L259" s="317"/>
      <c r="M259" s="317"/>
      <c r="N259" s="317"/>
      <c r="O259" s="432">
        <f t="shared" ref="O259" si="274">K259</f>
        <v>0</v>
      </c>
      <c r="P259" s="319">
        <f t="shared" ref="P259" si="275">E259+J259</f>
        <v>1545300</v>
      </c>
      <c r="Q259" s="20"/>
      <c r="R259" s="50"/>
    </row>
    <row r="260" spans="1:18" ht="72.75" customHeight="1" thickTop="1" thickBot="1" x14ac:dyDescent="0.25">
      <c r="A260" s="101" t="s">
        <v>1600</v>
      </c>
      <c r="B260" s="101" t="s">
        <v>1601</v>
      </c>
      <c r="C260" s="101" t="s">
        <v>1117</v>
      </c>
      <c r="D260" s="101" t="s">
        <v>1602</v>
      </c>
      <c r="E260" s="308">
        <f t="shared" ref="E260" si="276">F260</f>
        <v>0</v>
      </c>
      <c r="F260" s="317"/>
      <c r="G260" s="317"/>
      <c r="H260" s="317"/>
      <c r="I260" s="317"/>
      <c r="J260" s="319">
        <f t="shared" ref="J260" si="277">L260+O260</f>
        <v>1282028</v>
      </c>
      <c r="K260" s="435">
        <v>1282028</v>
      </c>
      <c r="L260" s="317"/>
      <c r="M260" s="317"/>
      <c r="N260" s="317"/>
      <c r="O260" s="432">
        <f t="shared" ref="O260" si="278">K260</f>
        <v>1282028</v>
      </c>
      <c r="P260" s="319">
        <f t="shared" ref="P260" si="279">E260+J260</f>
        <v>1282028</v>
      </c>
      <c r="Q260" s="20"/>
      <c r="R260" s="50"/>
    </row>
    <row r="261" spans="1:18" ht="47.25" thickTop="1" thickBot="1" x14ac:dyDescent="0.25">
      <c r="A261" s="307" t="s">
        <v>783</v>
      </c>
      <c r="B261" s="307" t="s">
        <v>739</v>
      </c>
      <c r="C261" s="307"/>
      <c r="D261" s="307" t="s">
        <v>784</v>
      </c>
      <c r="E261" s="308">
        <f>E262</f>
        <v>1511400</v>
      </c>
      <c r="F261" s="308">
        <f>F262</f>
        <v>1511400</v>
      </c>
      <c r="G261" s="308">
        <f t="shared" ref="G261:P261" si="280">G262</f>
        <v>0</v>
      </c>
      <c r="H261" s="308">
        <f t="shared" si="280"/>
        <v>0</v>
      </c>
      <c r="I261" s="308">
        <f t="shared" si="280"/>
        <v>0</v>
      </c>
      <c r="J261" s="308">
        <f t="shared" si="280"/>
        <v>10000000</v>
      </c>
      <c r="K261" s="308">
        <f t="shared" si="280"/>
        <v>10000000</v>
      </c>
      <c r="L261" s="308">
        <f t="shared" si="280"/>
        <v>0</v>
      </c>
      <c r="M261" s="308">
        <f t="shared" si="280"/>
        <v>0</v>
      </c>
      <c r="N261" s="308">
        <f t="shared" si="280"/>
        <v>0</v>
      </c>
      <c r="O261" s="308">
        <f t="shared" si="280"/>
        <v>10000000</v>
      </c>
      <c r="P261" s="308">
        <f t="shared" si="280"/>
        <v>11511400</v>
      </c>
      <c r="Q261" s="20"/>
      <c r="R261" s="50"/>
    </row>
    <row r="262" spans="1:18" ht="47.25" thickTop="1" thickBot="1" x14ac:dyDescent="0.25">
      <c r="A262" s="608" t="s">
        <v>785</v>
      </c>
      <c r="B262" s="608" t="s">
        <v>683</v>
      </c>
      <c r="C262" s="608"/>
      <c r="D262" s="608" t="s">
        <v>681</v>
      </c>
      <c r="E262" s="611">
        <f>E263+E265+E264</f>
        <v>1511400</v>
      </c>
      <c r="F262" s="611">
        <f t="shared" ref="F262:P262" si="281">F263+F265+F264</f>
        <v>1511400</v>
      </c>
      <c r="G262" s="611">
        <f t="shared" si="281"/>
        <v>0</v>
      </c>
      <c r="H262" s="611">
        <f t="shared" si="281"/>
        <v>0</v>
      </c>
      <c r="I262" s="611">
        <f t="shared" si="281"/>
        <v>0</v>
      </c>
      <c r="J262" s="611">
        <f>J263+J265+J264</f>
        <v>10000000</v>
      </c>
      <c r="K262" s="611">
        <f t="shared" si="281"/>
        <v>10000000</v>
      </c>
      <c r="L262" s="611">
        <f t="shared" si="281"/>
        <v>0</v>
      </c>
      <c r="M262" s="611">
        <f t="shared" si="281"/>
        <v>0</v>
      </c>
      <c r="N262" s="611">
        <f t="shared" si="281"/>
        <v>0</v>
      </c>
      <c r="O262" s="611">
        <f t="shared" si="281"/>
        <v>10000000</v>
      </c>
      <c r="P262" s="611">
        <f t="shared" si="281"/>
        <v>11511400</v>
      </c>
      <c r="Q262" s="20"/>
      <c r="R262" s="50"/>
    </row>
    <row r="263" spans="1:18" ht="48" thickTop="1" thickBot="1" x14ac:dyDescent="0.25">
      <c r="A263" s="101" t="s">
        <v>295</v>
      </c>
      <c r="B263" s="101" t="s">
        <v>212</v>
      </c>
      <c r="C263" s="101" t="s">
        <v>213</v>
      </c>
      <c r="D263" s="101" t="s">
        <v>41</v>
      </c>
      <c r="E263" s="308">
        <f t="shared" si="266"/>
        <v>1511400</v>
      </c>
      <c r="F263" s="317">
        <f>911400+600000</f>
        <v>1511400</v>
      </c>
      <c r="G263" s="317"/>
      <c r="H263" s="317"/>
      <c r="I263" s="317"/>
      <c r="J263" s="319">
        <f t="shared" si="256"/>
        <v>0</v>
      </c>
      <c r="K263" s="435"/>
      <c r="L263" s="317"/>
      <c r="M263" s="317"/>
      <c r="N263" s="317"/>
      <c r="O263" s="432">
        <f t="shared" si="258"/>
        <v>0</v>
      </c>
      <c r="P263" s="319">
        <f>E263+J263</f>
        <v>1511400</v>
      </c>
      <c r="Q263" s="20"/>
      <c r="R263" s="54"/>
    </row>
    <row r="264" spans="1:18" ht="72.75" customHeight="1" thickTop="1" thickBot="1" x14ac:dyDescent="0.25">
      <c r="A264" s="101" t="s">
        <v>905</v>
      </c>
      <c r="B264" s="101" t="s">
        <v>197</v>
      </c>
      <c r="C264" s="101" t="s">
        <v>170</v>
      </c>
      <c r="D264" s="101" t="s">
        <v>34</v>
      </c>
      <c r="E264" s="308">
        <f t="shared" ref="E264" si="282">F264</f>
        <v>0</v>
      </c>
      <c r="F264" s="317"/>
      <c r="G264" s="317"/>
      <c r="H264" s="317"/>
      <c r="I264" s="317"/>
      <c r="J264" s="319">
        <f t="shared" ref="J264" si="283">L264+O264</f>
        <v>10000000</v>
      </c>
      <c r="K264" s="435">
        <v>10000000</v>
      </c>
      <c r="L264" s="317"/>
      <c r="M264" s="317"/>
      <c r="N264" s="317"/>
      <c r="O264" s="432">
        <f t="shared" ref="O264" si="284">K264</f>
        <v>10000000</v>
      </c>
      <c r="P264" s="319">
        <f>E264+J264</f>
        <v>10000000</v>
      </c>
      <c r="Q264" s="20"/>
      <c r="R264" s="54"/>
    </row>
    <row r="265" spans="1:18" ht="48" hidden="1" thickTop="1" thickBot="1" x14ac:dyDescent="0.25">
      <c r="A265" s="138" t="s">
        <v>786</v>
      </c>
      <c r="B265" s="138" t="s">
        <v>686</v>
      </c>
      <c r="C265" s="138"/>
      <c r="D265" s="138" t="s">
        <v>787</v>
      </c>
      <c r="E265" s="155">
        <f>E266</f>
        <v>0</v>
      </c>
      <c r="F265" s="155">
        <f t="shared" ref="F265:P265" si="285">F266</f>
        <v>0</v>
      </c>
      <c r="G265" s="155">
        <f t="shared" si="285"/>
        <v>0</v>
      </c>
      <c r="H265" s="155">
        <f t="shared" si="285"/>
        <v>0</v>
      </c>
      <c r="I265" s="155">
        <f t="shared" si="285"/>
        <v>0</v>
      </c>
      <c r="J265" s="155">
        <f t="shared" si="285"/>
        <v>0</v>
      </c>
      <c r="K265" s="155">
        <f t="shared" si="285"/>
        <v>0</v>
      </c>
      <c r="L265" s="155">
        <f t="shared" si="285"/>
        <v>0</v>
      </c>
      <c r="M265" s="155">
        <f t="shared" si="285"/>
        <v>0</v>
      </c>
      <c r="N265" s="155">
        <f t="shared" si="285"/>
        <v>0</v>
      </c>
      <c r="O265" s="155">
        <f t="shared" si="285"/>
        <v>0</v>
      </c>
      <c r="P265" s="155">
        <f t="shared" si="285"/>
        <v>0</v>
      </c>
      <c r="Q265" s="20"/>
      <c r="R265" s="50"/>
    </row>
    <row r="266" spans="1:18" ht="214.5" hidden="1" customHeight="1" thickTop="1" thickBot="1" x14ac:dyDescent="0.7">
      <c r="A266" s="749" t="s">
        <v>422</v>
      </c>
      <c r="B266" s="749" t="s">
        <v>337</v>
      </c>
      <c r="C266" s="749" t="s">
        <v>170</v>
      </c>
      <c r="D266" s="152" t="s">
        <v>438</v>
      </c>
      <c r="E266" s="750">
        <f t="shared" si="266"/>
        <v>0</v>
      </c>
      <c r="F266" s="744"/>
      <c r="G266" s="744"/>
      <c r="H266" s="744"/>
      <c r="I266" s="744"/>
      <c r="J266" s="750">
        <f t="shared" si="256"/>
        <v>0</v>
      </c>
      <c r="K266" s="744"/>
      <c r="L266" s="744">
        <v>0</v>
      </c>
      <c r="M266" s="744"/>
      <c r="N266" s="744"/>
      <c r="O266" s="789">
        <f>((K266+884000)-450000)-434000</f>
        <v>0</v>
      </c>
      <c r="P266" s="797">
        <f>E266+J266</f>
        <v>0</v>
      </c>
      <c r="Q266" s="20"/>
      <c r="R266" s="50"/>
    </row>
    <row r="267" spans="1:18" ht="93" hidden="1" thickTop="1" thickBot="1" x14ac:dyDescent="0.25">
      <c r="A267" s="749"/>
      <c r="B267" s="749"/>
      <c r="C267" s="749"/>
      <c r="D267" s="153" t="s">
        <v>439</v>
      </c>
      <c r="E267" s="750"/>
      <c r="F267" s="744"/>
      <c r="G267" s="744"/>
      <c r="H267" s="744"/>
      <c r="I267" s="744"/>
      <c r="J267" s="750"/>
      <c r="K267" s="744"/>
      <c r="L267" s="744"/>
      <c r="M267" s="744"/>
      <c r="N267" s="744"/>
      <c r="O267" s="789"/>
      <c r="P267" s="797"/>
      <c r="Q267" s="20"/>
      <c r="R267" s="50"/>
    </row>
    <row r="268" spans="1:18" ht="47.25" thickTop="1" thickBot="1" x14ac:dyDescent="0.25">
      <c r="A268" s="307" t="s">
        <v>1195</v>
      </c>
      <c r="B268" s="307" t="s">
        <v>688</v>
      </c>
      <c r="C268" s="307"/>
      <c r="D268" s="307" t="s">
        <v>689</v>
      </c>
      <c r="E268" s="319">
        <f>E271+E269</f>
        <v>1968076</v>
      </c>
      <c r="F268" s="319">
        <f t="shared" ref="F268:I268" si="286">F271+F269</f>
        <v>1968076</v>
      </c>
      <c r="G268" s="319">
        <f t="shared" si="286"/>
        <v>0</v>
      </c>
      <c r="H268" s="319">
        <f t="shared" si="286"/>
        <v>0</v>
      </c>
      <c r="I268" s="319">
        <f t="shared" si="286"/>
        <v>0</v>
      </c>
      <c r="J268" s="319">
        <f>J271+J269</f>
        <v>0</v>
      </c>
      <c r="K268" s="319">
        <f t="shared" ref="K268:N268" si="287">K271+K269</f>
        <v>0</v>
      </c>
      <c r="L268" s="319">
        <f t="shared" si="287"/>
        <v>0</v>
      </c>
      <c r="M268" s="319">
        <f t="shared" si="287"/>
        <v>0</v>
      </c>
      <c r="N268" s="319">
        <f t="shared" si="287"/>
        <v>0</v>
      </c>
      <c r="O268" s="319">
        <f>O271+O269</f>
        <v>0</v>
      </c>
      <c r="P268" s="319">
        <f>P271+P269</f>
        <v>1968076</v>
      </c>
      <c r="Q268" s="20"/>
      <c r="R268" s="50"/>
    </row>
    <row r="269" spans="1:18" ht="47.25" thickTop="1" thickBot="1" x14ac:dyDescent="0.25">
      <c r="A269" s="608" t="s">
        <v>1447</v>
      </c>
      <c r="B269" s="608" t="s">
        <v>801</v>
      </c>
      <c r="C269" s="608"/>
      <c r="D269" s="609" t="s">
        <v>1243</v>
      </c>
      <c r="E269" s="610">
        <f>SUM(E270:E272)</f>
        <v>1968076</v>
      </c>
      <c r="F269" s="610">
        <f t="shared" ref="F269:P269" si="288">SUM(F270:F272)</f>
        <v>1968076</v>
      </c>
      <c r="G269" s="610">
        <f t="shared" si="288"/>
        <v>0</v>
      </c>
      <c r="H269" s="610">
        <f t="shared" si="288"/>
        <v>0</v>
      </c>
      <c r="I269" s="610">
        <f t="shared" si="288"/>
        <v>0</v>
      </c>
      <c r="J269" s="610">
        <f t="shared" si="288"/>
        <v>0</v>
      </c>
      <c r="K269" s="610">
        <f t="shared" si="288"/>
        <v>0</v>
      </c>
      <c r="L269" s="610">
        <f t="shared" si="288"/>
        <v>0</v>
      </c>
      <c r="M269" s="610">
        <f t="shared" si="288"/>
        <v>0</v>
      </c>
      <c r="N269" s="610">
        <f t="shared" si="288"/>
        <v>0</v>
      </c>
      <c r="O269" s="610">
        <f t="shared" si="288"/>
        <v>0</v>
      </c>
      <c r="P269" s="610">
        <f t="shared" si="288"/>
        <v>1968076</v>
      </c>
      <c r="Q269" s="20"/>
      <c r="R269" s="50"/>
    </row>
    <row r="270" spans="1:18" ht="93" thickTop="1" thickBot="1" x14ac:dyDescent="0.25">
      <c r="A270" s="101" t="s">
        <v>1448</v>
      </c>
      <c r="B270" s="101" t="s">
        <v>514</v>
      </c>
      <c r="C270" s="101" t="s">
        <v>250</v>
      </c>
      <c r="D270" s="101" t="s">
        <v>515</v>
      </c>
      <c r="E270" s="308">
        <f>F270</f>
        <v>1968076</v>
      </c>
      <c r="F270" s="317">
        <v>1968076</v>
      </c>
      <c r="G270" s="317"/>
      <c r="H270" s="317"/>
      <c r="I270" s="317"/>
      <c r="J270" s="319">
        <f>L270+O270</f>
        <v>0</v>
      </c>
      <c r="K270" s="435"/>
      <c r="L270" s="317"/>
      <c r="M270" s="317"/>
      <c r="N270" s="317"/>
      <c r="O270" s="432">
        <f>K270</f>
        <v>0</v>
      </c>
      <c r="P270" s="319">
        <f>E270+J270</f>
        <v>1968076</v>
      </c>
      <c r="Q270" s="20"/>
      <c r="R270" s="50"/>
    </row>
    <row r="271" spans="1:18" ht="47.25" hidden="1" thickTop="1" thickBot="1" x14ac:dyDescent="0.25">
      <c r="A271" s="134" t="s">
        <v>1196</v>
      </c>
      <c r="B271" s="134" t="s">
        <v>1151</v>
      </c>
      <c r="C271" s="134"/>
      <c r="D271" s="134" t="s">
        <v>1149</v>
      </c>
      <c r="E271" s="135">
        <f t="shared" ref="E271:P271" si="289">SUM(E272:E272)</f>
        <v>0</v>
      </c>
      <c r="F271" s="135">
        <f t="shared" si="289"/>
        <v>0</v>
      </c>
      <c r="G271" s="135">
        <f t="shared" si="289"/>
        <v>0</v>
      </c>
      <c r="H271" s="135">
        <f t="shared" si="289"/>
        <v>0</v>
      </c>
      <c r="I271" s="135">
        <f t="shared" si="289"/>
        <v>0</v>
      </c>
      <c r="J271" s="135">
        <f t="shared" si="289"/>
        <v>0</v>
      </c>
      <c r="K271" s="135">
        <f t="shared" si="289"/>
        <v>0</v>
      </c>
      <c r="L271" s="135">
        <f t="shared" si="289"/>
        <v>0</v>
      </c>
      <c r="M271" s="135">
        <f t="shared" si="289"/>
        <v>0</v>
      </c>
      <c r="N271" s="135">
        <f t="shared" si="289"/>
        <v>0</v>
      </c>
      <c r="O271" s="135">
        <f t="shared" si="289"/>
        <v>0</v>
      </c>
      <c r="P271" s="135">
        <f t="shared" si="289"/>
        <v>0</v>
      </c>
      <c r="Q271" s="20"/>
      <c r="R271" s="50"/>
    </row>
    <row r="272" spans="1:18" ht="48" hidden="1" thickTop="1" thickBot="1" x14ac:dyDescent="0.25">
      <c r="A272" s="126" t="s">
        <v>1197</v>
      </c>
      <c r="B272" s="126" t="s">
        <v>1178</v>
      </c>
      <c r="C272" s="126" t="s">
        <v>1153</v>
      </c>
      <c r="D272" s="126" t="s">
        <v>1179</v>
      </c>
      <c r="E272" s="125">
        <f>F272</f>
        <v>0</v>
      </c>
      <c r="F272" s="132"/>
      <c r="G272" s="132"/>
      <c r="H272" s="132"/>
      <c r="I272" s="132"/>
      <c r="J272" s="125">
        <f>L272+O272</f>
        <v>0</v>
      </c>
      <c r="K272" s="132"/>
      <c r="L272" s="132"/>
      <c r="M272" s="132"/>
      <c r="N272" s="132"/>
      <c r="O272" s="130">
        <f>K272</f>
        <v>0</v>
      </c>
      <c r="P272" s="125">
        <f>E272+J272</f>
        <v>0</v>
      </c>
      <c r="Q272" s="20"/>
      <c r="R272" s="50"/>
    </row>
    <row r="273" spans="1:18" ht="120" customHeight="1" thickTop="1" thickBot="1" x14ac:dyDescent="0.25">
      <c r="A273" s="639" t="s">
        <v>536</v>
      </c>
      <c r="B273" s="639"/>
      <c r="C273" s="639"/>
      <c r="D273" s="640" t="s">
        <v>555</v>
      </c>
      <c r="E273" s="641">
        <f>E274</f>
        <v>396056897</v>
      </c>
      <c r="F273" s="642">
        <f t="shared" ref="F273:G273" si="290">F274</f>
        <v>396056897</v>
      </c>
      <c r="G273" s="642">
        <f t="shared" si="290"/>
        <v>10024869</v>
      </c>
      <c r="H273" s="642">
        <f>H274</f>
        <v>242862</v>
      </c>
      <c r="I273" s="642">
        <f t="shared" ref="I273" si="291">I274</f>
        <v>0</v>
      </c>
      <c r="J273" s="641">
        <f>J274</f>
        <v>16920069</v>
      </c>
      <c r="K273" s="642">
        <f>K274</f>
        <v>15920069</v>
      </c>
      <c r="L273" s="642">
        <f>L274</f>
        <v>0</v>
      </c>
      <c r="M273" s="642">
        <f t="shared" ref="M273" si="292">M274</f>
        <v>0</v>
      </c>
      <c r="N273" s="642">
        <f>N274</f>
        <v>0</v>
      </c>
      <c r="O273" s="641">
        <f>O274</f>
        <v>16920069</v>
      </c>
      <c r="P273" s="642">
        <f>P274</f>
        <v>412976966</v>
      </c>
      <c r="Q273" s="20"/>
      <c r="R273" s="50"/>
    </row>
    <row r="274" spans="1:18" ht="120" customHeight="1" thickTop="1" thickBot="1" x14ac:dyDescent="0.25">
      <c r="A274" s="603" t="s">
        <v>537</v>
      </c>
      <c r="B274" s="603"/>
      <c r="C274" s="603"/>
      <c r="D274" s="604" t="s">
        <v>556</v>
      </c>
      <c r="E274" s="605">
        <f>E275+E279+E288+E299+E304</f>
        <v>396056897</v>
      </c>
      <c r="F274" s="605">
        <f>F275+F279+F288+F299+F304</f>
        <v>396056897</v>
      </c>
      <c r="G274" s="605">
        <f>G275+G279+G288+G299+G304</f>
        <v>10024869</v>
      </c>
      <c r="H274" s="605">
        <f>H275+H279+H288+H299+H304</f>
        <v>242862</v>
      </c>
      <c r="I274" s="605">
        <f>I275+I279+I288+I299+I304</f>
        <v>0</v>
      </c>
      <c r="J274" s="605">
        <f t="shared" ref="J274:J296" si="293">L274+O274</f>
        <v>16920069</v>
      </c>
      <c r="K274" s="605">
        <f>K275+K279+K288+K299+K304</f>
        <v>15920069</v>
      </c>
      <c r="L274" s="605">
        <f>L275+L279+L288+L299+L304</f>
        <v>0</v>
      </c>
      <c r="M274" s="605">
        <f>M275+M279+M288+M299+M304</f>
        <v>0</v>
      </c>
      <c r="N274" s="605">
        <f>N275+N279+N288+N299+N304</f>
        <v>0</v>
      </c>
      <c r="O274" s="605">
        <f>O275+O279+O288+O299+O304</f>
        <v>16920069</v>
      </c>
      <c r="P274" s="605">
        <f>E274+J274</f>
        <v>412976966</v>
      </c>
      <c r="Q274" s="462" t="b">
        <f>P274=P276+P278+P281+P282+P284+P285+P287+P291+P294+P296+P301+P302</f>
        <v>1</v>
      </c>
      <c r="R274" s="45"/>
    </row>
    <row r="275" spans="1:18" ht="47.25" thickTop="1" thickBot="1" x14ac:dyDescent="0.25">
      <c r="A275" s="307" t="s">
        <v>788</v>
      </c>
      <c r="B275" s="307" t="s">
        <v>676</v>
      </c>
      <c r="C275" s="307"/>
      <c r="D275" s="307" t="s">
        <v>677</v>
      </c>
      <c r="E275" s="319">
        <f>SUM(E276:E278)</f>
        <v>10383724</v>
      </c>
      <c r="F275" s="319">
        <f t="shared" ref="F275:P275" si="294">SUM(F276:F278)</f>
        <v>10383724</v>
      </c>
      <c r="G275" s="319">
        <f t="shared" si="294"/>
        <v>7921001</v>
      </c>
      <c r="H275" s="319">
        <f t="shared" si="294"/>
        <v>176843</v>
      </c>
      <c r="I275" s="319">
        <f t="shared" si="294"/>
        <v>0</v>
      </c>
      <c r="J275" s="319">
        <f t="shared" si="294"/>
        <v>25000</v>
      </c>
      <c r="K275" s="319">
        <f t="shared" si="294"/>
        <v>25000</v>
      </c>
      <c r="L275" s="319">
        <f t="shared" si="294"/>
        <v>0</v>
      </c>
      <c r="M275" s="319">
        <f t="shared" si="294"/>
        <v>0</v>
      </c>
      <c r="N275" s="319">
        <f t="shared" si="294"/>
        <v>0</v>
      </c>
      <c r="O275" s="319">
        <f t="shared" si="294"/>
        <v>25000</v>
      </c>
      <c r="P275" s="319">
        <f t="shared" si="294"/>
        <v>10408724</v>
      </c>
      <c r="Q275" s="47"/>
      <c r="R275" s="45"/>
    </row>
    <row r="276" spans="1:18" ht="93" thickTop="1" thickBot="1" x14ac:dyDescent="0.25">
      <c r="A276" s="101" t="s">
        <v>538</v>
      </c>
      <c r="B276" s="101" t="s">
        <v>236</v>
      </c>
      <c r="C276" s="101" t="s">
        <v>234</v>
      </c>
      <c r="D276" s="101" t="s">
        <v>235</v>
      </c>
      <c r="E276" s="308">
        <f>F276</f>
        <v>10355866</v>
      </c>
      <c r="F276" s="317">
        <v>10355866</v>
      </c>
      <c r="G276" s="317">
        <v>7921001</v>
      </c>
      <c r="H276" s="317">
        <v>176843</v>
      </c>
      <c r="I276" s="317"/>
      <c r="J276" s="319">
        <f t="shared" si="293"/>
        <v>25000</v>
      </c>
      <c r="K276" s="317">
        <v>25000</v>
      </c>
      <c r="L276" s="431"/>
      <c r="M276" s="431"/>
      <c r="N276" s="431"/>
      <c r="O276" s="432">
        <f t="shared" ref="O276:O294" si="295">K276</f>
        <v>25000</v>
      </c>
      <c r="P276" s="319">
        <f t="shared" ref="P276:P282" si="296">+J276+E276</f>
        <v>10380866</v>
      </c>
      <c r="Q276" s="20"/>
      <c r="R276" s="45"/>
    </row>
    <row r="277" spans="1:18" ht="93" hidden="1" thickTop="1" thickBot="1" x14ac:dyDescent="0.25">
      <c r="A277" s="126" t="s">
        <v>623</v>
      </c>
      <c r="B277" s="126" t="s">
        <v>361</v>
      </c>
      <c r="C277" s="126" t="s">
        <v>619</v>
      </c>
      <c r="D277" s="126" t="s">
        <v>620</v>
      </c>
      <c r="E277" s="150">
        <f>F277</f>
        <v>0</v>
      </c>
      <c r="F277" s="127"/>
      <c r="G277" s="127"/>
      <c r="H277" s="127"/>
      <c r="I277" s="127"/>
      <c r="J277" s="125">
        <f t="shared" ref="J277" si="297">L277+O277</f>
        <v>0</v>
      </c>
      <c r="K277" s="127"/>
      <c r="L277" s="128"/>
      <c r="M277" s="128"/>
      <c r="N277" s="128"/>
      <c r="O277" s="130">
        <f t="shared" ref="O277" si="298">K277</f>
        <v>0</v>
      </c>
      <c r="P277" s="125">
        <f t="shared" ref="P277" si="299">+J277+E277</f>
        <v>0</v>
      </c>
      <c r="Q277" s="20"/>
      <c r="R277" s="45"/>
    </row>
    <row r="278" spans="1:18" ht="60.75" customHeight="1" thickTop="1" thickBot="1" x14ac:dyDescent="0.25">
      <c r="A278" s="101" t="s">
        <v>539</v>
      </c>
      <c r="B278" s="101" t="s">
        <v>43</v>
      </c>
      <c r="C278" s="101" t="s">
        <v>42</v>
      </c>
      <c r="D278" s="101" t="s">
        <v>247</v>
      </c>
      <c r="E278" s="308">
        <f>F278</f>
        <v>27858</v>
      </c>
      <c r="F278" s="317">
        <v>27858</v>
      </c>
      <c r="G278" s="317"/>
      <c r="H278" s="317"/>
      <c r="I278" s="317"/>
      <c r="J278" s="319">
        <f t="shared" si="293"/>
        <v>0</v>
      </c>
      <c r="K278" s="317"/>
      <c r="L278" s="431"/>
      <c r="M278" s="431"/>
      <c r="N278" s="431"/>
      <c r="O278" s="432">
        <f t="shared" si="295"/>
        <v>0</v>
      </c>
      <c r="P278" s="319">
        <f t="shared" si="296"/>
        <v>27858</v>
      </c>
      <c r="Q278" s="20"/>
      <c r="R278" s="50"/>
    </row>
    <row r="279" spans="1:18" ht="47.25" thickTop="1" thickBot="1" x14ac:dyDescent="0.25">
      <c r="A279" s="307" t="s">
        <v>789</v>
      </c>
      <c r="B279" s="307" t="s">
        <v>733</v>
      </c>
      <c r="C279" s="307"/>
      <c r="D279" s="612" t="s">
        <v>734</v>
      </c>
      <c r="E279" s="308">
        <f t="shared" ref="E279:P279" si="300">SUM(E280:E287)-E280</f>
        <v>380977721</v>
      </c>
      <c r="F279" s="308">
        <f t="shared" si="300"/>
        <v>380977721</v>
      </c>
      <c r="G279" s="308">
        <f t="shared" si="300"/>
        <v>0</v>
      </c>
      <c r="H279" s="308">
        <f t="shared" si="300"/>
        <v>5000</v>
      </c>
      <c r="I279" s="308">
        <f t="shared" si="300"/>
        <v>0</v>
      </c>
      <c r="J279" s="308">
        <f t="shared" si="300"/>
        <v>2357785</v>
      </c>
      <c r="K279" s="308">
        <f t="shared" si="300"/>
        <v>2357785</v>
      </c>
      <c r="L279" s="308">
        <f t="shared" si="300"/>
        <v>0</v>
      </c>
      <c r="M279" s="308">
        <f t="shared" si="300"/>
        <v>0</v>
      </c>
      <c r="N279" s="308">
        <f t="shared" si="300"/>
        <v>0</v>
      </c>
      <c r="O279" s="308">
        <f t="shared" si="300"/>
        <v>2357785</v>
      </c>
      <c r="P279" s="308">
        <f t="shared" si="300"/>
        <v>383335506</v>
      </c>
      <c r="Q279" s="20"/>
      <c r="R279" s="50"/>
    </row>
    <row r="280" spans="1:18" ht="93" thickTop="1" thickBot="1" x14ac:dyDescent="0.25">
      <c r="A280" s="613" t="s">
        <v>790</v>
      </c>
      <c r="B280" s="613" t="s">
        <v>781</v>
      </c>
      <c r="C280" s="613"/>
      <c r="D280" s="613" t="s">
        <v>782</v>
      </c>
      <c r="E280" s="625">
        <f>SUM(E281:E283)</f>
        <v>35600240</v>
      </c>
      <c r="F280" s="625">
        <f t="shared" ref="F280:P280" si="301">SUM(F281:F283)</f>
        <v>35600240</v>
      </c>
      <c r="G280" s="625">
        <f t="shared" si="301"/>
        <v>0</v>
      </c>
      <c r="H280" s="625">
        <f t="shared" si="301"/>
        <v>0</v>
      </c>
      <c r="I280" s="625">
        <f t="shared" si="301"/>
        <v>0</v>
      </c>
      <c r="J280" s="625">
        <f t="shared" si="301"/>
        <v>0</v>
      </c>
      <c r="K280" s="625">
        <f t="shared" si="301"/>
        <v>0</v>
      </c>
      <c r="L280" s="625">
        <f t="shared" si="301"/>
        <v>0</v>
      </c>
      <c r="M280" s="625">
        <f t="shared" si="301"/>
        <v>0</v>
      </c>
      <c r="N280" s="625">
        <f t="shared" si="301"/>
        <v>0</v>
      </c>
      <c r="O280" s="625">
        <f t="shared" si="301"/>
        <v>0</v>
      </c>
      <c r="P280" s="625">
        <f t="shared" si="301"/>
        <v>35600240</v>
      </c>
      <c r="Q280" s="20"/>
      <c r="R280" s="50"/>
    </row>
    <row r="281" spans="1:18" ht="93" thickTop="1" thickBot="1" x14ac:dyDescent="0.25">
      <c r="A281" s="101" t="s">
        <v>540</v>
      </c>
      <c r="B281" s="101" t="s">
        <v>375</v>
      </c>
      <c r="C281" s="101" t="s">
        <v>282</v>
      </c>
      <c r="D281" s="101" t="s">
        <v>376</v>
      </c>
      <c r="E281" s="308">
        <f t="shared" ref="E281:E294" si="302">F281</f>
        <v>25000000</v>
      </c>
      <c r="F281" s="317">
        <v>25000000</v>
      </c>
      <c r="G281" s="317"/>
      <c r="H281" s="317"/>
      <c r="I281" s="317"/>
      <c r="J281" s="319">
        <f t="shared" si="293"/>
        <v>0</v>
      </c>
      <c r="K281" s="317"/>
      <c r="L281" s="431"/>
      <c r="M281" s="431"/>
      <c r="N281" s="431"/>
      <c r="O281" s="432">
        <f t="shared" si="295"/>
        <v>0</v>
      </c>
      <c r="P281" s="319">
        <f t="shared" si="296"/>
        <v>25000000</v>
      </c>
      <c r="Q281" s="20"/>
      <c r="R281" s="50"/>
    </row>
    <row r="282" spans="1:18" ht="48" thickTop="1" thickBot="1" x14ac:dyDescent="0.25">
      <c r="A282" s="101" t="s">
        <v>541</v>
      </c>
      <c r="B282" s="101" t="s">
        <v>285</v>
      </c>
      <c r="C282" s="101" t="s">
        <v>282</v>
      </c>
      <c r="D282" s="101" t="s">
        <v>286</v>
      </c>
      <c r="E282" s="308">
        <f t="shared" si="302"/>
        <v>10600240</v>
      </c>
      <c r="F282" s="317">
        <v>10600240</v>
      </c>
      <c r="G282" s="317"/>
      <c r="H282" s="317"/>
      <c r="I282" s="317"/>
      <c r="J282" s="319">
        <f t="shared" si="293"/>
        <v>0</v>
      </c>
      <c r="K282" s="317"/>
      <c r="L282" s="431"/>
      <c r="M282" s="431"/>
      <c r="N282" s="431"/>
      <c r="O282" s="432">
        <f t="shared" si="295"/>
        <v>0</v>
      </c>
      <c r="P282" s="319">
        <f t="shared" si="296"/>
        <v>10600240</v>
      </c>
      <c r="Q282" s="20"/>
      <c r="R282" s="50"/>
    </row>
    <row r="283" spans="1:18" ht="93" hidden="1" thickTop="1" thickBot="1" x14ac:dyDescent="0.25">
      <c r="A283" s="101" t="s">
        <v>1368</v>
      </c>
      <c r="B283" s="101" t="s">
        <v>1369</v>
      </c>
      <c r="C283" s="101" t="s">
        <v>282</v>
      </c>
      <c r="D283" s="101" t="s">
        <v>1370</v>
      </c>
      <c r="E283" s="308">
        <f t="shared" ref="E283" si="303">F283</f>
        <v>0</v>
      </c>
      <c r="F283" s="317">
        <v>0</v>
      </c>
      <c r="G283" s="317"/>
      <c r="H283" s="317"/>
      <c r="I283" s="317"/>
      <c r="J283" s="319">
        <f t="shared" ref="J283" si="304">L283+O283</f>
        <v>0</v>
      </c>
      <c r="K283" s="317"/>
      <c r="L283" s="431"/>
      <c r="M283" s="431"/>
      <c r="N283" s="431"/>
      <c r="O283" s="432">
        <f t="shared" ref="O283" si="305">K283</f>
        <v>0</v>
      </c>
      <c r="P283" s="319">
        <f t="shared" ref="P283" si="306">+J283+E283</f>
        <v>0</v>
      </c>
      <c r="Q283" s="20"/>
      <c r="R283" s="50"/>
    </row>
    <row r="284" spans="1:18" ht="93" thickTop="1" thickBot="1" x14ac:dyDescent="0.25">
      <c r="A284" s="101" t="s">
        <v>542</v>
      </c>
      <c r="B284" s="101" t="s">
        <v>296</v>
      </c>
      <c r="C284" s="101" t="s">
        <v>282</v>
      </c>
      <c r="D284" s="101" t="s">
        <v>297</v>
      </c>
      <c r="E284" s="308">
        <f t="shared" si="302"/>
        <v>45509377</v>
      </c>
      <c r="F284" s="317">
        <v>45509377</v>
      </c>
      <c r="G284" s="317"/>
      <c r="H284" s="317"/>
      <c r="I284" s="317"/>
      <c r="J284" s="319">
        <f t="shared" si="293"/>
        <v>0</v>
      </c>
      <c r="K284" s="435"/>
      <c r="L284" s="317"/>
      <c r="M284" s="317"/>
      <c r="N284" s="317"/>
      <c r="O284" s="432">
        <f t="shared" si="295"/>
        <v>0</v>
      </c>
      <c r="P284" s="319">
        <f t="shared" ref="P284:P286" si="307">E284+J284</f>
        <v>45509377</v>
      </c>
      <c r="Q284" s="20"/>
      <c r="R284" s="50"/>
    </row>
    <row r="285" spans="1:18" ht="48" thickTop="1" thickBot="1" x14ac:dyDescent="0.25">
      <c r="A285" s="101" t="s">
        <v>543</v>
      </c>
      <c r="B285" s="101" t="s">
        <v>288</v>
      </c>
      <c r="C285" s="101" t="s">
        <v>282</v>
      </c>
      <c r="D285" s="101" t="s">
        <v>289</v>
      </c>
      <c r="E285" s="308">
        <f t="shared" si="302"/>
        <v>299868104</v>
      </c>
      <c r="F285" s="317">
        <v>299868104</v>
      </c>
      <c r="G285" s="317"/>
      <c r="H285" s="317">
        <v>5000</v>
      </c>
      <c r="I285" s="317"/>
      <c r="J285" s="319">
        <f t="shared" si="293"/>
        <v>0</v>
      </c>
      <c r="K285" s="435"/>
      <c r="L285" s="317"/>
      <c r="M285" s="317"/>
      <c r="N285" s="317"/>
      <c r="O285" s="432">
        <f t="shared" si="295"/>
        <v>0</v>
      </c>
      <c r="P285" s="319">
        <f t="shared" si="307"/>
        <v>299868104</v>
      </c>
      <c r="Q285" s="20"/>
      <c r="R285" s="45"/>
    </row>
    <row r="286" spans="1:18" ht="48" hidden="1" thickTop="1" thickBot="1" x14ac:dyDescent="0.25">
      <c r="A286" s="126" t="s">
        <v>1115</v>
      </c>
      <c r="B286" s="126" t="s">
        <v>1116</v>
      </c>
      <c r="C286" s="126" t="s">
        <v>1117</v>
      </c>
      <c r="D286" s="126" t="s">
        <v>1114</v>
      </c>
      <c r="E286" s="150">
        <f t="shared" si="302"/>
        <v>0</v>
      </c>
      <c r="F286" s="127"/>
      <c r="G286" s="127"/>
      <c r="H286" s="127"/>
      <c r="I286" s="127"/>
      <c r="J286" s="125">
        <f t="shared" si="293"/>
        <v>0</v>
      </c>
      <c r="K286" s="132"/>
      <c r="L286" s="127"/>
      <c r="M286" s="127"/>
      <c r="N286" s="127"/>
      <c r="O286" s="130">
        <f t="shared" si="295"/>
        <v>0</v>
      </c>
      <c r="P286" s="125">
        <f t="shared" si="307"/>
        <v>0</v>
      </c>
      <c r="Q286" s="20"/>
      <c r="R286" s="45"/>
    </row>
    <row r="287" spans="1:18" ht="54" thickTop="1" thickBot="1" x14ac:dyDescent="0.25">
      <c r="A287" s="101" t="s">
        <v>1604</v>
      </c>
      <c r="B287" s="101" t="s">
        <v>1601</v>
      </c>
      <c r="C287" s="101" t="s">
        <v>1117</v>
      </c>
      <c r="D287" s="101" t="s">
        <v>1602</v>
      </c>
      <c r="E287" s="308">
        <f t="shared" ref="E287" si="308">F287</f>
        <v>0</v>
      </c>
      <c r="F287" s="317"/>
      <c r="G287" s="317"/>
      <c r="H287" s="317"/>
      <c r="I287" s="317"/>
      <c r="J287" s="319">
        <f t="shared" ref="J287" si="309">L287+O287</f>
        <v>2357785</v>
      </c>
      <c r="K287" s="435">
        <v>2357785</v>
      </c>
      <c r="L287" s="317"/>
      <c r="M287" s="317"/>
      <c r="N287" s="317"/>
      <c r="O287" s="432">
        <f t="shared" ref="O287" si="310">K287</f>
        <v>2357785</v>
      </c>
      <c r="P287" s="319">
        <f t="shared" ref="P287" si="311">E287+J287</f>
        <v>2357785</v>
      </c>
      <c r="Q287" s="20"/>
      <c r="R287" s="45"/>
    </row>
    <row r="288" spans="1:18" ht="47.25" thickTop="1" thickBot="1" x14ac:dyDescent="0.25">
      <c r="A288" s="307" t="s">
        <v>791</v>
      </c>
      <c r="B288" s="307" t="s">
        <v>739</v>
      </c>
      <c r="C288" s="307"/>
      <c r="D288" s="307" t="s">
        <v>740</v>
      </c>
      <c r="E288" s="308">
        <f>E289+E292</f>
        <v>0</v>
      </c>
      <c r="F288" s="308">
        <f t="shared" ref="F288:P288" si="312">F289+F292</f>
        <v>0</v>
      </c>
      <c r="G288" s="308">
        <f t="shared" si="312"/>
        <v>0</v>
      </c>
      <c r="H288" s="308">
        <f t="shared" si="312"/>
        <v>0</v>
      </c>
      <c r="I288" s="308">
        <f t="shared" si="312"/>
        <v>0</v>
      </c>
      <c r="J288" s="308">
        <f t="shared" si="312"/>
        <v>14472851</v>
      </c>
      <c r="K288" s="308">
        <f t="shared" si="312"/>
        <v>13472851</v>
      </c>
      <c r="L288" s="308">
        <f t="shared" si="312"/>
        <v>0</v>
      </c>
      <c r="M288" s="308">
        <f t="shared" si="312"/>
        <v>0</v>
      </c>
      <c r="N288" s="308">
        <f t="shared" si="312"/>
        <v>0</v>
      </c>
      <c r="O288" s="308">
        <f t="shared" si="312"/>
        <v>14472851</v>
      </c>
      <c r="P288" s="308">
        <f t="shared" si="312"/>
        <v>14472851</v>
      </c>
      <c r="Q288" s="20"/>
      <c r="R288" s="50"/>
    </row>
    <row r="289" spans="1:18" ht="47.25" thickTop="1" thickBot="1" x14ac:dyDescent="0.25">
      <c r="A289" s="608" t="s">
        <v>794</v>
      </c>
      <c r="B289" s="608" t="s">
        <v>795</v>
      </c>
      <c r="C289" s="608"/>
      <c r="D289" s="608" t="s">
        <v>796</v>
      </c>
      <c r="E289" s="611">
        <f t="shared" ref="E289:P290" si="313">E290</f>
        <v>0</v>
      </c>
      <c r="F289" s="611">
        <f t="shared" si="313"/>
        <v>0</v>
      </c>
      <c r="G289" s="611">
        <f t="shared" si="313"/>
        <v>0</v>
      </c>
      <c r="H289" s="611">
        <f t="shared" si="313"/>
        <v>0</v>
      </c>
      <c r="I289" s="611">
        <f t="shared" si="313"/>
        <v>0</v>
      </c>
      <c r="J289" s="611">
        <f t="shared" si="313"/>
        <v>2000000</v>
      </c>
      <c r="K289" s="611">
        <f t="shared" si="313"/>
        <v>2000000</v>
      </c>
      <c r="L289" s="611">
        <f t="shared" si="313"/>
        <v>0</v>
      </c>
      <c r="M289" s="611">
        <f t="shared" si="313"/>
        <v>0</v>
      </c>
      <c r="N289" s="611">
        <f t="shared" si="313"/>
        <v>0</v>
      </c>
      <c r="O289" s="611">
        <f t="shared" si="313"/>
        <v>2000000</v>
      </c>
      <c r="P289" s="611">
        <f t="shared" si="313"/>
        <v>2000000</v>
      </c>
      <c r="Q289" s="20"/>
      <c r="R289" s="50"/>
    </row>
    <row r="290" spans="1:18" ht="93" thickTop="1" thickBot="1" x14ac:dyDescent="0.25">
      <c r="A290" s="101" t="s">
        <v>942</v>
      </c>
      <c r="B290" s="613" t="s">
        <v>943</v>
      </c>
      <c r="C290" s="608"/>
      <c r="D290" s="613" t="s">
        <v>944</v>
      </c>
      <c r="E290" s="625">
        <f t="shared" si="313"/>
        <v>0</v>
      </c>
      <c r="F290" s="625">
        <f t="shared" si="313"/>
        <v>0</v>
      </c>
      <c r="G290" s="625">
        <f t="shared" si="313"/>
        <v>0</v>
      </c>
      <c r="H290" s="625">
        <f t="shared" si="313"/>
        <v>0</v>
      </c>
      <c r="I290" s="625">
        <f t="shared" si="313"/>
        <v>0</v>
      </c>
      <c r="J290" s="625">
        <f t="shared" si="313"/>
        <v>2000000</v>
      </c>
      <c r="K290" s="625">
        <f t="shared" si="313"/>
        <v>2000000</v>
      </c>
      <c r="L290" s="625">
        <f t="shared" si="313"/>
        <v>0</v>
      </c>
      <c r="M290" s="625">
        <f t="shared" si="313"/>
        <v>0</v>
      </c>
      <c r="N290" s="625">
        <f t="shared" si="313"/>
        <v>0</v>
      </c>
      <c r="O290" s="625">
        <f t="shared" si="313"/>
        <v>2000000</v>
      </c>
      <c r="P290" s="625">
        <f t="shared" si="313"/>
        <v>2000000</v>
      </c>
      <c r="Q290" s="20"/>
      <c r="R290" s="50"/>
    </row>
    <row r="291" spans="1:18" ht="93" thickTop="1" thickBot="1" x14ac:dyDescent="0.25">
      <c r="A291" s="101" t="s">
        <v>545</v>
      </c>
      <c r="B291" s="101" t="s">
        <v>292</v>
      </c>
      <c r="C291" s="101" t="s">
        <v>294</v>
      </c>
      <c r="D291" s="101" t="s">
        <v>293</v>
      </c>
      <c r="E291" s="308">
        <f t="shared" si="302"/>
        <v>0</v>
      </c>
      <c r="F291" s="317">
        <f>(18000000-3000000-3000000)-12000000</f>
        <v>0</v>
      </c>
      <c r="G291" s="317"/>
      <c r="H291" s="317"/>
      <c r="I291" s="317"/>
      <c r="J291" s="319">
        <f t="shared" si="293"/>
        <v>2000000</v>
      </c>
      <c r="K291" s="317">
        <v>2000000</v>
      </c>
      <c r="L291" s="431"/>
      <c r="M291" s="431"/>
      <c r="N291" s="431"/>
      <c r="O291" s="432">
        <f>K291</f>
        <v>2000000</v>
      </c>
      <c r="P291" s="319">
        <f>+J291+E291</f>
        <v>2000000</v>
      </c>
      <c r="Q291" s="20"/>
      <c r="R291" s="45"/>
    </row>
    <row r="292" spans="1:18" ht="47.25" thickTop="1" thickBot="1" x14ac:dyDescent="0.25">
      <c r="A292" s="608" t="s">
        <v>797</v>
      </c>
      <c r="B292" s="608" t="s">
        <v>683</v>
      </c>
      <c r="C292" s="608"/>
      <c r="D292" s="608" t="s">
        <v>681</v>
      </c>
      <c r="E292" s="611">
        <f>SUM(E293:E298)-E295</f>
        <v>0</v>
      </c>
      <c r="F292" s="611">
        <f t="shared" ref="F292:P292" si="314">SUM(F293:F298)-F295</f>
        <v>0</v>
      </c>
      <c r="G292" s="611">
        <f t="shared" si="314"/>
        <v>0</v>
      </c>
      <c r="H292" s="611">
        <f t="shared" si="314"/>
        <v>0</v>
      </c>
      <c r="I292" s="611">
        <f t="shared" si="314"/>
        <v>0</v>
      </c>
      <c r="J292" s="611">
        <f t="shared" si="314"/>
        <v>12472851</v>
      </c>
      <c r="K292" s="611">
        <f t="shared" si="314"/>
        <v>11472851</v>
      </c>
      <c r="L292" s="611">
        <f t="shared" si="314"/>
        <v>0</v>
      </c>
      <c r="M292" s="611">
        <f t="shared" si="314"/>
        <v>0</v>
      </c>
      <c r="N292" s="611">
        <f t="shared" si="314"/>
        <v>0</v>
      </c>
      <c r="O292" s="611">
        <f t="shared" si="314"/>
        <v>12472851</v>
      </c>
      <c r="P292" s="611">
        <f t="shared" si="314"/>
        <v>12472851</v>
      </c>
      <c r="Q292" s="20"/>
      <c r="R292" s="45"/>
    </row>
    <row r="293" spans="1:18" ht="48" hidden="1" thickTop="1" thickBot="1" x14ac:dyDescent="0.25">
      <c r="A293" s="126" t="s">
        <v>546</v>
      </c>
      <c r="B293" s="126" t="s">
        <v>212</v>
      </c>
      <c r="C293" s="126" t="s">
        <v>213</v>
      </c>
      <c r="D293" s="126" t="s">
        <v>41</v>
      </c>
      <c r="E293" s="150">
        <f t="shared" si="302"/>
        <v>0</v>
      </c>
      <c r="F293" s="127"/>
      <c r="G293" s="127"/>
      <c r="H293" s="127"/>
      <c r="I293" s="127"/>
      <c r="J293" s="125">
        <f t="shared" si="293"/>
        <v>0</v>
      </c>
      <c r="K293" s="132"/>
      <c r="L293" s="127"/>
      <c r="M293" s="127"/>
      <c r="N293" s="127"/>
      <c r="O293" s="130">
        <f t="shared" si="295"/>
        <v>0</v>
      </c>
      <c r="P293" s="125">
        <f>E293+J293</f>
        <v>0</v>
      </c>
      <c r="Q293" s="20"/>
      <c r="R293" s="45"/>
    </row>
    <row r="294" spans="1:18" ht="48" thickTop="1" thickBot="1" x14ac:dyDescent="0.25">
      <c r="A294" s="101" t="s">
        <v>547</v>
      </c>
      <c r="B294" s="101" t="s">
        <v>197</v>
      </c>
      <c r="C294" s="101" t="s">
        <v>170</v>
      </c>
      <c r="D294" s="101" t="s">
        <v>34</v>
      </c>
      <c r="E294" s="308">
        <f t="shared" si="302"/>
        <v>0</v>
      </c>
      <c r="F294" s="317"/>
      <c r="G294" s="317"/>
      <c r="H294" s="317"/>
      <c r="I294" s="317"/>
      <c r="J294" s="319">
        <f t="shared" si="293"/>
        <v>11472851</v>
      </c>
      <c r="K294" s="435">
        <v>11472851</v>
      </c>
      <c r="L294" s="317"/>
      <c r="M294" s="317"/>
      <c r="N294" s="317"/>
      <c r="O294" s="432">
        <f t="shared" si="295"/>
        <v>11472851</v>
      </c>
      <c r="P294" s="319">
        <f>E294+J294</f>
        <v>11472851</v>
      </c>
      <c r="Q294" s="20"/>
      <c r="R294" s="45"/>
    </row>
    <row r="295" spans="1:18" ht="48" thickTop="1" thickBot="1" x14ac:dyDescent="0.25">
      <c r="A295" s="613" t="s">
        <v>798</v>
      </c>
      <c r="B295" s="613" t="s">
        <v>686</v>
      </c>
      <c r="C295" s="613"/>
      <c r="D295" s="613" t="s">
        <v>787</v>
      </c>
      <c r="E295" s="625">
        <f t="shared" ref="E295:P295" si="315">E296+E298</f>
        <v>0</v>
      </c>
      <c r="F295" s="625">
        <f t="shared" si="315"/>
        <v>0</v>
      </c>
      <c r="G295" s="625">
        <f t="shared" si="315"/>
        <v>0</v>
      </c>
      <c r="H295" s="625">
        <f t="shared" si="315"/>
        <v>0</v>
      </c>
      <c r="I295" s="625">
        <f t="shared" si="315"/>
        <v>0</v>
      </c>
      <c r="J295" s="625">
        <f t="shared" si="315"/>
        <v>1000000</v>
      </c>
      <c r="K295" s="625">
        <f t="shared" si="315"/>
        <v>0</v>
      </c>
      <c r="L295" s="625">
        <f t="shared" si="315"/>
        <v>0</v>
      </c>
      <c r="M295" s="625">
        <f t="shared" si="315"/>
        <v>0</v>
      </c>
      <c r="N295" s="625">
        <f t="shared" si="315"/>
        <v>0</v>
      </c>
      <c r="O295" s="625">
        <f t="shared" si="315"/>
        <v>1000000</v>
      </c>
      <c r="P295" s="625">
        <f t="shared" si="315"/>
        <v>1000000</v>
      </c>
      <c r="Q295" s="20"/>
      <c r="R295" s="50"/>
    </row>
    <row r="296" spans="1:18" ht="184.5" thickTop="1" thickBot="1" x14ac:dyDescent="0.7">
      <c r="A296" s="737" t="s">
        <v>548</v>
      </c>
      <c r="B296" s="737" t="s">
        <v>337</v>
      </c>
      <c r="C296" s="737" t="s">
        <v>170</v>
      </c>
      <c r="D296" s="486" t="s">
        <v>438</v>
      </c>
      <c r="E296" s="739"/>
      <c r="F296" s="780"/>
      <c r="G296" s="780"/>
      <c r="H296" s="780"/>
      <c r="I296" s="780"/>
      <c r="J296" s="739">
        <f t="shared" si="293"/>
        <v>1000000</v>
      </c>
      <c r="K296" s="780"/>
      <c r="L296" s="780">
        <v>0</v>
      </c>
      <c r="M296" s="780"/>
      <c r="N296" s="780"/>
      <c r="O296" s="778">
        <f>K296+1000000</f>
        <v>1000000</v>
      </c>
      <c r="P296" s="779">
        <f>E296+J296</f>
        <v>1000000</v>
      </c>
      <c r="Q296" s="20"/>
      <c r="R296" s="50"/>
    </row>
    <row r="297" spans="1:18" ht="93" thickTop="1" thickBot="1" x14ac:dyDescent="0.25">
      <c r="A297" s="737"/>
      <c r="B297" s="737"/>
      <c r="C297" s="737"/>
      <c r="D297" s="623" t="s">
        <v>439</v>
      </c>
      <c r="E297" s="739"/>
      <c r="F297" s="780"/>
      <c r="G297" s="780"/>
      <c r="H297" s="780"/>
      <c r="I297" s="780"/>
      <c r="J297" s="739"/>
      <c r="K297" s="780"/>
      <c r="L297" s="780"/>
      <c r="M297" s="780"/>
      <c r="N297" s="780"/>
      <c r="O297" s="778"/>
      <c r="P297" s="779"/>
      <c r="Q297" s="20"/>
      <c r="R297" s="50"/>
    </row>
    <row r="298" spans="1:18" ht="48" hidden="1" thickTop="1" thickBot="1" x14ac:dyDescent="0.25">
      <c r="A298" s="126" t="s">
        <v>1148</v>
      </c>
      <c r="B298" s="126" t="s">
        <v>256</v>
      </c>
      <c r="C298" s="126" t="s">
        <v>170</v>
      </c>
      <c r="D298" s="126" t="s">
        <v>254</v>
      </c>
      <c r="E298" s="150">
        <f t="shared" ref="E298" si="316">F298</f>
        <v>0</v>
      </c>
      <c r="F298" s="127"/>
      <c r="G298" s="127"/>
      <c r="H298" s="127"/>
      <c r="I298" s="127"/>
      <c r="J298" s="125">
        <f t="shared" ref="J298" si="317">L298+O298</f>
        <v>0</v>
      </c>
      <c r="K298" s="132"/>
      <c r="L298" s="127"/>
      <c r="M298" s="127"/>
      <c r="N298" s="127"/>
      <c r="O298" s="130">
        <f t="shared" ref="O298" si="318">K298</f>
        <v>0</v>
      </c>
      <c r="P298" s="125">
        <f>E298+J298</f>
        <v>0</v>
      </c>
      <c r="Q298" s="20"/>
      <c r="R298" s="50"/>
    </row>
    <row r="299" spans="1:18" ht="47.25" thickTop="1" thickBot="1" x14ac:dyDescent="0.25">
      <c r="A299" s="307" t="s">
        <v>799</v>
      </c>
      <c r="B299" s="307" t="s">
        <v>688</v>
      </c>
      <c r="C299" s="307"/>
      <c r="D299" s="624" t="s">
        <v>689</v>
      </c>
      <c r="E299" s="319">
        <f>E300</f>
        <v>4695452</v>
      </c>
      <c r="F299" s="319">
        <f t="shared" ref="F299:P299" si="319">F300</f>
        <v>4695452</v>
      </c>
      <c r="G299" s="319">
        <f t="shared" si="319"/>
        <v>2103868</v>
      </c>
      <c r="H299" s="319">
        <f t="shared" si="319"/>
        <v>61019</v>
      </c>
      <c r="I299" s="319">
        <f t="shared" si="319"/>
        <v>0</v>
      </c>
      <c r="J299" s="319">
        <f t="shared" si="319"/>
        <v>64433</v>
      </c>
      <c r="K299" s="319">
        <f t="shared" si="319"/>
        <v>64433</v>
      </c>
      <c r="L299" s="319">
        <f t="shared" si="319"/>
        <v>0</v>
      </c>
      <c r="M299" s="319">
        <f t="shared" si="319"/>
        <v>0</v>
      </c>
      <c r="N299" s="319">
        <f t="shared" si="319"/>
        <v>0</v>
      </c>
      <c r="O299" s="319">
        <f t="shared" si="319"/>
        <v>64433</v>
      </c>
      <c r="P299" s="319">
        <f t="shared" si="319"/>
        <v>4759885</v>
      </c>
      <c r="Q299" s="20"/>
      <c r="R299" s="50"/>
    </row>
    <row r="300" spans="1:18" ht="47.25" thickTop="1" thickBot="1" x14ac:dyDescent="0.25">
      <c r="A300" s="608" t="s">
        <v>800</v>
      </c>
      <c r="B300" s="608" t="s">
        <v>801</v>
      </c>
      <c r="C300" s="608"/>
      <c r="D300" s="609" t="s">
        <v>1243</v>
      </c>
      <c r="E300" s="610">
        <f>SUM(E301:E303)</f>
        <v>4695452</v>
      </c>
      <c r="F300" s="610">
        <f t="shared" ref="F300:P300" si="320">SUM(F301:F303)</f>
        <v>4695452</v>
      </c>
      <c r="G300" s="610">
        <f t="shared" si="320"/>
        <v>2103868</v>
      </c>
      <c r="H300" s="610">
        <f t="shared" si="320"/>
        <v>61019</v>
      </c>
      <c r="I300" s="610">
        <f t="shared" si="320"/>
        <v>0</v>
      </c>
      <c r="J300" s="610">
        <f t="shared" si="320"/>
        <v>64433</v>
      </c>
      <c r="K300" s="610">
        <f t="shared" si="320"/>
        <v>64433</v>
      </c>
      <c r="L300" s="610">
        <f t="shared" si="320"/>
        <v>0</v>
      </c>
      <c r="M300" s="610">
        <f t="shared" si="320"/>
        <v>0</v>
      </c>
      <c r="N300" s="610">
        <f t="shared" si="320"/>
        <v>0</v>
      </c>
      <c r="O300" s="610">
        <f t="shared" si="320"/>
        <v>64433</v>
      </c>
      <c r="P300" s="610">
        <f t="shared" si="320"/>
        <v>4759885</v>
      </c>
      <c r="Q300" s="20"/>
      <c r="R300" s="50"/>
    </row>
    <row r="301" spans="1:18" ht="93" thickTop="1" thickBot="1" x14ac:dyDescent="0.25">
      <c r="A301" s="101" t="s">
        <v>549</v>
      </c>
      <c r="B301" s="101" t="s">
        <v>514</v>
      </c>
      <c r="C301" s="101" t="s">
        <v>250</v>
      </c>
      <c r="D301" s="101" t="s">
        <v>515</v>
      </c>
      <c r="E301" s="308">
        <f>F301</f>
        <v>2000000</v>
      </c>
      <c r="F301" s="317">
        <v>2000000</v>
      </c>
      <c r="G301" s="317"/>
      <c r="H301" s="317"/>
      <c r="I301" s="317"/>
      <c r="J301" s="319">
        <f>L301+O301</f>
        <v>0</v>
      </c>
      <c r="K301" s="435">
        <v>0</v>
      </c>
      <c r="L301" s="317"/>
      <c r="M301" s="317"/>
      <c r="N301" s="317"/>
      <c r="O301" s="432">
        <f>K301</f>
        <v>0</v>
      </c>
      <c r="P301" s="319">
        <f>E301+J301</f>
        <v>2000000</v>
      </c>
      <c r="Q301" s="20"/>
      <c r="R301" s="50"/>
    </row>
    <row r="302" spans="1:18" ht="48" thickTop="1" thickBot="1" x14ac:dyDescent="0.25">
      <c r="A302" s="101" t="s">
        <v>550</v>
      </c>
      <c r="B302" s="101" t="s">
        <v>249</v>
      </c>
      <c r="C302" s="101" t="s">
        <v>250</v>
      </c>
      <c r="D302" s="101" t="s">
        <v>248</v>
      </c>
      <c r="E302" s="308">
        <f t="shared" ref="E302:E303" si="321">F302</f>
        <v>2695452</v>
      </c>
      <c r="F302" s="317">
        <f>2759885-64433</f>
        <v>2695452</v>
      </c>
      <c r="G302" s="317">
        <v>2103868</v>
      </c>
      <c r="H302" s="317">
        <f>1979+42660+16380</f>
        <v>61019</v>
      </c>
      <c r="I302" s="317"/>
      <c r="J302" s="319">
        <f>L302+O302</f>
        <v>64433</v>
      </c>
      <c r="K302" s="435">
        <v>64433</v>
      </c>
      <c r="L302" s="317"/>
      <c r="M302" s="317"/>
      <c r="N302" s="317"/>
      <c r="O302" s="432">
        <f>K302</f>
        <v>64433</v>
      </c>
      <c r="P302" s="319">
        <f>E302+J302</f>
        <v>2759885</v>
      </c>
      <c r="Q302" s="20"/>
      <c r="R302" s="46"/>
    </row>
    <row r="303" spans="1:18" ht="48" hidden="1" thickTop="1" thickBot="1" x14ac:dyDescent="0.25">
      <c r="A303" s="41" t="s">
        <v>551</v>
      </c>
      <c r="B303" s="41" t="s">
        <v>552</v>
      </c>
      <c r="C303" s="41" t="s">
        <v>250</v>
      </c>
      <c r="D303" s="41" t="s">
        <v>553</v>
      </c>
      <c r="E303" s="157">
        <f t="shared" si="321"/>
        <v>0</v>
      </c>
      <c r="F303" s="158">
        <f>(1219000)-1219000</f>
        <v>0</v>
      </c>
      <c r="G303" s="158">
        <f>(354000+540000)-894000</f>
        <v>0</v>
      </c>
      <c r="H303" s="158">
        <f>(6000+3000)-9000</f>
        <v>0</v>
      </c>
      <c r="I303" s="158"/>
      <c r="J303" s="42">
        <f>L303+O303</f>
        <v>0</v>
      </c>
      <c r="K303" s="43"/>
      <c r="L303" s="158"/>
      <c r="M303" s="158"/>
      <c r="N303" s="158"/>
      <c r="O303" s="44">
        <f>K303</f>
        <v>0</v>
      </c>
      <c r="P303" s="42">
        <f>E303+J303</f>
        <v>0</v>
      </c>
      <c r="Q303" s="20"/>
      <c r="R303" s="50"/>
    </row>
    <row r="304" spans="1:18" ht="47.25" hidden="1" thickTop="1" thickBot="1" x14ac:dyDescent="0.25">
      <c r="A304" s="123" t="s">
        <v>1435</v>
      </c>
      <c r="B304" s="123" t="s">
        <v>693</v>
      </c>
      <c r="C304" s="123"/>
      <c r="D304" s="123" t="s">
        <v>694</v>
      </c>
      <c r="E304" s="125">
        <f>E305</f>
        <v>0</v>
      </c>
      <c r="F304" s="125">
        <f t="shared" ref="F304:P305" si="322">F305</f>
        <v>0</v>
      </c>
      <c r="G304" s="125">
        <f t="shared" si="322"/>
        <v>0</v>
      </c>
      <c r="H304" s="125">
        <f t="shared" si="322"/>
        <v>0</v>
      </c>
      <c r="I304" s="125">
        <f t="shared" si="322"/>
        <v>0</v>
      </c>
      <c r="J304" s="125">
        <f t="shared" si="322"/>
        <v>0</v>
      </c>
      <c r="K304" s="125">
        <f t="shared" si="322"/>
        <v>0</v>
      </c>
      <c r="L304" s="125">
        <f t="shared" si="322"/>
        <v>0</v>
      </c>
      <c r="M304" s="125">
        <f t="shared" si="322"/>
        <v>0</v>
      </c>
      <c r="N304" s="125">
        <f t="shared" si="322"/>
        <v>0</v>
      </c>
      <c r="O304" s="125">
        <f t="shared" si="322"/>
        <v>0</v>
      </c>
      <c r="P304" s="125">
        <f t="shared" si="322"/>
        <v>0</v>
      </c>
      <c r="Q304" s="20"/>
      <c r="R304" s="50"/>
    </row>
    <row r="305" spans="1:18" ht="91.5" hidden="1" thickTop="1" thickBot="1" x14ac:dyDescent="0.25">
      <c r="A305" s="134" t="s">
        <v>1436</v>
      </c>
      <c r="B305" s="134" t="s">
        <v>696</v>
      </c>
      <c r="C305" s="134"/>
      <c r="D305" s="134" t="s">
        <v>697</v>
      </c>
      <c r="E305" s="135">
        <f>E306</f>
        <v>0</v>
      </c>
      <c r="F305" s="135">
        <f t="shared" si="322"/>
        <v>0</v>
      </c>
      <c r="G305" s="135">
        <f t="shared" si="322"/>
        <v>0</v>
      </c>
      <c r="H305" s="135">
        <f t="shared" si="322"/>
        <v>0</v>
      </c>
      <c r="I305" s="135">
        <f t="shared" si="322"/>
        <v>0</v>
      </c>
      <c r="J305" s="135">
        <f t="shared" si="322"/>
        <v>0</v>
      </c>
      <c r="K305" s="135">
        <f t="shared" si="322"/>
        <v>0</v>
      </c>
      <c r="L305" s="135">
        <f t="shared" si="322"/>
        <v>0</v>
      </c>
      <c r="M305" s="135">
        <f t="shared" si="322"/>
        <v>0</v>
      </c>
      <c r="N305" s="135">
        <f t="shared" si="322"/>
        <v>0</v>
      </c>
      <c r="O305" s="135">
        <f t="shared" si="322"/>
        <v>0</v>
      </c>
      <c r="P305" s="135">
        <f t="shared" si="322"/>
        <v>0</v>
      </c>
      <c r="Q305" s="20"/>
      <c r="R305" s="50"/>
    </row>
    <row r="306" spans="1:18" ht="48" hidden="1" thickTop="1" thickBot="1" x14ac:dyDescent="0.25">
      <c r="A306" s="126" t="s">
        <v>1437</v>
      </c>
      <c r="B306" s="126" t="s">
        <v>362</v>
      </c>
      <c r="C306" s="126" t="s">
        <v>43</v>
      </c>
      <c r="D306" s="126" t="s">
        <v>363</v>
      </c>
      <c r="E306" s="125">
        <f t="shared" ref="E306" si="323">F306</f>
        <v>0</v>
      </c>
      <c r="F306" s="132"/>
      <c r="G306" s="132"/>
      <c r="H306" s="132"/>
      <c r="I306" s="132"/>
      <c r="J306" s="125">
        <f>L306+O306</f>
        <v>0</v>
      </c>
      <c r="K306" s="132">
        <v>0</v>
      </c>
      <c r="L306" s="132"/>
      <c r="M306" s="132"/>
      <c r="N306" s="132"/>
      <c r="O306" s="130">
        <f>K306</f>
        <v>0</v>
      </c>
      <c r="P306" s="125">
        <f>E306+J306</f>
        <v>0</v>
      </c>
      <c r="Q306" s="20"/>
      <c r="R306" s="50"/>
    </row>
    <row r="307" spans="1:18" ht="120" customHeight="1" thickTop="1" thickBot="1" x14ac:dyDescent="0.25">
      <c r="A307" s="639" t="s">
        <v>25</v>
      </c>
      <c r="B307" s="639"/>
      <c r="C307" s="639"/>
      <c r="D307" s="640" t="s">
        <v>1305</v>
      </c>
      <c r="E307" s="641">
        <f>E308</f>
        <v>3770358</v>
      </c>
      <c r="F307" s="642">
        <f t="shared" ref="F307:G307" si="324">F308</f>
        <v>3770358</v>
      </c>
      <c r="G307" s="642">
        <f t="shared" si="324"/>
        <v>2726359</v>
      </c>
      <c r="H307" s="642">
        <f>H308</f>
        <v>129800</v>
      </c>
      <c r="I307" s="642">
        <f t="shared" ref="I307" si="325">I308</f>
        <v>0</v>
      </c>
      <c r="J307" s="641">
        <f>J308</f>
        <v>24832009</v>
      </c>
      <c r="K307" s="642">
        <f>K308</f>
        <v>24832009</v>
      </c>
      <c r="L307" s="642">
        <f>L308</f>
        <v>0</v>
      </c>
      <c r="M307" s="642">
        <f t="shared" ref="M307" si="326">M308</f>
        <v>0</v>
      </c>
      <c r="N307" s="642">
        <f>N308</f>
        <v>0</v>
      </c>
      <c r="O307" s="641">
        <f>O308</f>
        <v>24832009</v>
      </c>
      <c r="P307" s="642">
        <f t="shared" ref="P307" si="327">P308</f>
        <v>28602367</v>
      </c>
      <c r="Q307" s="20"/>
    </row>
    <row r="308" spans="1:18" ht="120" customHeight="1" thickTop="1" thickBot="1" x14ac:dyDescent="0.25">
      <c r="A308" s="603" t="s">
        <v>26</v>
      </c>
      <c r="B308" s="603"/>
      <c r="C308" s="603"/>
      <c r="D308" s="604" t="s">
        <v>879</v>
      </c>
      <c r="E308" s="605">
        <f t="shared" ref="E308:O308" si="328">E309+E321+E324+E315+E317+E313</f>
        <v>3770358</v>
      </c>
      <c r="F308" s="605">
        <f t="shared" si="328"/>
        <v>3770358</v>
      </c>
      <c r="G308" s="605">
        <f t="shared" si="328"/>
        <v>2726359</v>
      </c>
      <c r="H308" s="605">
        <f t="shared" si="328"/>
        <v>129800</v>
      </c>
      <c r="I308" s="605">
        <f t="shared" si="328"/>
        <v>0</v>
      </c>
      <c r="J308" s="605">
        <f t="shared" si="328"/>
        <v>24832009</v>
      </c>
      <c r="K308" s="605">
        <f t="shared" si="328"/>
        <v>24832009</v>
      </c>
      <c r="L308" s="605">
        <f t="shared" si="328"/>
        <v>0</v>
      </c>
      <c r="M308" s="605">
        <f t="shared" si="328"/>
        <v>0</v>
      </c>
      <c r="N308" s="605">
        <f t="shared" si="328"/>
        <v>0</v>
      </c>
      <c r="O308" s="605">
        <f t="shared" si="328"/>
        <v>24832009</v>
      </c>
      <c r="P308" s="605">
        <f>E308+J308</f>
        <v>28602367</v>
      </c>
      <c r="Q308" s="462" t="b">
        <f>P308=P310+P314+P319+P326</f>
        <v>1</v>
      </c>
      <c r="R308" s="46"/>
    </row>
    <row r="309" spans="1:18" ht="47.25" thickTop="1" thickBot="1" x14ac:dyDescent="0.25">
      <c r="A309" s="307" t="s">
        <v>802</v>
      </c>
      <c r="B309" s="307" t="s">
        <v>676</v>
      </c>
      <c r="C309" s="307"/>
      <c r="D309" s="307" t="s">
        <v>677</v>
      </c>
      <c r="E309" s="319">
        <f t="shared" ref="E309:P309" si="329">SUM(E310:E312)</f>
        <v>3770358</v>
      </c>
      <c r="F309" s="319">
        <f t="shared" si="329"/>
        <v>3770358</v>
      </c>
      <c r="G309" s="319">
        <f t="shared" si="329"/>
        <v>2726359</v>
      </c>
      <c r="H309" s="319">
        <f t="shared" si="329"/>
        <v>129800</v>
      </c>
      <c r="I309" s="319">
        <f t="shared" si="329"/>
        <v>0</v>
      </c>
      <c r="J309" s="319">
        <f t="shared" si="329"/>
        <v>0</v>
      </c>
      <c r="K309" s="319">
        <f t="shared" si="329"/>
        <v>0</v>
      </c>
      <c r="L309" s="319">
        <f t="shared" si="329"/>
        <v>0</v>
      </c>
      <c r="M309" s="319">
        <f t="shared" si="329"/>
        <v>0</v>
      </c>
      <c r="N309" s="319">
        <f t="shared" si="329"/>
        <v>0</v>
      </c>
      <c r="O309" s="319">
        <f t="shared" si="329"/>
        <v>0</v>
      </c>
      <c r="P309" s="319">
        <f t="shared" si="329"/>
        <v>3770358</v>
      </c>
      <c r="Q309" s="47"/>
      <c r="R309" s="46"/>
    </row>
    <row r="310" spans="1:18" ht="93" thickTop="1" thickBot="1" x14ac:dyDescent="0.25">
      <c r="A310" s="101" t="s">
        <v>415</v>
      </c>
      <c r="B310" s="101" t="s">
        <v>236</v>
      </c>
      <c r="C310" s="101" t="s">
        <v>234</v>
      </c>
      <c r="D310" s="101" t="s">
        <v>235</v>
      </c>
      <c r="E310" s="319">
        <f>F310</f>
        <v>3770358</v>
      </c>
      <c r="F310" s="435">
        <v>3770358</v>
      </c>
      <c r="G310" s="435">
        <v>2726359</v>
      </c>
      <c r="H310" s="435">
        <v>129800</v>
      </c>
      <c r="I310" s="435"/>
      <c r="J310" s="319">
        <f t="shared" ref="J310:J327" si="330">L310+O310</f>
        <v>0</v>
      </c>
      <c r="K310" s="435"/>
      <c r="L310" s="435"/>
      <c r="M310" s="435"/>
      <c r="N310" s="435"/>
      <c r="O310" s="432">
        <f>K310</f>
        <v>0</v>
      </c>
      <c r="P310" s="319">
        <f t="shared" ref="P310:P327" si="331">E310+J310</f>
        <v>3770358</v>
      </c>
      <c r="Q310" s="47"/>
      <c r="R310" s="50"/>
    </row>
    <row r="311" spans="1:18" ht="93" hidden="1" thickTop="1" thickBot="1" x14ac:dyDescent="0.25">
      <c r="A311" s="126" t="s">
        <v>624</v>
      </c>
      <c r="B311" s="126" t="s">
        <v>361</v>
      </c>
      <c r="C311" s="126" t="s">
        <v>619</v>
      </c>
      <c r="D311" s="126" t="s">
        <v>620</v>
      </c>
      <c r="E311" s="150">
        <f>F311</f>
        <v>0</v>
      </c>
      <c r="F311" s="127">
        <v>0</v>
      </c>
      <c r="G311" s="127"/>
      <c r="H311" s="127"/>
      <c r="I311" s="127"/>
      <c r="J311" s="125">
        <f t="shared" si="330"/>
        <v>0</v>
      </c>
      <c r="K311" s="127"/>
      <c r="L311" s="128"/>
      <c r="M311" s="128"/>
      <c r="N311" s="128"/>
      <c r="O311" s="130">
        <f t="shared" ref="O311" si="332">K311</f>
        <v>0</v>
      </c>
      <c r="P311" s="125">
        <f t="shared" ref="P311" si="333">+J311+E311</f>
        <v>0</v>
      </c>
      <c r="Q311" s="47"/>
      <c r="R311" s="50"/>
    </row>
    <row r="312" spans="1:18" ht="48" hidden="1" thickTop="1" thickBot="1" x14ac:dyDescent="0.25">
      <c r="A312" s="126" t="s">
        <v>913</v>
      </c>
      <c r="B312" s="126" t="s">
        <v>43</v>
      </c>
      <c r="C312" s="126" t="s">
        <v>42</v>
      </c>
      <c r="D312" s="126" t="s">
        <v>247</v>
      </c>
      <c r="E312" s="125">
        <f>F312</f>
        <v>0</v>
      </c>
      <c r="F312" s="132">
        <v>0</v>
      </c>
      <c r="G312" s="132"/>
      <c r="H312" s="132"/>
      <c r="I312" s="132"/>
      <c r="J312" s="125">
        <f t="shared" ref="J312" si="334">L312+O312</f>
        <v>0</v>
      </c>
      <c r="K312" s="127"/>
      <c r="L312" s="128"/>
      <c r="M312" s="128"/>
      <c r="N312" s="128"/>
      <c r="O312" s="130">
        <f t="shared" ref="O312" si="335">K312</f>
        <v>0</v>
      </c>
      <c r="P312" s="125">
        <f t="shared" ref="P312" si="336">+J312+E312</f>
        <v>0</v>
      </c>
      <c r="Q312" s="47"/>
      <c r="R312" s="50"/>
    </row>
    <row r="313" spans="1:18" ht="47.25" thickTop="1" thickBot="1" x14ac:dyDescent="0.25">
      <c r="A313" s="307" t="s">
        <v>1610</v>
      </c>
      <c r="B313" s="307" t="s">
        <v>699</v>
      </c>
      <c r="C313" s="307"/>
      <c r="D313" s="307" t="s">
        <v>700</v>
      </c>
      <c r="E313" s="319">
        <f>E314</f>
        <v>0</v>
      </c>
      <c r="F313" s="319">
        <f t="shared" ref="F313:P313" si="337">F314</f>
        <v>0</v>
      </c>
      <c r="G313" s="319">
        <f t="shared" si="337"/>
        <v>0</v>
      </c>
      <c r="H313" s="319">
        <f t="shared" si="337"/>
        <v>0</v>
      </c>
      <c r="I313" s="319">
        <f t="shared" si="337"/>
        <v>0</v>
      </c>
      <c r="J313" s="319">
        <f t="shared" si="337"/>
        <v>18532009</v>
      </c>
      <c r="K313" s="319">
        <f t="shared" si="337"/>
        <v>18532009</v>
      </c>
      <c r="L313" s="319">
        <f t="shared" si="337"/>
        <v>0</v>
      </c>
      <c r="M313" s="319">
        <f t="shared" si="337"/>
        <v>0</v>
      </c>
      <c r="N313" s="319">
        <f t="shared" si="337"/>
        <v>0</v>
      </c>
      <c r="O313" s="319">
        <f t="shared" si="337"/>
        <v>18532009</v>
      </c>
      <c r="P313" s="319">
        <f t="shared" si="337"/>
        <v>18532009</v>
      </c>
      <c r="Q313" s="47"/>
      <c r="R313" s="50"/>
    </row>
    <row r="314" spans="1:18" ht="54" thickTop="1" thickBot="1" x14ac:dyDescent="0.25">
      <c r="A314" s="101" t="s">
        <v>1611</v>
      </c>
      <c r="B314" s="101" t="s">
        <v>1612</v>
      </c>
      <c r="C314" s="101" t="s">
        <v>210</v>
      </c>
      <c r="D314" s="101" t="s">
        <v>1613</v>
      </c>
      <c r="E314" s="308">
        <f>F314</f>
        <v>0</v>
      </c>
      <c r="F314" s="317">
        <v>0</v>
      </c>
      <c r="G314" s="317"/>
      <c r="H314" s="317"/>
      <c r="I314" s="317"/>
      <c r="J314" s="319">
        <f t="shared" ref="J314" si="338">L314+O314</f>
        <v>18532009</v>
      </c>
      <c r="K314" s="317">
        <v>18532009</v>
      </c>
      <c r="L314" s="431"/>
      <c r="M314" s="431"/>
      <c r="N314" s="431"/>
      <c r="O314" s="432">
        <f t="shared" ref="O314" si="339">K314</f>
        <v>18532009</v>
      </c>
      <c r="P314" s="319">
        <f t="shared" ref="P314" si="340">+J314+E314</f>
        <v>18532009</v>
      </c>
      <c r="Q314" s="47"/>
      <c r="R314" s="50"/>
    </row>
    <row r="315" spans="1:18" ht="47.25" hidden="1" thickTop="1" thickBot="1" x14ac:dyDescent="0.25">
      <c r="A315" s="123" t="s">
        <v>1200</v>
      </c>
      <c r="B315" s="123" t="s">
        <v>702</v>
      </c>
      <c r="C315" s="123"/>
      <c r="D315" s="123" t="s">
        <v>703</v>
      </c>
      <c r="E315" s="125">
        <f t="shared" ref="E315:P315" si="341">SUM(E316:E316)</f>
        <v>0</v>
      </c>
      <c r="F315" s="125">
        <f t="shared" si="341"/>
        <v>0</v>
      </c>
      <c r="G315" s="125">
        <f t="shared" si="341"/>
        <v>0</v>
      </c>
      <c r="H315" s="125">
        <f t="shared" si="341"/>
        <v>0</v>
      </c>
      <c r="I315" s="125">
        <f t="shared" si="341"/>
        <v>0</v>
      </c>
      <c r="J315" s="125">
        <f t="shared" si="341"/>
        <v>0</v>
      </c>
      <c r="K315" s="125">
        <f t="shared" si="341"/>
        <v>0</v>
      </c>
      <c r="L315" s="125">
        <f t="shared" si="341"/>
        <v>0</v>
      </c>
      <c r="M315" s="125">
        <f t="shared" si="341"/>
        <v>0</v>
      </c>
      <c r="N315" s="125">
        <f t="shared" si="341"/>
        <v>0</v>
      </c>
      <c r="O315" s="125">
        <f t="shared" si="341"/>
        <v>0</v>
      </c>
      <c r="P315" s="125">
        <f t="shared" si="341"/>
        <v>0</v>
      </c>
      <c r="Q315" s="47"/>
      <c r="R315" s="50"/>
    </row>
    <row r="316" spans="1:18" ht="93" hidden="1" thickTop="1" thickBot="1" x14ac:dyDescent="0.25">
      <c r="A316" s="126" t="s">
        <v>1201</v>
      </c>
      <c r="B316" s="126" t="s">
        <v>1165</v>
      </c>
      <c r="C316" s="126" t="s">
        <v>206</v>
      </c>
      <c r="D316" s="379" t="s">
        <v>1166</v>
      </c>
      <c r="E316" s="125">
        <f t="shared" ref="E316" si="342">F316</f>
        <v>0</v>
      </c>
      <c r="F316" s="132">
        <v>0</v>
      </c>
      <c r="G316" s="132"/>
      <c r="H316" s="132"/>
      <c r="I316" s="132"/>
      <c r="J316" s="125">
        <f>L316+O316</f>
        <v>0</v>
      </c>
      <c r="K316" s="132"/>
      <c r="L316" s="132"/>
      <c r="M316" s="132"/>
      <c r="N316" s="132"/>
      <c r="O316" s="130">
        <f>K316</f>
        <v>0</v>
      </c>
      <c r="P316" s="125">
        <f>E316+J316</f>
        <v>0</v>
      </c>
      <c r="Q316" s="47"/>
      <c r="R316" s="50"/>
    </row>
    <row r="317" spans="1:18" ht="47.25" thickTop="1" thickBot="1" x14ac:dyDescent="0.25">
      <c r="A317" s="307" t="s">
        <v>1616</v>
      </c>
      <c r="B317" s="307" t="s">
        <v>746</v>
      </c>
      <c r="C317" s="307"/>
      <c r="D317" s="307" t="s">
        <v>747</v>
      </c>
      <c r="E317" s="319">
        <f>E318</f>
        <v>0</v>
      </c>
      <c r="F317" s="319">
        <f t="shared" ref="F317:P317" si="343">F318</f>
        <v>0</v>
      </c>
      <c r="G317" s="319">
        <f t="shared" si="343"/>
        <v>0</v>
      </c>
      <c r="H317" s="319">
        <f t="shared" si="343"/>
        <v>0</v>
      </c>
      <c r="I317" s="319">
        <f t="shared" si="343"/>
        <v>0</v>
      </c>
      <c r="J317" s="319">
        <f t="shared" si="343"/>
        <v>200000</v>
      </c>
      <c r="K317" s="319">
        <f t="shared" si="343"/>
        <v>200000</v>
      </c>
      <c r="L317" s="319">
        <f t="shared" si="343"/>
        <v>0</v>
      </c>
      <c r="M317" s="319">
        <f t="shared" si="343"/>
        <v>0</v>
      </c>
      <c r="N317" s="319">
        <f t="shared" si="343"/>
        <v>0</v>
      </c>
      <c r="O317" s="319">
        <f t="shared" si="343"/>
        <v>200000</v>
      </c>
      <c r="P317" s="319">
        <f t="shared" si="343"/>
        <v>200000</v>
      </c>
      <c r="Q317" s="47"/>
      <c r="R317" s="50"/>
    </row>
    <row r="318" spans="1:18" ht="47.25" thickTop="1" thickBot="1" x14ac:dyDescent="0.25">
      <c r="A318" s="613" t="s">
        <v>1617</v>
      </c>
      <c r="B318" s="613" t="s">
        <v>749</v>
      </c>
      <c r="C318" s="613"/>
      <c r="D318" s="615" t="s">
        <v>750</v>
      </c>
      <c r="E318" s="610">
        <f>E319</f>
        <v>0</v>
      </c>
      <c r="F318" s="610">
        <f t="shared" ref="F318" si="344">F319</f>
        <v>0</v>
      </c>
      <c r="G318" s="610">
        <f t="shared" ref="G318" si="345">G319</f>
        <v>0</v>
      </c>
      <c r="H318" s="610">
        <f t="shared" ref="H318" si="346">H319</f>
        <v>0</v>
      </c>
      <c r="I318" s="610">
        <f t="shared" ref="I318" si="347">I319</f>
        <v>0</v>
      </c>
      <c r="J318" s="610">
        <f t="shared" ref="J318" si="348">J319</f>
        <v>200000</v>
      </c>
      <c r="K318" s="610">
        <f t="shared" ref="K318" si="349">K319</f>
        <v>200000</v>
      </c>
      <c r="L318" s="610">
        <f t="shared" ref="L318" si="350">L319</f>
        <v>0</v>
      </c>
      <c r="M318" s="610">
        <f t="shared" ref="M318" si="351">M319</f>
        <v>0</v>
      </c>
      <c r="N318" s="610">
        <f t="shared" ref="N318" si="352">N319</f>
        <v>0</v>
      </c>
      <c r="O318" s="610">
        <f t="shared" ref="O318" si="353">O319</f>
        <v>200000</v>
      </c>
      <c r="P318" s="610">
        <f t="shared" ref="P318" si="354">P319</f>
        <v>200000</v>
      </c>
      <c r="Q318" s="47"/>
      <c r="R318" s="50"/>
    </row>
    <row r="319" spans="1:18" ht="48" thickTop="1" thickBot="1" x14ac:dyDescent="0.25">
      <c r="A319" s="101" t="s">
        <v>1619</v>
      </c>
      <c r="B319" s="101" t="s">
        <v>1620</v>
      </c>
      <c r="C319" s="101" t="s">
        <v>182</v>
      </c>
      <c r="D319" s="615" t="s">
        <v>1618</v>
      </c>
      <c r="E319" s="319">
        <f>F319</f>
        <v>0</v>
      </c>
      <c r="F319" s="435"/>
      <c r="G319" s="435"/>
      <c r="H319" s="435"/>
      <c r="I319" s="435"/>
      <c r="J319" s="319">
        <f t="shared" ref="J319" si="355">L319+O319</f>
        <v>200000</v>
      </c>
      <c r="K319" s="435">
        <v>200000</v>
      </c>
      <c r="L319" s="435"/>
      <c r="M319" s="435"/>
      <c r="N319" s="435"/>
      <c r="O319" s="432">
        <f>K319</f>
        <v>200000</v>
      </c>
      <c r="P319" s="319">
        <f t="shared" ref="P319" si="356">E319+J319</f>
        <v>200000</v>
      </c>
      <c r="Q319" s="47"/>
      <c r="R319" s="50"/>
    </row>
    <row r="320" spans="1:18" ht="48" hidden="1" thickTop="1" thickBot="1" x14ac:dyDescent="0.25">
      <c r="A320" s="126"/>
      <c r="B320" s="126"/>
      <c r="C320" s="126"/>
      <c r="D320" s="379"/>
      <c r="E320" s="125"/>
      <c r="F320" s="132"/>
      <c r="G320" s="132"/>
      <c r="H320" s="132"/>
      <c r="I320" s="132"/>
      <c r="J320" s="125"/>
      <c r="K320" s="132"/>
      <c r="L320" s="132"/>
      <c r="M320" s="132"/>
      <c r="N320" s="132"/>
      <c r="O320" s="130"/>
      <c r="P320" s="125"/>
      <c r="Q320" s="47"/>
      <c r="R320" s="50"/>
    </row>
    <row r="321" spans="1:18" ht="47.25" hidden="1" thickTop="1" thickBot="1" x14ac:dyDescent="0.25">
      <c r="A321" s="123" t="s">
        <v>803</v>
      </c>
      <c r="B321" s="123" t="s">
        <v>760</v>
      </c>
      <c r="C321" s="126"/>
      <c r="D321" s="123" t="s">
        <v>761</v>
      </c>
      <c r="E321" s="150">
        <f>E322</f>
        <v>0</v>
      </c>
      <c r="F321" s="150">
        <f t="shared" ref="F321:P322" si="357">F322</f>
        <v>0</v>
      </c>
      <c r="G321" s="150">
        <f t="shared" si="357"/>
        <v>0</v>
      </c>
      <c r="H321" s="150">
        <f t="shared" si="357"/>
        <v>0</v>
      </c>
      <c r="I321" s="150">
        <f t="shared" si="357"/>
        <v>0</v>
      </c>
      <c r="J321" s="150">
        <f t="shared" si="357"/>
        <v>0</v>
      </c>
      <c r="K321" s="150">
        <f t="shared" si="357"/>
        <v>0</v>
      </c>
      <c r="L321" s="150">
        <f t="shared" si="357"/>
        <v>0</v>
      </c>
      <c r="M321" s="150">
        <f t="shared" si="357"/>
        <v>0</v>
      </c>
      <c r="N321" s="150">
        <f t="shared" si="357"/>
        <v>0</v>
      </c>
      <c r="O321" s="150">
        <f t="shared" si="357"/>
        <v>0</v>
      </c>
      <c r="P321" s="150">
        <f t="shared" si="357"/>
        <v>0</v>
      </c>
      <c r="Q321" s="47"/>
      <c r="R321" s="50"/>
    </row>
    <row r="322" spans="1:18" ht="48" hidden="1" thickTop="1" thickBot="1" x14ac:dyDescent="0.25">
      <c r="A322" s="138" t="s">
        <v>804</v>
      </c>
      <c r="B322" s="138" t="s">
        <v>805</v>
      </c>
      <c r="C322" s="138"/>
      <c r="D322" s="138" t="s">
        <v>806</v>
      </c>
      <c r="E322" s="155">
        <f>E323</f>
        <v>0</v>
      </c>
      <c r="F322" s="155">
        <f t="shared" si="357"/>
        <v>0</v>
      </c>
      <c r="G322" s="155">
        <f t="shared" si="357"/>
        <v>0</v>
      </c>
      <c r="H322" s="155">
        <f t="shared" si="357"/>
        <v>0</v>
      </c>
      <c r="I322" s="155">
        <f t="shared" si="357"/>
        <v>0</v>
      </c>
      <c r="J322" s="155">
        <f t="shared" si="357"/>
        <v>0</v>
      </c>
      <c r="K322" s="155">
        <f t="shared" si="357"/>
        <v>0</v>
      </c>
      <c r="L322" s="155">
        <f t="shared" si="357"/>
        <v>0</v>
      </c>
      <c r="M322" s="155">
        <f t="shared" si="357"/>
        <v>0</v>
      </c>
      <c r="N322" s="155">
        <f t="shared" si="357"/>
        <v>0</v>
      </c>
      <c r="O322" s="155">
        <f t="shared" si="357"/>
        <v>0</v>
      </c>
      <c r="P322" s="155">
        <f t="shared" si="357"/>
        <v>0</v>
      </c>
      <c r="Q322" s="47"/>
      <c r="R322" s="50"/>
    </row>
    <row r="323" spans="1:18" ht="184.5" hidden="1" thickTop="1" thickBot="1" x14ac:dyDescent="0.25">
      <c r="A323" s="126" t="s">
        <v>431</v>
      </c>
      <c r="B323" s="126" t="s">
        <v>432</v>
      </c>
      <c r="C323" s="126" t="s">
        <v>195</v>
      </c>
      <c r="D323" s="126" t="s">
        <v>1144</v>
      </c>
      <c r="E323" s="125">
        <f t="shared" ref="E323" si="358">F323</f>
        <v>0</v>
      </c>
      <c r="F323" s="132"/>
      <c r="G323" s="132"/>
      <c r="H323" s="132"/>
      <c r="I323" s="132"/>
      <c r="J323" s="125">
        <f t="shared" si="330"/>
        <v>0</v>
      </c>
      <c r="K323" s="132">
        <v>0</v>
      </c>
      <c r="L323" s="132"/>
      <c r="M323" s="132"/>
      <c r="N323" s="132"/>
      <c r="O323" s="130">
        <f t="shared" ref="O323" si="359">K323</f>
        <v>0</v>
      </c>
      <c r="P323" s="125">
        <f t="shared" si="331"/>
        <v>0</v>
      </c>
      <c r="Q323" s="47"/>
      <c r="R323" s="46"/>
    </row>
    <row r="324" spans="1:18" ht="47.25" thickTop="1" thickBot="1" x14ac:dyDescent="0.25">
      <c r="A324" s="307" t="s">
        <v>807</v>
      </c>
      <c r="B324" s="307" t="s">
        <v>739</v>
      </c>
      <c r="C324" s="101"/>
      <c r="D324" s="307" t="s">
        <v>784</v>
      </c>
      <c r="E324" s="319">
        <f t="shared" ref="E324:P324" si="360">E325+E328</f>
        <v>0</v>
      </c>
      <c r="F324" s="319">
        <f t="shared" si="360"/>
        <v>0</v>
      </c>
      <c r="G324" s="319">
        <f t="shared" si="360"/>
        <v>0</v>
      </c>
      <c r="H324" s="319">
        <f t="shared" si="360"/>
        <v>0</v>
      </c>
      <c r="I324" s="319">
        <f t="shared" si="360"/>
        <v>0</v>
      </c>
      <c r="J324" s="319">
        <f t="shared" si="360"/>
        <v>6100000</v>
      </c>
      <c r="K324" s="319">
        <f t="shared" si="360"/>
        <v>6100000</v>
      </c>
      <c r="L324" s="319">
        <f t="shared" si="360"/>
        <v>0</v>
      </c>
      <c r="M324" s="319">
        <f t="shared" si="360"/>
        <v>0</v>
      </c>
      <c r="N324" s="319">
        <f t="shared" si="360"/>
        <v>0</v>
      </c>
      <c r="O324" s="319">
        <f t="shared" si="360"/>
        <v>6100000</v>
      </c>
      <c r="P324" s="319">
        <f t="shared" si="360"/>
        <v>6100000</v>
      </c>
      <c r="Q324" s="45"/>
      <c r="R324" s="46"/>
    </row>
    <row r="325" spans="1:18" ht="47.25" thickTop="1" thickBot="1" x14ac:dyDescent="0.25">
      <c r="A325" s="608" t="s">
        <v>808</v>
      </c>
      <c r="B325" s="608" t="s">
        <v>792</v>
      </c>
      <c r="C325" s="608"/>
      <c r="D325" s="608" t="s">
        <v>1625</v>
      </c>
      <c r="E325" s="610">
        <f>E326</f>
        <v>0</v>
      </c>
      <c r="F325" s="610">
        <f t="shared" ref="F325:P325" si="361">F326</f>
        <v>0</v>
      </c>
      <c r="G325" s="610">
        <f t="shared" si="361"/>
        <v>0</v>
      </c>
      <c r="H325" s="610">
        <f t="shared" si="361"/>
        <v>0</v>
      </c>
      <c r="I325" s="610">
        <f t="shared" si="361"/>
        <v>0</v>
      </c>
      <c r="J325" s="610">
        <f t="shared" si="361"/>
        <v>6100000</v>
      </c>
      <c r="K325" s="610">
        <f t="shared" si="361"/>
        <v>6100000</v>
      </c>
      <c r="L325" s="610">
        <f t="shared" si="361"/>
        <v>0</v>
      </c>
      <c r="M325" s="610">
        <f t="shared" si="361"/>
        <v>0</v>
      </c>
      <c r="N325" s="610">
        <f t="shared" si="361"/>
        <v>0</v>
      </c>
      <c r="O325" s="610">
        <f t="shared" si="361"/>
        <v>6100000</v>
      </c>
      <c r="P325" s="610">
        <f t="shared" si="361"/>
        <v>6100000</v>
      </c>
      <c r="Q325" s="45"/>
      <c r="R325" s="46"/>
    </row>
    <row r="326" spans="1:18" ht="54" thickTop="1" thickBot="1" x14ac:dyDescent="0.3">
      <c r="A326" s="101" t="s">
        <v>313</v>
      </c>
      <c r="B326" s="101" t="s">
        <v>314</v>
      </c>
      <c r="C326" s="101" t="s">
        <v>303</v>
      </c>
      <c r="D326" s="101" t="s">
        <v>1615</v>
      </c>
      <c r="E326" s="319">
        <f>F326</f>
        <v>0</v>
      </c>
      <c r="F326" s="435"/>
      <c r="G326" s="435"/>
      <c r="H326" s="435"/>
      <c r="I326" s="435"/>
      <c r="J326" s="319">
        <f t="shared" si="330"/>
        <v>6100000</v>
      </c>
      <c r="K326" s="435">
        <v>6100000</v>
      </c>
      <c r="L326" s="435"/>
      <c r="M326" s="435"/>
      <c r="N326" s="435"/>
      <c r="O326" s="432">
        <f>K326</f>
        <v>6100000</v>
      </c>
      <c r="P326" s="319">
        <f t="shared" si="331"/>
        <v>6100000</v>
      </c>
      <c r="Q326" s="159"/>
      <c r="R326" s="46"/>
    </row>
    <row r="327" spans="1:18" ht="48" hidden="1" thickTop="1" thickBot="1" x14ac:dyDescent="0.25">
      <c r="A327" s="41" t="s">
        <v>435</v>
      </c>
      <c r="B327" s="41" t="s">
        <v>349</v>
      </c>
      <c r="C327" s="41" t="s">
        <v>170</v>
      </c>
      <c r="D327" s="41" t="s">
        <v>261</v>
      </c>
      <c r="E327" s="42">
        <f>F327</f>
        <v>0</v>
      </c>
      <c r="F327" s="43"/>
      <c r="G327" s="43"/>
      <c r="H327" s="43"/>
      <c r="I327" s="43"/>
      <c r="J327" s="42">
        <f t="shared" si="330"/>
        <v>0</v>
      </c>
      <c r="K327" s="43">
        <v>0</v>
      </c>
      <c r="L327" s="43"/>
      <c r="M327" s="43"/>
      <c r="N327" s="43"/>
      <c r="O327" s="44">
        <f>K327</f>
        <v>0</v>
      </c>
      <c r="P327" s="42">
        <f t="shared" si="331"/>
        <v>0</v>
      </c>
      <c r="Q327" s="20"/>
      <c r="R327" s="46"/>
    </row>
    <row r="328" spans="1:18" ht="47.25" hidden="1" thickTop="1" thickBot="1" x14ac:dyDescent="0.25">
      <c r="A328" s="134" t="s">
        <v>971</v>
      </c>
      <c r="B328" s="134" t="s">
        <v>683</v>
      </c>
      <c r="C328" s="134"/>
      <c r="D328" s="134" t="s">
        <v>681</v>
      </c>
      <c r="E328" s="156">
        <f>E329</f>
        <v>0</v>
      </c>
      <c r="F328" s="156">
        <f>F329</f>
        <v>0</v>
      </c>
      <c r="G328" s="156">
        <f>G329</f>
        <v>0</v>
      </c>
      <c r="H328" s="156">
        <f>H329</f>
        <v>0</v>
      </c>
      <c r="I328" s="156">
        <f>I329</f>
        <v>0</v>
      </c>
      <c r="J328" s="156">
        <f t="shared" ref="J328:O328" si="362">J329</f>
        <v>0</v>
      </c>
      <c r="K328" s="156">
        <f t="shared" si="362"/>
        <v>0</v>
      </c>
      <c r="L328" s="156">
        <f t="shared" si="362"/>
        <v>0</v>
      </c>
      <c r="M328" s="156">
        <f t="shared" si="362"/>
        <v>0</v>
      </c>
      <c r="N328" s="156">
        <f t="shared" si="362"/>
        <v>0</v>
      </c>
      <c r="O328" s="156">
        <f t="shared" si="362"/>
        <v>0</v>
      </c>
      <c r="P328" s="156">
        <f>P329</f>
        <v>0</v>
      </c>
      <c r="Q328" s="20"/>
      <c r="R328" s="46"/>
    </row>
    <row r="329" spans="1:18" ht="48" hidden="1" thickTop="1" thickBot="1" x14ac:dyDescent="0.25">
      <c r="A329" s="138" t="s">
        <v>972</v>
      </c>
      <c r="B329" s="138" t="s">
        <v>686</v>
      </c>
      <c r="C329" s="138"/>
      <c r="D329" s="138" t="s">
        <v>787</v>
      </c>
      <c r="E329" s="155">
        <f>E330+E332</f>
        <v>0</v>
      </c>
      <c r="F329" s="155">
        <f t="shared" ref="F329:P329" si="363">F330+F332</f>
        <v>0</v>
      </c>
      <c r="G329" s="155">
        <f t="shared" si="363"/>
        <v>0</v>
      </c>
      <c r="H329" s="155">
        <f t="shared" si="363"/>
        <v>0</v>
      </c>
      <c r="I329" s="155">
        <f t="shared" si="363"/>
        <v>0</v>
      </c>
      <c r="J329" s="155">
        <f t="shared" si="363"/>
        <v>0</v>
      </c>
      <c r="K329" s="155">
        <f t="shared" si="363"/>
        <v>0</v>
      </c>
      <c r="L329" s="155">
        <f t="shared" si="363"/>
        <v>0</v>
      </c>
      <c r="M329" s="155">
        <f t="shared" si="363"/>
        <v>0</v>
      </c>
      <c r="N329" s="155">
        <f t="shared" si="363"/>
        <v>0</v>
      </c>
      <c r="O329" s="155">
        <f t="shared" si="363"/>
        <v>0</v>
      </c>
      <c r="P329" s="155">
        <f t="shared" si="363"/>
        <v>0</v>
      </c>
      <c r="Q329" s="20"/>
      <c r="R329" s="46"/>
    </row>
    <row r="330" spans="1:18" ht="184.5" hidden="1" thickTop="1" thickBot="1" x14ac:dyDescent="0.7">
      <c r="A330" s="787" t="s">
        <v>973</v>
      </c>
      <c r="B330" s="787" t="s">
        <v>337</v>
      </c>
      <c r="C330" s="787" t="s">
        <v>170</v>
      </c>
      <c r="D330" s="160" t="s">
        <v>438</v>
      </c>
      <c r="E330" s="788">
        <f t="shared" ref="E330" si="364">F330</f>
        <v>0</v>
      </c>
      <c r="F330" s="781"/>
      <c r="G330" s="781"/>
      <c r="H330" s="781"/>
      <c r="I330" s="781"/>
      <c r="J330" s="788">
        <f t="shared" ref="J330" si="365">L330+O330</f>
        <v>0</v>
      </c>
      <c r="K330" s="781"/>
      <c r="L330" s="781"/>
      <c r="M330" s="781"/>
      <c r="N330" s="781"/>
      <c r="O330" s="782">
        <f>K330</f>
        <v>0</v>
      </c>
      <c r="P330" s="786">
        <f>E330+J330</f>
        <v>0</v>
      </c>
      <c r="Q330" s="20"/>
      <c r="R330" s="46"/>
    </row>
    <row r="331" spans="1:18" ht="93" hidden="1" thickTop="1" thickBot="1" x14ac:dyDescent="0.25">
      <c r="A331" s="787"/>
      <c r="B331" s="787"/>
      <c r="C331" s="787"/>
      <c r="D331" s="161" t="s">
        <v>439</v>
      </c>
      <c r="E331" s="788"/>
      <c r="F331" s="781"/>
      <c r="G331" s="781"/>
      <c r="H331" s="781"/>
      <c r="I331" s="781"/>
      <c r="J331" s="788"/>
      <c r="K331" s="781"/>
      <c r="L331" s="781"/>
      <c r="M331" s="781"/>
      <c r="N331" s="781"/>
      <c r="O331" s="782"/>
      <c r="P331" s="786"/>
      <c r="Q331" s="20"/>
      <c r="R331" s="46"/>
    </row>
    <row r="332" spans="1:18" ht="48" hidden="1" thickTop="1" thickBot="1" x14ac:dyDescent="0.25">
      <c r="A332" s="126" t="s">
        <v>1158</v>
      </c>
      <c r="B332" s="126" t="s">
        <v>256</v>
      </c>
      <c r="C332" s="126" t="s">
        <v>170</v>
      </c>
      <c r="D332" s="153" t="s">
        <v>254</v>
      </c>
      <c r="E332" s="125">
        <f>F332</f>
        <v>0</v>
      </c>
      <c r="F332" s="132"/>
      <c r="G332" s="132"/>
      <c r="H332" s="132"/>
      <c r="I332" s="132"/>
      <c r="J332" s="125">
        <f t="shared" ref="J332" si="366">L332+O332</f>
        <v>0</v>
      </c>
      <c r="K332" s="132"/>
      <c r="L332" s="132"/>
      <c r="M332" s="132"/>
      <c r="N332" s="132"/>
      <c r="O332" s="130">
        <f>K332</f>
        <v>0</v>
      </c>
      <c r="P332" s="125">
        <f t="shared" ref="P332" si="367">E332+J332</f>
        <v>0</v>
      </c>
      <c r="Q332" s="20"/>
      <c r="R332" s="46"/>
    </row>
    <row r="333" spans="1:18" ht="120" customHeight="1" thickTop="1" thickBot="1" x14ac:dyDescent="0.25">
      <c r="A333" s="639" t="s">
        <v>160</v>
      </c>
      <c r="B333" s="639"/>
      <c r="C333" s="639"/>
      <c r="D333" s="640" t="s">
        <v>880</v>
      </c>
      <c r="E333" s="641">
        <f>E334</f>
        <v>8959407</v>
      </c>
      <c r="F333" s="642">
        <f t="shared" ref="F333:G333" si="368">F334</f>
        <v>8959407</v>
      </c>
      <c r="G333" s="642">
        <f t="shared" si="368"/>
        <v>6740040</v>
      </c>
      <c r="H333" s="642">
        <f>H334</f>
        <v>341559</v>
      </c>
      <c r="I333" s="642">
        <f t="shared" ref="I333" si="369">I334</f>
        <v>0</v>
      </c>
      <c r="J333" s="641">
        <f>J334</f>
        <v>800000</v>
      </c>
      <c r="K333" s="642">
        <f>K334</f>
        <v>800000</v>
      </c>
      <c r="L333" s="642">
        <f>L334</f>
        <v>0</v>
      </c>
      <c r="M333" s="642">
        <f t="shared" ref="M333" si="370">M334</f>
        <v>0</v>
      </c>
      <c r="N333" s="642">
        <f>N334</f>
        <v>0</v>
      </c>
      <c r="O333" s="641">
        <f>O334</f>
        <v>800000</v>
      </c>
      <c r="P333" s="642">
        <f t="shared" ref="P333" si="371">P334</f>
        <v>9759407</v>
      </c>
      <c r="Q333" s="20"/>
    </row>
    <row r="334" spans="1:18" ht="120" customHeight="1" thickTop="1" thickBot="1" x14ac:dyDescent="0.25">
      <c r="A334" s="603" t="s">
        <v>161</v>
      </c>
      <c r="B334" s="603"/>
      <c r="C334" s="603"/>
      <c r="D334" s="604" t="s">
        <v>881</v>
      </c>
      <c r="E334" s="605">
        <f>E335+E339</f>
        <v>8959407</v>
      </c>
      <c r="F334" s="605">
        <f>F335+F339</f>
        <v>8959407</v>
      </c>
      <c r="G334" s="605">
        <f>G335+G339</f>
        <v>6740040</v>
      </c>
      <c r="H334" s="605">
        <f>H335+H339</f>
        <v>341559</v>
      </c>
      <c r="I334" s="605">
        <f>I335+I339</f>
        <v>0</v>
      </c>
      <c r="J334" s="605">
        <f>L334+O334</f>
        <v>800000</v>
      </c>
      <c r="K334" s="605">
        <f>K335+K339</f>
        <v>800000</v>
      </c>
      <c r="L334" s="605">
        <f>L335+L339</f>
        <v>0</v>
      </c>
      <c r="M334" s="605">
        <f>M335+M339</f>
        <v>0</v>
      </c>
      <c r="N334" s="605">
        <f>N335+N339</f>
        <v>0</v>
      </c>
      <c r="O334" s="605">
        <f>O335+O339</f>
        <v>800000</v>
      </c>
      <c r="P334" s="605">
        <f>E334+J334</f>
        <v>9759407</v>
      </c>
      <c r="Q334" s="462" t="b">
        <f>P334=P336+P342</f>
        <v>1</v>
      </c>
      <c r="R334" s="46"/>
    </row>
    <row r="335" spans="1:18" ht="47.25" thickTop="1" thickBot="1" x14ac:dyDescent="0.25">
      <c r="A335" s="307" t="s">
        <v>810</v>
      </c>
      <c r="B335" s="307" t="s">
        <v>676</v>
      </c>
      <c r="C335" s="307"/>
      <c r="D335" s="307" t="s">
        <v>677</v>
      </c>
      <c r="E335" s="319">
        <f>SUM(E336:E338)</f>
        <v>8959407</v>
      </c>
      <c r="F335" s="319">
        <f t="shared" ref="F335:N335" si="372">SUM(F336:F338)</f>
        <v>8959407</v>
      </c>
      <c r="G335" s="319">
        <f t="shared" si="372"/>
        <v>6740040</v>
      </c>
      <c r="H335" s="319">
        <f t="shared" si="372"/>
        <v>341559</v>
      </c>
      <c r="I335" s="319">
        <f t="shared" si="372"/>
        <v>0</v>
      </c>
      <c r="J335" s="319">
        <f t="shared" si="372"/>
        <v>0</v>
      </c>
      <c r="K335" s="319">
        <f t="shared" si="372"/>
        <v>0</v>
      </c>
      <c r="L335" s="319">
        <f t="shared" si="372"/>
        <v>0</v>
      </c>
      <c r="M335" s="319">
        <f t="shared" si="372"/>
        <v>0</v>
      </c>
      <c r="N335" s="319">
        <f t="shared" si="372"/>
        <v>0</v>
      </c>
      <c r="O335" s="319">
        <f>SUM(O336:O338)</f>
        <v>0</v>
      </c>
      <c r="P335" s="319">
        <f>SUM(P336:P338)</f>
        <v>8959407</v>
      </c>
      <c r="Q335" s="47"/>
      <c r="R335" s="46"/>
    </row>
    <row r="336" spans="1:18" ht="93" thickTop="1" thickBot="1" x14ac:dyDescent="0.25">
      <c r="A336" s="101" t="s">
        <v>417</v>
      </c>
      <c r="B336" s="101" t="s">
        <v>236</v>
      </c>
      <c r="C336" s="101" t="s">
        <v>234</v>
      </c>
      <c r="D336" s="101" t="s">
        <v>235</v>
      </c>
      <c r="E336" s="319">
        <f>F336</f>
        <v>8959407</v>
      </c>
      <c r="F336" s="435">
        <v>8959407</v>
      </c>
      <c r="G336" s="435">
        <v>6740040</v>
      </c>
      <c r="H336" s="435">
        <v>341559</v>
      </c>
      <c r="I336" s="435"/>
      <c r="J336" s="319">
        <f>L336+O336</f>
        <v>0</v>
      </c>
      <c r="K336" s="435"/>
      <c r="L336" s="435"/>
      <c r="M336" s="435"/>
      <c r="N336" s="435"/>
      <c r="O336" s="432">
        <f>K336</f>
        <v>0</v>
      </c>
      <c r="P336" s="319">
        <f>E336+J336</f>
        <v>8959407</v>
      </c>
      <c r="Q336" s="47"/>
      <c r="R336" s="46"/>
    </row>
    <row r="337" spans="1:18" ht="93" hidden="1" thickTop="1" thickBot="1" x14ac:dyDescent="0.25">
      <c r="A337" s="126" t="s">
        <v>625</v>
      </c>
      <c r="B337" s="126" t="s">
        <v>361</v>
      </c>
      <c r="C337" s="126" t="s">
        <v>619</v>
      </c>
      <c r="D337" s="126" t="s">
        <v>620</v>
      </c>
      <c r="E337" s="150">
        <f>F337</f>
        <v>0</v>
      </c>
      <c r="F337" s="127"/>
      <c r="G337" s="127"/>
      <c r="H337" s="127"/>
      <c r="I337" s="127"/>
      <c r="J337" s="125">
        <f t="shared" ref="J337:J338" si="373">L337+O337</f>
        <v>0</v>
      </c>
      <c r="K337" s="127"/>
      <c r="L337" s="128"/>
      <c r="M337" s="128"/>
      <c r="N337" s="128"/>
      <c r="O337" s="130">
        <f t="shared" ref="O337:O338" si="374">K337</f>
        <v>0</v>
      </c>
      <c r="P337" s="125">
        <f t="shared" ref="P337" si="375">+J337+E337</f>
        <v>0</v>
      </c>
      <c r="Q337" s="47"/>
      <c r="R337" s="46"/>
    </row>
    <row r="338" spans="1:18" ht="48" hidden="1" thickTop="1" thickBot="1" x14ac:dyDescent="0.25">
      <c r="A338" s="126" t="s">
        <v>1225</v>
      </c>
      <c r="B338" s="126" t="s">
        <v>43</v>
      </c>
      <c r="C338" s="126" t="s">
        <v>42</v>
      </c>
      <c r="D338" s="126" t="s">
        <v>247</v>
      </c>
      <c r="E338" s="125">
        <f t="shared" ref="E338" si="376">F338</f>
        <v>0</v>
      </c>
      <c r="F338" s="132"/>
      <c r="G338" s="132"/>
      <c r="H338" s="132"/>
      <c r="I338" s="132"/>
      <c r="J338" s="125">
        <f t="shared" si="373"/>
        <v>0</v>
      </c>
      <c r="K338" s="132"/>
      <c r="L338" s="132"/>
      <c r="M338" s="132"/>
      <c r="N338" s="132"/>
      <c r="O338" s="130">
        <f t="shared" si="374"/>
        <v>0</v>
      </c>
      <c r="P338" s="125">
        <f>E338+J338</f>
        <v>0</v>
      </c>
      <c r="Q338" s="47"/>
      <c r="R338" s="46"/>
    </row>
    <row r="339" spans="1:18" ht="47.25" thickTop="1" thickBot="1" x14ac:dyDescent="0.25">
      <c r="A339" s="307" t="s">
        <v>896</v>
      </c>
      <c r="B339" s="307" t="s">
        <v>739</v>
      </c>
      <c r="C339" s="101"/>
      <c r="D339" s="307" t="s">
        <v>784</v>
      </c>
      <c r="E339" s="319">
        <f>E340</f>
        <v>0</v>
      </c>
      <c r="F339" s="319">
        <f t="shared" ref="F339:P339" si="377">F340</f>
        <v>0</v>
      </c>
      <c r="G339" s="319">
        <f t="shared" si="377"/>
        <v>0</v>
      </c>
      <c r="H339" s="319">
        <f t="shared" si="377"/>
        <v>0</v>
      </c>
      <c r="I339" s="319">
        <f t="shared" si="377"/>
        <v>0</v>
      </c>
      <c r="J339" s="319">
        <f t="shared" si="377"/>
        <v>800000</v>
      </c>
      <c r="K339" s="319">
        <f t="shared" si="377"/>
        <v>800000</v>
      </c>
      <c r="L339" s="319">
        <f t="shared" si="377"/>
        <v>0</v>
      </c>
      <c r="M339" s="319">
        <f t="shared" si="377"/>
        <v>0</v>
      </c>
      <c r="N339" s="319">
        <f t="shared" si="377"/>
        <v>0</v>
      </c>
      <c r="O339" s="319">
        <f t="shared" si="377"/>
        <v>800000</v>
      </c>
      <c r="P339" s="319">
        <f t="shared" si="377"/>
        <v>800000</v>
      </c>
      <c r="Q339" s="47"/>
      <c r="R339" s="46"/>
    </row>
    <row r="340" spans="1:18" ht="47.25" thickTop="1" thickBot="1" x14ac:dyDescent="0.25">
      <c r="A340" s="608" t="s">
        <v>897</v>
      </c>
      <c r="B340" s="608" t="s">
        <v>792</v>
      </c>
      <c r="C340" s="608"/>
      <c r="D340" s="608" t="s">
        <v>1625</v>
      </c>
      <c r="E340" s="610">
        <f>SUM(E341:E342)</f>
        <v>0</v>
      </c>
      <c r="F340" s="610">
        <f t="shared" ref="F340:P340" si="378">SUM(F341:F342)</f>
        <v>0</v>
      </c>
      <c r="G340" s="610">
        <f t="shared" si="378"/>
        <v>0</v>
      </c>
      <c r="H340" s="610">
        <f t="shared" si="378"/>
        <v>0</v>
      </c>
      <c r="I340" s="610">
        <f t="shared" si="378"/>
        <v>0</v>
      </c>
      <c r="J340" s="610">
        <f t="shared" si="378"/>
        <v>800000</v>
      </c>
      <c r="K340" s="610">
        <f t="shared" si="378"/>
        <v>800000</v>
      </c>
      <c r="L340" s="610">
        <f t="shared" si="378"/>
        <v>0</v>
      </c>
      <c r="M340" s="610">
        <f t="shared" si="378"/>
        <v>0</v>
      </c>
      <c r="N340" s="610">
        <f t="shared" si="378"/>
        <v>0</v>
      </c>
      <c r="O340" s="610">
        <f t="shared" si="378"/>
        <v>800000</v>
      </c>
      <c r="P340" s="610">
        <f t="shared" si="378"/>
        <v>800000</v>
      </c>
      <c r="Q340" s="47"/>
      <c r="R340" s="46"/>
    </row>
    <row r="341" spans="1:18" ht="93" hidden="1" thickTop="1" thickBot="1" x14ac:dyDescent="0.25">
      <c r="A341" s="126" t="s">
        <v>898</v>
      </c>
      <c r="B341" s="126" t="s">
        <v>899</v>
      </c>
      <c r="C341" s="126" t="s">
        <v>303</v>
      </c>
      <c r="D341" s="126" t="s">
        <v>900</v>
      </c>
      <c r="E341" s="150">
        <f>F341</f>
        <v>0</v>
      </c>
      <c r="F341" s="127"/>
      <c r="G341" s="127"/>
      <c r="H341" s="127"/>
      <c r="I341" s="127"/>
      <c r="J341" s="125">
        <f t="shared" ref="J341" si="379">L341+O341</f>
        <v>0</v>
      </c>
      <c r="K341" s="127"/>
      <c r="L341" s="128"/>
      <c r="M341" s="128"/>
      <c r="N341" s="128"/>
      <c r="O341" s="130">
        <f t="shared" ref="O341" si="380">K341</f>
        <v>0</v>
      </c>
      <c r="P341" s="125">
        <f t="shared" ref="P341" si="381">+J341+E341</f>
        <v>0</v>
      </c>
      <c r="Q341" s="47"/>
      <c r="R341" s="46"/>
    </row>
    <row r="342" spans="1:18" ht="93" thickTop="1" thickBot="1" x14ac:dyDescent="0.25">
      <c r="A342" s="101" t="s">
        <v>1626</v>
      </c>
      <c r="B342" s="101" t="s">
        <v>1628</v>
      </c>
      <c r="C342" s="101" t="s">
        <v>303</v>
      </c>
      <c r="D342" s="101" t="s">
        <v>1627</v>
      </c>
      <c r="E342" s="308">
        <f>F342</f>
        <v>0</v>
      </c>
      <c r="F342" s="317"/>
      <c r="G342" s="317"/>
      <c r="H342" s="317"/>
      <c r="I342" s="317"/>
      <c r="J342" s="319">
        <f t="shared" ref="J342" si="382">L342+O342</f>
        <v>800000</v>
      </c>
      <c r="K342" s="317">
        <f>1000000-200000</f>
        <v>800000</v>
      </c>
      <c r="L342" s="431"/>
      <c r="M342" s="431"/>
      <c r="N342" s="431"/>
      <c r="O342" s="432">
        <f t="shared" ref="O342" si="383">K342</f>
        <v>800000</v>
      </c>
      <c r="P342" s="319">
        <f t="shared" ref="P342" si="384">+J342+E342</f>
        <v>800000</v>
      </c>
      <c r="Q342" s="47"/>
      <c r="R342" s="46"/>
    </row>
    <row r="343" spans="1:18" ht="120" customHeight="1" thickTop="1" thickBot="1" x14ac:dyDescent="0.25">
      <c r="A343" s="639" t="s">
        <v>442</v>
      </c>
      <c r="B343" s="639"/>
      <c r="C343" s="639"/>
      <c r="D343" s="640" t="s">
        <v>444</v>
      </c>
      <c r="E343" s="641">
        <f>E344</f>
        <v>206367271</v>
      </c>
      <c r="F343" s="642">
        <f t="shared" ref="F343:G343" si="385">F344</f>
        <v>206367271</v>
      </c>
      <c r="G343" s="642">
        <f t="shared" si="385"/>
        <v>4685908</v>
      </c>
      <c r="H343" s="642">
        <f>H344</f>
        <v>190233</v>
      </c>
      <c r="I343" s="642">
        <f t="shared" ref="I343" si="386">I344</f>
        <v>0</v>
      </c>
      <c r="J343" s="641">
        <f>J344</f>
        <v>89954</v>
      </c>
      <c r="K343" s="642">
        <f>K344</f>
        <v>89954</v>
      </c>
      <c r="L343" s="642">
        <f>L344</f>
        <v>0</v>
      </c>
      <c r="M343" s="642">
        <f t="shared" ref="M343" si="387">M344</f>
        <v>0</v>
      </c>
      <c r="N343" s="642">
        <f>N344</f>
        <v>0</v>
      </c>
      <c r="O343" s="641">
        <f>O344</f>
        <v>89954</v>
      </c>
      <c r="P343" s="642">
        <f t="shared" ref="P343" si="388">P344</f>
        <v>206457225</v>
      </c>
      <c r="Q343" s="20"/>
    </row>
    <row r="344" spans="1:18" ht="120" customHeight="1" thickTop="1" thickBot="1" x14ac:dyDescent="0.25">
      <c r="A344" s="603" t="s">
        <v>443</v>
      </c>
      <c r="B344" s="603"/>
      <c r="C344" s="603"/>
      <c r="D344" s="604" t="s">
        <v>445</v>
      </c>
      <c r="E344" s="605">
        <f t="shared" ref="E344:O344" si="389">E345+E348+E357+E360</f>
        <v>206367271</v>
      </c>
      <c r="F344" s="605">
        <f t="shared" si="389"/>
        <v>206367271</v>
      </c>
      <c r="G344" s="605">
        <f t="shared" si="389"/>
        <v>4685908</v>
      </c>
      <c r="H344" s="605">
        <f t="shared" si="389"/>
        <v>190233</v>
      </c>
      <c r="I344" s="605">
        <f t="shared" si="389"/>
        <v>0</v>
      </c>
      <c r="J344" s="605">
        <f t="shared" si="389"/>
        <v>89954</v>
      </c>
      <c r="K344" s="605">
        <f t="shared" si="389"/>
        <v>89954</v>
      </c>
      <c r="L344" s="605">
        <f t="shared" si="389"/>
        <v>0</v>
      </c>
      <c r="M344" s="605">
        <f t="shared" si="389"/>
        <v>0</v>
      </c>
      <c r="N344" s="605">
        <f t="shared" si="389"/>
        <v>0</v>
      </c>
      <c r="O344" s="605">
        <f t="shared" si="389"/>
        <v>89954</v>
      </c>
      <c r="P344" s="605">
        <f>E344+J344</f>
        <v>206457225</v>
      </c>
      <c r="Q344" s="462" t="b">
        <f>P344=P346+P351+P353+P359</f>
        <v>1</v>
      </c>
      <c r="R344" s="46"/>
    </row>
    <row r="345" spans="1:18" ht="47.25" thickTop="1" thickBot="1" x14ac:dyDescent="0.25">
      <c r="A345" s="307" t="s">
        <v>811</v>
      </c>
      <c r="B345" s="307" t="s">
        <v>676</v>
      </c>
      <c r="C345" s="307"/>
      <c r="D345" s="307" t="s">
        <v>677</v>
      </c>
      <c r="E345" s="319">
        <f>SUM(E346:E347)</f>
        <v>9875113</v>
      </c>
      <c r="F345" s="319">
        <f t="shared" ref="F345" si="390">SUM(F346:F347)</f>
        <v>9875113</v>
      </c>
      <c r="G345" s="319">
        <f t="shared" ref="G345" si="391">SUM(G346:G347)</f>
        <v>4685908</v>
      </c>
      <c r="H345" s="319">
        <f t="shared" ref="H345" si="392">SUM(H346:H347)</f>
        <v>190233</v>
      </c>
      <c r="I345" s="319">
        <f t="shared" ref="I345" si="393">SUM(I346:I347)</f>
        <v>0</v>
      </c>
      <c r="J345" s="319">
        <f t="shared" ref="J345" si="394">SUM(J346:J347)</f>
        <v>89954</v>
      </c>
      <c r="K345" s="319">
        <f t="shared" ref="K345" si="395">SUM(K346:K347)</f>
        <v>89954</v>
      </c>
      <c r="L345" s="319">
        <f t="shared" ref="L345" si="396">SUM(L346:L347)</f>
        <v>0</v>
      </c>
      <c r="M345" s="319">
        <f t="shared" ref="M345" si="397">SUM(M346:M347)</f>
        <v>0</v>
      </c>
      <c r="N345" s="319">
        <f t="shared" ref="N345" si="398">SUM(N346:N347)</f>
        <v>0</v>
      </c>
      <c r="O345" s="319">
        <f t="shared" ref="O345" si="399">SUM(O346:O347)</f>
        <v>89954</v>
      </c>
      <c r="P345" s="319">
        <f t="shared" ref="P345" si="400">SUM(P346:P347)</f>
        <v>9965067</v>
      </c>
      <c r="Q345" s="47"/>
      <c r="R345" s="46"/>
    </row>
    <row r="346" spans="1:18" ht="93" thickTop="1" thickBot="1" x14ac:dyDescent="0.25">
      <c r="A346" s="101" t="s">
        <v>446</v>
      </c>
      <c r="B346" s="101" t="s">
        <v>236</v>
      </c>
      <c r="C346" s="101" t="s">
        <v>234</v>
      </c>
      <c r="D346" s="101" t="s">
        <v>235</v>
      </c>
      <c r="E346" s="319">
        <f>F346</f>
        <v>9875113</v>
      </c>
      <c r="F346" s="435">
        <v>9875113</v>
      </c>
      <c r="G346" s="435">
        <v>4685908</v>
      </c>
      <c r="H346" s="435">
        <v>190233</v>
      </c>
      <c r="I346" s="435"/>
      <c r="J346" s="319">
        <f>L346+O346</f>
        <v>89954</v>
      </c>
      <c r="K346" s="435">
        <v>89954</v>
      </c>
      <c r="L346" s="435"/>
      <c r="M346" s="435"/>
      <c r="N346" s="435"/>
      <c r="O346" s="432">
        <f>K346</f>
        <v>89954</v>
      </c>
      <c r="P346" s="319">
        <f>E346+J346</f>
        <v>9965067</v>
      </c>
      <c r="Q346" s="47"/>
      <c r="R346" s="46"/>
    </row>
    <row r="347" spans="1:18" ht="93" hidden="1" thickTop="1" thickBot="1" x14ac:dyDescent="0.25">
      <c r="A347" s="126" t="s">
        <v>626</v>
      </c>
      <c r="B347" s="126" t="s">
        <v>361</v>
      </c>
      <c r="C347" s="126" t="s">
        <v>619</v>
      </c>
      <c r="D347" s="126" t="s">
        <v>620</v>
      </c>
      <c r="E347" s="125">
        <f>F347</f>
        <v>0</v>
      </c>
      <c r="F347" s="132">
        <v>0</v>
      </c>
      <c r="G347" s="132"/>
      <c r="H347" s="132"/>
      <c r="I347" s="132"/>
      <c r="J347" s="125">
        <f t="shared" ref="J347" si="401">L347+O347</f>
        <v>0</v>
      </c>
      <c r="K347" s="132"/>
      <c r="L347" s="132"/>
      <c r="M347" s="132"/>
      <c r="N347" s="132"/>
      <c r="O347" s="130">
        <f t="shared" ref="O347" si="402">K347</f>
        <v>0</v>
      </c>
      <c r="P347" s="125">
        <f t="shared" ref="P347" si="403">+J347+E347</f>
        <v>0</v>
      </c>
      <c r="Q347" s="47"/>
      <c r="R347" s="46"/>
    </row>
    <row r="348" spans="1:18" ht="60" customHeight="1" thickTop="1" thickBot="1" x14ac:dyDescent="0.25">
      <c r="A348" s="307" t="s">
        <v>812</v>
      </c>
      <c r="B348" s="307" t="s">
        <v>739</v>
      </c>
      <c r="C348" s="101"/>
      <c r="D348" s="307" t="s">
        <v>784</v>
      </c>
      <c r="E348" s="319">
        <f>E349+E355</f>
        <v>195016858</v>
      </c>
      <c r="F348" s="319">
        <f t="shared" ref="F348:P348" si="404">F349+F355</f>
        <v>195016858</v>
      </c>
      <c r="G348" s="319">
        <f t="shared" si="404"/>
        <v>0</v>
      </c>
      <c r="H348" s="319">
        <f t="shared" si="404"/>
        <v>0</v>
      </c>
      <c r="I348" s="319">
        <f t="shared" si="404"/>
        <v>0</v>
      </c>
      <c r="J348" s="319">
        <f t="shared" si="404"/>
        <v>0</v>
      </c>
      <c r="K348" s="319">
        <f t="shared" si="404"/>
        <v>0</v>
      </c>
      <c r="L348" s="319">
        <f t="shared" si="404"/>
        <v>0</v>
      </c>
      <c r="M348" s="319">
        <f t="shared" si="404"/>
        <v>0</v>
      </c>
      <c r="N348" s="319">
        <f t="shared" si="404"/>
        <v>0</v>
      </c>
      <c r="O348" s="319">
        <f t="shared" si="404"/>
        <v>0</v>
      </c>
      <c r="P348" s="319">
        <f t="shared" si="404"/>
        <v>195016858</v>
      </c>
      <c r="Q348" s="47"/>
      <c r="R348" s="50"/>
    </row>
    <row r="349" spans="1:18" ht="47.25" thickTop="1" thickBot="1" x14ac:dyDescent="0.25">
      <c r="A349" s="608" t="s">
        <v>813</v>
      </c>
      <c r="B349" s="608" t="s">
        <v>795</v>
      </c>
      <c r="C349" s="608"/>
      <c r="D349" s="608" t="s">
        <v>796</v>
      </c>
      <c r="E349" s="610">
        <f>E352+E354+E350</f>
        <v>195016858</v>
      </c>
      <c r="F349" s="610">
        <f t="shared" ref="F349:P349" si="405">F352+F354+F350</f>
        <v>195016858</v>
      </c>
      <c r="G349" s="610">
        <f t="shared" si="405"/>
        <v>0</v>
      </c>
      <c r="H349" s="610">
        <f t="shared" si="405"/>
        <v>0</v>
      </c>
      <c r="I349" s="610">
        <f t="shared" si="405"/>
        <v>0</v>
      </c>
      <c r="J349" s="610">
        <f t="shared" si="405"/>
        <v>0</v>
      </c>
      <c r="K349" s="610">
        <f t="shared" si="405"/>
        <v>0</v>
      </c>
      <c r="L349" s="610">
        <f t="shared" si="405"/>
        <v>0</v>
      </c>
      <c r="M349" s="610">
        <f t="shared" si="405"/>
        <v>0</v>
      </c>
      <c r="N349" s="610">
        <f t="shared" si="405"/>
        <v>0</v>
      </c>
      <c r="O349" s="610">
        <f t="shared" si="405"/>
        <v>0</v>
      </c>
      <c r="P349" s="610">
        <f t="shared" si="405"/>
        <v>195016858</v>
      </c>
      <c r="Q349" s="47"/>
      <c r="R349" s="50"/>
    </row>
    <row r="350" spans="1:18" ht="93" thickTop="1" thickBot="1" x14ac:dyDescent="0.25">
      <c r="A350" s="613" t="s">
        <v>991</v>
      </c>
      <c r="B350" s="613" t="s">
        <v>992</v>
      </c>
      <c r="C350" s="613"/>
      <c r="D350" s="613" t="s">
        <v>990</v>
      </c>
      <c r="E350" s="614">
        <f>E351</f>
        <v>950000</v>
      </c>
      <c r="F350" s="614">
        <f t="shared" ref="F350:O350" si="406">F351</f>
        <v>950000</v>
      </c>
      <c r="G350" s="614">
        <f t="shared" si="406"/>
        <v>0</v>
      </c>
      <c r="H350" s="614">
        <f t="shared" si="406"/>
        <v>0</v>
      </c>
      <c r="I350" s="614">
        <f t="shared" si="406"/>
        <v>0</v>
      </c>
      <c r="J350" s="614">
        <f t="shared" si="406"/>
        <v>0</v>
      </c>
      <c r="K350" s="614">
        <f t="shared" si="406"/>
        <v>0</v>
      </c>
      <c r="L350" s="614">
        <f t="shared" si="406"/>
        <v>0</v>
      </c>
      <c r="M350" s="614">
        <f t="shared" si="406"/>
        <v>0</v>
      </c>
      <c r="N350" s="614">
        <f t="shared" si="406"/>
        <v>0</v>
      </c>
      <c r="O350" s="614">
        <f t="shared" si="406"/>
        <v>0</v>
      </c>
      <c r="P350" s="614">
        <f t="shared" ref="F350:P352" si="407">P351</f>
        <v>950000</v>
      </c>
      <c r="Q350" s="47"/>
      <c r="R350" s="50"/>
    </row>
    <row r="351" spans="1:18" ht="60.75" customHeight="1" thickTop="1" thickBot="1" x14ac:dyDescent="0.25">
      <c r="A351" s="101" t="s">
        <v>465</v>
      </c>
      <c r="B351" s="101" t="s">
        <v>410</v>
      </c>
      <c r="C351" s="101" t="s">
        <v>411</v>
      </c>
      <c r="D351" s="101" t="s">
        <v>412</v>
      </c>
      <c r="E351" s="319">
        <f>F351</f>
        <v>950000</v>
      </c>
      <c r="F351" s="435">
        <f>((300000)+250000)+1062000-662000</f>
        <v>950000</v>
      </c>
      <c r="G351" s="435"/>
      <c r="H351" s="435"/>
      <c r="I351" s="435"/>
      <c r="J351" s="319">
        <f>L351+O351</f>
        <v>0</v>
      </c>
      <c r="K351" s="435"/>
      <c r="L351" s="435"/>
      <c r="M351" s="435"/>
      <c r="N351" s="435"/>
      <c r="O351" s="432">
        <f>K351</f>
        <v>0</v>
      </c>
      <c r="P351" s="319">
        <f>E351+J351</f>
        <v>950000</v>
      </c>
      <c r="Q351" s="47"/>
      <c r="R351" s="50"/>
    </row>
    <row r="352" spans="1:18" ht="93" thickTop="1" thickBot="1" x14ac:dyDescent="0.25">
      <c r="A352" s="613" t="s">
        <v>814</v>
      </c>
      <c r="B352" s="613" t="s">
        <v>815</v>
      </c>
      <c r="C352" s="613"/>
      <c r="D352" s="613" t="s">
        <v>816</v>
      </c>
      <c r="E352" s="614">
        <f>E353</f>
        <v>194066858</v>
      </c>
      <c r="F352" s="614">
        <f t="shared" si="407"/>
        <v>194066858</v>
      </c>
      <c r="G352" s="614">
        <f t="shared" si="407"/>
        <v>0</v>
      </c>
      <c r="H352" s="614">
        <f t="shared" si="407"/>
        <v>0</v>
      </c>
      <c r="I352" s="614">
        <f t="shared" si="407"/>
        <v>0</v>
      </c>
      <c r="J352" s="614">
        <f t="shared" si="407"/>
        <v>0</v>
      </c>
      <c r="K352" s="614">
        <f t="shared" si="407"/>
        <v>0</v>
      </c>
      <c r="L352" s="614">
        <f t="shared" si="407"/>
        <v>0</v>
      </c>
      <c r="M352" s="614">
        <f t="shared" si="407"/>
        <v>0</v>
      </c>
      <c r="N352" s="614">
        <f t="shared" si="407"/>
        <v>0</v>
      </c>
      <c r="O352" s="614">
        <f t="shared" si="407"/>
        <v>0</v>
      </c>
      <c r="P352" s="614">
        <f t="shared" si="407"/>
        <v>194066858</v>
      </c>
      <c r="Q352" s="47"/>
      <c r="R352" s="50"/>
    </row>
    <row r="353" spans="1:18" ht="48" thickTop="1" thickBot="1" x14ac:dyDescent="0.25">
      <c r="A353" s="101" t="s">
        <v>466</v>
      </c>
      <c r="B353" s="101" t="s">
        <v>290</v>
      </c>
      <c r="C353" s="101" t="s">
        <v>1325</v>
      </c>
      <c r="D353" s="101" t="s">
        <v>291</v>
      </c>
      <c r="E353" s="319">
        <f>F353</f>
        <v>194066858</v>
      </c>
      <c r="F353" s="435">
        <v>194066858</v>
      </c>
      <c r="G353" s="435"/>
      <c r="H353" s="435"/>
      <c r="I353" s="435"/>
      <c r="J353" s="319">
        <f>L353+O353</f>
        <v>0</v>
      </c>
      <c r="K353" s="435"/>
      <c r="L353" s="435"/>
      <c r="M353" s="435"/>
      <c r="N353" s="435"/>
      <c r="O353" s="432">
        <f>K353</f>
        <v>0</v>
      </c>
      <c r="P353" s="319">
        <f>E353+J353</f>
        <v>194066858</v>
      </c>
      <c r="Q353" s="47"/>
      <c r="R353" s="50"/>
    </row>
    <row r="354" spans="1:18" ht="48" hidden="1" thickTop="1" thickBot="1" x14ac:dyDescent="0.25">
      <c r="A354" s="126" t="s">
        <v>1066</v>
      </c>
      <c r="B354" s="126" t="s">
        <v>1067</v>
      </c>
      <c r="C354" s="126" t="s">
        <v>294</v>
      </c>
      <c r="D354" s="126" t="s">
        <v>1065</v>
      </c>
      <c r="E354" s="125">
        <f>F354</f>
        <v>0</v>
      </c>
      <c r="F354" s="132"/>
      <c r="G354" s="132"/>
      <c r="H354" s="132"/>
      <c r="I354" s="132"/>
      <c r="J354" s="125">
        <f>L354+O354</f>
        <v>0</v>
      </c>
      <c r="K354" s="132"/>
      <c r="L354" s="132"/>
      <c r="M354" s="132"/>
      <c r="N354" s="132"/>
      <c r="O354" s="130">
        <f>K354</f>
        <v>0</v>
      </c>
      <c r="P354" s="125">
        <f>E354+J354</f>
        <v>0</v>
      </c>
      <c r="Q354" s="47"/>
      <c r="R354" s="50"/>
    </row>
    <row r="355" spans="1:18" ht="47.25" hidden="1" thickTop="1" thickBot="1" x14ac:dyDescent="0.25">
      <c r="A355" s="134" t="s">
        <v>1139</v>
      </c>
      <c r="B355" s="134" t="s">
        <v>683</v>
      </c>
      <c r="C355" s="134"/>
      <c r="D355" s="134" t="s">
        <v>681</v>
      </c>
      <c r="E355" s="135">
        <f>E356</f>
        <v>0</v>
      </c>
      <c r="F355" s="135">
        <f t="shared" ref="F355:P355" si="408">F356</f>
        <v>0</v>
      </c>
      <c r="G355" s="135">
        <f t="shared" si="408"/>
        <v>0</v>
      </c>
      <c r="H355" s="135">
        <f t="shared" si="408"/>
        <v>0</v>
      </c>
      <c r="I355" s="135">
        <f t="shared" si="408"/>
        <v>0</v>
      </c>
      <c r="J355" s="135">
        <f t="shared" si="408"/>
        <v>0</v>
      </c>
      <c r="K355" s="135">
        <f t="shared" si="408"/>
        <v>0</v>
      </c>
      <c r="L355" s="135">
        <f t="shared" si="408"/>
        <v>0</v>
      </c>
      <c r="M355" s="135">
        <f t="shared" si="408"/>
        <v>0</v>
      </c>
      <c r="N355" s="135">
        <f t="shared" si="408"/>
        <v>0</v>
      </c>
      <c r="O355" s="135">
        <f t="shared" si="408"/>
        <v>0</v>
      </c>
      <c r="P355" s="135">
        <f t="shared" si="408"/>
        <v>0</v>
      </c>
      <c r="Q355" s="47"/>
      <c r="R355" s="50"/>
    </row>
    <row r="356" spans="1:18" ht="48" hidden="1" thickTop="1" thickBot="1" x14ac:dyDescent="0.25">
      <c r="A356" s="126" t="s">
        <v>1140</v>
      </c>
      <c r="B356" s="126" t="s">
        <v>197</v>
      </c>
      <c r="C356" s="126" t="s">
        <v>170</v>
      </c>
      <c r="D356" s="126" t="s">
        <v>1141</v>
      </c>
      <c r="E356" s="125">
        <f>F356</f>
        <v>0</v>
      </c>
      <c r="F356" s="132">
        <v>0</v>
      </c>
      <c r="G356" s="132"/>
      <c r="H356" s="132"/>
      <c r="I356" s="132"/>
      <c r="J356" s="125">
        <f>L356+O356</f>
        <v>0</v>
      </c>
      <c r="K356" s="132"/>
      <c r="L356" s="132"/>
      <c r="M356" s="132"/>
      <c r="N356" s="132"/>
      <c r="O356" s="130">
        <f>K356</f>
        <v>0</v>
      </c>
      <c r="P356" s="125">
        <f>E356+J356</f>
        <v>0</v>
      </c>
      <c r="Q356" s="47"/>
      <c r="R356" s="50"/>
    </row>
    <row r="357" spans="1:18" ht="47.25" thickTop="1" thickBot="1" x14ac:dyDescent="0.25">
      <c r="A357" s="307" t="s">
        <v>1184</v>
      </c>
      <c r="B357" s="307" t="s">
        <v>688</v>
      </c>
      <c r="C357" s="307"/>
      <c r="D357" s="307" t="s">
        <v>689</v>
      </c>
      <c r="E357" s="319">
        <f>E358</f>
        <v>1475300</v>
      </c>
      <c r="F357" s="319">
        <f t="shared" ref="F357:P357" si="409">F358</f>
        <v>1475300</v>
      </c>
      <c r="G357" s="319">
        <f t="shared" si="409"/>
        <v>0</v>
      </c>
      <c r="H357" s="319">
        <f t="shared" si="409"/>
        <v>0</v>
      </c>
      <c r="I357" s="319">
        <f t="shared" si="409"/>
        <v>0</v>
      </c>
      <c r="J357" s="319">
        <f t="shared" si="409"/>
        <v>0</v>
      </c>
      <c r="K357" s="319">
        <f t="shared" si="409"/>
        <v>0</v>
      </c>
      <c r="L357" s="319">
        <f t="shared" si="409"/>
        <v>0</v>
      </c>
      <c r="M357" s="319">
        <f t="shared" si="409"/>
        <v>0</v>
      </c>
      <c r="N357" s="319">
        <f t="shared" si="409"/>
        <v>0</v>
      </c>
      <c r="O357" s="319">
        <f t="shared" si="409"/>
        <v>0</v>
      </c>
      <c r="P357" s="319">
        <f t="shared" si="409"/>
        <v>1475300</v>
      </c>
      <c r="Q357" s="47"/>
      <c r="R357" s="50"/>
    </row>
    <row r="358" spans="1:18" ht="47.25" thickTop="1" thickBot="1" x14ac:dyDescent="0.25">
      <c r="A358" s="608" t="s">
        <v>1185</v>
      </c>
      <c r="B358" s="608" t="s">
        <v>1151</v>
      </c>
      <c r="C358" s="608"/>
      <c r="D358" s="608" t="s">
        <v>1149</v>
      </c>
      <c r="E358" s="610">
        <f>E359</f>
        <v>1475300</v>
      </c>
      <c r="F358" s="610">
        <f>F359</f>
        <v>1475300</v>
      </c>
      <c r="G358" s="610">
        <f t="shared" ref="G358:O358" si="410">G359</f>
        <v>0</v>
      </c>
      <c r="H358" s="610">
        <f t="shared" si="410"/>
        <v>0</v>
      </c>
      <c r="I358" s="610">
        <f t="shared" si="410"/>
        <v>0</v>
      </c>
      <c r="J358" s="610">
        <f t="shared" si="410"/>
        <v>0</v>
      </c>
      <c r="K358" s="610">
        <f t="shared" si="410"/>
        <v>0</v>
      </c>
      <c r="L358" s="610">
        <f t="shared" si="410"/>
        <v>0</v>
      </c>
      <c r="M358" s="610">
        <f t="shared" si="410"/>
        <v>0</v>
      </c>
      <c r="N358" s="610">
        <f t="shared" si="410"/>
        <v>0</v>
      </c>
      <c r="O358" s="610">
        <f t="shared" si="410"/>
        <v>0</v>
      </c>
      <c r="P358" s="610">
        <f>P359</f>
        <v>1475300</v>
      </c>
      <c r="Q358" s="47"/>
      <c r="R358" s="50"/>
    </row>
    <row r="359" spans="1:18" ht="48" thickTop="1" thickBot="1" x14ac:dyDescent="0.25">
      <c r="A359" s="101" t="s">
        <v>1186</v>
      </c>
      <c r="B359" s="101" t="s">
        <v>1187</v>
      </c>
      <c r="C359" s="101" t="s">
        <v>1153</v>
      </c>
      <c r="D359" s="101" t="s">
        <v>1188</v>
      </c>
      <c r="E359" s="319">
        <f>F359</f>
        <v>1475300</v>
      </c>
      <c r="F359" s="435">
        <v>1475300</v>
      </c>
      <c r="G359" s="435"/>
      <c r="H359" s="435"/>
      <c r="I359" s="435"/>
      <c r="J359" s="319">
        <f>L359+O359</f>
        <v>0</v>
      </c>
      <c r="K359" s="435"/>
      <c r="L359" s="435"/>
      <c r="M359" s="435"/>
      <c r="N359" s="435"/>
      <c r="O359" s="432">
        <f>K359</f>
        <v>0</v>
      </c>
      <c r="P359" s="319">
        <f>E359+J359</f>
        <v>1475300</v>
      </c>
      <c r="Q359" s="47"/>
      <c r="R359" s="50"/>
    </row>
    <row r="360" spans="1:18" ht="47.25" hidden="1" thickTop="1" thickBot="1" x14ac:dyDescent="0.25">
      <c r="A360" s="123" t="s">
        <v>1292</v>
      </c>
      <c r="B360" s="123" t="s">
        <v>693</v>
      </c>
      <c r="C360" s="123"/>
      <c r="D360" s="123" t="s">
        <v>694</v>
      </c>
      <c r="E360" s="125">
        <f t="shared" ref="E360:P360" si="411">E361</f>
        <v>0</v>
      </c>
      <c r="F360" s="125">
        <f t="shared" si="411"/>
        <v>0</v>
      </c>
      <c r="G360" s="125">
        <f t="shared" si="411"/>
        <v>0</v>
      </c>
      <c r="H360" s="125">
        <f t="shared" si="411"/>
        <v>0</v>
      </c>
      <c r="I360" s="125">
        <f t="shared" si="411"/>
        <v>0</v>
      </c>
      <c r="J360" s="125">
        <f t="shared" si="411"/>
        <v>0</v>
      </c>
      <c r="K360" s="125">
        <f t="shared" si="411"/>
        <v>0</v>
      </c>
      <c r="L360" s="125">
        <f t="shared" si="411"/>
        <v>0</v>
      </c>
      <c r="M360" s="125">
        <f t="shared" si="411"/>
        <v>0</v>
      </c>
      <c r="N360" s="125">
        <f t="shared" si="411"/>
        <v>0</v>
      </c>
      <c r="O360" s="125">
        <f t="shared" si="411"/>
        <v>0</v>
      </c>
      <c r="P360" s="125">
        <f t="shared" si="411"/>
        <v>0</v>
      </c>
      <c r="Q360" s="47"/>
      <c r="R360" s="50"/>
    </row>
    <row r="361" spans="1:18" ht="91.5" hidden="1" thickTop="1" thickBot="1" x14ac:dyDescent="0.25">
      <c r="A361" s="134" t="s">
        <v>1293</v>
      </c>
      <c r="B361" s="134" t="s">
        <v>512</v>
      </c>
      <c r="C361" s="134" t="s">
        <v>43</v>
      </c>
      <c r="D361" s="134" t="s">
        <v>513</v>
      </c>
      <c r="E361" s="135">
        <f t="shared" ref="E361" si="412">F361</f>
        <v>0</v>
      </c>
      <c r="F361" s="135">
        <v>0</v>
      </c>
      <c r="G361" s="135"/>
      <c r="H361" s="135"/>
      <c r="I361" s="135"/>
      <c r="J361" s="135">
        <f>L361+O361</f>
        <v>0</v>
      </c>
      <c r="K361" s="132"/>
      <c r="L361" s="135"/>
      <c r="M361" s="135"/>
      <c r="N361" s="135"/>
      <c r="O361" s="135">
        <f>(K361+0)</f>
        <v>0</v>
      </c>
      <c r="P361" s="135">
        <f>E361+J361</f>
        <v>0</v>
      </c>
      <c r="Q361" s="47"/>
      <c r="R361" s="50"/>
    </row>
    <row r="362" spans="1:18" ht="120" customHeight="1" thickTop="1" thickBot="1" x14ac:dyDescent="0.25">
      <c r="A362" s="639" t="s">
        <v>166</v>
      </c>
      <c r="B362" s="639"/>
      <c r="C362" s="639"/>
      <c r="D362" s="640" t="s">
        <v>353</v>
      </c>
      <c r="E362" s="641">
        <f>E363</f>
        <v>6960000</v>
      </c>
      <c r="F362" s="642">
        <f t="shared" ref="F362:G362" si="413">F363</f>
        <v>6960000</v>
      </c>
      <c r="G362" s="642">
        <f t="shared" si="413"/>
        <v>0</v>
      </c>
      <c r="H362" s="642">
        <f>H363</f>
        <v>0</v>
      </c>
      <c r="I362" s="642">
        <f t="shared" ref="I362" si="414">I363</f>
        <v>0</v>
      </c>
      <c r="J362" s="641">
        <f>J363</f>
        <v>325000</v>
      </c>
      <c r="K362" s="642">
        <f>K363</f>
        <v>325000</v>
      </c>
      <c r="L362" s="642">
        <f>L363</f>
        <v>0</v>
      </c>
      <c r="M362" s="642">
        <f t="shared" ref="M362" si="415">M363</f>
        <v>0</v>
      </c>
      <c r="N362" s="642">
        <f>N363</f>
        <v>0</v>
      </c>
      <c r="O362" s="641">
        <f>O363</f>
        <v>325000</v>
      </c>
      <c r="P362" s="642">
        <f t="shared" ref="P362" si="416">P363</f>
        <v>7285000</v>
      </c>
      <c r="Q362" s="20"/>
    </row>
    <row r="363" spans="1:18" ht="120" customHeight="1" thickTop="1" thickBot="1" x14ac:dyDescent="0.25">
      <c r="A363" s="603" t="s">
        <v>167</v>
      </c>
      <c r="B363" s="603"/>
      <c r="C363" s="603"/>
      <c r="D363" s="604" t="s">
        <v>354</v>
      </c>
      <c r="E363" s="605">
        <f>E367+E379+E376+E364</f>
        <v>6960000</v>
      </c>
      <c r="F363" s="605">
        <f>F367+F379+F376+F364</f>
        <v>6960000</v>
      </c>
      <c r="G363" s="605">
        <f>G367+G379+G376+G364</f>
        <v>0</v>
      </c>
      <c r="H363" s="605">
        <f>H367+H379+H376+H364</f>
        <v>0</v>
      </c>
      <c r="I363" s="605">
        <f>I367+I379+I376+I364</f>
        <v>0</v>
      </c>
      <c r="J363" s="605">
        <f>L363+O363</f>
        <v>325000</v>
      </c>
      <c r="K363" s="605">
        <f>K367+K379+K376+K364</f>
        <v>325000</v>
      </c>
      <c r="L363" s="605">
        <f>L367+L379+L376+L364</f>
        <v>0</v>
      </c>
      <c r="M363" s="605">
        <f>M367+M379+M376+M364</f>
        <v>0</v>
      </c>
      <c r="N363" s="605">
        <f>N367+N379+N376+N364</f>
        <v>0</v>
      </c>
      <c r="O363" s="605">
        <f>O367+O379+O376+O364</f>
        <v>325000</v>
      </c>
      <c r="P363" s="605">
        <f>E363+J363</f>
        <v>7285000</v>
      </c>
      <c r="Q363" s="462" t="b">
        <f>P363=P365+P366+P369+P371+P372+P378</f>
        <v>1</v>
      </c>
      <c r="R363" s="46"/>
    </row>
    <row r="364" spans="1:18" ht="47.25" thickTop="1" thickBot="1" x14ac:dyDescent="0.25">
      <c r="A364" s="307" t="s">
        <v>1266</v>
      </c>
      <c r="B364" s="307" t="s">
        <v>702</v>
      </c>
      <c r="C364" s="307"/>
      <c r="D364" s="307" t="s">
        <v>703</v>
      </c>
      <c r="E364" s="319">
        <f t="shared" ref="E364:P364" si="417">SUM(E365:E366)</f>
        <v>475000</v>
      </c>
      <c r="F364" s="319">
        <f t="shared" si="417"/>
        <v>475000</v>
      </c>
      <c r="G364" s="319">
        <f t="shared" si="417"/>
        <v>0</v>
      </c>
      <c r="H364" s="319">
        <f t="shared" si="417"/>
        <v>0</v>
      </c>
      <c r="I364" s="319">
        <f t="shared" si="417"/>
        <v>0</v>
      </c>
      <c r="J364" s="319">
        <f t="shared" si="417"/>
        <v>225000</v>
      </c>
      <c r="K364" s="319">
        <f t="shared" si="417"/>
        <v>225000</v>
      </c>
      <c r="L364" s="319">
        <f t="shared" si="417"/>
        <v>0</v>
      </c>
      <c r="M364" s="319">
        <f t="shared" si="417"/>
        <v>0</v>
      </c>
      <c r="N364" s="319">
        <f t="shared" si="417"/>
        <v>0</v>
      </c>
      <c r="O364" s="319">
        <f t="shared" si="417"/>
        <v>225000</v>
      </c>
      <c r="P364" s="319">
        <f t="shared" si="417"/>
        <v>700000</v>
      </c>
      <c r="Q364" s="47"/>
      <c r="R364" s="46"/>
    </row>
    <row r="365" spans="1:18" ht="93" thickTop="1" thickBot="1" x14ac:dyDescent="0.25">
      <c r="A365" s="101" t="s">
        <v>1267</v>
      </c>
      <c r="B365" s="101" t="s">
        <v>1165</v>
      </c>
      <c r="C365" s="101" t="s">
        <v>206</v>
      </c>
      <c r="D365" s="615" t="s">
        <v>1166</v>
      </c>
      <c r="E365" s="319">
        <f t="shared" ref="E365:E366" si="418">F365</f>
        <v>175000</v>
      </c>
      <c r="F365" s="435">
        <v>175000</v>
      </c>
      <c r="G365" s="435"/>
      <c r="H365" s="435"/>
      <c r="I365" s="435"/>
      <c r="J365" s="319">
        <f>L365+O365</f>
        <v>100000</v>
      </c>
      <c r="K365" s="435">
        <v>100000</v>
      </c>
      <c r="L365" s="435"/>
      <c r="M365" s="435"/>
      <c r="N365" s="435"/>
      <c r="O365" s="432">
        <f>K365</f>
        <v>100000</v>
      </c>
      <c r="P365" s="319">
        <f>E365+J365</f>
        <v>275000</v>
      </c>
      <c r="Q365" s="47"/>
      <c r="R365" s="46"/>
    </row>
    <row r="366" spans="1:18" ht="54" customHeight="1" thickTop="1" thickBot="1" x14ac:dyDescent="0.25">
      <c r="A366" s="101" t="s">
        <v>1530</v>
      </c>
      <c r="B366" s="101" t="s">
        <v>329</v>
      </c>
      <c r="C366" s="101" t="s">
        <v>191</v>
      </c>
      <c r="D366" s="615" t="s">
        <v>331</v>
      </c>
      <c r="E366" s="319">
        <f t="shared" si="418"/>
        <v>300000</v>
      </c>
      <c r="F366" s="435">
        <v>300000</v>
      </c>
      <c r="G366" s="435"/>
      <c r="H366" s="435"/>
      <c r="I366" s="435"/>
      <c r="J366" s="319">
        <f t="shared" ref="J366" si="419">L366+O366</f>
        <v>125000</v>
      </c>
      <c r="K366" s="435">
        <v>125000</v>
      </c>
      <c r="L366" s="435"/>
      <c r="M366" s="435"/>
      <c r="N366" s="435"/>
      <c r="O366" s="432">
        <f t="shared" ref="O366" si="420">K366</f>
        <v>125000</v>
      </c>
      <c r="P366" s="319">
        <f t="shared" ref="P366" si="421">E366+J366</f>
        <v>425000</v>
      </c>
      <c r="Q366" s="47"/>
      <c r="R366" s="46"/>
    </row>
    <row r="367" spans="1:18" ht="44.45" customHeight="1" thickTop="1" thickBot="1" x14ac:dyDescent="0.25">
      <c r="A367" s="307" t="s">
        <v>817</v>
      </c>
      <c r="B367" s="307" t="s">
        <v>739</v>
      </c>
      <c r="C367" s="101"/>
      <c r="D367" s="307" t="s">
        <v>784</v>
      </c>
      <c r="E367" s="655">
        <f t="shared" ref="E367:P367" si="422">E370+E368</f>
        <v>6285000</v>
      </c>
      <c r="F367" s="655">
        <f t="shared" si="422"/>
        <v>6285000</v>
      </c>
      <c r="G367" s="655">
        <f t="shared" si="422"/>
        <v>0</v>
      </c>
      <c r="H367" s="655">
        <f t="shared" si="422"/>
        <v>0</v>
      </c>
      <c r="I367" s="655">
        <f t="shared" si="422"/>
        <v>0</v>
      </c>
      <c r="J367" s="655">
        <f t="shared" si="422"/>
        <v>0</v>
      </c>
      <c r="K367" s="655">
        <f t="shared" si="422"/>
        <v>0</v>
      </c>
      <c r="L367" s="655">
        <f t="shared" si="422"/>
        <v>0</v>
      </c>
      <c r="M367" s="655">
        <f t="shared" si="422"/>
        <v>0</v>
      </c>
      <c r="N367" s="655">
        <f t="shared" si="422"/>
        <v>0</v>
      </c>
      <c r="O367" s="655">
        <f t="shared" si="422"/>
        <v>0</v>
      </c>
      <c r="P367" s="655">
        <f t="shared" si="422"/>
        <v>6285000</v>
      </c>
      <c r="Q367" s="47"/>
      <c r="R367" s="46"/>
    </row>
    <row r="368" spans="1:18" ht="47.25" thickTop="1" thickBot="1" x14ac:dyDescent="0.25">
      <c r="A368" s="608" t="s">
        <v>988</v>
      </c>
      <c r="B368" s="608" t="s">
        <v>792</v>
      </c>
      <c r="C368" s="608"/>
      <c r="D368" s="608" t="s">
        <v>1625</v>
      </c>
      <c r="E368" s="659">
        <f>E369</f>
        <v>1260000</v>
      </c>
      <c r="F368" s="659">
        <f>F369</f>
        <v>1260000</v>
      </c>
      <c r="G368" s="659">
        <f t="shared" ref="G368:O368" si="423">G369</f>
        <v>0</v>
      </c>
      <c r="H368" s="659">
        <f t="shared" si="423"/>
        <v>0</v>
      </c>
      <c r="I368" s="659">
        <f t="shared" si="423"/>
        <v>0</v>
      </c>
      <c r="J368" s="659">
        <f t="shared" si="423"/>
        <v>0</v>
      </c>
      <c r="K368" s="659">
        <f t="shared" si="423"/>
        <v>0</v>
      </c>
      <c r="L368" s="659">
        <f t="shared" si="423"/>
        <v>0</v>
      </c>
      <c r="M368" s="659">
        <f t="shared" si="423"/>
        <v>0</v>
      </c>
      <c r="N368" s="659">
        <f t="shared" si="423"/>
        <v>0</v>
      </c>
      <c r="O368" s="659">
        <f t="shared" si="423"/>
        <v>0</v>
      </c>
      <c r="P368" s="659">
        <f>P369</f>
        <v>1260000</v>
      </c>
      <c r="Q368" s="47"/>
      <c r="R368" s="46"/>
    </row>
    <row r="369" spans="1:18" ht="48" thickTop="1" thickBot="1" x14ac:dyDescent="0.25">
      <c r="A369" s="101" t="s">
        <v>989</v>
      </c>
      <c r="B369" s="101" t="s">
        <v>349</v>
      </c>
      <c r="C369" s="101" t="s">
        <v>170</v>
      </c>
      <c r="D369" s="101" t="s">
        <v>261</v>
      </c>
      <c r="E369" s="319">
        <f t="shared" ref="E369" si="424">F369</f>
        <v>1260000</v>
      </c>
      <c r="F369" s="435">
        <v>1260000</v>
      </c>
      <c r="G369" s="435"/>
      <c r="H369" s="435"/>
      <c r="I369" s="435"/>
      <c r="J369" s="319">
        <f t="shared" ref="J369" si="425">L369+O369</f>
        <v>0</v>
      </c>
      <c r="K369" s="435">
        <f>((0)+5000000-1000000)-4000000</f>
        <v>0</v>
      </c>
      <c r="L369" s="435"/>
      <c r="M369" s="435"/>
      <c r="N369" s="435"/>
      <c r="O369" s="432">
        <f>K369</f>
        <v>0</v>
      </c>
      <c r="P369" s="319">
        <f t="shared" ref="P369" si="426">E369+J369</f>
        <v>1260000</v>
      </c>
      <c r="Q369" s="47"/>
      <c r="R369" s="46"/>
    </row>
    <row r="370" spans="1:18" ht="47.25" thickTop="1" thickBot="1" x14ac:dyDescent="0.25">
      <c r="A370" s="608" t="s">
        <v>818</v>
      </c>
      <c r="B370" s="608" t="s">
        <v>683</v>
      </c>
      <c r="C370" s="608"/>
      <c r="D370" s="608" t="s">
        <v>681</v>
      </c>
      <c r="E370" s="659">
        <f>SUM(E371:E375)-E374</f>
        <v>5025000</v>
      </c>
      <c r="F370" s="659">
        <f t="shared" ref="F370:P370" si="427">SUM(F371:F375)-F374</f>
        <v>5025000</v>
      </c>
      <c r="G370" s="659">
        <f t="shared" si="427"/>
        <v>0</v>
      </c>
      <c r="H370" s="659">
        <f t="shared" si="427"/>
        <v>0</v>
      </c>
      <c r="I370" s="659">
        <f t="shared" si="427"/>
        <v>0</v>
      </c>
      <c r="J370" s="659">
        <f>SUM(J371:J375)-J374</f>
        <v>0</v>
      </c>
      <c r="K370" s="659">
        <f t="shared" si="427"/>
        <v>0</v>
      </c>
      <c r="L370" s="659">
        <f t="shared" si="427"/>
        <v>0</v>
      </c>
      <c r="M370" s="659">
        <f t="shared" si="427"/>
        <v>0</v>
      </c>
      <c r="N370" s="659">
        <f t="shared" si="427"/>
        <v>0</v>
      </c>
      <c r="O370" s="659">
        <f t="shared" si="427"/>
        <v>0</v>
      </c>
      <c r="P370" s="659">
        <f t="shared" si="427"/>
        <v>5025000</v>
      </c>
      <c r="Q370" s="47"/>
      <c r="R370" s="46"/>
    </row>
    <row r="371" spans="1:18" ht="48" thickTop="1" thickBot="1" x14ac:dyDescent="0.25">
      <c r="A371" s="101" t="s">
        <v>259</v>
      </c>
      <c r="B371" s="101" t="s">
        <v>260</v>
      </c>
      <c r="C371" s="101" t="s">
        <v>258</v>
      </c>
      <c r="D371" s="101" t="s">
        <v>257</v>
      </c>
      <c r="E371" s="319">
        <f t="shared" ref="E371:E375" si="428">F371</f>
        <v>4040000</v>
      </c>
      <c r="F371" s="435">
        <v>4040000</v>
      </c>
      <c r="G371" s="435"/>
      <c r="H371" s="435"/>
      <c r="I371" s="435"/>
      <c r="J371" s="319">
        <f t="shared" ref="J371:J375" si="429">L371+O371</f>
        <v>0</v>
      </c>
      <c r="K371" s="435"/>
      <c r="L371" s="435"/>
      <c r="M371" s="435"/>
      <c r="N371" s="435"/>
      <c r="O371" s="432">
        <f>K371</f>
        <v>0</v>
      </c>
      <c r="P371" s="319">
        <f t="shared" ref="P371:P375" si="430">E371+J371</f>
        <v>4040000</v>
      </c>
      <c r="Q371" s="20"/>
      <c r="R371" s="46"/>
    </row>
    <row r="372" spans="1:18" ht="48" thickTop="1" thickBot="1" x14ac:dyDescent="0.25">
      <c r="A372" s="101" t="s">
        <v>251</v>
      </c>
      <c r="B372" s="101" t="s">
        <v>253</v>
      </c>
      <c r="C372" s="101" t="s">
        <v>213</v>
      </c>
      <c r="D372" s="101" t="s">
        <v>252</v>
      </c>
      <c r="E372" s="319">
        <f t="shared" si="428"/>
        <v>985000</v>
      </c>
      <c r="F372" s="435">
        <v>985000</v>
      </c>
      <c r="G372" s="435"/>
      <c r="H372" s="435"/>
      <c r="I372" s="435"/>
      <c r="J372" s="319">
        <f t="shared" si="429"/>
        <v>0</v>
      </c>
      <c r="K372" s="435"/>
      <c r="L372" s="435"/>
      <c r="M372" s="435"/>
      <c r="N372" s="435"/>
      <c r="O372" s="432">
        <f>K372</f>
        <v>0</v>
      </c>
      <c r="P372" s="319">
        <f t="shared" si="430"/>
        <v>985000</v>
      </c>
      <c r="Q372" s="20"/>
      <c r="R372" s="46"/>
    </row>
    <row r="373" spans="1:18" ht="48" hidden="1" thickTop="1" thickBot="1" x14ac:dyDescent="0.25">
      <c r="A373" s="126" t="s">
        <v>1261</v>
      </c>
      <c r="B373" s="126" t="s">
        <v>212</v>
      </c>
      <c r="C373" s="126" t="s">
        <v>213</v>
      </c>
      <c r="D373" s="126" t="s">
        <v>41</v>
      </c>
      <c r="E373" s="125">
        <f t="shared" ref="E373" si="431">F373</f>
        <v>0</v>
      </c>
      <c r="F373" s="132">
        <f>(200000)-200000</f>
        <v>0</v>
      </c>
      <c r="G373" s="132"/>
      <c r="H373" s="132"/>
      <c r="I373" s="132"/>
      <c r="J373" s="125">
        <f t="shared" ref="J373" si="432">L373+O373</f>
        <v>0</v>
      </c>
      <c r="K373" s="132">
        <f>(100000)-100000</f>
        <v>0</v>
      </c>
      <c r="L373" s="132"/>
      <c r="M373" s="132"/>
      <c r="N373" s="132"/>
      <c r="O373" s="130">
        <f>K373</f>
        <v>0</v>
      </c>
      <c r="P373" s="125">
        <f t="shared" ref="P373" si="433">E373+J373</f>
        <v>0</v>
      </c>
      <c r="Q373" s="20"/>
      <c r="R373" s="46"/>
    </row>
    <row r="374" spans="1:18" ht="48" hidden="1" thickTop="1" thickBot="1" x14ac:dyDescent="0.25">
      <c r="A374" s="138" t="s">
        <v>819</v>
      </c>
      <c r="B374" s="138" t="s">
        <v>686</v>
      </c>
      <c r="C374" s="138"/>
      <c r="D374" s="138" t="s">
        <v>684</v>
      </c>
      <c r="E374" s="139">
        <f>E375</f>
        <v>0</v>
      </c>
      <c r="F374" s="139">
        <f t="shared" ref="F374:P374" si="434">F375</f>
        <v>0</v>
      </c>
      <c r="G374" s="139">
        <f t="shared" si="434"/>
        <v>0</v>
      </c>
      <c r="H374" s="139">
        <f t="shared" si="434"/>
        <v>0</v>
      </c>
      <c r="I374" s="139">
        <f t="shared" si="434"/>
        <v>0</v>
      </c>
      <c r="J374" s="139">
        <f t="shared" si="434"/>
        <v>0</v>
      </c>
      <c r="K374" s="139">
        <f t="shared" si="434"/>
        <v>0</v>
      </c>
      <c r="L374" s="139">
        <f t="shared" si="434"/>
        <v>0</v>
      </c>
      <c r="M374" s="139">
        <f t="shared" si="434"/>
        <v>0</v>
      </c>
      <c r="N374" s="139">
        <f t="shared" si="434"/>
        <v>0</v>
      </c>
      <c r="O374" s="139">
        <f t="shared" si="434"/>
        <v>0</v>
      </c>
      <c r="P374" s="139">
        <f t="shared" si="434"/>
        <v>0</v>
      </c>
      <c r="Q374" s="20"/>
      <c r="R374" s="46"/>
    </row>
    <row r="375" spans="1:18" ht="48" hidden="1" thickTop="1" thickBot="1" x14ac:dyDescent="0.25">
      <c r="A375" s="126" t="s">
        <v>255</v>
      </c>
      <c r="B375" s="126" t="s">
        <v>256</v>
      </c>
      <c r="C375" s="126" t="s">
        <v>170</v>
      </c>
      <c r="D375" s="126" t="s">
        <v>254</v>
      </c>
      <c r="E375" s="125">
        <f t="shared" si="428"/>
        <v>0</v>
      </c>
      <c r="F375" s="132"/>
      <c r="G375" s="132"/>
      <c r="H375" s="132"/>
      <c r="I375" s="132"/>
      <c r="J375" s="125">
        <f t="shared" si="429"/>
        <v>0</v>
      </c>
      <c r="K375" s="132"/>
      <c r="L375" s="132"/>
      <c r="M375" s="132"/>
      <c r="N375" s="132"/>
      <c r="O375" s="130">
        <f>K375</f>
        <v>0</v>
      </c>
      <c r="P375" s="125">
        <f t="shared" si="430"/>
        <v>0</v>
      </c>
      <c r="Q375" s="20"/>
      <c r="R375" s="46"/>
    </row>
    <row r="376" spans="1:18" ht="47.25" thickTop="1" thickBot="1" x14ac:dyDescent="0.25">
      <c r="A376" s="307" t="s">
        <v>1263</v>
      </c>
      <c r="B376" s="307" t="s">
        <v>688</v>
      </c>
      <c r="C376" s="307"/>
      <c r="D376" s="307" t="s">
        <v>689</v>
      </c>
      <c r="E376" s="319">
        <f t="shared" ref="E376:P377" si="435">E377</f>
        <v>200000</v>
      </c>
      <c r="F376" s="319">
        <f t="shared" si="435"/>
        <v>200000</v>
      </c>
      <c r="G376" s="319">
        <f t="shared" si="435"/>
        <v>0</v>
      </c>
      <c r="H376" s="319">
        <f t="shared" si="435"/>
        <v>0</v>
      </c>
      <c r="I376" s="319">
        <f t="shared" si="435"/>
        <v>0</v>
      </c>
      <c r="J376" s="319">
        <f t="shared" si="435"/>
        <v>100000</v>
      </c>
      <c r="K376" s="319">
        <f t="shared" si="435"/>
        <v>100000</v>
      </c>
      <c r="L376" s="319">
        <f t="shared" si="435"/>
        <v>0</v>
      </c>
      <c r="M376" s="319">
        <f t="shared" si="435"/>
        <v>0</v>
      </c>
      <c r="N376" s="319">
        <f t="shared" si="435"/>
        <v>0</v>
      </c>
      <c r="O376" s="319">
        <f t="shared" si="435"/>
        <v>100000</v>
      </c>
      <c r="P376" s="319">
        <f t="shared" si="435"/>
        <v>300000</v>
      </c>
      <c r="Q376" s="20"/>
      <c r="R376" s="46"/>
    </row>
    <row r="377" spans="1:18" ht="47.25" thickTop="1" thickBot="1" x14ac:dyDescent="0.25">
      <c r="A377" s="608" t="s">
        <v>1264</v>
      </c>
      <c r="B377" s="608" t="s">
        <v>1151</v>
      </c>
      <c r="C377" s="608"/>
      <c r="D377" s="608" t="s">
        <v>1149</v>
      </c>
      <c r="E377" s="610">
        <f t="shared" si="435"/>
        <v>200000</v>
      </c>
      <c r="F377" s="610">
        <f t="shared" si="435"/>
        <v>200000</v>
      </c>
      <c r="G377" s="610">
        <f t="shared" si="435"/>
        <v>0</v>
      </c>
      <c r="H377" s="610">
        <f t="shared" si="435"/>
        <v>0</v>
      </c>
      <c r="I377" s="610">
        <f t="shared" si="435"/>
        <v>0</v>
      </c>
      <c r="J377" s="610">
        <f t="shared" si="435"/>
        <v>100000</v>
      </c>
      <c r="K377" s="610">
        <f t="shared" si="435"/>
        <v>100000</v>
      </c>
      <c r="L377" s="610">
        <f t="shared" si="435"/>
        <v>0</v>
      </c>
      <c r="M377" s="610">
        <f t="shared" si="435"/>
        <v>0</v>
      </c>
      <c r="N377" s="610">
        <f t="shared" si="435"/>
        <v>0</v>
      </c>
      <c r="O377" s="610">
        <f t="shared" si="435"/>
        <v>100000</v>
      </c>
      <c r="P377" s="610">
        <f t="shared" si="435"/>
        <v>300000</v>
      </c>
      <c r="Q377" s="20"/>
      <c r="R377" s="46"/>
    </row>
    <row r="378" spans="1:18" ht="48" thickTop="1" thickBot="1" x14ac:dyDescent="0.25">
      <c r="A378" s="101" t="s">
        <v>1265</v>
      </c>
      <c r="B378" s="101" t="s">
        <v>1155</v>
      </c>
      <c r="C378" s="101" t="s">
        <v>1153</v>
      </c>
      <c r="D378" s="101" t="s">
        <v>1152</v>
      </c>
      <c r="E378" s="319">
        <f>F378</f>
        <v>200000</v>
      </c>
      <c r="F378" s="435">
        <v>200000</v>
      </c>
      <c r="G378" s="435"/>
      <c r="H378" s="435"/>
      <c r="I378" s="435"/>
      <c r="J378" s="319">
        <f>L378+O378</f>
        <v>100000</v>
      </c>
      <c r="K378" s="435">
        <v>100000</v>
      </c>
      <c r="L378" s="435"/>
      <c r="M378" s="435"/>
      <c r="N378" s="435"/>
      <c r="O378" s="432">
        <f>K378</f>
        <v>100000</v>
      </c>
      <c r="P378" s="319">
        <f>E378+J378</f>
        <v>300000</v>
      </c>
      <c r="Q378" s="20"/>
      <c r="R378" s="46"/>
    </row>
    <row r="379" spans="1:18" ht="47.25" hidden="1" thickTop="1" thickBot="1" x14ac:dyDescent="0.25">
      <c r="A379" s="123" t="s">
        <v>893</v>
      </c>
      <c r="B379" s="123" t="s">
        <v>693</v>
      </c>
      <c r="C379" s="123"/>
      <c r="D379" s="123" t="s">
        <v>694</v>
      </c>
      <c r="E379" s="125">
        <f>E380</f>
        <v>0</v>
      </c>
      <c r="F379" s="125">
        <f t="shared" ref="F379:P380" si="436">F380</f>
        <v>0</v>
      </c>
      <c r="G379" s="125">
        <f t="shared" si="436"/>
        <v>0</v>
      </c>
      <c r="H379" s="125">
        <f t="shared" si="436"/>
        <v>0</v>
      </c>
      <c r="I379" s="125">
        <f t="shared" si="436"/>
        <v>0</v>
      </c>
      <c r="J379" s="125">
        <f t="shared" si="436"/>
        <v>0</v>
      </c>
      <c r="K379" s="125">
        <f t="shared" si="436"/>
        <v>0</v>
      </c>
      <c r="L379" s="125">
        <f t="shared" si="436"/>
        <v>0</v>
      </c>
      <c r="M379" s="125">
        <f t="shared" si="436"/>
        <v>0</v>
      </c>
      <c r="N379" s="125">
        <f t="shared" si="436"/>
        <v>0</v>
      </c>
      <c r="O379" s="125">
        <f t="shared" si="436"/>
        <v>0</v>
      </c>
      <c r="P379" s="125">
        <f t="shared" si="436"/>
        <v>0</v>
      </c>
      <c r="Q379" s="20"/>
      <c r="R379" s="46"/>
    </row>
    <row r="380" spans="1:18" ht="91.5" hidden="1" thickTop="1" thickBot="1" x14ac:dyDescent="0.25">
      <c r="A380" s="134" t="s">
        <v>894</v>
      </c>
      <c r="B380" s="134" t="s">
        <v>696</v>
      </c>
      <c r="C380" s="134"/>
      <c r="D380" s="134" t="s">
        <v>697</v>
      </c>
      <c r="E380" s="135">
        <f>E381</f>
        <v>0</v>
      </c>
      <c r="F380" s="135">
        <f t="shared" si="436"/>
        <v>0</v>
      </c>
      <c r="G380" s="135">
        <f t="shared" si="436"/>
        <v>0</v>
      </c>
      <c r="H380" s="135">
        <f t="shared" si="436"/>
        <v>0</v>
      </c>
      <c r="I380" s="135">
        <f t="shared" si="436"/>
        <v>0</v>
      </c>
      <c r="J380" s="135">
        <f t="shared" si="436"/>
        <v>0</v>
      </c>
      <c r="K380" s="135">
        <f t="shared" si="436"/>
        <v>0</v>
      </c>
      <c r="L380" s="135">
        <f t="shared" si="436"/>
        <v>0</v>
      </c>
      <c r="M380" s="135">
        <f t="shared" si="436"/>
        <v>0</v>
      </c>
      <c r="N380" s="135">
        <f t="shared" si="436"/>
        <v>0</v>
      </c>
      <c r="O380" s="135">
        <f t="shared" si="436"/>
        <v>0</v>
      </c>
      <c r="P380" s="135">
        <f t="shared" si="436"/>
        <v>0</v>
      </c>
      <c r="Q380" s="20"/>
      <c r="R380" s="46"/>
    </row>
    <row r="381" spans="1:18" ht="48" hidden="1" thickTop="1" thickBot="1" x14ac:dyDescent="0.25">
      <c r="A381" s="126" t="s">
        <v>895</v>
      </c>
      <c r="B381" s="126" t="s">
        <v>362</v>
      </c>
      <c r="C381" s="126" t="s">
        <v>43</v>
      </c>
      <c r="D381" s="126" t="s">
        <v>363</v>
      </c>
      <c r="E381" s="125">
        <f t="shared" ref="E381" si="437">F381</f>
        <v>0</v>
      </c>
      <c r="F381" s="132"/>
      <c r="G381" s="132"/>
      <c r="H381" s="132"/>
      <c r="I381" s="132"/>
      <c r="J381" s="125">
        <f>L381+O381</f>
        <v>0</v>
      </c>
      <c r="K381" s="132"/>
      <c r="L381" s="132"/>
      <c r="M381" s="132"/>
      <c r="N381" s="132"/>
      <c r="O381" s="130">
        <f>K381</f>
        <v>0</v>
      </c>
      <c r="P381" s="125">
        <f>E381+J381</f>
        <v>0</v>
      </c>
      <c r="Q381" s="20"/>
      <c r="R381" s="46"/>
    </row>
    <row r="382" spans="1:18" ht="120" customHeight="1" thickTop="1" thickBot="1" x14ac:dyDescent="0.25">
      <c r="A382" s="639" t="s">
        <v>164</v>
      </c>
      <c r="B382" s="639"/>
      <c r="C382" s="639"/>
      <c r="D382" s="640" t="s">
        <v>874</v>
      </c>
      <c r="E382" s="641">
        <f>E383</f>
        <v>7755428</v>
      </c>
      <c r="F382" s="642">
        <f t="shared" ref="F382:G382" si="438">F383</f>
        <v>7755428</v>
      </c>
      <c r="G382" s="642">
        <f t="shared" si="438"/>
        <v>5939914</v>
      </c>
      <c r="H382" s="642">
        <f>H383</f>
        <v>150433</v>
      </c>
      <c r="I382" s="642">
        <f t="shared" ref="I382" si="439">I383</f>
        <v>0</v>
      </c>
      <c r="J382" s="641">
        <f>J383</f>
        <v>2000000</v>
      </c>
      <c r="K382" s="642">
        <f>K383</f>
        <v>0</v>
      </c>
      <c r="L382" s="642">
        <f>L383</f>
        <v>1105000</v>
      </c>
      <c r="M382" s="642">
        <f t="shared" ref="M382" si="440">M383</f>
        <v>0</v>
      </c>
      <c r="N382" s="642">
        <f>N383</f>
        <v>0</v>
      </c>
      <c r="O382" s="641">
        <f>O383</f>
        <v>895000</v>
      </c>
      <c r="P382" s="642">
        <f t="shared" ref="P382" si="441">P383</f>
        <v>9755428</v>
      </c>
      <c r="Q382" s="20"/>
    </row>
    <row r="383" spans="1:18" ht="120" customHeight="1" thickTop="1" thickBot="1" x14ac:dyDescent="0.25">
      <c r="A383" s="603" t="s">
        <v>165</v>
      </c>
      <c r="B383" s="603"/>
      <c r="C383" s="603"/>
      <c r="D383" s="604" t="s">
        <v>873</v>
      </c>
      <c r="E383" s="605">
        <f>E384+E387+E390</f>
        <v>7755428</v>
      </c>
      <c r="F383" s="605">
        <f t="shared" ref="F383:P383" si="442">F384+F387+F390</f>
        <v>7755428</v>
      </c>
      <c r="G383" s="605">
        <f>G384+G387+G390</f>
        <v>5939914</v>
      </c>
      <c r="H383" s="605">
        <f t="shared" si="442"/>
        <v>150433</v>
      </c>
      <c r="I383" s="605">
        <f t="shared" si="442"/>
        <v>0</v>
      </c>
      <c r="J383" s="605">
        <f>J384+J387+J390</f>
        <v>2000000</v>
      </c>
      <c r="K383" s="605">
        <f t="shared" si="442"/>
        <v>0</v>
      </c>
      <c r="L383" s="605">
        <f>L384+L387+L390</f>
        <v>1105000</v>
      </c>
      <c r="M383" s="605">
        <f t="shared" si="442"/>
        <v>0</v>
      </c>
      <c r="N383" s="605">
        <f t="shared" si="442"/>
        <v>0</v>
      </c>
      <c r="O383" s="605">
        <f t="shared" si="442"/>
        <v>895000</v>
      </c>
      <c r="P383" s="605">
        <f t="shared" si="442"/>
        <v>9755428</v>
      </c>
      <c r="Q383" s="462" t="b">
        <f>P383=P385+P389</f>
        <v>1</v>
      </c>
      <c r="R383" s="46"/>
    </row>
    <row r="384" spans="1:18" ht="47.25" thickTop="1" thickBot="1" x14ac:dyDescent="0.25">
      <c r="A384" s="307" t="s">
        <v>820</v>
      </c>
      <c r="B384" s="307" t="s">
        <v>676</v>
      </c>
      <c r="C384" s="307"/>
      <c r="D384" s="307" t="s">
        <v>677</v>
      </c>
      <c r="E384" s="319">
        <f>SUM(E385:E386)</f>
        <v>7755428</v>
      </c>
      <c r="F384" s="319">
        <f t="shared" ref="F384" si="443">SUM(F385:F386)</f>
        <v>7755428</v>
      </c>
      <c r="G384" s="319">
        <f t="shared" ref="G384" si="444">SUM(G385:G386)</f>
        <v>5939914</v>
      </c>
      <c r="H384" s="319">
        <f t="shared" ref="H384" si="445">SUM(H385:H386)</f>
        <v>150433</v>
      </c>
      <c r="I384" s="319">
        <f t="shared" ref="I384" si="446">SUM(I385:I386)</f>
        <v>0</v>
      </c>
      <c r="J384" s="319">
        <f t="shared" ref="J384" si="447">SUM(J385:J386)</f>
        <v>0</v>
      </c>
      <c r="K384" s="319">
        <f t="shared" ref="K384" si="448">SUM(K385:K386)</f>
        <v>0</v>
      </c>
      <c r="L384" s="319">
        <f t="shared" ref="L384" si="449">SUM(L385:L386)</f>
        <v>0</v>
      </c>
      <c r="M384" s="319">
        <f t="shared" ref="M384" si="450">SUM(M385:M386)</f>
        <v>0</v>
      </c>
      <c r="N384" s="319">
        <f t="shared" ref="N384" si="451">SUM(N385:N386)</f>
        <v>0</v>
      </c>
      <c r="O384" s="319">
        <f>SUM(O385:O386)</f>
        <v>0</v>
      </c>
      <c r="P384" s="319">
        <f t="shared" ref="P384" si="452">SUM(P385:P386)</f>
        <v>7755428</v>
      </c>
      <c r="Q384" s="47"/>
      <c r="R384" s="46"/>
    </row>
    <row r="385" spans="1:18" ht="93" thickTop="1" thickBot="1" x14ac:dyDescent="0.25">
      <c r="A385" s="101" t="s">
        <v>420</v>
      </c>
      <c r="B385" s="101" t="s">
        <v>236</v>
      </c>
      <c r="C385" s="101" t="s">
        <v>234</v>
      </c>
      <c r="D385" s="101" t="s">
        <v>235</v>
      </c>
      <c r="E385" s="319">
        <f>F385</f>
        <v>7755428</v>
      </c>
      <c r="F385" s="435">
        <v>7755428</v>
      </c>
      <c r="G385" s="435">
        <v>5939914</v>
      </c>
      <c r="H385" s="435">
        <v>150433</v>
      </c>
      <c r="I385" s="435"/>
      <c r="J385" s="319">
        <f t="shared" ref="J385:J389" si="453">L385+O385</f>
        <v>0</v>
      </c>
      <c r="K385" s="435"/>
      <c r="L385" s="435"/>
      <c r="M385" s="435"/>
      <c r="N385" s="435"/>
      <c r="O385" s="432">
        <f>K385</f>
        <v>0</v>
      </c>
      <c r="P385" s="319">
        <f t="shared" ref="P385:P389" si="454">E385+J385</f>
        <v>7755428</v>
      </c>
      <c r="Q385" s="47"/>
      <c r="R385" s="46"/>
    </row>
    <row r="386" spans="1:18" ht="93" hidden="1" thickTop="1" thickBot="1" x14ac:dyDescent="0.25">
      <c r="A386" s="41" t="s">
        <v>627</v>
      </c>
      <c r="B386" s="41" t="s">
        <v>361</v>
      </c>
      <c r="C386" s="41" t="s">
        <v>619</v>
      </c>
      <c r="D386" s="41" t="s">
        <v>620</v>
      </c>
      <c r="E386" s="150">
        <f>F386</f>
        <v>0</v>
      </c>
      <c r="F386" s="127">
        <v>0</v>
      </c>
      <c r="G386" s="127"/>
      <c r="H386" s="127"/>
      <c r="I386" s="127"/>
      <c r="J386" s="125">
        <f t="shared" si="453"/>
        <v>0</v>
      </c>
      <c r="K386" s="127"/>
      <c r="L386" s="128"/>
      <c r="M386" s="128"/>
      <c r="N386" s="128"/>
      <c r="O386" s="130">
        <f t="shared" ref="O386" si="455">K386</f>
        <v>0</v>
      </c>
      <c r="P386" s="125">
        <f t="shared" ref="P386" si="456">+J386+E386</f>
        <v>0</v>
      </c>
      <c r="Q386" s="47"/>
      <c r="R386" s="46"/>
    </row>
    <row r="387" spans="1:18" ht="47.25" thickTop="1" thickBot="1" x14ac:dyDescent="0.25">
      <c r="A387" s="307" t="s">
        <v>821</v>
      </c>
      <c r="B387" s="307" t="s">
        <v>688</v>
      </c>
      <c r="C387" s="307"/>
      <c r="D387" s="307" t="s">
        <v>689</v>
      </c>
      <c r="E387" s="308">
        <f>E388</f>
        <v>0</v>
      </c>
      <c r="F387" s="308">
        <f t="shared" ref="F387:P388" si="457">F388</f>
        <v>0</v>
      </c>
      <c r="G387" s="308">
        <f t="shared" si="457"/>
        <v>0</v>
      </c>
      <c r="H387" s="308">
        <f t="shared" si="457"/>
        <v>0</v>
      </c>
      <c r="I387" s="308">
        <f t="shared" si="457"/>
        <v>0</v>
      </c>
      <c r="J387" s="308">
        <f t="shared" si="457"/>
        <v>2000000</v>
      </c>
      <c r="K387" s="308">
        <f t="shared" si="457"/>
        <v>0</v>
      </c>
      <c r="L387" s="308">
        <f t="shared" si="457"/>
        <v>1105000</v>
      </c>
      <c r="M387" s="308">
        <f t="shared" si="457"/>
        <v>0</v>
      </c>
      <c r="N387" s="308">
        <f t="shared" si="457"/>
        <v>0</v>
      </c>
      <c r="O387" s="308">
        <f t="shared" si="457"/>
        <v>895000</v>
      </c>
      <c r="P387" s="308">
        <f t="shared" si="457"/>
        <v>2000000</v>
      </c>
      <c r="Q387" s="47"/>
      <c r="R387" s="46"/>
    </row>
    <row r="388" spans="1:18" ht="47.25" thickTop="1" thickBot="1" x14ac:dyDescent="0.25">
      <c r="A388" s="608" t="s">
        <v>822</v>
      </c>
      <c r="B388" s="608" t="s">
        <v>823</v>
      </c>
      <c r="C388" s="608"/>
      <c r="D388" s="608" t="s">
        <v>824</v>
      </c>
      <c r="E388" s="611">
        <f>E389</f>
        <v>0</v>
      </c>
      <c r="F388" s="611">
        <f t="shared" si="457"/>
        <v>0</v>
      </c>
      <c r="G388" s="611">
        <f t="shared" si="457"/>
        <v>0</v>
      </c>
      <c r="H388" s="611">
        <f t="shared" si="457"/>
        <v>0</v>
      </c>
      <c r="I388" s="611">
        <f t="shared" si="457"/>
        <v>0</v>
      </c>
      <c r="J388" s="611">
        <f t="shared" si="457"/>
        <v>2000000</v>
      </c>
      <c r="K388" s="611">
        <f t="shared" ref="K388:P388" si="458">K389</f>
        <v>0</v>
      </c>
      <c r="L388" s="611">
        <f t="shared" si="458"/>
        <v>1105000</v>
      </c>
      <c r="M388" s="611">
        <f t="shared" si="458"/>
        <v>0</v>
      </c>
      <c r="N388" s="611">
        <f t="shared" si="458"/>
        <v>0</v>
      </c>
      <c r="O388" s="611">
        <f t="shared" si="458"/>
        <v>895000</v>
      </c>
      <c r="P388" s="611">
        <f t="shared" si="458"/>
        <v>2000000</v>
      </c>
      <c r="Q388" s="47"/>
      <c r="R388" s="46"/>
    </row>
    <row r="389" spans="1:18" ht="48" thickTop="1" thickBot="1" x14ac:dyDescent="0.25">
      <c r="A389" s="101" t="s">
        <v>1095</v>
      </c>
      <c r="B389" s="101" t="s">
        <v>1096</v>
      </c>
      <c r="C389" s="101" t="s">
        <v>51</v>
      </c>
      <c r="D389" s="101" t="s">
        <v>1097</v>
      </c>
      <c r="E389" s="319">
        <v>0</v>
      </c>
      <c r="F389" s="435"/>
      <c r="G389" s="435"/>
      <c r="H389" s="435"/>
      <c r="I389" s="435"/>
      <c r="J389" s="319">
        <f t="shared" si="453"/>
        <v>2000000</v>
      </c>
      <c r="K389" s="319"/>
      <c r="L389" s="435">
        <f>95000+150000+100000+200000+140000+90000+60000+60000+80000+30000+60000+40000</f>
        <v>1105000</v>
      </c>
      <c r="M389" s="435"/>
      <c r="N389" s="435"/>
      <c r="O389" s="432">
        <f>K389+100000+170000+625000</f>
        <v>895000</v>
      </c>
      <c r="P389" s="319">
        <f t="shared" si="454"/>
        <v>2000000</v>
      </c>
      <c r="Q389" s="462" t="b">
        <f>J389='d9'!F24</f>
        <v>1</v>
      </c>
    </row>
    <row r="390" spans="1:18" ht="47.25" hidden="1" thickTop="1" thickBot="1" x14ac:dyDescent="0.25">
      <c r="A390" s="123" t="s">
        <v>1214</v>
      </c>
      <c r="B390" s="123" t="s">
        <v>693</v>
      </c>
      <c r="C390" s="123"/>
      <c r="D390" s="123" t="s">
        <v>694</v>
      </c>
      <c r="E390" s="125">
        <f t="shared" ref="E390:L390" si="459">E391</f>
        <v>0</v>
      </c>
      <c r="F390" s="125">
        <f t="shared" si="459"/>
        <v>0</v>
      </c>
      <c r="G390" s="125">
        <f t="shared" si="459"/>
        <v>0</v>
      </c>
      <c r="H390" s="125">
        <f t="shared" si="459"/>
        <v>0</v>
      </c>
      <c r="I390" s="125">
        <f t="shared" si="459"/>
        <v>0</v>
      </c>
      <c r="J390" s="125">
        <f t="shared" si="459"/>
        <v>0</v>
      </c>
      <c r="K390" s="125">
        <f t="shared" si="459"/>
        <v>0</v>
      </c>
      <c r="L390" s="125">
        <f t="shared" si="459"/>
        <v>0</v>
      </c>
      <c r="M390" s="125">
        <f t="shared" ref="M390:P390" si="460">M391</f>
        <v>0</v>
      </c>
      <c r="N390" s="125">
        <f t="shared" si="460"/>
        <v>0</v>
      </c>
      <c r="O390" s="125">
        <f t="shared" si="460"/>
        <v>0</v>
      </c>
      <c r="P390" s="125">
        <f t="shared" si="460"/>
        <v>0</v>
      </c>
      <c r="Q390" s="47"/>
    </row>
    <row r="391" spans="1:18" ht="91.5" hidden="1" thickTop="1" thickBot="1" x14ac:dyDescent="0.25">
      <c r="A391" s="134" t="s">
        <v>1213</v>
      </c>
      <c r="B391" s="134" t="s">
        <v>512</v>
      </c>
      <c r="C391" s="134" t="s">
        <v>43</v>
      </c>
      <c r="D391" s="134" t="s">
        <v>513</v>
      </c>
      <c r="E391" s="135">
        <f t="shared" ref="E391" si="461">F391</f>
        <v>0</v>
      </c>
      <c r="F391" s="135">
        <v>0</v>
      </c>
      <c r="G391" s="135"/>
      <c r="H391" s="135"/>
      <c r="I391" s="135"/>
      <c r="J391" s="135">
        <f>L391+O391</f>
        <v>0</v>
      </c>
      <c r="K391" s="132">
        <v>0</v>
      </c>
      <c r="L391" s="135"/>
      <c r="M391" s="135"/>
      <c r="N391" s="135"/>
      <c r="O391" s="135">
        <f>(K391+0)</f>
        <v>0</v>
      </c>
      <c r="P391" s="135">
        <f>E391+J391</f>
        <v>0</v>
      </c>
      <c r="Q391" s="47"/>
    </row>
    <row r="392" spans="1:18" ht="120" customHeight="1" thickTop="1" thickBot="1" x14ac:dyDescent="0.25">
      <c r="A392" s="639" t="s">
        <v>162</v>
      </c>
      <c r="B392" s="639"/>
      <c r="C392" s="639"/>
      <c r="D392" s="640" t="s">
        <v>883</v>
      </c>
      <c r="E392" s="641">
        <f>E393</f>
        <v>10194896</v>
      </c>
      <c r="F392" s="642">
        <f t="shared" ref="F392:G392" si="462">F393</f>
        <v>10194896</v>
      </c>
      <c r="G392" s="642">
        <f t="shared" si="462"/>
        <v>7782677</v>
      </c>
      <c r="H392" s="642">
        <f>H393</f>
        <v>278230</v>
      </c>
      <c r="I392" s="642">
        <f t="shared" ref="I392" si="463">I393</f>
        <v>0</v>
      </c>
      <c r="J392" s="641">
        <f>J393</f>
        <v>10000</v>
      </c>
      <c r="K392" s="642">
        <f>K393</f>
        <v>10000</v>
      </c>
      <c r="L392" s="642">
        <f>L393</f>
        <v>0</v>
      </c>
      <c r="M392" s="642">
        <f t="shared" ref="M392" si="464">M393</f>
        <v>0</v>
      </c>
      <c r="N392" s="642">
        <f>N393</f>
        <v>0</v>
      </c>
      <c r="O392" s="641">
        <f>O393</f>
        <v>10000</v>
      </c>
      <c r="P392" s="642">
        <f t="shared" ref="P392" si="465">P393</f>
        <v>10204896</v>
      </c>
      <c r="Q392" s="20"/>
    </row>
    <row r="393" spans="1:18" ht="120" customHeight="1" thickTop="1" thickBot="1" x14ac:dyDescent="0.25">
      <c r="A393" s="603" t="s">
        <v>163</v>
      </c>
      <c r="B393" s="603"/>
      <c r="C393" s="603"/>
      <c r="D393" s="604" t="s">
        <v>882</v>
      </c>
      <c r="E393" s="605">
        <f>E394+E396</f>
        <v>10194896</v>
      </c>
      <c r="F393" s="605">
        <f t="shared" ref="F393:I393" si="466">F394+F396</f>
        <v>10194896</v>
      </c>
      <c r="G393" s="605">
        <f t="shared" si="466"/>
        <v>7782677</v>
      </c>
      <c r="H393" s="605">
        <f t="shared" si="466"/>
        <v>278230</v>
      </c>
      <c r="I393" s="605">
        <f t="shared" si="466"/>
        <v>0</v>
      </c>
      <c r="J393" s="605">
        <f>L393+O393</f>
        <v>10000</v>
      </c>
      <c r="K393" s="605">
        <f t="shared" ref="K393:O393" si="467">K394+K396</f>
        <v>10000</v>
      </c>
      <c r="L393" s="605">
        <f t="shared" si="467"/>
        <v>0</v>
      </c>
      <c r="M393" s="605">
        <f t="shared" si="467"/>
        <v>0</v>
      </c>
      <c r="N393" s="605">
        <f t="shared" si="467"/>
        <v>0</v>
      </c>
      <c r="O393" s="605">
        <f t="shared" si="467"/>
        <v>10000</v>
      </c>
      <c r="P393" s="605">
        <f>E393+J393</f>
        <v>10204896</v>
      </c>
      <c r="Q393" s="462" t="b">
        <f>P393=P395+P398+P400</f>
        <v>1</v>
      </c>
      <c r="R393" s="45"/>
    </row>
    <row r="394" spans="1:18" ht="47.25" thickTop="1" thickBot="1" x14ac:dyDescent="0.25">
      <c r="A394" s="307" t="s">
        <v>825</v>
      </c>
      <c r="B394" s="307" t="s">
        <v>676</v>
      </c>
      <c r="C394" s="307"/>
      <c r="D394" s="307" t="s">
        <v>677</v>
      </c>
      <c r="E394" s="319">
        <f>SUM(E395)</f>
        <v>10104896</v>
      </c>
      <c r="F394" s="319">
        <f t="shared" ref="F394:P394" si="468">SUM(F395)</f>
        <v>10104896</v>
      </c>
      <c r="G394" s="319">
        <f t="shared" si="468"/>
        <v>7782677</v>
      </c>
      <c r="H394" s="319">
        <f t="shared" si="468"/>
        <v>278230</v>
      </c>
      <c r="I394" s="319">
        <f t="shared" si="468"/>
        <v>0</v>
      </c>
      <c r="J394" s="319">
        <f t="shared" si="468"/>
        <v>0</v>
      </c>
      <c r="K394" s="319">
        <f t="shared" si="468"/>
        <v>0</v>
      </c>
      <c r="L394" s="319">
        <f t="shared" si="468"/>
        <v>0</v>
      </c>
      <c r="M394" s="319">
        <f t="shared" si="468"/>
        <v>0</v>
      </c>
      <c r="N394" s="319">
        <f t="shared" si="468"/>
        <v>0</v>
      </c>
      <c r="O394" s="319">
        <f t="shared" si="468"/>
        <v>0</v>
      </c>
      <c r="P394" s="319">
        <f t="shared" si="468"/>
        <v>10104896</v>
      </c>
      <c r="Q394" s="47"/>
      <c r="R394" s="45"/>
    </row>
    <row r="395" spans="1:18" ht="93" thickTop="1" thickBot="1" x14ac:dyDescent="0.25">
      <c r="A395" s="101" t="s">
        <v>416</v>
      </c>
      <c r="B395" s="101" t="s">
        <v>236</v>
      </c>
      <c r="C395" s="101" t="s">
        <v>234</v>
      </c>
      <c r="D395" s="101" t="s">
        <v>235</v>
      </c>
      <c r="E395" s="319">
        <f>F395</f>
        <v>10104896</v>
      </c>
      <c r="F395" s="435">
        <v>10104896</v>
      </c>
      <c r="G395" s="435">
        <v>7782677</v>
      </c>
      <c r="H395" s="435">
        <v>278230</v>
      </c>
      <c r="I395" s="435"/>
      <c r="J395" s="319">
        <f>L395+O395</f>
        <v>0</v>
      </c>
      <c r="K395" s="435"/>
      <c r="L395" s="435"/>
      <c r="M395" s="435"/>
      <c r="N395" s="435"/>
      <c r="O395" s="432">
        <f>K395</f>
        <v>0</v>
      </c>
      <c r="P395" s="319">
        <f>E395+J395</f>
        <v>10104896</v>
      </c>
      <c r="Q395" s="20"/>
      <c r="R395" s="45"/>
    </row>
    <row r="396" spans="1:18" ht="47.25" thickTop="1" thickBot="1" x14ac:dyDescent="0.25">
      <c r="A396" s="307" t="s">
        <v>826</v>
      </c>
      <c r="B396" s="307" t="s">
        <v>739</v>
      </c>
      <c r="C396" s="101"/>
      <c r="D396" s="307" t="s">
        <v>784</v>
      </c>
      <c r="E396" s="319">
        <f t="shared" ref="E396:P396" si="469">E397+E399</f>
        <v>90000</v>
      </c>
      <c r="F396" s="319">
        <f t="shared" si="469"/>
        <v>90000</v>
      </c>
      <c r="G396" s="319">
        <f t="shared" si="469"/>
        <v>0</v>
      </c>
      <c r="H396" s="319">
        <f t="shared" si="469"/>
        <v>0</v>
      </c>
      <c r="I396" s="319">
        <f t="shared" si="469"/>
        <v>0</v>
      </c>
      <c r="J396" s="319">
        <f t="shared" si="469"/>
        <v>10000</v>
      </c>
      <c r="K396" s="319">
        <f t="shared" si="469"/>
        <v>10000</v>
      </c>
      <c r="L396" s="319">
        <f t="shared" si="469"/>
        <v>0</v>
      </c>
      <c r="M396" s="319">
        <f t="shared" si="469"/>
        <v>0</v>
      </c>
      <c r="N396" s="319">
        <f t="shared" si="469"/>
        <v>0</v>
      </c>
      <c r="O396" s="319">
        <f t="shared" si="469"/>
        <v>10000</v>
      </c>
      <c r="P396" s="319">
        <f t="shared" si="469"/>
        <v>100000</v>
      </c>
      <c r="Q396" s="20"/>
      <c r="R396" s="47"/>
    </row>
    <row r="397" spans="1:18" ht="47.25" thickTop="1" thickBot="1" x14ac:dyDescent="0.25">
      <c r="A397" s="608" t="s">
        <v>827</v>
      </c>
      <c r="B397" s="608" t="s">
        <v>828</v>
      </c>
      <c r="C397" s="608"/>
      <c r="D397" s="608" t="s">
        <v>829</v>
      </c>
      <c r="E397" s="610">
        <f>SUM(E398)</f>
        <v>90000</v>
      </c>
      <c r="F397" s="610">
        <f t="shared" ref="F397:P397" si="470">SUM(F398)</f>
        <v>90000</v>
      </c>
      <c r="G397" s="610">
        <f t="shared" si="470"/>
        <v>0</v>
      </c>
      <c r="H397" s="610">
        <f t="shared" si="470"/>
        <v>0</v>
      </c>
      <c r="I397" s="610">
        <f t="shared" si="470"/>
        <v>0</v>
      </c>
      <c r="J397" s="610">
        <f t="shared" si="470"/>
        <v>0</v>
      </c>
      <c r="K397" s="610">
        <f t="shared" si="470"/>
        <v>0</v>
      </c>
      <c r="L397" s="610">
        <f t="shared" si="470"/>
        <v>0</v>
      </c>
      <c r="M397" s="610">
        <f t="shared" si="470"/>
        <v>0</v>
      </c>
      <c r="N397" s="610">
        <f t="shared" si="470"/>
        <v>0</v>
      </c>
      <c r="O397" s="610">
        <f t="shared" si="470"/>
        <v>0</v>
      </c>
      <c r="P397" s="610">
        <f t="shared" si="470"/>
        <v>90000</v>
      </c>
      <c r="Q397" s="20"/>
      <c r="R397" s="47"/>
    </row>
    <row r="398" spans="1:18" ht="48" thickTop="1" thickBot="1" x14ac:dyDescent="0.25">
      <c r="A398" s="101" t="s">
        <v>305</v>
      </c>
      <c r="B398" s="101" t="s">
        <v>306</v>
      </c>
      <c r="C398" s="101" t="s">
        <v>307</v>
      </c>
      <c r="D398" s="101" t="s">
        <v>459</v>
      </c>
      <c r="E398" s="319">
        <f>F398</f>
        <v>90000</v>
      </c>
      <c r="F398" s="435">
        <v>90000</v>
      </c>
      <c r="G398" s="435"/>
      <c r="H398" s="435"/>
      <c r="I398" s="435"/>
      <c r="J398" s="319">
        <f>L398+O398</f>
        <v>0</v>
      </c>
      <c r="K398" s="435"/>
      <c r="L398" s="435"/>
      <c r="M398" s="435"/>
      <c r="N398" s="435"/>
      <c r="O398" s="432">
        <f>(K398)</f>
        <v>0</v>
      </c>
      <c r="P398" s="319">
        <f>E398+J398</f>
        <v>90000</v>
      </c>
      <c r="Q398" s="20"/>
      <c r="R398" s="45"/>
    </row>
    <row r="399" spans="1:18" ht="47.25" thickTop="1" thickBot="1" x14ac:dyDescent="0.25">
      <c r="A399" s="608" t="s">
        <v>830</v>
      </c>
      <c r="B399" s="608" t="s">
        <v>683</v>
      </c>
      <c r="C399" s="101"/>
      <c r="D399" s="608" t="s">
        <v>831</v>
      </c>
      <c r="E399" s="610">
        <f>SUM(E400)</f>
        <v>0</v>
      </c>
      <c r="F399" s="610">
        <f t="shared" ref="F399:P399" si="471">SUM(F400)</f>
        <v>0</v>
      </c>
      <c r="G399" s="610">
        <f t="shared" si="471"/>
        <v>0</v>
      </c>
      <c r="H399" s="610">
        <f t="shared" si="471"/>
        <v>0</v>
      </c>
      <c r="I399" s="610">
        <f t="shared" si="471"/>
        <v>0</v>
      </c>
      <c r="J399" s="610">
        <f t="shared" si="471"/>
        <v>10000</v>
      </c>
      <c r="K399" s="610">
        <f t="shared" si="471"/>
        <v>10000</v>
      </c>
      <c r="L399" s="610">
        <f t="shared" si="471"/>
        <v>0</v>
      </c>
      <c r="M399" s="610">
        <f t="shared" si="471"/>
        <v>0</v>
      </c>
      <c r="N399" s="610">
        <f t="shared" si="471"/>
        <v>0</v>
      </c>
      <c r="O399" s="610">
        <f t="shared" si="471"/>
        <v>10000</v>
      </c>
      <c r="P399" s="610">
        <f t="shared" si="471"/>
        <v>10000</v>
      </c>
      <c r="Q399" s="20"/>
    </row>
    <row r="400" spans="1:18" ht="48" thickTop="1" thickBot="1" x14ac:dyDescent="0.25">
      <c r="A400" s="101" t="s">
        <v>367</v>
      </c>
      <c r="B400" s="101" t="s">
        <v>368</v>
      </c>
      <c r="C400" s="101" t="s">
        <v>170</v>
      </c>
      <c r="D400" s="101" t="s">
        <v>369</v>
      </c>
      <c r="E400" s="319">
        <f>F400</f>
        <v>0</v>
      </c>
      <c r="F400" s="435"/>
      <c r="G400" s="435"/>
      <c r="H400" s="435"/>
      <c r="I400" s="435"/>
      <c r="J400" s="319">
        <f>L400+O400</f>
        <v>10000</v>
      </c>
      <c r="K400" s="435">
        <v>10000</v>
      </c>
      <c r="L400" s="435"/>
      <c r="M400" s="435"/>
      <c r="N400" s="435"/>
      <c r="O400" s="432">
        <f>K400</f>
        <v>10000</v>
      </c>
      <c r="P400" s="319">
        <f>E400+J400</f>
        <v>10000</v>
      </c>
      <c r="Q400" s="20"/>
      <c r="R400" s="45"/>
    </row>
    <row r="401" spans="1:19" ht="120" customHeight="1" thickTop="1" thickBot="1" x14ac:dyDescent="0.25">
      <c r="A401" s="639" t="s">
        <v>168</v>
      </c>
      <c r="B401" s="639"/>
      <c r="C401" s="639"/>
      <c r="D401" s="640" t="s">
        <v>27</v>
      </c>
      <c r="E401" s="641">
        <f>E402</f>
        <v>192063986</v>
      </c>
      <c r="F401" s="642">
        <f t="shared" ref="F401:G401" si="472">F402</f>
        <v>192063986</v>
      </c>
      <c r="G401" s="642">
        <f t="shared" si="472"/>
        <v>10181430</v>
      </c>
      <c r="H401" s="642">
        <f>H402</f>
        <v>282050</v>
      </c>
      <c r="I401" s="642">
        <f t="shared" ref="I401" si="473">I402</f>
        <v>0</v>
      </c>
      <c r="J401" s="641">
        <f>J402</f>
        <v>0</v>
      </c>
      <c r="K401" s="642">
        <f>K402</f>
        <v>0</v>
      </c>
      <c r="L401" s="642">
        <f>L402</f>
        <v>0</v>
      </c>
      <c r="M401" s="642">
        <f t="shared" ref="M401" si="474">M402</f>
        <v>0</v>
      </c>
      <c r="N401" s="642">
        <f>N402</f>
        <v>0</v>
      </c>
      <c r="O401" s="641">
        <f>O402</f>
        <v>0</v>
      </c>
      <c r="P401" s="642">
        <f t="shared" ref="P401" si="475">P402</f>
        <v>192063986</v>
      </c>
      <c r="Q401" s="20"/>
    </row>
    <row r="402" spans="1:19" ht="120" customHeight="1" thickTop="1" thickBot="1" x14ac:dyDescent="0.25">
      <c r="A402" s="603" t="s">
        <v>169</v>
      </c>
      <c r="B402" s="603"/>
      <c r="C402" s="603"/>
      <c r="D402" s="604" t="s">
        <v>40</v>
      </c>
      <c r="E402" s="605">
        <f>E403+E409+E416+E406</f>
        <v>192063986</v>
      </c>
      <c r="F402" s="605">
        <f t="shared" ref="F402:P402" si="476">F403+F409+F416+F406</f>
        <v>192063986</v>
      </c>
      <c r="G402" s="605">
        <f t="shared" si="476"/>
        <v>10181430</v>
      </c>
      <c r="H402" s="605">
        <f t="shared" si="476"/>
        <v>282050</v>
      </c>
      <c r="I402" s="605">
        <f t="shared" si="476"/>
        <v>0</v>
      </c>
      <c r="J402" s="605">
        <f t="shared" si="476"/>
        <v>0</v>
      </c>
      <c r="K402" s="605">
        <f t="shared" si="476"/>
        <v>0</v>
      </c>
      <c r="L402" s="605">
        <f t="shared" si="476"/>
        <v>0</v>
      </c>
      <c r="M402" s="605">
        <f t="shared" si="476"/>
        <v>0</v>
      </c>
      <c r="N402" s="605">
        <f t="shared" si="476"/>
        <v>0</v>
      </c>
      <c r="O402" s="605">
        <f t="shared" si="476"/>
        <v>0</v>
      </c>
      <c r="P402" s="605">
        <f t="shared" si="476"/>
        <v>192063986</v>
      </c>
      <c r="Q402" s="462" t="b">
        <f>P402=P404+P410+P412+P418</f>
        <v>1</v>
      </c>
      <c r="R402" s="45"/>
    </row>
    <row r="403" spans="1:19" ht="47.25" thickTop="1" thickBot="1" x14ac:dyDescent="0.25">
      <c r="A403" s="307" t="s">
        <v>832</v>
      </c>
      <c r="B403" s="307" t="s">
        <v>676</v>
      </c>
      <c r="C403" s="307"/>
      <c r="D403" s="307" t="s">
        <v>677</v>
      </c>
      <c r="E403" s="319">
        <f>SUM(E404:E405)</f>
        <v>13025321</v>
      </c>
      <c r="F403" s="319">
        <f t="shared" ref="F403:P403" si="477">SUM(F404:F405)</f>
        <v>13025321</v>
      </c>
      <c r="G403" s="319">
        <f t="shared" si="477"/>
        <v>10181430</v>
      </c>
      <c r="H403" s="319">
        <f t="shared" si="477"/>
        <v>282050</v>
      </c>
      <c r="I403" s="319">
        <f t="shared" si="477"/>
        <v>0</v>
      </c>
      <c r="J403" s="319">
        <f t="shared" si="477"/>
        <v>0</v>
      </c>
      <c r="K403" s="319">
        <f t="shared" si="477"/>
        <v>0</v>
      </c>
      <c r="L403" s="319">
        <f t="shared" si="477"/>
        <v>0</v>
      </c>
      <c r="M403" s="319">
        <f t="shared" si="477"/>
        <v>0</v>
      </c>
      <c r="N403" s="319">
        <f t="shared" si="477"/>
        <v>0</v>
      </c>
      <c r="O403" s="319">
        <f t="shared" si="477"/>
        <v>0</v>
      </c>
      <c r="P403" s="319">
        <f t="shared" si="477"/>
        <v>13025321</v>
      </c>
      <c r="Q403" s="47"/>
      <c r="R403" s="50"/>
    </row>
    <row r="404" spans="1:19" ht="93" thickTop="1" thickBot="1" x14ac:dyDescent="0.25">
      <c r="A404" s="101" t="s">
        <v>418</v>
      </c>
      <c r="B404" s="101" t="s">
        <v>236</v>
      </c>
      <c r="C404" s="101" t="s">
        <v>234</v>
      </c>
      <c r="D404" s="101" t="s">
        <v>235</v>
      </c>
      <c r="E404" s="319">
        <f>F404</f>
        <v>13025321</v>
      </c>
      <c r="F404" s="435">
        <v>13025321</v>
      </c>
      <c r="G404" s="435">
        <v>10181430</v>
      </c>
      <c r="H404" s="435">
        <v>282050</v>
      </c>
      <c r="I404" s="435"/>
      <c r="J404" s="319">
        <f>L404+O404</f>
        <v>0</v>
      </c>
      <c r="K404" s="435"/>
      <c r="L404" s="435"/>
      <c r="M404" s="435"/>
      <c r="N404" s="435"/>
      <c r="O404" s="432">
        <f>K404</f>
        <v>0</v>
      </c>
      <c r="P404" s="319">
        <f>E404+J404</f>
        <v>13025321</v>
      </c>
      <c r="Q404" s="47"/>
      <c r="R404" s="50"/>
      <c r="S404" s="47"/>
    </row>
    <row r="405" spans="1:19" ht="93" hidden="1" thickTop="1" thickBot="1" x14ac:dyDescent="0.25">
      <c r="A405" s="126" t="s">
        <v>628</v>
      </c>
      <c r="B405" s="126" t="s">
        <v>361</v>
      </c>
      <c r="C405" s="126" t="s">
        <v>619</v>
      </c>
      <c r="D405" s="126" t="s">
        <v>620</v>
      </c>
      <c r="E405" s="150">
        <f>F405</f>
        <v>0</v>
      </c>
      <c r="F405" s="127"/>
      <c r="G405" s="127"/>
      <c r="H405" s="127"/>
      <c r="I405" s="127"/>
      <c r="J405" s="125">
        <f t="shared" ref="J405" si="478">L405+O405</f>
        <v>0</v>
      </c>
      <c r="K405" s="127"/>
      <c r="L405" s="128"/>
      <c r="M405" s="128"/>
      <c r="N405" s="128"/>
      <c r="O405" s="130">
        <f t="shared" ref="O405" si="479">K405</f>
        <v>0</v>
      </c>
      <c r="P405" s="125">
        <f t="shared" ref="P405" si="480">+J405+E405</f>
        <v>0</v>
      </c>
      <c r="Q405" s="47"/>
      <c r="R405" s="50"/>
    </row>
    <row r="406" spans="1:19" ht="47.25" hidden="1" thickTop="1" thickBot="1" x14ac:dyDescent="0.25">
      <c r="A406" s="134" t="s">
        <v>1169</v>
      </c>
      <c r="B406" s="134" t="s">
        <v>683</v>
      </c>
      <c r="C406" s="134"/>
      <c r="D406" s="134" t="s">
        <v>681</v>
      </c>
      <c r="E406" s="162">
        <f>E407</f>
        <v>0</v>
      </c>
      <c r="F406" s="162">
        <f t="shared" ref="F406:P407" si="481">F407</f>
        <v>0</v>
      </c>
      <c r="G406" s="162">
        <f t="shared" si="481"/>
        <v>0</v>
      </c>
      <c r="H406" s="162">
        <f t="shared" si="481"/>
        <v>0</v>
      </c>
      <c r="I406" s="162">
        <f t="shared" si="481"/>
        <v>0</v>
      </c>
      <c r="J406" s="162">
        <f t="shared" si="481"/>
        <v>0</v>
      </c>
      <c r="K406" s="162">
        <f t="shared" si="481"/>
        <v>0</v>
      </c>
      <c r="L406" s="162">
        <f t="shared" si="481"/>
        <v>0</v>
      </c>
      <c r="M406" s="162">
        <f t="shared" si="481"/>
        <v>0</v>
      </c>
      <c r="N406" s="162">
        <f t="shared" si="481"/>
        <v>0</v>
      </c>
      <c r="O406" s="162">
        <f t="shared" si="481"/>
        <v>0</v>
      </c>
      <c r="P406" s="162">
        <f t="shared" si="481"/>
        <v>0</v>
      </c>
      <c r="Q406" s="47"/>
      <c r="R406" s="50"/>
    </row>
    <row r="407" spans="1:19" ht="48" hidden="1" thickTop="1" thickBot="1" x14ac:dyDescent="0.25">
      <c r="A407" s="138" t="s">
        <v>1170</v>
      </c>
      <c r="B407" s="138" t="s">
        <v>686</v>
      </c>
      <c r="C407" s="138"/>
      <c r="D407" s="138" t="s">
        <v>684</v>
      </c>
      <c r="E407" s="139">
        <f>E408</f>
        <v>0</v>
      </c>
      <c r="F407" s="139">
        <f t="shared" si="481"/>
        <v>0</v>
      </c>
      <c r="G407" s="139">
        <f t="shared" si="481"/>
        <v>0</v>
      </c>
      <c r="H407" s="139">
        <f t="shared" si="481"/>
        <v>0</v>
      </c>
      <c r="I407" s="139">
        <f t="shared" si="481"/>
        <v>0</v>
      </c>
      <c r="J407" s="139">
        <f t="shared" si="481"/>
        <v>0</v>
      </c>
      <c r="K407" s="139">
        <f t="shared" si="481"/>
        <v>0</v>
      </c>
      <c r="L407" s="139">
        <f t="shared" si="481"/>
        <v>0</v>
      </c>
      <c r="M407" s="139">
        <f t="shared" si="481"/>
        <v>0</v>
      </c>
      <c r="N407" s="139">
        <f t="shared" si="481"/>
        <v>0</v>
      </c>
      <c r="O407" s="139">
        <f t="shared" si="481"/>
        <v>0</v>
      </c>
      <c r="P407" s="139">
        <f t="shared" si="481"/>
        <v>0</v>
      </c>
      <c r="Q407" s="47"/>
      <c r="R407" s="50"/>
    </row>
    <row r="408" spans="1:19" ht="48" hidden="1" thickTop="1" thickBot="1" x14ac:dyDescent="0.25">
      <c r="A408" s="126" t="s">
        <v>1171</v>
      </c>
      <c r="B408" s="126" t="s">
        <v>256</v>
      </c>
      <c r="C408" s="126" t="s">
        <v>170</v>
      </c>
      <c r="D408" s="126" t="s">
        <v>254</v>
      </c>
      <c r="E408" s="125">
        <f t="shared" ref="E408" si="482">F408</f>
        <v>0</v>
      </c>
      <c r="F408" s="132"/>
      <c r="G408" s="132"/>
      <c r="H408" s="132"/>
      <c r="I408" s="132"/>
      <c r="J408" s="125">
        <f t="shared" ref="J408" si="483">L408+O408</f>
        <v>0</v>
      </c>
      <c r="K408" s="132"/>
      <c r="L408" s="132"/>
      <c r="M408" s="132"/>
      <c r="N408" s="132"/>
      <c r="O408" s="130">
        <f>K408</f>
        <v>0</v>
      </c>
      <c r="P408" s="125">
        <f t="shared" ref="P408" si="484">E408+J408</f>
        <v>0</v>
      </c>
      <c r="Q408" s="47"/>
      <c r="R408" s="50"/>
    </row>
    <row r="409" spans="1:19" ht="47.25" thickTop="1" thickBot="1" x14ac:dyDescent="0.25">
      <c r="A409" s="307" t="s">
        <v>833</v>
      </c>
      <c r="B409" s="307" t="s">
        <v>688</v>
      </c>
      <c r="C409" s="307"/>
      <c r="D409" s="307" t="s">
        <v>689</v>
      </c>
      <c r="E409" s="308">
        <f t="shared" ref="E409:P409" si="485">E410+E411+E413</f>
        <v>12847865</v>
      </c>
      <c r="F409" s="308">
        <f t="shared" si="485"/>
        <v>12847865</v>
      </c>
      <c r="G409" s="308">
        <f t="shared" si="485"/>
        <v>0</v>
      </c>
      <c r="H409" s="308">
        <f t="shared" si="485"/>
        <v>0</v>
      </c>
      <c r="I409" s="308">
        <f t="shared" si="485"/>
        <v>0</v>
      </c>
      <c r="J409" s="308">
        <f t="shared" si="485"/>
        <v>0</v>
      </c>
      <c r="K409" s="308">
        <f t="shared" si="485"/>
        <v>0</v>
      </c>
      <c r="L409" s="308">
        <f t="shared" si="485"/>
        <v>0</v>
      </c>
      <c r="M409" s="308">
        <f t="shared" si="485"/>
        <v>0</v>
      </c>
      <c r="N409" s="308">
        <f t="shared" si="485"/>
        <v>0</v>
      </c>
      <c r="O409" s="308">
        <f t="shared" si="485"/>
        <v>0</v>
      </c>
      <c r="P409" s="308">
        <f t="shared" si="485"/>
        <v>12847865</v>
      </c>
      <c r="Q409" s="47"/>
      <c r="R409" s="50"/>
    </row>
    <row r="410" spans="1:19" ht="47.25" thickTop="1" thickBot="1" x14ac:dyDescent="0.25">
      <c r="A410" s="660">
        <v>3718600</v>
      </c>
      <c r="B410" s="660">
        <v>8600</v>
      </c>
      <c r="C410" s="608" t="s">
        <v>361</v>
      </c>
      <c r="D410" s="660" t="s">
        <v>450</v>
      </c>
      <c r="E410" s="610">
        <f>F410</f>
        <v>773346</v>
      </c>
      <c r="F410" s="610">
        <v>773346</v>
      </c>
      <c r="G410" s="610"/>
      <c r="H410" s="610"/>
      <c r="I410" s="610"/>
      <c r="J410" s="610">
        <f>L410+O410</f>
        <v>0</v>
      </c>
      <c r="K410" s="610"/>
      <c r="L410" s="610"/>
      <c r="M410" s="610"/>
      <c r="N410" s="610"/>
      <c r="O410" s="672">
        <f>K410</f>
        <v>0</v>
      </c>
      <c r="P410" s="610">
        <f>E410+J410</f>
        <v>773346</v>
      </c>
      <c r="Q410" s="20"/>
    </row>
    <row r="411" spans="1:19" ht="47.25" thickTop="1" thickBot="1" x14ac:dyDescent="0.25">
      <c r="A411" s="660">
        <v>3718700</v>
      </c>
      <c r="B411" s="660">
        <v>8700</v>
      </c>
      <c r="C411" s="608"/>
      <c r="D411" s="660" t="s">
        <v>834</v>
      </c>
      <c r="E411" s="610">
        <f t="shared" ref="E411:P411" si="486">E412</f>
        <v>12074519</v>
      </c>
      <c r="F411" s="610">
        <f t="shared" si="486"/>
        <v>12074519</v>
      </c>
      <c r="G411" s="610">
        <f t="shared" si="486"/>
        <v>0</v>
      </c>
      <c r="H411" s="610">
        <f t="shared" si="486"/>
        <v>0</v>
      </c>
      <c r="I411" s="610">
        <f t="shared" si="486"/>
        <v>0</v>
      </c>
      <c r="J411" s="610">
        <f t="shared" si="486"/>
        <v>0</v>
      </c>
      <c r="K411" s="610">
        <f t="shared" si="486"/>
        <v>0</v>
      </c>
      <c r="L411" s="610">
        <f t="shared" si="486"/>
        <v>0</v>
      </c>
      <c r="M411" s="610">
        <f t="shared" si="486"/>
        <v>0</v>
      </c>
      <c r="N411" s="610">
        <f t="shared" si="486"/>
        <v>0</v>
      </c>
      <c r="O411" s="610">
        <f t="shared" si="486"/>
        <v>0</v>
      </c>
      <c r="P411" s="610">
        <f t="shared" si="486"/>
        <v>12074519</v>
      </c>
      <c r="Q411" s="20"/>
    </row>
    <row r="412" spans="1:19" ht="69" customHeight="1" thickTop="1" thickBot="1" x14ac:dyDescent="0.25">
      <c r="A412" s="320">
        <v>3718710</v>
      </c>
      <c r="B412" s="320">
        <v>8710</v>
      </c>
      <c r="C412" s="101" t="s">
        <v>42</v>
      </c>
      <c r="D412" s="615" t="s">
        <v>634</v>
      </c>
      <c r="E412" s="319">
        <f>F412</f>
        <v>12074519</v>
      </c>
      <c r="F412" s="435">
        <v>12074519</v>
      </c>
      <c r="G412" s="435"/>
      <c r="H412" s="435"/>
      <c r="I412" s="435"/>
      <c r="J412" s="319">
        <f>L412+O412</f>
        <v>0</v>
      </c>
      <c r="K412" s="435"/>
      <c r="L412" s="435"/>
      <c r="M412" s="435"/>
      <c r="N412" s="435"/>
      <c r="O412" s="432">
        <f>K412</f>
        <v>0</v>
      </c>
      <c r="P412" s="319">
        <f>E412+J412</f>
        <v>12074519</v>
      </c>
      <c r="Q412" s="20"/>
    </row>
    <row r="413" spans="1:19" ht="47.25" hidden="1" thickTop="1" thickBot="1" x14ac:dyDescent="0.25">
      <c r="A413" s="163">
        <v>3718800</v>
      </c>
      <c r="B413" s="163">
        <v>8800</v>
      </c>
      <c r="C413" s="134"/>
      <c r="D413" s="163" t="s">
        <v>842</v>
      </c>
      <c r="E413" s="135">
        <f>E414</f>
        <v>0</v>
      </c>
      <c r="F413" s="135">
        <f>F414</f>
        <v>0</v>
      </c>
      <c r="G413" s="135">
        <f t="shared" ref="G413:P414" si="487">G414</f>
        <v>0</v>
      </c>
      <c r="H413" s="135">
        <f t="shared" si="487"/>
        <v>0</v>
      </c>
      <c r="I413" s="135">
        <f t="shared" si="487"/>
        <v>0</v>
      </c>
      <c r="J413" s="135">
        <f t="shared" si="487"/>
        <v>0</v>
      </c>
      <c r="K413" s="135">
        <f t="shared" si="487"/>
        <v>0</v>
      </c>
      <c r="L413" s="135">
        <f t="shared" si="487"/>
        <v>0</v>
      </c>
      <c r="M413" s="135">
        <f t="shared" si="487"/>
        <v>0</v>
      </c>
      <c r="N413" s="135">
        <f t="shared" si="487"/>
        <v>0</v>
      </c>
      <c r="O413" s="135">
        <f t="shared" si="487"/>
        <v>0</v>
      </c>
      <c r="P413" s="135">
        <f t="shared" si="487"/>
        <v>0</v>
      </c>
      <c r="Q413" s="20"/>
    </row>
    <row r="414" spans="1:19" ht="93" hidden="1" thickTop="1" thickBot="1" x14ac:dyDescent="0.25">
      <c r="A414" s="164">
        <v>3718880</v>
      </c>
      <c r="B414" s="164">
        <v>8880</v>
      </c>
      <c r="C414" s="138"/>
      <c r="D414" s="151" t="s">
        <v>1121</v>
      </c>
      <c r="E414" s="139">
        <f>E415</f>
        <v>0</v>
      </c>
      <c r="F414" s="139">
        <f t="shared" ref="F414" si="488">F415</f>
        <v>0</v>
      </c>
      <c r="G414" s="139">
        <f t="shared" si="487"/>
        <v>0</v>
      </c>
      <c r="H414" s="139">
        <f t="shared" si="487"/>
        <v>0</v>
      </c>
      <c r="I414" s="139">
        <f t="shared" si="487"/>
        <v>0</v>
      </c>
      <c r="J414" s="139">
        <f t="shared" si="487"/>
        <v>0</v>
      </c>
      <c r="K414" s="139">
        <f t="shared" si="487"/>
        <v>0</v>
      </c>
      <c r="L414" s="139">
        <f t="shared" si="487"/>
        <v>0</v>
      </c>
      <c r="M414" s="139">
        <f t="shared" si="487"/>
        <v>0</v>
      </c>
      <c r="N414" s="139">
        <f t="shared" si="487"/>
        <v>0</v>
      </c>
      <c r="O414" s="139">
        <f t="shared" si="487"/>
        <v>0</v>
      </c>
      <c r="P414" s="139">
        <f t="shared" si="487"/>
        <v>0</v>
      </c>
      <c r="Q414" s="20"/>
    </row>
    <row r="415" spans="1:19" ht="93" hidden="1" thickTop="1" thickBot="1" x14ac:dyDescent="0.25">
      <c r="A415" s="126">
        <v>3718881</v>
      </c>
      <c r="B415" s="126">
        <v>8881</v>
      </c>
      <c r="C415" s="126" t="s">
        <v>170</v>
      </c>
      <c r="D415" s="126" t="s">
        <v>1122</v>
      </c>
      <c r="E415" s="150">
        <f>F415</f>
        <v>0</v>
      </c>
      <c r="F415" s="127">
        <f>(2500000)-2500000</f>
        <v>0</v>
      </c>
      <c r="G415" s="127"/>
      <c r="H415" s="127"/>
      <c r="I415" s="127"/>
      <c r="J415" s="125">
        <f t="shared" ref="J415" si="489">L415+O415</f>
        <v>0</v>
      </c>
      <c r="K415" s="127"/>
      <c r="L415" s="128"/>
      <c r="M415" s="128"/>
      <c r="N415" s="128"/>
      <c r="O415" s="130">
        <f t="shared" ref="O415" si="490">K415</f>
        <v>0</v>
      </c>
      <c r="P415" s="125">
        <f t="shared" ref="P415" si="491">+J415+E415</f>
        <v>0</v>
      </c>
      <c r="Q415" s="20"/>
    </row>
    <row r="416" spans="1:19" ht="47.25" thickTop="1" thickBot="1" x14ac:dyDescent="0.25">
      <c r="A416" s="307" t="s">
        <v>835</v>
      </c>
      <c r="B416" s="307" t="s">
        <v>693</v>
      </c>
      <c r="C416" s="307"/>
      <c r="D416" s="307" t="s">
        <v>694</v>
      </c>
      <c r="E416" s="319">
        <f>E417</f>
        <v>166190800</v>
      </c>
      <c r="F416" s="319">
        <f t="shared" ref="F416:P417" si="492">F417</f>
        <v>166190800</v>
      </c>
      <c r="G416" s="319">
        <f t="shared" si="492"/>
        <v>0</v>
      </c>
      <c r="H416" s="319">
        <f t="shared" si="492"/>
        <v>0</v>
      </c>
      <c r="I416" s="319">
        <f t="shared" si="492"/>
        <v>0</v>
      </c>
      <c r="J416" s="319">
        <f t="shared" si="492"/>
        <v>0</v>
      </c>
      <c r="K416" s="319">
        <f t="shared" si="492"/>
        <v>0</v>
      </c>
      <c r="L416" s="319">
        <f t="shared" si="492"/>
        <v>0</v>
      </c>
      <c r="M416" s="319">
        <f t="shared" si="492"/>
        <v>0</v>
      </c>
      <c r="N416" s="319">
        <f t="shared" si="492"/>
        <v>0</v>
      </c>
      <c r="O416" s="319">
        <f t="shared" si="492"/>
        <v>0</v>
      </c>
      <c r="P416" s="319">
        <f t="shared" si="492"/>
        <v>166190800</v>
      </c>
      <c r="Q416" s="20"/>
    </row>
    <row r="417" spans="1:18" ht="47.25" thickTop="1" thickBot="1" x14ac:dyDescent="0.25">
      <c r="A417" s="660">
        <v>3719100</v>
      </c>
      <c r="B417" s="608" t="s">
        <v>837</v>
      </c>
      <c r="C417" s="608"/>
      <c r="D417" s="608" t="s">
        <v>836</v>
      </c>
      <c r="E417" s="610">
        <f>E418</f>
        <v>166190800</v>
      </c>
      <c r="F417" s="610">
        <f t="shared" si="492"/>
        <v>166190800</v>
      </c>
      <c r="G417" s="610">
        <f t="shared" si="492"/>
        <v>0</v>
      </c>
      <c r="H417" s="610">
        <f t="shared" si="492"/>
        <v>0</v>
      </c>
      <c r="I417" s="610">
        <f t="shared" si="492"/>
        <v>0</v>
      </c>
      <c r="J417" s="610">
        <f t="shared" si="492"/>
        <v>0</v>
      </c>
      <c r="K417" s="610">
        <f t="shared" si="492"/>
        <v>0</v>
      </c>
      <c r="L417" s="610">
        <f t="shared" si="492"/>
        <v>0</v>
      </c>
      <c r="M417" s="610">
        <f t="shared" si="492"/>
        <v>0</v>
      </c>
      <c r="N417" s="610">
        <f t="shared" si="492"/>
        <v>0</v>
      </c>
      <c r="O417" s="610">
        <f t="shared" si="492"/>
        <v>0</v>
      </c>
      <c r="P417" s="610">
        <f t="shared" si="492"/>
        <v>166190800</v>
      </c>
      <c r="Q417" s="20"/>
    </row>
    <row r="418" spans="1:18" ht="48" thickTop="1" thickBot="1" x14ac:dyDescent="0.25">
      <c r="A418" s="320">
        <v>3719110</v>
      </c>
      <c r="B418" s="320">
        <v>9110</v>
      </c>
      <c r="C418" s="101" t="s">
        <v>43</v>
      </c>
      <c r="D418" s="615" t="s">
        <v>449</v>
      </c>
      <c r="E418" s="319">
        <f>F418</f>
        <v>166190800</v>
      </c>
      <c r="F418" s="435">
        <v>166190800</v>
      </c>
      <c r="G418" s="435"/>
      <c r="H418" s="435"/>
      <c r="I418" s="435"/>
      <c r="J418" s="319">
        <f>L418+O418</f>
        <v>0</v>
      </c>
      <c r="K418" s="435"/>
      <c r="L418" s="435"/>
      <c r="M418" s="435"/>
      <c r="N418" s="435"/>
      <c r="O418" s="432">
        <f>K418</f>
        <v>0</v>
      </c>
      <c r="P418" s="319">
        <f>E418+J418</f>
        <v>166190800</v>
      </c>
      <c r="Q418" s="20"/>
    </row>
    <row r="419" spans="1:18" ht="111" customHeight="1" thickTop="1" thickBot="1" x14ac:dyDescent="0.25">
      <c r="A419" s="693" t="s">
        <v>380</v>
      </c>
      <c r="B419" s="693" t="s">
        <v>380</v>
      </c>
      <c r="C419" s="693" t="s">
        <v>380</v>
      </c>
      <c r="D419" s="693" t="s">
        <v>390</v>
      </c>
      <c r="E419" s="694">
        <f t="shared" ref="E419:P419" si="493">E16+E48+E210+E104+E132+E189++E308+E334+E402+E363+E383+E393+E344+E274+E246</f>
        <v>3276526950</v>
      </c>
      <c r="F419" s="694">
        <f t="shared" si="493"/>
        <v>3276526950</v>
      </c>
      <c r="G419" s="694">
        <f t="shared" si="493"/>
        <v>1262626800</v>
      </c>
      <c r="H419" s="694">
        <f t="shared" si="493"/>
        <v>202018463</v>
      </c>
      <c r="I419" s="694">
        <f t="shared" si="493"/>
        <v>0</v>
      </c>
      <c r="J419" s="694">
        <f t="shared" si="493"/>
        <v>472542079</v>
      </c>
      <c r="K419" s="694">
        <f t="shared" si="493"/>
        <v>196629604</v>
      </c>
      <c r="L419" s="694">
        <f t="shared" si="493"/>
        <v>267385065</v>
      </c>
      <c r="M419" s="694">
        <f t="shared" si="493"/>
        <v>73997988</v>
      </c>
      <c r="N419" s="694">
        <f t="shared" si="493"/>
        <v>35651093</v>
      </c>
      <c r="O419" s="694">
        <f>O16+O48+O210+O104+O132+O189++O308+O334+O402+O363+O383+O393+O344+O274+O246</f>
        <v>205157014</v>
      </c>
      <c r="P419" s="694">
        <f t="shared" si="493"/>
        <v>3749069029</v>
      </c>
      <c r="Q419" s="79" t="b">
        <f>P419=J419+E419</f>
        <v>1</v>
      </c>
    </row>
    <row r="420" spans="1:18" ht="46.5" thickTop="1" x14ac:dyDescent="0.2">
      <c r="A420" s="783" t="s">
        <v>1455</v>
      </c>
      <c r="B420" s="784"/>
      <c r="C420" s="784"/>
      <c r="D420" s="784"/>
      <c r="E420" s="784"/>
      <c r="F420" s="784"/>
      <c r="G420" s="784"/>
      <c r="H420" s="784"/>
      <c r="I420" s="784"/>
      <c r="J420" s="784"/>
      <c r="K420" s="784"/>
      <c r="L420" s="784"/>
      <c r="M420" s="784"/>
      <c r="N420" s="784"/>
      <c r="O420" s="784"/>
      <c r="P420" s="784"/>
      <c r="Q420" s="56"/>
    </row>
    <row r="421" spans="1:18" ht="60.75" hidden="1" x14ac:dyDescent="0.2">
      <c r="A421" s="15"/>
      <c r="B421" s="16"/>
      <c r="C421" s="16"/>
      <c r="D421" s="16"/>
      <c r="E421" s="478">
        <f>F421</f>
        <v>3276526950</v>
      </c>
      <c r="F421" s="478">
        <f>3276526950</f>
        <v>3276526950</v>
      </c>
      <c r="G421" s="478">
        <f>2103868+106818628+100276862+811737240+3269881+60343879+123795559+54280883</f>
        <v>1262626800</v>
      </c>
      <c r="H421" s="478">
        <f>5000+61019+5861100+3994556+174499778+209980+4040641+8706450+4639939</f>
        <v>202018463</v>
      </c>
      <c r="I421" s="478">
        <v>0</v>
      </c>
      <c r="J421" s="478">
        <f>476429079+'d2'!E42+'d4'!O29</f>
        <v>472542079</v>
      </c>
      <c r="K421" s="478">
        <f>476429079+'d2'!F42-'d4'!P29-268412475-5500000-2000000</f>
        <v>196629604</v>
      </c>
      <c r="L421" s="478">
        <f>2289715+237626300+10030550+11983500+4350000+1105000</f>
        <v>267385065</v>
      </c>
      <c r="M421" s="478">
        <f>891107+59655330+4670511+8781040</f>
        <v>73997988</v>
      </c>
      <c r="N421" s="478">
        <f>527653+34018360+774200+330880</f>
        <v>35651093</v>
      </c>
      <c r="O421" s="478">
        <f>476429079+'d2'!F42-'d4'!O29-268412475-5500000-2000000+895000+150000+6094110+20000+368300+1000000</f>
        <v>205157014</v>
      </c>
      <c r="P421" s="478">
        <f>3752956029-3887000</f>
        <v>3749069029</v>
      </c>
      <c r="Q421" s="79" t="b">
        <f>E421+J421=P421</f>
        <v>1</v>
      </c>
      <c r="R421" s="56"/>
    </row>
    <row r="422" spans="1:18" ht="45.75" x14ac:dyDescent="0.65">
      <c r="A422" s="15"/>
      <c r="B422" s="16"/>
      <c r="C422" s="16"/>
      <c r="D422" s="479" t="s">
        <v>1432</v>
      </c>
      <c r="E422" s="312"/>
      <c r="F422" s="312"/>
      <c r="G422" s="2"/>
      <c r="H422" s="3"/>
      <c r="I422" s="2"/>
      <c r="J422" s="3"/>
      <c r="K422" s="2" t="s">
        <v>1433</v>
      </c>
      <c r="L422" s="2"/>
      <c r="M422" s="2"/>
      <c r="N422" s="2"/>
      <c r="O422" s="2"/>
      <c r="P422" s="2"/>
      <c r="Q422" s="56"/>
    </row>
    <row r="423" spans="1:18" ht="45.75" hidden="1" x14ac:dyDescent="0.65">
      <c r="A423" s="165"/>
      <c r="B423" s="166"/>
      <c r="C423" s="166"/>
      <c r="D423" s="3" t="s">
        <v>1398</v>
      </c>
      <c r="E423" s="312"/>
      <c r="F423" s="312"/>
      <c r="G423" s="2"/>
      <c r="H423" s="3"/>
      <c r="I423" s="2"/>
      <c r="J423" s="3"/>
      <c r="K423" s="3" t="s">
        <v>1399</v>
      </c>
      <c r="L423" s="199"/>
      <c r="M423" s="199"/>
      <c r="N423" s="199"/>
      <c r="O423" s="199"/>
      <c r="P423" s="199"/>
      <c r="Q423" s="56"/>
    </row>
    <row r="424" spans="1:18" ht="26.45" customHeight="1" x14ac:dyDescent="0.65">
      <c r="A424" s="15"/>
      <c r="B424" s="16"/>
      <c r="C424" s="16"/>
      <c r="D424" s="777"/>
      <c r="E424" s="777"/>
      <c r="F424" s="777"/>
      <c r="G424" s="777"/>
      <c r="H424" s="777"/>
      <c r="I424" s="777"/>
      <c r="J424" s="777"/>
      <c r="K424" s="777"/>
      <c r="L424" s="777"/>
      <c r="M424" s="777"/>
      <c r="N424" s="777"/>
      <c r="O424" s="777"/>
      <c r="P424" s="777"/>
      <c r="Q424" s="83"/>
    </row>
    <row r="425" spans="1:18" ht="50.25" customHeight="1" thickBot="1" x14ac:dyDescent="0.7">
      <c r="A425" s="15"/>
      <c r="B425" s="16"/>
      <c r="C425" s="16"/>
      <c r="D425" s="793" t="s">
        <v>519</v>
      </c>
      <c r="E425" s="794"/>
      <c r="F425" s="794"/>
      <c r="G425" s="343"/>
      <c r="H425" s="343"/>
      <c r="I425" s="2"/>
      <c r="J425" s="2"/>
      <c r="K425" s="3" t="s">
        <v>1304</v>
      </c>
      <c r="L425" s="2"/>
      <c r="M425" s="2"/>
      <c r="N425" s="2"/>
      <c r="O425" s="2"/>
      <c r="P425" s="2"/>
      <c r="Q425" s="83"/>
    </row>
    <row r="426" spans="1:18" ht="47.25" thickTop="1" thickBot="1" x14ac:dyDescent="0.7">
      <c r="A426" s="19"/>
      <c r="B426" s="19"/>
      <c r="C426" s="19"/>
      <c r="D426" s="757"/>
      <c r="E426" s="757"/>
      <c r="F426" s="757"/>
      <c r="G426" s="757"/>
      <c r="H426" s="757"/>
      <c r="I426" s="757"/>
      <c r="J426" s="757"/>
      <c r="K426" s="757"/>
      <c r="L426" s="757"/>
      <c r="M426" s="757"/>
      <c r="N426" s="757"/>
      <c r="O426" s="757"/>
      <c r="P426" s="757"/>
      <c r="Q426" s="84"/>
    </row>
    <row r="427" spans="1:18" ht="95.25" customHeight="1" thickTop="1" x14ac:dyDescent="0.55000000000000004">
      <c r="E427" s="527"/>
      <c r="G427" s="58"/>
      <c r="H427" s="58"/>
      <c r="I427" s="91"/>
      <c r="J427" s="92"/>
      <c r="K427" s="92"/>
      <c r="L427" s="91"/>
      <c r="M427" s="91"/>
      <c r="N427" s="91"/>
      <c r="O427" s="91"/>
      <c r="P427" s="92"/>
      <c r="Q427" s="82"/>
    </row>
    <row r="428" spans="1:18" x14ac:dyDescent="0.2">
      <c r="E428" s="59"/>
      <c r="F428" s="60"/>
      <c r="G428" s="58"/>
      <c r="H428" s="58"/>
      <c r="I428" s="91"/>
      <c r="J428" s="93"/>
      <c r="K428" s="93"/>
      <c r="L428" s="91"/>
      <c r="M428" s="91"/>
      <c r="N428" s="91"/>
      <c r="O428" s="91"/>
      <c r="P428" s="92"/>
    </row>
    <row r="429" spans="1:18" x14ac:dyDescent="0.2">
      <c r="E429" s="59"/>
      <c r="F429" s="60"/>
      <c r="G429" s="58"/>
      <c r="H429" s="58"/>
      <c r="I429" s="91"/>
      <c r="J429" s="93"/>
      <c r="K429" s="93"/>
      <c r="L429" s="91"/>
      <c r="M429" s="91"/>
      <c r="N429" s="91"/>
      <c r="O429" s="91"/>
      <c r="P429" s="92"/>
    </row>
    <row r="430" spans="1:18" ht="60.75" x14ac:dyDescent="0.2">
      <c r="E430" s="527" t="b">
        <f>E421=E419</f>
        <v>1</v>
      </c>
      <c r="F430" s="527" t="b">
        <f>F421=F419</f>
        <v>1</v>
      </c>
      <c r="G430" s="527" t="b">
        <f>G421=G419</f>
        <v>1</v>
      </c>
      <c r="H430" s="527" t="b">
        <f t="shared" ref="H430:O430" si="494">H421=H419</f>
        <v>1</v>
      </c>
      <c r="I430" s="527" t="b">
        <f>I421=I419</f>
        <v>1</v>
      </c>
      <c r="J430" s="527" t="b">
        <f>J421=J419</f>
        <v>1</v>
      </c>
      <c r="K430" s="527" t="b">
        <f>K421=K419</f>
        <v>1</v>
      </c>
      <c r="L430" s="527" t="b">
        <f t="shared" si="494"/>
        <v>1</v>
      </c>
      <c r="M430" s="527" t="b">
        <f t="shared" si="494"/>
        <v>1</v>
      </c>
      <c r="N430" s="527" t="b">
        <f>N421=N419</f>
        <v>1</v>
      </c>
      <c r="O430" s="527" t="b">
        <f t="shared" si="494"/>
        <v>1</v>
      </c>
      <c r="P430" s="527" t="b">
        <f>P421=P419</f>
        <v>1</v>
      </c>
    </row>
    <row r="431" spans="1:18" ht="61.5" x14ac:dyDescent="0.2">
      <c r="E431" s="527" t="b">
        <f>E419=F419</f>
        <v>1</v>
      </c>
      <c r="F431" s="528">
        <f>F412/E419</f>
        <v>3.685157846786519E-3</v>
      </c>
      <c r="G431" s="86"/>
      <c r="H431" s="87"/>
      <c r="I431" s="88"/>
      <c r="J431" s="527" t="b">
        <f>J421=L421+O421</f>
        <v>1</v>
      </c>
      <c r="K431" s="94"/>
      <c r="L431" s="79"/>
      <c r="M431" s="88"/>
      <c r="N431" s="88"/>
      <c r="O431" s="79"/>
      <c r="P431" s="527" t="b">
        <f>E419+J419=P419</f>
        <v>1</v>
      </c>
    </row>
    <row r="432" spans="1:18" ht="60.75" x14ac:dyDescent="0.2">
      <c r="E432" s="89"/>
      <c r="F432" s="90"/>
      <c r="G432" s="89"/>
      <c r="H432" s="529">
        <f>H421-H419</f>
        <v>0</v>
      </c>
      <c r="I432" s="89"/>
      <c r="J432" s="59"/>
      <c r="K432" s="59"/>
    </row>
    <row r="433" spans="1:18" ht="61.5" x14ac:dyDescent="0.2">
      <c r="A433" s="21"/>
      <c r="B433" s="21"/>
      <c r="C433" s="21"/>
      <c r="D433" s="22"/>
      <c r="E433" s="37">
        <f>E419-E421</f>
        <v>0</v>
      </c>
      <c r="F433" s="528">
        <f>400000/E419</f>
        <v>1.2208048525283761E-4</v>
      </c>
      <c r="G433" s="86"/>
      <c r="H433" s="61"/>
      <c r="I433" s="22"/>
      <c r="J433" s="37">
        <f>J419-J421</f>
        <v>0</v>
      </c>
      <c r="K433" s="37">
        <f>K419-K421</f>
        <v>0</v>
      </c>
      <c r="L433" s="37"/>
      <c r="M433" s="37"/>
      <c r="N433" s="37"/>
      <c r="O433" s="37">
        <f>O419-O421</f>
        <v>0</v>
      </c>
      <c r="P433" s="37">
        <f>P419-P421</f>
        <v>0</v>
      </c>
    </row>
    <row r="434" spans="1:18" ht="61.5" x14ac:dyDescent="0.2">
      <c r="D434" s="22"/>
      <c r="E434" s="37"/>
      <c r="F434" s="63"/>
      <c r="G434" s="55"/>
      <c r="H434" s="61"/>
      <c r="I434" s="22"/>
      <c r="J434" s="37"/>
      <c r="K434" s="37"/>
      <c r="L434" s="64"/>
      <c r="P434" s="55"/>
      <c r="Q434" s="85"/>
      <c r="R434" s="65"/>
    </row>
    <row r="435" spans="1:18" ht="60.75" x14ac:dyDescent="0.2">
      <c r="A435" s="21"/>
      <c r="B435" s="21"/>
      <c r="C435" s="21"/>
      <c r="D435" s="22"/>
      <c r="E435" s="26"/>
      <c r="F435" s="26"/>
      <c r="G435" s="26"/>
      <c r="H435" s="26"/>
      <c r="I435" s="66"/>
      <c r="J435" s="26"/>
      <c r="K435" s="26"/>
      <c r="L435" s="26"/>
      <c r="M435" s="26"/>
      <c r="N435" s="26"/>
      <c r="O435" s="26"/>
      <c r="P435" s="26"/>
      <c r="Q435" s="85"/>
      <c r="R435" s="65"/>
    </row>
    <row r="436" spans="1:18" ht="60.75" x14ac:dyDescent="0.2">
      <c r="D436" s="22"/>
      <c r="E436" s="37"/>
      <c r="F436" s="67"/>
      <c r="O436" s="55"/>
      <c r="P436" s="55"/>
    </row>
    <row r="437" spans="1:18" ht="60.75" x14ac:dyDescent="0.2">
      <c r="A437" s="21"/>
      <c r="B437" s="21"/>
      <c r="C437" s="21"/>
      <c r="D437" s="22"/>
      <c r="E437" s="37"/>
      <c r="F437" s="62"/>
      <c r="G437" s="64"/>
      <c r="I437" s="68"/>
      <c r="J437" s="59"/>
      <c r="K437" s="59"/>
      <c r="L437" s="21"/>
      <c r="M437" s="21"/>
      <c r="N437" s="21"/>
      <c r="O437" s="21"/>
      <c r="P437" s="55"/>
    </row>
    <row r="438" spans="1:18" ht="62.25" x14ac:dyDescent="0.8">
      <c r="A438" s="21"/>
      <c r="B438" s="21"/>
      <c r="C438" s="21"/>
      <c r="D438" s="21"/>
      <c r="E438" s="69"/>
      <c r="F438" s="62"/>
      <c r="J438" s="59"/>
      <c r="K438" s="59"/>
      <c r="L438" s="21"/>
      <c r="M438" s="21"/>
      <c r="N438" s="21"/>
      <c r="O438" s="21"/>
      <c r="P438" s="70"/>
    </row>
    <row r="439" spans="1:18" ht="45.75" x14ac:dyDescent="0.2">
      <c r="E439" s="71"/>
      <c r="F439" s="67"/>
    </row>
    <row r="440" spans="1:18" ht="45.75" x14ac:dyDescent="0.2">
      <c r="A440" s="21"/>
      <c r="B440" s="21"/>
      <c r="C440" s="21"/>
      <c r="D440" s="21"/>
      <c r="E440" s="69"/>
      <c r="F440" s="62"/>
      <c r="L440" s="21"/>
      <c r="M440" s="21"/>
      <c r="N440" s="21"/>
      <c r="O440" s="21"/>
      <c r="P440" s="21"/>
    </row>
    <row r="441" spans="1:18" ht="45.75" x14ac:dyDescent="0.2">
      <c r="E441" s="72"/>
      <c r="F441" s="67"/>
    </row>
    <row r="442" spans="1:18" ht="45.75" x14ac:dyDescent="0.2">
      <c r="E442" s="72"/>
      <c r="F442" s="67"/>
    </row>
    <row r="443" spans="1:18" ht="45.75" x14ac:dyDescent="0.2">
      <c r="E443" s="72"/>
      <c r="F443" s="67"/>
    </row>
    <row r="444" spans="1:18" ht="45.75" x14ac:dyDescent="0.2">
      <c r="A444" s="21"/>
      <c r="B444" s="21"/>
      <c r="C444" s="21"/>
      <c r="D444" s="21"/>
      <c r="E444" s="72"/>
      <c r="F444" s="67"/>
      <c r="G444" s="21"/>
      <c r="H444" s="21"/>
      <c r="I444" s="21"/>
      <c r="J444" s="21"/>
      <c r="K444" s="21"/>
      <c r="L444" s="21"/>
      <c r="M444" s="21"/>
      <c r="N444" s="21"/>
      <c r="O444" s="21"/>
      <c r="P444" s="21"/>
    </row>
    <row r="445" spans="1:18" ht="45.75" x14ac:dyDescent="0.2">
      <c r="A445" s="21"/>
      <c r="B445" s="21"/>
      <c r="C445" s="21"/>
      <c r="D445" s="21"/>
      <c r="E445" s="72"/>
      <c r="F445" s="67"/>
      <c r="G445" s="21"/>
      <c r="H445" s="21"/>
      <c r="I445" s="21"/>
      <c r="J445" s="21"/>
      <c r="K445" s="21"/>
      <c r="L445" s="21"/>
      <c r="M445" s="21"/>
      <c r="N445" s="21"/>
      <c r="O445" s="21"/>
      <c r="P445" s="21"/>
    </row>
    <row r="446" spans="1:18" ht="45.75" x14ac:dyDescent="0.2">
      <c r="A446" s="21"/>
      <c r="B446" s="21"/>
      <c r="C446" s="21"/>
      <c r="D446" s="21"/>
      <c r="E446" s="72"/>
      <c r="F446" s="67"/>
      <c r="G446" s="21"/>
      <c r="H446" s="21"/>
      <c r="I446" s="21"/>
      <c r="J446" s="21"/>
      <c r="K446" s="21"/>
      <c r="L446" s="21"/>
      <c r="M446" s="21"/>
      <c r="N446" s="21"/>
      <c r="O446" s="21"/>
      <c r="P446" s="21"/>
    </row>
    <row r="447" spans="1:18" ht="45.75" x14ac:dyDescent="0.2">
      <c r="A447" s="21"/>
      <c r="B447" s="21"/>
      <c r="C447" s="21"/>
      <c r="D447" s="21"/>
      <c r="E447" s="72"/>
      <c r="F447" s="67"/>
      <c r="G447" s="21"/>
      <c r="H447" s="21"/>
      <c r="I447" s="21"/>
      <c r="J447" s="21"/>
      <c r="K447" s="21"/>
      <c r="L447" s="21"/>
      <c r="M447" s="21"/>
      <c r="N447" s="21"/>
      <c r="O447" s="21"/>
      <c r="P447" s="21"/>
    </row>
  </sheetData>
  <mergeCells count="167">
    <mergeCell ref="D425:F425"/>
    <mergeCell ref="M170:M172"/>
    <mergeCell ref="N170:N172"/>
    <mergeCell ref="O170:O172"/>
    <mergeCell ref="P170:P172"/>
    <mergeCell ref="R170:R172"/>
    <mergeCell ref="C170:C172"/>
    <mergeCell ref="E170:E172"/>
    <mergeCell ref="F170:F172"/>
    <mergeCell ref="G170:G172"/>
    <mergeCell ref="H170:H172"/>
    <mergeCell ref="I170:I172"/>
    <mergeCell ref="J170:J172"/>
    <mergeCell ref="K170:K172"/>
    <mergeCell ref="L170:L172"/>
    <mergeCell ref="H296:H297"/>
    <mergeCell ref="I296:I297"/>
    <mergeCell ref="P266:P267"/>
    <mergeCell ref="K186:K187"/>
    <mergeCell ref="L186:L187"/>
    <mergeCell ref="M186:M187"/>
    <mergeCell ref="N186:N187"/>
    <mergeCell ref="O186:O187"/>
    <mergeCell ref="P186:P187"/>
    <mergeCell ref="R161:R164"/>
    <mergeCell ref="R167:R169"/>
    <mergeCell ref="A167:A169"/>
    <mergeCell ref="B167:B169"/>
    <mergeCell ref="C167:C169"/>
    <mergeCell ref="E167:E169"/>
    <mergeCell ref="F167:F169"/>
    <mergeCell ref="G167:G169"/>
    <mergeCell ref="H167:H169"/>
    <mergeCell ref="I167:I169"/>
    <mergeCell ref="J167:J169"/>
    <mergeCell ref="K167:K169"/>
    <mergeCell ref="L167:L169"/>
    <mergeCell ref="M167:M169"/>
    <mergeCell ref="N167:N169"/>
    <mergeCell ref="O167:O169"/>
    <mergeCell ref="P167:P169"/>
    <mergeCell ref="R165:R166"/>
    <mergeCell ref="B165:B166"/>
    <mergeCell ref="P165:P166"/>
    <mergeCell ref="J161:J164"/>
    <mergeCell ref="K161:K164"/>
    <mergeCell ref="L161:L164"/>
    <mergeCell ref="M161:M164"/>
    <mergeCell ref="N161:N164"/>
    <mergeCell ref="Q161:Q164"/>
    <mergeCell ref="A165:A166"/>
    <mergeCell ref="P330:P331"/>
    <mergeCell ref="A330:A331"/>
    <mergeCell ref="B330:B331"/>
    <mergeCell ref="C330:C331"/>
    <mergeCell ref="E330:E331"/>
    <mergeCell ref="F330:F331"/>
    <mergeCell ref="G330:G331"/>
    <mergeCell ref="H330:H331"/>
    <mergeCell ref="I330:I331"/>
    <mergeCell ref="J330:J331"/>
    <mergeCell ref="B296:B297"/>
    <mergeCell ref="C296:C297"/>
    <mergeCell ref="P161:P164"/>
    <mergeCell ref="K165:K166"/>
    <mergeCell ref="L165:L166"/>
    <mergeCell ref="M165:M166"/>
    <mergeCell ref="N266:N267"/>
    <mergeCell ref="O266:O267"/>
    <mergeCell ref="I186:I187"/>
    <mergeCell ref="C186:C187"/>
    <mergeCell ref="E186:E187"/>
    <mergeCell ref="C165:C166"/>
    <mergeCell ref="E165:E166"/>
    <mergeCell ref="F165:F166"/>
    <mergeCell ref="G165:G166"/>
    <mergeCell ref="H165:H166"/>
    <mergeCell ref="A161:A164"/>
    <mergeCell ref="G186:G187"/>
    <mergeCell ref="H186:H187"/>
    <mergeCell ref="D424:P424"/>
    <mergeCell ref="O296:O297"/>
    <mergeCell ref="P296:P297"/>
    <mergeCell ref="K296:K297"/>
    <mergeCell ref="L296:L297"/>
    <mergeCell ref="M296:M297"/>
    <mergeCell ref="N296:N297"/>
    <mergeCell ref="K330:K331"/>
    <mergeCell ref="L330:L331"/>
    <mergeCell ref="M330:M331"/>
    <mergeCell ref="N330:N331"/>
    <mergeCell ref="O330:O331"/>
    <mergeCell ref="E296:E297"/>
    <mergeCell ref="F296:F297"/>
    <mergeCell ref="G296:G297"/>
    <mergeCell ref="A420:P420"/>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D426:P426"/>
    <mergeCell ref="K33:K34"/>
    <mergeCell ref="L33:L34"/>
    <mergeCell ref="M33:M34"/>
    <mergeCell ref="N33:N34"/>
    <mergeCell ref="O33:O34"/>
    <mergeCell ref="P33:P34"/>
    <mergeCell ref="E266:E267"/>
    <mergeCell ref="F266:F267"/>
    <mergeCell ref="G266:G267"/>
    <mergeCell ref="H266:H267"/>
    <mergeCell ref="I266:I267"/>
    <mergeCell ref="J266:J267"/>
    <mergeCell ref="M266:M267"/>
    <mergeCell ref="F186:F187"/>
    <mergeCell ref="E161:E164"/>
    <mergeCell ref="F161:F164"/>
    <mergeCell ref="G161:G164"/>
    <mergeCell ref="H161:H164"/>
    <mergeCell ref="O161:O164"/>
    <mergeCell ref="O165:O166"/>
    <mergeCell ref="N165:N166"/>
    <mergeCell ref="I33:I34"/>
    <mergeCell ref="J296:J297"/>
    <mergeCell ref="A33:A34"/>
    <mergeCell ref="E33:E34"/>
    <mergeCell ref="F33:F34"/>
    <mergeCell ref="G33:G34"/>
    <mergeCell ref="H33:H34"/>
    <mergeCell ref="J33:J34"/>
    <mergeCell ref="A296:A297"/>
    <mergeCell ref="K266:K267"/>
    <mergeCell ref="L266:L267"/>
    <mergeCell ref="C161:C164"/>
    <mergeCell ref="B33:B34"/>
    <mergeCell ref="C33:C34"/>
    <mergeCell ref="A266:A267"/>
    <mergeCell ref="B266:B267"/>
    <mergeCell ref="C266:C267"/>
    <mergeCell ref="J186:J187"/>
    <mergeCell ref="A186:A187"/>
    <mergeCell ref="B186:B187"/>
    <mergeCell ref="B161:B164"/>
    <mergeCell ref="A170:A172"/>
    <mergeCell ref="B170:B172"/>
    <mergeCell ref="I165:I166"/>
    <mergeCell ref="J165:J166"/>
    <mergeCell ref="I161:I164"/>
  </mergeCells>
  <conditionalFormatting sqref="Q334:Q342">
    <cfRule type="iconSet" priority="31">
      <iconSet iconSet="3Arrows">
        <cfvo type="percent" val="0"/>
        <cfvo type="percent" val="33"/>
        <cfvo type="percent" val="67"/>
      </iconSet>
    </cfRule>
  </conditionalFormatting>
  <conditionalFormatting sqref="Q344:Q345">
    <cfRule type="iconSet" priority="19">
      <iconSet iconSet="3Arrows">
        <cfvo type="percent" val="0"/>
        <cfvo type="percent" val="33"/>
        <cfvo type="percent" val="67"/>
      </iconSet>
    </cfRule>
  </conditionalFormatting>
  <conditionalFormatting sqref="Q346:Q361">
    <cfRule type="iconSet" priority="50">
      <iconSet iconSet="3Arrows">
        <cfvo type="percent" val="0"/>
        <cfvo type="percent" val="33"/>
        <cfvo type="percent" val="67"/>
      </iconSet>
    </cfRule>
  </conditionalFormatting>
  <conditionalFormatting sqref="Q383:Q388">
    <cfRule type="iconSet" priority="46">
      <iconSet iconSet="3Arrows">
        <cfvo type="percent" val="0"/>
        <cfvo type="percent" val="33"/>
        <cfvo type="percent" val="67"/>
      </iconSet>
    </cfRule>
  </conditionalFormatting>
  <conditionalFormatting sqref="Q389">
    <cfRule type="iconSet" priority="2">
      <iconSet iconSet="3Arrows">
        <cfvo type="percent" val="0"/>
        <cfvo type="percent" val="33"/>
        <cfvo type="percent" val="67"/>
      </iconSet>
    </cfRule>
  </conditionalFormatting>
  <conditionalFormatting sqref="Q390:Q391">
    <cfRule type="iconSet" priority="10">
      <iconSet iconSet="3Arrows">
        <cfvo type="percent" val="0"/>
        <cfvo type="percent" val="33"/>
        <cfvo type="percent" val="67"/>
      </iconSet>
    </cfRule>
  </conditionalFormatting>
  <conditionalFormatting sqref="Q393">
    <cfRule type="iconSet" priority="3">
      <iconSet iconSet="3Arrows">
        <cfvo type="percent" val="0"/>
        <cfvo type="percent" val="33"/>
        <cfvo type="percent" val="67"/>
      </iconSet>
    </cfRule>
  </conditionalFormatting>
  <conditionalFormatting sqref="Q402">
    <cfRule type="iconSet" priority="1">
      <iconSet iconSet="3Arrows">
        <cfvo type="percent" val="0"/>
        <cfvo type="percent" val="33"/>
        <cfvo type="percent" val="67"/>
      </iconSet>
    </cfRule>
  </conditionalFormatting>
  <conditionalFormatting sqref="Q403 Q405:R409 R404:S404">
    <cfRule type="iconSet" priority="24">
      <iconSet iconSet="3Arrows">
        <cfvo type="percent" val="0"/>
        <cfvo type="percent" val="33"/>
        <cfvo type="percent" val="67"/>
      </iconSet>
    </cfRule>
  </conditionalFormatting>
  <conditionalFormatting sqref="Q404">
    <cfRule type="iconSet" priority="7">
      <iconSet iconSet="3Arrows">
        <cfvo type="percent" val="0"/>
        <cfvo type="percent" val="33"/>
        <cfvo type="percent" val="67"/>
      </iconSet>
    </cfRule>
  </conditionalFormatting>
  <conditionalFormatting sqref="Q363:R370">
    <cfRule type="iconSet" priority="56">
      <iconSet iconSet="3Arrows">
        <cfvo type="percent" val="0"/>
        <cfvo type="percent" val="33"/>
        <cfvo type="percent" val="67"/>
      </iconSet>
    </cfRule>
  </conditionalFormatting>
  <conditionalFormatting sqref="R334:R335">
    <cfRule type="iconSet" priority="16">
      <iconSet iconSet="3Arrows">
        <cfvo type="percent" val="0"/>
        <cfvo type="percent" val="33"/>
        <cfvo type="percent" val="67"/>
      </iconSet>
    </cfRule>
  </conditionalFormatting>
  <conditionalFormatting sqref="R336:R342">
    <cfRule type="iconSet" priority="15">
      <iconSet iconSet="3Arrows">
        <cfvo type="percent" val="0"/>
        <cfvo type="percent" val="33"/>
        <cfvo type="percent" val="67"/>
      </iconSet>
    </cfRule>
  </conditionalFormatting>
  <conditionalFormatting sqref="R344:R345">
    <cfRule type="iconSet" priority="18">
      <iconSet iconSet="3Arrows">
        <cfvo type="percent" val="0"/>
        <cfvo type="percent" val="33"/>
        <cfvo type="percent" val="67"/>
      </iconSet>
    </cfRule>
  </conditionalFormatting>
  <conditionalFormatting sqref="R346:R361">
    <cfRule type="iconSet" priority="52">
      <iconSet iconSet="3Arrows">
        <cfvo type="percent" val="0"/>
        <cfvo type="percent" val="33"/>
        <cfvo type="percent" val="67"/>
      </iconSet>
    </cfRule>
  </conditionalFormatting>
  <conditionalFormatting sqref="R371:R381">
    <cfRule type="iconSet" priority="41">
      <iconSet iconSet="3Arrows">
        <cfvo type="percent" val="0"/>
        <cfvo type="percent" val="33"/>
        <cfvo type="percent" val="67"/>
      </iconSet>
    </cfRule>
  </conditionalFormatting>
  <conditionalFormatting sqref="R383:R384">
    <cfRule type="iconSet" priority="14">
      <iconSet iconSet="3Arrows">
        <cfvo type="percent" val="0"/>
        <cfvo type="percent" val="33"/>
        <cfvo type="percent" val="67"/>
      </iconSet>
    </cfRule>
  </conditionalFormatting>
  <conditionalFormatting sqref="R385:R388">
    <cfRule type="iconSet" priority="45">
      <iconSet iconSet="3Arrows">
        <cfvo type="percent" val="0"/>
        <cfvo type="percent" val="33"/>
        <cfvo type="percent" val="67"/>
      </iconSet>
    </cfRule>
  </conditionalFormatting>
  <conditionalFormatting sqref="R395:R397 Q394:R394 R393">
    <cfRule type="iconSet" priority="23">
      <iconSet iconSet="3Arrows">
        <cfvo type="percent" val="0"/>
        <cfvo type="percent" val="33"/>
        <cfvo type="percent" val="67"/>
      </iconSet>
    </cfRule>
  </conditionalFormatting>
  <conditionalFormatting sqref="R398">
    <cfRule type="iconSet" priority="5">
      <iconSet iconSet="3Arrows">
        <cfvo type="percent" val="0"/>
        <cfvo type="percent" val="33"/>
        <cfvo type="percent" val="67"/>
      </iconSet>
    </cfRule>
  </conditionalFormatting>
  <conditionalFormatting sqref="R400">
    <cfRule type="iconSet" priority="4">
      <iconSet iconSet="3Arrows">
        <cfvo type="percent" val="0"/>
        <cfvo type="percent" val="33"/>
        <cfvo type="percent" val="67"/>
      </iconSet>
    </cfRule>
  </conditionalFormatting>
  <conditionalFormatting sqref="R402">
    <cfRule type="iconSet" priority="6">
      <iconSet iconSet="3Arrows">
        <cfvo type="percent" val="0"/>
        <cfvo type="percent" val="33"/>
        <cfvo type="percent" val="67"/>
      </iconSet>
    </cfRule>
  </conditionalFormatting>
  <conditionalFormatting sqref="R403">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6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1:R177"/>
  <sheetViews>
    <sheetView showGridLines="0" view="pageBreakPreview" topLeftCell="B7" zoomScale="85" zoomScaleNormal="85" zoomScaleSheetLayoutView="85" workbookViewId="0">
      <selection activeCell="L29" sqref="L29"/>
    </sheetView>
  </sheetViews>
  <sheetFormatPr defaultColWidth="7.85546875" defaultRowHeight="12.75" x14ac:dyDescent="0.2"/>
  <cols>
    <col min="1" max="1" width="0" style="167"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2.5703125" style="7" customWidth="1"/>
    <col min="19" max="16384" width="7.85546875" style="7"/>
  </cols>
  <sheetData>
    <row r="1" spans="1:18" x14ac:dyDescent="0.2">
      <c r="B1" s="463"/>
      <c r="C1" s="463"/>
      <c r="D1" s="463"/>
      <c r="E1" s="463"/>
      <c r="F1" s="463"/>
      <c r="G1" s="463"/>
      <c r="H1" s="463"/>
      <c r="I1" s="463"/>
      <c r="J1" s="463"/>
      <c r="K1" s="463"/>
      <c r="L1" s="463"/>
      <c r="M1" s="463"/>
      <c r="N1" s="463"/>
      <c r="O1" s="463"/>
      <c r="P1" s="463"/>
      <c r="Q1" s="463"/>
    </row>
    <row r="2" spans="1:18" ht="64.5" customHeight="1" x14ac:dyDescent="0.2">
      <c r="B2" s="326"/>
      <c r="C2" s="326"/>
      <c r="D2" s="326"/>
      <c r="E2" s="463"/>
      <c r="F2" s="463"/>
      <c r="G2" s="463"/>
      <c r="H2" s="463"/>
      <c r="I2" s="463"/>
      <c r="J2" s="463"/>
      <c r="K2" s="463"/>
      <c r="L2" s="463"/>
      <c r="M2" s="816" t="s">
        <v>1565</v>
      </c>
      <c r="N2" s="816"/>
      <c r="O2" s="816"/>
      <c r="P2" s="816"/>
      <c r="Q2" s="816"/>
    </row>
    <row r="3" spans="1:18" ht="18.75" x14ac:dyDescent="0.2">
      <c r="B3" s="800"/>
      <c r="C3" s="800"/>
      <c r="D3" s="326"/>
      <c r="E3" s="811" t="s">
        <v>567</v>
      </c>
      <c r="F3" s="811"/>
      <c r="G3" s="811"/>
      <c r="H3" s="811"/>
      <c r="I3" s="811"/>
      <c r="J3" s="811"/>
      <c r="K3" s="811"/>
      <c r="L3" s="811"/>
      <c r="M3" s="811"/>
      <c r="N3" s="464"/>
      <c r="O3" s="464"/>
      <c r="P3" s="464"/>
      <c r="Q3" s="464"/>
    </row>
    <row r="4" spans="1:18" ht="21" customHeight="1" x14ac:dyDescent="0.2">
      <c r="B4" s="465"/>
      <c r="C4" s="438"/>
      <c r="D4" s="466"/>
      <c r="E4" s="811" t="s">
        <v>1585</v>
      </c>
      <c r="F4" s="812"/>
      <c r="G4" s="812"/>
      <c r="H4" s="812"/>
      <c r="I4" s="812"/>
      <c r="J4" s="812"/>
      <c r="K4" s="812"/>
      <c r="L4" s="812"/>
      <c r="M4" s="812"/>
      <c r="N4" s="326"/>
      <c r="O4" s="326"/>
      <c r="P4" s="326"/>
      <c r="Q4" s="467"/>
    </row>
    <row r="5" spans="1:18" ht="12" customHeight="1" x14ac:dyDescent="0.2">
      <c r="B5" s="801">
        <v>2256400000</v>
      </c>
      <c r="C5" s="802"/>
      <c r="D5" s="466"/>
      <c r="E5" s="323"/>
      <c r="F5" s="323"/>
      <c r="G5" s="323"/>
      <c r="H5" s="323"/>
      <c r="I5" s="323"/>
      <c r="J5" s="323"/>
      <c r="K5" s="323"/>
      <c r="L5" s="323"/>
      <c r="M5" s="323"/>
      <c r="N5" s="326"/>
      <c r="O5" s="326"/>
      <c r="P5" s="326"/>
      <c r="Q5" s="467"/>
    </row>
    <row r="6" spans="1:18" ht="12" customHeight="1" x14ac:dyDescent="0.2">
      <c r="B6" s="803" t="s">
        <v>488</v>
      </c>
      <c r="C6" s="804"/>
      <c r="D6" s="466"/>
      <c r="E6" s="323"/>
      <c r="F6" s="323"/>
      <c r="G6" s="323"/>
      <c r="H6" s="323"/>
      <c r="I6" s="323"/>
      <c r="J6" s="323"/>
      <c r="K6" s="323"/>
      <c r="L6" s="323"/>
      <c r="M6" s="323"/>
      <c r="N6" s="326"/>
      <c r="O6" s="326"/>
      <c r="P6" s="326"/>
      <c r="Q6" s="467"/>
    </row>
    <row r="7" spans="1:18" ht="21" customHeight="1" thickBot="1" x14ac:dyDescent="0.35">
      <c r="B7" s="468"/>
      <c r="C7" s="468"/>
      <c r="D7" s="466"/>
      <c r="E7" s="323"/>
      <c r="F7" s="323"/>
      <c r="G7" s="323"/>
      <c r="H7" s="323"/>
      <c r="I7" s="323"/>
      <c r="J7" s="323"/>
      <c r="K7" s="323"/>
      <c r="L7" s="323"/>
      <c r="M7" s="323"/>
      <c r="N7" s="326"/>
      <c r="O7" s="326"/>
      <c r="P7" s="326"/>
      <c r="Q7" s="469" t="s">
        <v>403</v>
      </c>
    </row>
    <row r="8" spans="1:18" ht="17.45" customHeight="1" thickTop="1" thickBot="1" x14ac:dyDescent="0.25">
      <c r="A8" s="168"/>
      <c r="B8" s="807" t="s">
        <v>489</v>
      </c>
      <c r="C8" s="808" t="s">
        <v>490</v>
      </c>
      <c r="D8" s="808" t="s">
        <v>389</v>
      </c>
      <c r="E8" s="808" t="s">
        <v>569</v>
      </c>
      <c r="F8" s="807" t="s">
        <v>124</v>
      </c>
      <c r="G8" s="807"/>
      <c r="H8" s="807"/>
      <c r="I8" s="807"/>
      <c r="J8" s="807" t="s">
        <v>125</v>
      </c>
      <c r="K8" s="807"/>
      <c r="L8" s="807"/>
      <c r="M8" s="807"/>
      <c r="N8" s="807" t="s">
        <v>388</v>
      </c>
      <c r="O8" s="807"/>
      <c r="P8" s="807"/>
      <c r="Q8" s="807"/>
    </row>
    <row r="9" spans="1:18" ht="28.5" customHeight="1" thickTop="1" thickBot="1" x14ac:dyDescent="0.25">
      <c r="A9" s="169"/>
      <c r="B9" s="807"/>
      <c r="C9" s="776"/>
      <c r="D9" s="776"/>
      <c r="E9" s="809"/>
      <c r="F9" s="810" t="s">
        <v>385</v>
      </c>
      <c r="G9" s="810" t="s">
        <v>386</v>
      </c>
      <c r="H9" s="814"/>
      <c r="I9" s="810" t="s">
        <v>387</v>
      </c>
      <c r="J9" s="810" t="s">
        <v>385</v>
      </c>
      <c r="K9" s="810" t="s">
        <v>386</v>
      </c>
      <c r="L9" s="814"/>
      <c r="M9" s="810" t="s">
        <v>387</v>
      </c>
      <c r="N9" s="810" t="s">
        <v>385</v>
      </c>
      <c r="O9" s="810" t="s">
        <v>386</v>
      </c>
      <c r="P9" s="814"/>
      <c r="Q9" s="810" t="s">
        <v>387</v>
      </c>
    </row>
    <row r="10" spans="1:18" ht="65.25" customHeight="1" thickTop="1" thickBot="1" x14ac:dyDescent="0.25">
      <c r="A10" s="7"/>
      <c r="B10" s="807"/>
      <c r="C10" s="776"/>
      <c r="D10" s="776"/>
      <c r="E10" s="776"/>
      <c r="F10" s="810"/>
      <c r="G10" s="470" t="s">
        <v>383</v>
      </c>
      <c r="H10" s="470" t="s">
        <v>384</v>
      </c>
      <c r="I10" s="810"/>
      <c r="J10" s="810"/>
      <c r="K10" s="470" t="s">
        <v>383</v>
      </c>
      <c r="L10" s="470" t="s">
        <v>384</v>
      </c>
      <c r="M10" s="810"/>
      <c r="N10" s="810"/>
      <c r="O10" s="470" t="s">
        <v>383</v>
      </c>
      <c r="P10" s="470" t="s">
        <v>384</v>
      </c>
      <c r="Q10" s="810"/>
    </row>
    <row r="11" spans="1:18" ht="15" customHeight="1" thickTop="1" thickBot="1" x14ac:dyDescent="0.25">
      <c r="A11" s="7"/>
      <c r="B11" s="471">
        <v>1</v>
      </c>
      <c r="C11" s="472">
        <v>2</v>
      </c>
      <c r="D11" s="471">
        <v>3</v>
      </c>
      <c r="E11" s="472">
        <v>4</v>
      </c>
      <c r="F11" s="471">
        <v>5</v>
      </c>
      <c r="G11" s="472">
        <v>6</v>
      </c>
      <c r="H11" s="471">
        <v>7</v>
      </c>
      <c r="I11" s="472">
        <v>8</v>
      </c>
      <c r="J11" s="471">
        <v>9</v>
      </c>
      <c r="K11" s="472">
        <v>10</v>
      </c>
      <c r="L11" s="471">
        <v>11</v>
      </c>
      <c r="M11" s="472">
        <v>12</v>
      </c>
      <c r="N11" s="471">
        <v>13</v>
      </c>
      <c r="O11" s="472">
        <v>14</v>
      </c>
      <c r="P11" s="471">
        <v>15</v>
      </c>
      <c r="Q11" s="472">
        <v>16</v>
      </c>
    </row>
    <row r="12" spans="1:18" s="174" customFormat="1" ht="46.5" hidden="1" thickTop="1" thickBot="1" x14ac:dyDescent="0.25">
      <c r="A12" s="170"/>
      <c r="B12" s="385" t="s">
        <v>22</v>
      </c>
      <c r="C12" s="385"/>
      <c r="D12" s="385"/>
      <c r="E12" s="386" t="s">
        <v>23</v>
      </c>
      <c r="F12" s="387">
        <f>F13</f>
        <v>0</v>
      </c>
      <c r="G12" s="387">
        <f t="shared" ref="G12:Q12" si="0">G13</f>
        <v>0</v>
      </c>
      <c r="H12" s="387">
        <f t="shared" si="0"/>
        <v>0</v>
      </c>
      <c r="I12" s="388">
        <f>I13</f>
        <v>0</v>
      </c>
      <c r="J12" s="387">
        <f t="shared" si="0"/>
        <v>0</v>
      </c>
      <c r="K12" s="387">
        <f t="shared" si="0"/>
        <v>0</v>
      </c>
      <c r="L12" s="387">
        <f t="shared" si="0"/>
        <v>0</v>
      </c>
      <c r="M12" s="388">
        <f>M13</f>
        <v>0</v>
      </c>
      <c r="N12" s="387">
        <f t="shared" si="0"/>
        <v>0</v>
      </c>
      <c r="O12" s="387">
        <f t="shared" si="0"/>
        <v>0</v>
      </c>
      <c r="P12" s="387">
        <f t="shared" si="0"/>
        <v>0</v>
      </c>
      <c r="Q12" s="388">
        <f t="shared" si="0"/>
        <v>0</v>
      </c>
      <c r="R12" s="8"/>
    </row>
    <row r="13" spans="1:18" ht="44.25" hidden="1" thickTop="1" thickBot="1" x14ac:dyDescent="0.25">
      <c r="B13" s="389" t="s">
        <v>21</v>
      </c>
      <c r="C13" s="389"/>
      <c r="D13" s="389"/>
      <c r="E13" s="390" t="s">
        <v>35</v>
      </c>
      <c r="F13" s="391">
        <f t="shared" ref="F13:Q13" si="1">F18+F17+F19</f>
        <v>0</v>
      </c>
      <c r="G13" s="391">
        <f t="shared" si="1"/>
        <v>0</v>
      </c>
      <c r="H13" s="391">
        <f t="shared" si="1"/>
        <v>0</v>
      </c>
      <c r="I13" s="391">
        <f t="shared" si="1"/>
        <v>0</v>
      </c>
      <c r="J13" s="391">
        <f t="shared" si="1"/>
        <v>0</v>
      </c>
      <c r="K13" s="391">
        <f t="shared" si="1"/>
        <v>0</v>
      </c>
      <c r="L13" s="391">
        <f t="shared" si="1"/>
        <v>0</v>
      </c>
      <c r="M13" s="391">
        <f t="shared" si="1"/>
        <v>0</v>
      </c>
      <c r="N13" s="392">
        <f t="shared" si="1"/>
        <v>0</v>
      </c>
      <c r="O13" s="392">
        <f t="shared" si="1"/>
        <v>0</v>
      </c>
      <c r="P13" s="392">
        <f t="shared" si="1"/>
        <v>0</v>
      </c>
      <c r="Q13" s="391">
        <f t="shared" si="1"/>
        <v>0</v>
      </c>
    </row>
    <row r="14" spans="1:18" ht="15.75" hidden="1" thickTop="1" thickBot="1" x14ac:dyDescent="0.25">
      <c r="B14" s="393" t="s">
        <v>838</v>
      </c>
      <c r="C14" s="393" t="s">
        <v>688</v>
      </c>
      <c r="D14" s="393"/>
      <c r="E14" s="394" t="s">
        <v>839</v>
      </c>
      <c r="F14" s="395">
        <f>F15</f>
        <v>0</v>
      </c>
      <c r="G14" s="395">
        <f t="shared" ref="G14:Q15" si="2">G15</f>
        <v>0</v>
      </c>
      <c r="H14" s="395">
        <f t="shared" si="2"/>
        <v>0</v>
      </c>
      <c r="I14" s="395">
        <f t="shared" si="2"/>
        <v>0</v>
      </c>
      <c r="J14" s="395">
        <f t="shared" si="2"/>
        <v>0</v>
      </c>
      <c r="K14" s="395">
        <f t="shared" si="2"/>
        <v>0</v>
      </c>
      <c r="L14" s="395">
        <f t="shared" si="2"/>
        <v>0</v>
      </c>
      <c r="M14" s="395">
        <f t="shared" si="2"/>
        <v>0</v>
      </c>
      <c r="N14" s="395">
        <f t="shared" si="2"/>
        <v>0</v>
      </c>
      <c r="O14" s="395">
        <f t="shared" si="2"/>
        <v>0</v>
      </c>
      <c r="P14" s="395">
        <f t="shared" si="2"/>
        <v>0</v>
      </c>
      <c r="Q14" s="395">
        <f t="shared" si="2"/>
        <v>0</v>
      </c>
    </row>
    <row r="15" spans="1:18" ht="16.5" hidden="1" thickTop="1" thickBot="1" x14ac:dyDescent="0.25">
      <c r="B15" s="396" t="s">
        <v>840</v>
      </c>
      <c r="C15" s="396" t="s">
        <v>841</v>
      </c>
      <c r="D15" s="396"/>
      <c r="E15" s="397" t="s">
        <v>842</v>
      </c>
      <c r="F15" s="398">
        <f>F16</f>
        <v>0</v>
      </c>
      <c r="G15" s="398">
        <f t="shared" si="2"/>
        <v>0</v>
      </c>
      <c r="H15" s="398">
        <f t="shared" si="2"/>
        <v>0</v>
      </c>
      <c r="I15" s="398">
        <f t="shared" si="2"/>
        <v>0</v>
      </c>
      <c r="J15" s="398">
        <f t="shared" si="2"/>
        <v>0</v>
      </c>
      <c r="K15" s="398">
        <f t="shared" si="2"/>
        <v>0</v>
      </c>
      <c r="L15" s="398">
        <f t="shared" si="2"/>
        <v>0</v>
      </c>
      <c r="M15" s="398">
        <f t="shared" si="2"/>
        <v>0</v>
      </c>
      <c r="N15" s="398">
        <f t="shared" si="2"/>
        <v>0</v>
      </c>
      <c r="O15" s="398">
        <f t="shared" si="2"/>
        <v>0</v>
      </c>
      <c r="P15" s="398">
        <f t="shared" si="2"/>
        <v>0</v>
      </c>
      <c r="Q15" s="398">
        <f t="shared" si="2"/>
        <v>0</v>
      </c>
    </row>
    <row r="16" spans="1:18" ht="76.5" hidden="1" thickTop="1" thickBot="1" x14ac:dyDescent="0.25">
      <c r="B16" s="399" t="s">
        <v>843</v>
      </c>
      <c r="C16" s="400" t="s">
        <v>844</v>
      </c>
      <c r="D16" s="400"/>
      <c r="E16" s="401" t="s">
        <v>864</v>
      </c>
      <c r="F16" s="402">
        <f>SUM(F17:F18)</f>
        <v>0</v>
      </c>
      <c r="G16" s="402">
        <f t="shared" ref="G16:Q16" si="3">SUM(G17:G18)</f>
        <v>0</v>
      </c>
      <c r="H16" s="402">
        <f t="shared" si="3"/>
        <v>0</v>
      </c>
      <c r="I16" s="402">
        <f t="shared" si="3"/>
        <v>0</v>
      </c>
      <c r="J16" s="402">
        <f t="shared" si="3"/>
        <v>0</v>
      </c>
      <c r="K16" s="402">
        <f t="shared" si="3"/>
        <v>0</v>
      </c>
      <c r="L16" s="402">
        <f t="shared" si="3"/>
        <v>0</v>
      </c>
      <c r="M16" s="402">
        <f t="shared" si="3"/>
        <v>0</v>
      </c>
      <c r="N16" s="402">
        <f t="shared" si="3"/>
        <v>0</v>
      </c>
      <c r="O16" s="402">
        <f t="shared" si="3"/>
        <v>0</v>
      </c>
      <c r="P16" s="402">
        <f t="shared" si="3"/>
        <v>0</v>
      </c>
      <c r="Q16" s="402">
        <f t="shared" si="3"/>
        <v>0</v>
      </c>
    </row>
    <row r="17" spans="2:18" ht="76.5" hidden="1" thickTop="1" thickBot="1" x14ac:dyDescent="0.25">
      <c r="B17" s="399" t="s">
        <v>455</v>
      </c>
      <c r="C17" s="399" t="s">
        <v>457</v>
      </c>
      <c r="D17" s="399" t="s">
        <v>50</v>
      </c>
      <c r="E17" s="403" t="s">
        <v>866</v>
      </c>
      <c r="F17" s="404">
        <v>0</v>
      </c>
      <c r="G17" s="404">
        <v>0</v>
      </c>
      <c r="H17" s="404">
        <v>0</v>
      </c>
      <c r="I17" s="404">
        <f>F17+G17</f>
        <v>0</v>
      </c>
      <c r="J17" s="404">
        <v>0</v>
      </c>
      <c r="K17" s="404">
        <v>0</v>
      </c>
      <c r="L17" s="404"/>
      <c r="M17" s="404">
        <f>J17+K17</f>
        <v>0</v>
      </c>
      <c r="N17" s="404">
        <f>F17+J17</f>
        <v>0</v>
      </c>
      <c r="O17" s="404">
        <f>G17+K17</f>
        <v>0</v>
      </c>
      <c r="P17" s="404"/>
      <c r="Q17" s="404">
        <f>I17+M17</f>
        <v>0</v>
      </c>
    </row>
    <row r="18" spans="2:18" ht="76.5" hidden="1" thickTop="1" thickBot="1" x14ac:dyDescent="0.25">
      <c r="B18" s="399" t="s">
        <v>456</v>
      </c>
      <c r="C18" s="399" t="s">
        <v>458</v>
      </c>
      <c r="D18" s="399" t="s">
        <v>50</v>
      </c>
      <c r="E18" s="403" t="s">
        <v>865</v>
      </c>
      <c r="F18" s="404"/>
      <c r="G18" s="404">
        <f>H18+I18</f>
        <v>0</v>
      </c>
      <c r="H18" s="404"/>
      <c r="I18" s="404"/>
      <c r="J18" s="404"/>
      <c r="K18" s="404">
        <v>0</v>
      </c>
      <c r="L18" s="404"/>
      <c r="M18" s="404">
        <f>J18+K18</f>
        <v>0</v>
      </c>
      <c r="N18" s="404">
        <f>F18+J18</f>
        <v>0</v>
      </c>
      <c r="O18" s="404">
        <f>G18+K18</f>
        <v>0</v>
      </c>
      <c r="P18" s="404"/>
      <c r="Q18" s="404">
        <f>I18+M18</f>
        <v>0</v>
      </c>
    </row>
    <row r="19" spans="2:18" ht="61.5" hidden="1" thickTop="1" thickBot="1" x14ac:dyDescent="0.25">
      <c r="B19" s="399" t="s">
        <v>501</v>
      </c>
      <c r="C19" s="399" t="s">
        <v>502</v>
      </c>
      <c r="D19" s="399" t="s">
        <v>50</v>
      </c>
      <c r="E19" s="403" t="s">
        <v>500</v>
      </c>
      <c r="F19" s="404"/>
      <c r="G19" s="404"/>
      <c r="H19" s="404"/>
      <c r="I19" s="404"/>
      <c r="J19" s="404"/>
      <c r="K19" s="404"/>
      <c r="L19" s="404"/>
      <c r="M19" s="404">
        <f>J19+K19</f>
        <v>0</v>
      </c>
      <c r="N19" s="404"/>
      <c r="O19" s="404">
        <f>G19+K19</f>
        <v>0</v>
      </c>
      <c r="P19" s="404"/>
      <c r="Q19" s="404">
        <f>I19+M19</f>
        <v>0</v>
      </c>
    </row>
    <row r="20" spans="2:18" ht="50.1" customHeight="1" thickTop="1" thickBot="1" x14ac:dyDescent="0.25">
      <c r="B20" s="591" t="s">
        <v>168</v>
      </c>
      <c r="C20" s="591"/>
      <c r="D20" s="591"/>
      <c r="E20" s="592" t="s">
        <v>27</v>
      </c>
      <c r="F20" s="593">
        <f>F21</f>
        <v>0</v>
      </c>
      <c r="G20" s="593">
        <f t="shared" ref="G20:Q21" si="4">G21</f>
        <v>68876237.5</v>
      </c>
      <c r="H20" s="593">
        <f t="shared" si="4"/>
        <v>68876237.5</v>
      </c>
      <c r="I20" s="594">
        <f>I21</f>
        <v>68876237.5</v>
      </c>
      <c r="J20" s="593">
        <f t="shared" si="4"/>
        <v>0</v>
      </c>
      <c r="K20" s="593">
        <f t="shared" si="4"/>
        <v>-68876237.5</v>
      </c>
      <c r="L20" s="593">
        <f t="shared" si="4"/>
        <v>-68876237.5</v>
      </c>
      <c r="M20" s="594">
        <f>M21</f>
        <v>-68876237.5</v>
      </c>
      <c r="N20" s="593">
        <f t="shared" si="4"/>
        <v>0</v>
      </c>
      <c r="O20" s="593">
        <f t="shared" si="4"/>
        <v>0</v>
      </c>
      <c r="P20" s="593">
        <f t="shared" si="4"/>
        <v>0</v>
      </c>
      <c r="Q20" s="594">
        <f t="shared" si="4"/>
        <v>0</v>
      </c>
    </row>
    <row r="21" spans="2:18" ht="50.1" customHeight="1" thickTop="1" thickBot="1" x14ac:dyDescent="0.25">
      <c r="B21" s="595" t="s">
        <v>169</v>
      </c>
      <c r="C21" s="595"/>
      <c r="D21" s="595"/>
      <c r="E21" s="596" t="s">
        <v>40</v>
      </c>
      <c r="F21" s="597">
        <f>F22</f>
        <v>0</v>
      </c>
      <c r="G21" s="597">
        <f t="shared" si="4"/>
        <v>68876237.5</v>
      </c>
      <c r="H21" s="597">
        <f t="shared" si="4"/>
        <v>68876237.5</v>
      </c>
      <c r="I21" s="597">
        <f t="shared" si="4"/>
        <v>68876237.5</v>
      </c>
      <c r="J21" s="597">
        <f>J22</f>
        <v>0</v>
      </c>
      <c r="K21" s="597">
        <f>K22</f>
        <v>-68876237.5</v>
      </c>
      <c r="L21" s="597">
        <f t="shared" si="4"/>
        <v>-68876237.5</v>
      </c>
      <c r="M21" s="597">
        <f t="shared" si="4"/>
        <v>-68876237.5</v>
      </c>
      <c r="N21" s="597">
        <f t="shared" si="4"/>
        <v>0</v>
      </c>
      <c r="O21" s="597">
        <f t="shared" si="4"/>
        <v>0</v>
      </c>
      <c r="P21" s="597">
        <f t="shared" si="4"/>
        <v>0</v>
      </c>
      <c r="Q21" s="597">
        <f t="shared" si="4"/>
        <v>0</v>
      </c>
    </row>
    <row r="22" spans="2:18" ht="15.75" thickTop="1" thickBot="1" x14ac:dyDescent="0.25">
      <c r="B22" s="661" t="s">
        <v>833</v>
      </c>
      <c r="C22" s="661" t="s">
        <v>688</v>
      </c>
      <c r="D22" s="661"/>
      <c r="E22" s="662" t="s">
        <v>839</v>
      </c>
      <c r="F22" s="663">
        <f>F23</f>
        <v>0</v>
      </c>
      <c r="G22" s="663">
        <f t="shared" ref="G22:Q23" si="5">G23</f>
        <v>68876237.5</v>
      </c>
      <c r="H22" s="663">
        <f t="shared" si="5"/>
        <v>68876237.5</v>
      </c>
      <c r="I22" s="663">
        <f t="shared" si="5"/>
        <v>68876237.5</v>
      </c>
      <c r="J22" s="663">
        <f t="shared" si="5"/>
        <v>0</v>
      </c>
      <c r="K22" s="663">
        <f t="shared" si="5"/>
        <v>-68876237.5</v>
      </c>
      <c r="L22" s="663">
        <f t="shared" si="5"/>
        <v>-68876237.5</v>
      </c>
      <c r="M22" s="663">
        <f t="shared" si="5"/>
        <v>-68876237.5</v>
      </c>
      <c r="N22" s="663">
        <f t="shared" si="5"/>
        <v>0</v>
      </c>
      <c r="O22" s="663">
        <f t="shared" si="5"/>
        <v>0</v>
      </c>
      <c r="P22" s="663">
        <f t="shared" si="5"/>
        <v>0</v>
      </c>
      <c r="Q22" s="663">
        <f t="shared" si="5"/>
        <v>0</v>
      </c>
    </row>
    <row r="23" spans="2:18" ht="16.5" thickTop="1" thickBot="1" x14ac:dyDescent="0.25">
      <c r="B23" s="664" t="s">
        <v>1326</v>
      </c>
      <c r="C23" s="664" t="s">
        <v>841</v>
      </c>
      <c r="D23" s="664"/>
      <c r="E23" s="665" t="s">
        <v>842</v>
      </c>
      <c r="F23" s="666">
        <f>F24</f>
        <v>0</v>
      </c>
      <c r="G23" s="666">
        <f>G24</f>
        <v>68876237.5</v>
      </c>
      <c r="H23" s="666">
        <f t="shared" si="5"/>
        <v>68876237.5</v>
      </c>
      <c r="I23" s="666">
        <f t="shared" si="5"/>
        <v>68876237.5</v>
      </c>
      <c r="J23" s="666">
        <f t="shared" si="5"/>
        <v>0</v>
      </c>
      <c r="K23" s="666">
        <f t="shared" si="5"/>
        <v>-68876237.5</v>
      </c>
      <c r="L23" s="666">
        <f t="shared" si="5"/>
        <v>-68876237.5</v>
      </c>
      <c r="M23" s="666">
        <f t="shared" si="5"/>
        <v>-68876237.5</v>
      </c>
      <c r="N23" s="666">
        <f t="shared" si="5"/>
        <v>0</v>
      </c>
      <c r="O23" s="666">
        <f t="shared" si="5"/>
        <v>0</v>
      </c>
      <c r="P23" s="666">
        <f t="shared" si="5"/>
        <v>0</v>
      </c>
      <c r="Q23" s="666">
        <f t="shared" si="5"/>
        <v>0</v>
      </c>
    </row>
    <row r="24" spans="2:18" ht="46.5" thickTop="1" thickBot="1" x14ac:dyDescent="0.25">
      <c r="B24" s="667" t="s">
        <v>1327</v>
      </c>
      <c r="C24" s="668" t="s">
        <v>1482</v>
      </c>
      <c r="D24" s="668"/>
      <c r="E24" s="669" t="s">
        <v>1121</v>
      </c>
      <c r="F24" s="670">
        <f t="shared" ref="F24:L24" si="6">F25+F27</f>
        <v>0</v>
      </c>
      <c r="G24" s="670">
        <f t="shared" si="6"/>
        <v>68876237.5</v>
      </c>
      <c r="H24" s="670">
        <f t="shared" si="6"/>
        <v>68876237.5</v>
      </c>
      <c r="I24" s="670">
        <f t="shared" si="6"/>
        <v>68876237.5</v>
      </c>
      <c r="J24" s="670">
        <f t="shared" si="6"/>
        <v>0</v>
      </c>
      <c r="K24" s="670">
        <f t="shared" si="6"/>
        <v>-68876237.5</v>
      </c>
      <c r="L24" s="670">
        <f t="shared" si="6"/>
        <v>-68876237.5</v>
      </c>
      <c r="M24" s="670">
        <f t="shared" ref="M24:M26" si="7">J24+K24</f>
        <v>-68876237.5</v>
      </c>
      <c r="N24" s="670">
        <f t="shared" ref="N24:N26" si="8">F24+J24</f>
        <v>0</v>
      </c>
      <c r="O24" s="670">
        <f t="shared" ref="O24:O26" si="9">G24+K24</f>
        <v>0</v>
      </c>
      <c r="P24" s="670">
        <f>P25+P27</f>
        <v>0</v>
      </c>
      <c r="Q24" s="670">
        <f>Q25+Q27</f>
        <v>0</v>
      </c>
    </row>
    <row r="25" spans="2:18" ht="61.5" thickTop="1" thickBot="1" x14ac:dyDescent="0.25">
      <c r="B25" s="667" t="s">
        <v>1328</v>
      </c>
      <c r="C25" s="667" t="s">
        <v>1329</v>
      </c>
      <c r="D25" s="667" t="s">
        <v>170</v>
      </c>
      <c r="E25" s="325" t="s">
        <v>1122</v>
      </c>
      <c r="F25" s="671">
        <f>F26</f>
        <v>0</v>
      </c>
      <c r="G25" s="671">
        <f>G26</f>
        <v>68876237.5</v>
      </c>
      <c r="H25" s="671">
        <f t="shared" ref="H25:P25" si="10">H26</f>
        <v>68876237.5</v>
      </c>
      <c r="I25" s="671">
        <f>I26</f>
        <v>68876237.5</v>
      </c>
      <c r="J25" s="671">
        <f t="shared" si="10"/>
        <v>0</v>
      </c>
      <c r="K25" s="671">
        <f t="shared" si="10"/>
        <v>0</v>
      </c>
      <c r="L25" s="671">
        <f t="shared" si="10"/>
        <v>0</v>
      </c>
      <c r="M25" s="671">
        <f t="shared" si="7"/>
        <v>0</v>
      </c>
      <c r="N25" s="671">
        <f t="shared" si="8"/>
        <v>0</v>
      </c>
      <c r="O25" s="671">
        <f t="shared" si="9"/>
        <v>68876237.5</v>
      </c>
      <c r="P25" s="671">
        <f t="shared" si="10"/>
        <v>68876237.5</v>
      </c>
      <c r="Q25" s="671">
        <f t="shared" ref="Q25:Q26" si="11">I25+M25</f>
        <v>68876237.5</v>
      </c>
    </row>
    <row r="26" spans="2:18" ht="31.5" thickTop="1" thickBot="1" x14ac:dyDescent="0.25">
      <c r="B26" s="667" t="s">
        <v>1333</v>
      </c>
      <c r="C26" s="667"/>
      <c r="D26" s="667"/>
      <c r="E26" s="325" t="s">
        <v>1334</v>
      </c>
      <c r="F26" s="671">
        <v>0</v>
      </c>
      <c r="G26" s="671">
        <v>68876237.5</v>
      </c>
      <c r="H26" s="671">
        <v>68876237.5</v>
      </c>
      <c r="I26" s="671">
        <f>F26+G26</f>
        <v>68876237.5</v>
      </c>
      <c r="J26" s="671">
        <v>0</v>
      </c>
      <c r="K26" s="671">
        <v>0</v>
      </c>
      <c r="L26" s="671">
        <v>0</v>
      </c>
      <c r="M26" s="671">
        <f t="shared" si="7"/>
        <v>0</v>
      </c>
      <c r="N26" s="671">
        <f t="shared" si="8"/>
        <v>0</v>
      </c>
      <c r="O26" s="671">
        <f t="shared" si="9"/>
        <v>68876237.5</v>
      </c>
      <c r="P26" s="671">
        <f>H26+L26</f>
        <v>68876237.5</v>
      </c>
      <c r="Q26" s="671">
        <f t="shared" si="11"/>
        <v>68876237.5</v>
      </c>
    </row>
    <row r="27" spans="2:18" ht="61.5" thickTop="1" thickBot="1" x14ac:dyDescent="0.25">
      <c r="B27" s="667" t="s">
        <v>1330</v>
      </c>
      <c r="C27" s="667" t="s">
        <v>1331</v>
      </c>
      <c r="D27" s="667" t="s">
        <v>170</v>
      </c>
      <c r="E27" s="325" t="s">
        <v>1332</v>
      </c>
      <c r="F27" s="671">
        <f>F28</f>
        <v>0</v>
      </c>
      <c r="G27" s="671">
        <f t="shared" ref="G27:Q27" si="12">G28</f>
        <v>0</v>
      </c>
      <c r="H27" s="671">
        <f t="shared" si="12"/>
        <v>0</v>
      </c>
      <c r="I27" s="671">
        <f t="shared" si="12"/>
        <v>0</v>
      </c>
      <c r="J27" s="671">
        <f t="shared" si="12"/>
        <v>0</v>
      </c>
      <c r="K27" s="671">
        <f t="shared" si="12"/>
        <v>-68876237.5</v>
      </c>
      <c r="L27" s="671">
        <f t="shared" si="12"/>
        <v>-68876237.5</v>
      </c>
      <c r="M27" s="671">
        <f t="shared" si="12"/>
        <v>-68876237.5</v>
      </c>
      <c r="N27" s="671">
        <f t="shared" si="12"/>
        <v>0</v>
      </c>
      <c r="O27" s="671">
        <f t="shared" si="12"/>
        <v>-68876237.5</v>
      </c>
      <c r="P27" s="671">
        <f t="shared" si="12"/>
        <v>-68876237.5</v>
      </c>
      <c r="Q27" s="671">
        <f t="shared" si="12"/>
        <v>-68876237.5</v>
      </c>
    </row>
    <row r="28" spans="2:18" ht="31.5" thickTop="1" thickBot="1" x14ac:dyDescent="0.25">
      <c r="B28" s="667" t="s">
        <v>1502</v>
      </c>
      <c r="C28" s="667"/>
      <c r="D28" s="667"/>
      <c r="E28" s="325" t="s">
        <v>1503</v>
      </c>
      <c r="F28" s="671">
        <v>0</v>
      </c>
      <c r="G28" s="671">
        <v>0</v>
      </c>
      <c r="H28" s="671">
        <v>0</v>
      </c>
      <c r="I28" s="671">
        <v>0</v>
      </c>
      <c r="J28" s="671">
        <v>0</v>
      </c>
      <c r="K28" s="671">
        <v>-68876237.5</v>
      </c>
      <c r="L28" s="671">
        <v>-68876237.5</v>
      </c>
      <c r="M28" s="671">
        <f t="shared" ref="M28" si="13">J28+K28</f>
        <v>-68876237.5</v>
      </c>
      <c r="N28" s="671">
        <f t="shared" ref="N28" si="14">F28+J28</f>
        <v>0</v>
      </c>
      <c r="O28" s="671">
        <f t="shared" ref="O28" si="15">G28+K28</f>
        <v>-68876237.5</v>
      </c>
      <c r="P28" s="671">
        <f>H28+L28</f>
        <v>-68876237.5</v>
      </c>
      <c r="Q28" s="671">
        <f t="shared" ref="Q28" si="16">I28+M28</f>
        <v>-68876237.5</v>
      </c>
    </row>
    <row r="29" spans="2:18" ht="27.75" customHeight="1" thickTop="1" thickBot="1" x14ac:dyDescent="0.25">
      <c r="B29" s="589" t="s">
        <v>380</v>
      </c>
      <c r="C29" s="589" t="s">
        <v>380</v>
      </c>
      <c r="D29" s="589" t="s">
        <v>380</v>
      </c>
      <c r="E29" s="589" t="s">
        <v>390</v>
      </c>
      <c r="F29" s="590">
        <f t="shared" ref="F29:Q29" si="17">F12+F20</f>
        <v>0</v>
      </c>
      <c r="G29" s="590">
        <f t="shared" si="17"/>
        <v>68876237.5</v>
      </c>
      <c r="H29" s="590">
        <f t="shared" si="17"/>
        <v>68876237.5</v>
      </c>
      <c r="I29" s="590">
        <f t="shared" si="17"/>
        <v>68876237.5</v>
      </c>
      <c r="J29" s="590">
        <f t="shared" si="17"/>
        <v>0</v>
      </c>
      <c r="K29" s="590">
        <f t="shared" si="17"/>
        <v>-68876237.5</v>
      </c>
      <c r="L29" s="590">
        <f t="shared" si="17"/>
        <v>-68876237.5</v>
      </c>
      <c r="M29" s="590">
        <f t="shared" si="17"/>
        <v>-68876237.5</v>
      </c>
      <c r="N29" s="590">
        <f>N12+N20</f>
        <v>0</v>
      </c>
      <c r="O29" s="590">
        <f t="shared" si="17"/>
        <v>0</v>
      </c>
      <c r="P29" s="590">
        <f t="shared" si="17"/>
        <v>0</v>
      </c>
      <c r="Q29" s="590">
        <f t="shared" si="17"/>
        <v>0</v>
      </c>
      <c r="R29" s="539" t="b">
        <f>Q29=N29+O29</f>
        <v>1</v>
      </c>
    </row>
    <row r="30" spans="2:18" ht="16.5" customHeight="1" thickTop="1" x14ac:dyDescent="0.2">
      <c r="B30" s="405"/>
      <c r="C30" s="405"/>
      <c r="D30" s="405"/>
      <c r="E30" s="406"/>
      <c r="F30" s="407"/>
      <c r="G30" s="407"/>
      <c r="H30" s="407"/>
      <c r="I30" s="407"/>
      <c r="J30" s="407"/>
      <c r="K30" s="407"/>
      <c r="L30" s="407"/>
      <c r="M30" s="407"/>
      <c r="N30" s="407"/>
      <c r="O30" s="407"/>
      <c r="P30" s="407"/>
      <c r="Q30" s="407"/>
    </row>
    <row r="31" spans="2:18" ht="15" x14ac:dyDescent="0.25">
      <c r="B31" s="405"/>
      <c r="C31" s="405"/>
      <c r="D31" s="813" t="s">
        <v>1432</v>
      </c>
      <c r="E31" s="726"/>
      <c r="F31" s="329"/>
      <c r="G31" s="330"/>
      <c r="H31" s="328"/>
      <c r="I31" s="330"/>
      <c r="J31" s="328"/>
      <c r="K31" s="330" t="s">
        <v>1433</v>
      </c>
      <c r="L31" s="330"/>
      <c r="M31" s="330"/>
      <c r="N31" s="330"/>
      <c r="O31" s="330"/>
      <c r="P31" s="330"/>
      <c r="Q31" s="407"/>
    </row>
    <row r="32" spans="2:18" ht="15" hidden="1" x14ac:dyDescent="0.25">
      <c r="B32" s="405"/>
      <c r="C32" s="405"/>
      <c r="D32" s="328" t="s">
        <v>1398</v>
      </c>
      <c r="E32" s="329"/>
      <c r="F32" s="329"/>
      <c r="G32" s="330"/>
      <c r="H32" s="328"/>
      <c r="I32" s="330"/>
      <c r="J32" s="328"/>
      <c r="K32" s="328" t="s">
        <v>1399</v>
      </c>
      <c r="L32" s="330"/>
      <c r="M32" s="330"/>
      <c r="N32" s="330"/>
      <c r="O32" s="330"/>
      <c r="P32" s="330"/>
      <c r="Q32" s="407"/>
    </row>
    <row r="33" spans="2:17" ht="15" x14ac:dyDescent="0.25">
      <c r="B33" s="405"/>
      <c r="C33" s="410"/>
      <c r="D33" s="817"/>
      <c r="E33" s="817"/>
      <c r="F33" s="817"/>
      <c r="G33" s="817"/>
      <c r="H33" s="817"/>
      <c r="I33" s="817"/>
      <c r="J33" s="817"/>
      <c r="K33" s="817"/>
      <c r="L33" s="817"/>
      <c r="M33" s="817"/>
      <c r="N33" s="817"/>
      <c r="O33" s="817"/>
      <c r="P33" s="817"/>
      <c r="Q33" s="407"/>
    </row>
    <row r="34" spans="2:17" ht="15" customHeight="1" x14ac:dyDescent="0.25">
      <c r="B34" s="178"/>
      <c r="C34" s="178"/>
      <c r="D34" s="813" t="s">
        <v>519</v>
      </c>
      <c r="E34" s="726"/>
      <c r="F34" s="461"/>
      <c r="G34" s="473"/>
      <c r="H34" s="473"/>
      <c r="I34" s="330"/>
      <c r="J34" s="330"/>
      <c r="K34" s="328" t="s">
        <v>1304</v>
      </c>
      <c r="L34" s="330"/>
      <c r="M34" s="330"/>
      <c r="N34" s="330"/>
      <c r="O34" s="330"/>
      <c r="P34" s="330"/>
      <c r="Q34" s="179"/>
    </row>
    <row r="35" spans="2:17" ht="15" x14ac:dyDescent="0.25">
      <c r="B35" s="178"/>
      <c r="C35" s="178"/>
      <c r="D35" s="815"/>
      <c r="E35" s="815"/>
      <c r="F35" s="815"/>
      <c r="G35" s="815"/>
      <c r="H35" s="815"/>
      <c r="I35" s="815"/>
      <c r="J35" s="815"/>
      <c r="K35" s="815"/>
      <c r="L35" s="815"/>
      <c r="M35" s="815"/>
      <c r="N35" s="815"/>
      <c r="O35" s="815"/>
      <c r="P35" s="815"/>
      <c r="Q35" s="179"/>
    </row>
    <row r="36" spans="2:17" ht="15" x14ac:dyDescent="0.25">
      <c r="D36" s="815"/>
      <c r="E36" s="815"/>
      <c r="F36" s="815"/>
      <c r="G36" s="815"/>
      <c r="H36" s="815"/>
      <c r="I36" s="815"/>
      <c r="J36" s="815"/>
      <c r="K36" s="815"/>
      <c r="L36" s="815"/>
      <c r="M36" s="815"/>
      <c r="N36" s="815"/>
      <c r="O36" s="815"/>
      <c r="P36" s="815"/>
    </row>
    <row r="37" spans="2:17" ht="15" x14ac:dyDescent="0.25">
      <c r="D37" s="815"/>
      <c r="E37" s="815"/>
      <c r="F37" s="815"/>
      <c r="G37" s="815"/>
      <c r="H37" s="815"/>
      <c r="I37" s="815"/>
      <c r="J37" s="815"/>
      <c r="K37" s="815"/>
      <c r="L37" s="815"/>
      <c r="M37" s="815"/>
      <c r="N37" s="815"/>
      <c r="O37" s="815"/>
      <c r="P37" s="815"/>
    </row>
    <row r="38" spans="2:17" ht="15" x14ac:dyDescent="0.2">
      <c r="D38" s="180"/>
      <c r="E38" s="181"/>
      <c r="F38" s="182"/>
      <c r="G38" s="180"/>
      <c r="H38" s="180"/>
      <c r="I38" s="183"/>
      <c r="J38" s="181"/>
      <c r="K38" s="183"/>
      <c r="L38" s="180"/>
      <c r="M38" s="180"/>
      <c r="N38" s="183"/>
      <c r="O38" s="184"/>
      <c r="P38" s="185"/>
    </row>
    <row r="39" spans="2:17" ht="15" x14ac:dyDescent="0.25">
      <c r="D39" s="186"/>
      <c r="E39" s="186"/>
      <c r="F39" s="186"/>
      <c r="G39" s="186"/>
      <c r="H39" s="186"/>
      <c r="I39" s="186"/>
      <c r="J39" s="186"/>
      <c r="K39" s="186"/>
      <c r="L39" s="186"/>
      <c r="M39" s="186"/>
      <c r="N39" s="186"/>
      <c r="O39" s="186"/>
      <c r="P39" s="186"/>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805"/>
    </row>
    <row r="95" spans="7:7" x14ac:dyDescent="0.2">
      <c r="G95" s="806"/>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7"/>
    </row>
    <row r="158" spans="7:10" ht="46.5" x14ac:dyDescent="0.65">
      <c r="G158" s="187">
        <f>H158+I158</f>
        <v>0</v>
      </c>
      <c r="J158" s="187"/>
    </row>
    <row r="177" spans="11:11" ht="90" x14ac:dyDescent="1.1499999999999999">
      <c r="K177" s="188" t="b">
        <f>G177=H177+I177</f>
        <v>1</v>
      </c>
    </row>
  </sheetData>
  <mergeCells count="29">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 ref="B3:C3"/>
    <mergeCell ref="B5:C5"/>
    <mergeCell ref="B6:C6"/>
    <mergeCell ref="G94:G95"/>
    <mergeCell ref="B8:B10"/>
    <mergeCell ref="C8:C10"/>
    <mergeCell ref="D8:D10"/>
    <mergeCell ref="E8:E10"/>
    <mergeCell ref="F8:I8"/>
    <mergeCell ref="F9:F10"/>
    <mergeCell ref="I9:I10"/>
    <mergeCell ref="E4:M4"/>
    <mergeCell ref="D34:E34"/>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1"/>
  <sheetViews>
    <sheetView view="pageBreakPreview" topLeftCell="A10" zoomScale="40" zoomScaleNormal="25" zoomScaleSheetLayoutView="40" zoomScalePageLayoutView="10" workbookViewId="0">
      <selection activeCell="D87" sqref="D87"/>
    </sheetView>
  </sheetViews>
  <sheetFormatPr defaultColWidth="9.140625" defaultRowHeight="12.75" x14ac:dyDescent="0.2"/>
  <cols>
    <col min="1" max="1" width="62.28515625" style="201" customWidth="1"/>
    <col min="2" max="2" width="49.140625" style="201" customWidth="1"/>
    <col min="3" max="3" width="150.140625" style="201" customWidth="1"/>
    <col min="4" max="4" width="69.7109375" style="201" customWidth="1"/>
    <col min="5" max="5" width="45.85546875" style="191" customWidth="1"/>
    <col min="6" max="6" width="26.5703125" style="191" bestFit="1" customWidth="1"/>
    <col min="7" max="16384" width="9.140625" style="191"/>
  </cols>
  <sheetData>
    <row r="1" spans="1:15" ht="48.75" customHeight="1" x14ac:dyDescent="0.35">
      <c r="A1" s="75"/>
      <c r="B1" s="483"/>
      <c r="C1" s="483"/>
      <c r="D1" s="484" t="s">
        <v>584</v>
      </c>
      <c r="E1" s="190"/>
      <c r="F1" s="190"/>
      <c r="G1" s="190"/>
      <c r="H1" s="190"/>
    </row>
    <row r="2" spans="1:15" ht="84.75" customHeight="1" x14ac:dyDescent="0.35">
      <c r="A2" s="76"/>
      <c r="B2" s="483"/>
      <c r="C2" s="483"/>
      <c r="D2" s="544" t="s">
        <v>1566</v>
      </c>
      <c r="E2" s="190"/>
      <c r="F2" s="190"/>
      <c r="G2" s="190"/>
      <c r="H2" s="190"/>
    </row>
    <row r="3" spans="1:15" ht="40.700000000000003" customHeight="1" x14ac:dyDescent="0.2">
      <c r="A3" s="76"/>
      <c r="B3" s="76"/>
      <c r="C3" s="76"/>
      <c r="D3" s="77"/>
      <c r="N3" s="842"/>
      <c r="O3" s="842"/>
    </row>
    <row r="4" spans="1:15" ht="45.75" hidden="1" x14ac:dyDescent="0.2">
      <c r="A4" s="76"/>
      <c r="B4" s="76"/>
      <c r="C4" s="76"/>
      <c r="D4" s="77"/>
      <c r="N4" s="842"/>
      <c r="O4" s="843"/>
    </row>
    <row r="5" spans="1:15" ht="45.75" x14ac:dyDescent="0.2">
      <c r="A5" s="768" t="s">
        <v>1584</v>
      </c>
      <c r="B5" s="768"/>
      <c r="C5" s="768"/>
      <c r="D5" s="768"/>
      <c r="N5" s="842"/>
      <c r="O5" s="843"/>
    </row>
    <row r="6" spans="1:15" ht="45.75" x14ac:dyDescent="0.65">
      <c r="A6" s="769">
        <v>2256400000</v>
      </c>
      <c r="B6" s="730"/>
      <c r="C6" s="730"/>
      <c r="D6" s="730"/>
    </row>
    <row r="7" spans="1:15" ht="45.75" x14ac:dyDescent="0.2">
      <c r="A7" s="774" t="s">
        <v>488</v>
      </c>
      <c r="B7" s="730"/>
      <c r="C7" s="730"/>
      <c r="D7" s="730"/>
    </row>
    <row r="8" spans="1:15" ht="45.75" x14ac:dyDescent="0.2">
      <c r="A8" s="441"/>
      <c r="B8" s="443"/>
      <c r="C8" s="443"/>
      <c r="D8" s="443"/>
    </row>
    <row r="9" spans="1:15" ht="53.45" customHeight="1" x14ac:dyDescent="0.2">
      <c r="A9" s="825" t="s">
        <v>1080</v>
      </c>
      <c r="B9" s="826"/>
      <c r="C9" s="826"/>
      <c r="D9" s="826"/>
    </row>
    <row r="10" spans="1:15" ht="53.45" customHeight="1" thickBot="1" x14ac:dyDescent="0.25">
      <c r="A10" s="77"/>
      <c r="B10" s="77"/>
      <c r="C10" s="77"/>
      <c r="D10" s="309" t="s">
        <v>403</v>
      </c>
    </row>
    <row r="11" spans="1:15" ht="140.25" customHeight="1" thickTop="1" thickBot="1" x14ac:dyDescent="0.25">
      <c r="A11" s="310" t="s">
        <v>589</v>
      </c>
      <c r="B11" s="830" t="s">
        <v>588</v>
      </c>
      <c r="C11" s="831"/>
      <c r="D11" s="310" t="s">
        <v>382</v>
      </c>
    </row>
    <row r="12" spans="1:15" s="192" customFormat="1" ht="47.25" thickTop="1" thickBot="1" x14ac:dyDescent="0.25">
      <c r="A12" s="101" t="s">
        <v>2</v>
      </c>
      <c r="B12" s="832" t="s">
        <v>3</v>
      </c>
      <c r="C12" s="833"/>
      <c r="D12" s="101" t="s">
        <v>14</v>
      </c>
    </row>
    <row r="13" spans="1:15" s="192" customFormat="1" ht="70.5" customHeight="1" thickTop="1" thickBot="1" x14ac:dyDescent="0.25">
      <c r="A13" s="827" t="s">
        <v>590</v>
      </c>
      <c r="B13" s="828"/>
      <c r="C13" s="828"/>
      <c r="D13" s="829"/>
    </row>
    <row r="14" spans="1:15" s="192" customFormat="1" ht="70.5" hidden="1" customHeight="1" thickTop="1" thickBot="1" x14ac:dyDescent="0.25">
      <c r="A14" s="123" t="s">
        <v>1297</v>
      </c>
      <c r="B14" s="834" t="s">
        <v>1296</v>
      </c>
      <c r="C14" s="835"/>
      <c r="D14" s="412">
        <f>SUM(D15)</f>
        <v>0</v>
      </c>
    </row>
    <row r="15" spans="1:15" s="192" customFormat="1" ht="254.25" hidden="1" customHeight="1" thickTop="1" thickBot="1" x14ac:dyDescent="0.25">
      <c r="A15" s="126">
        <v>41021400</v>
      </c>
      <c r="B15" s="818" t="s">
        <v>1303</v>
      </c>
      <c r="C15" s="819"/>
      <c r="D15" s="414"/>
    </row>
    <row r="16" spans="1:15" s="192" customFormat="1" ht="47.25" hidden="1" thickTop="1" thickBot="1" x14ac:dyDescent="0.25">
      <c r="A16" s="126" t="s">
        <v>1251</v>
      </c>
      <c r="B16" s="818" t="s">
        <v>570</v>
      </c>
      <c r="C16" s="819"/>
      <c r="D16" s="193">
        <f>D15</f>
        <v>0</v>
      </c>
    </row>
    <row r="17" spans="1:6" s="192" customFormat="1" ht="46.5" hidden="1" thickTop="1" thickBot="1" x14ac:dyDescent="0.25">
      <c r="A17" s="307" t="s">
        <v>600</v>
      </c>
      <c r="B17" s="836" t="s">
        <v>436</v>
      </c>
      <c r="C17" s="837"/>
      <c r="D17" s="638">
        <f>SUM(D18:D25)</f>
        <v>0</v>
      </c>
    </row>
    <row r="18" spans="1:6" s="192" customFormat="1" ht="47.25" hidden="1" thickTop="1" thickBot="1" x14ac:dyDescent="0.25">
      <c r="A18" s="126" t="s">
        <v>967</v>
      </c>
      <c r="B18" s="818" t="s">
        <v>966</v>
      </c>
      <c r="C18" s="819"/>
      <c r="D18" s="414">
        <v>0</v>
      </c>
    </row>
    <row r="19" spans="1:6" s="192" customFormat="1" ht="159.75" hidden="1" customHeight="1" thickTop="1" thickBot="1" x14ac:dyDescent="0.25">
      <c r="A19" s="126">
        <v>41033300</v>
      </c>
      <c r="B19" s="818" t="s">
        <v>1560</v>
      </c>
      <c r="C19" s="819"/>
      <c r="D19" s="414">
        <v>0</v>
      </c>
    </row>
    <row r="20" spans="1:6" s="192" customFormat="1" ht="148.69999999999999" hidden="1" customHeight="1" thickTop="1" thickBot="1" x14ac:dyDescent="0.25">
      <c r="A20" s="126" t="s">
        <v>1050</v>
      </c>
      <c r="B20" s="818" t="s">
        <v>1016</v>
      </c>
      <c r="C20" s="819"/>
      <c r="D20" s="414">
        <v>0</v>
      </c>
    </row>
    <row r="21" spans="1:6" s="192" customFormat="1" ht="47.25" hidden="1" thickTop="1" thickBot="1" x14ac:dyDescent="0.25">
      <c r="A21" s="101" t="s">
        <v>599</v>
      </c>
      <c r="B21" s="839" t="s">
        <v>612</v>
      </c>
      <c r="C21" s="840"/>
      <c r="D21" s="311">
        <v>0</v>
      </c>
    </row>
    <row r="22" spans="1:6" s="192" customFormat="1" ht="47.25" hidden="1" thickTop="1" thickBot="1" x14ac:dyDescent="0.25">
      <c r="A22" s="126" t="s">
        <v>1048</v>
      </c>
      <c r="B22" s="818" t="s">
        <v>1017</v>
      </c>
      <c r="C22" s="841"/>
      <c r="D22" s="193">
        <v>0</v>
      </c>
    </row>
    <row r="23" spans="1:6" s="192" customFormat="1" ht="47.25" hidden="1" thickTop="1" thickBot="1" x14ac:dyDescent="0.25">
      <c r="A23" s="126" t="s">
        <v>969</v>
      </c>
      <c r="B23" s="818" t="s">
        <v>968</v>
      </c>
      <c r="C23" s="819"/>
      <c r="D23" s="193">
        <v>0</v>
      </c>
    </row>
    <row r="24" spans="1:6" s="192" customFormat="1" ht="47.25" hidden="1" thickTop="1" thickBot="1" x14ac:dyDescent="0.25">
      <c r="A24" s="126" t="s">
        <v>977</v>
      </c>
      <c r="B24" s="818" t="s">
        <v>978</v>
      </c>
      <c r="C24" s="819"/>
      <c r="D24" s="193">
        <v>0</v>
      </c>
    </row>
    <row r="25" spans="1:6" s="192" customFormat="1" ht="47.25" hidden="1" thickTop="1" thickBot="1" x14ac:dyDescent="0.25">
      <c r="A25" s="126" t="s">
        <v>960</v>
      </c>
      <c r="B25" s="818" t="s">
        <v>959</v>
      </c>
      <c r="C25" s="819"/>
      <c r="D25" s="193">
        <v>0</v>
      </c>
    </row>
    <row r="26" spans="1:6" s="192" customFormat="1" ht="47.25" hidden="1" thickTop="1" thickBot="1" x14ac:dyDescent="0.25">
      <c r="A26" s="101" t="s">
        <v>1251</v>
      </c>
      <c r="B26" s="839" t="s">
        <v>570</v>
      </c>
      <c r="C26" s="840"/>
      <c r="D26" s="311">
        <f>D17</f>
        <v>0</v>
      </c>
    </row>
    <row r="27" spans="1:6" s="192" customFormat="1" ht="46.5" thickTop="1" thickBot="1" x14ac:dyDescent="0.25">
      <c r="A27" s="307" t="s">
        <v>604</v>
      </c>
      <c r="B27" s="836" t="s">
        <v>343</v>
      </c>
      <c r="C27" s="838"/>
      <c r="D27" s="638">
        <f>SUM(D28:D29)</f>
        <v>7178900</v>
      </c>
    </row>
    <row r="28" spans="1:6" s="192" customFormat="1" ht="196.5" customHeight="1" thickTop="1" thickBot="1" x14ac:dyDescent="0.25">
      <c r="A28" s="101" t="s">
        <v>605</v>
      </c>
      <c r="B28" s="839" t="s">
        <v>613</v>
      </c>
      <c r="C28" s="840"/>
      <c r="D28" s="637">
        <v>7178900</v>
      </c>
    </row>
    <row r="29" spans="1:6" s="192" customFormat="1" ht="62.45" hidden="1" customHeight="1" thickTop="1" thickBot="1" x14ac:dyDescent="0.25">
      <c r="A29" s="126" t="s">
        <v>1183</v>
      </c>
      <c r="B29" s="818" t="s">
        <v>1182</v>
      </c>
      <c r="C29" s="819"/>
      <c r="D29" s="414">
        <v>0</v>
      </c>
    </row>
    <row r="30" spans="1:6" s="192" customFormat="1" ht="47.25" thickTop="1" thickBot="1" x14ac:dyDescent="0.25">
      <c r="A30" s="101" t="s">
        <v>1255</v>
      </c>
      <c r="B30" s="839" t="s">
        <v>603</v>
      </c>
      <c r="C30" s="840"/>
      <c r="D30" s="311">
        <f>SUM(D28:D29)</f>
        <v>7178900</v>
      </c>
    </row>
    <row r="31" spans="1:6" s="192" customFormat="1" ht="46.5" thickTop="1" thickBot="1" x14ac:dyDescent="0.25">
      <c r="A31" s="307" t="s">
        <v>606</v>
      </c>
      <c r="B31" s="836" t="s">
        <v>607</v>
      </c>
      <c r="C31" s="838"/>
      <c r="D31" s="638">
        <f>D50+D52</f>
        <v>1171046</v>
      </c>
      <c r="E31" s="526" t="b">
        <f>D31=D50+D52</f>
        <v>1</v>
      </c>
      <c r="F31" s="526" t="b">
        <f>D31='d1'!D130</f>
        <v>1</v>
      </c>
    </row>
    <row r="32" spans="1:6" s="192" customFormat="1" ht="408.75" hidden="1" customHeight="1" thickTop="1" x14ac:dyDescent="0.65">
      <c r="A32" s="745" t="s">
        <v>1051</v>
      </c>
      <c r="B32" s="821" t="s">
        <v>1382</v>
      </c>
      <c r="C32" s="822"/>
      <c r="D32" s="820">
        <v>0</v>
      </c>
    </row>
    <row r="33" spans="1:4" s="192" customFormat="1" ht="409.6" hidden="1" customHeight="1" thickBot="1" x14ac:dyDescent="0.25">
      <c r="A33" s="747"/>
      <c r="B33" s="823" t="s">
        <v>1383</v>
      </c>
      <c r="C33" s="824"/>
      <c r="D33" s="747"/>
    </row>
    <row r="34" spans="1:4" s="192" customFormat="1" ht="376.5" hidden="1" customHeight="1" thickTop="1" x14ac:dyDescent="0.65">
      <c r="A34" s="745" t="s">
        <v>1049</v>
      </c>
      <c r="B34" s="821" t="s">
        <v>1384</v>
      </c>
      <c r="C34" s="822"/>
      <c r="D34" s="820">
        <v>0</v>
      </c>
    </row>
    <row r="35" spans="1:4" s="192" customFormat="1" ht="204.75" hidden="1" customHeight="1" thickBot="1" x14ac:dyDescent="0.25">
      <c r="A35" s="747"/>
      <c r="B35" s="823" t="s">
        <v>1385</v>
      </c>
      <c r="C35" s="824"/>
      <c r="D35" s="747"/>
    </row>
    <row r="36" spans="1:4" s="192" customFormat="1" ht="408.75" hidden="1" customHeight="1" thickTop="1" x14ac:dyDescent="0.65">
      <c r="A36" s="745">
        <v>41050600</v>
      </c>
      <c r="B36" s="821" t="s">
        <v>1386</v>
      </c>
      <c r="C36" s="822"/>
      <c r="D36" s="820">
        <v>0</v>
      </c>
    </row>
    <row r="37" spans="1:4" s="192" customFormat="1" ht="379.5" hidden="1" customHeight="1" thickBot="1" x14ac:dyDescent="0.25">
      <c r="A37" s="747"/>
      <c r="B37" s="823" t="s">
        <v>1387</v>
      </c>
      <c r="C37" s="824"/>
      <c r="D37" s="747"/>
    </row>
    <row r="38" spans="1:4" s="192" customFormat="1" ht="289.5" hidden="1" customHeight="1" thickTop="1" thickBot="1" x14ac:dyDescent="0.25">
      <c r="A38" s="126">
        <v>41050900</v>
      </c>
      <c r="B38" s="818" t="s">
        <v>1052</v>
      </c>
      <c r="C38" s="819"/>
      <c r="D38" s="193">
        <v>0</v>
      </c>
    </row>
    <row r="39" spans="1:4" s="192" customFormat="1" ht="124.5" hidden="1" customHeight="1" thickTop="1" thickBot="1" x14ac:dyDescent="0.25">
      <c r="A39" s="126" t="s">
        <v>608</v>
      </c>
      <c r="B39" s="818" t="s">
        <v>609</v>
      </c>
      <c r="C39" s="819"/>
      <c r="D39" s="193">
        <v>0</v>
      </c>
    </row>
    <row r="40" spans="1:4" s="192" customFormat="1" ht="153" hidden="1" customHeight="1" thickTop="1" thickBot="1" x14ac:dyDescent="0.25">
      <c r="A40" s="126" t="s">
        <v>610</v>
      </c>
      <c r="B40" s="818" t="s">
        <v>1250</v>
      </c>
      <c r="C40" s="819"/>
      <c r="D40" s="414">
        <v>0</v>
      </c>
    </row>
    <row r="41" spans="1:4" s="192" customFormat="1" ht="195.75" hidden="1" customHeight="1" thickTop="1" thickBot="1" x14ac:dyDescent="0.25">
      <c r="A41" s="126" t="s">
        <v>970</v>
      </c>
      <c r="B41" s="818" t="s">
        <v>1548</v>
      </c>
      <c r="C41" s="819"/>
      <c r="D41" s="414">
        <v>0</v>
      </c>
    </row>
    <row r="42" spans="1:4" s="192" customFormat="1" ht="192" hidden="1" customHeight="1" thickTop="1" thickBot="1" x14ac:dyDescent="0.25">
      <c r="A42" s="126" t="s">
        <v>929</v>
      </c>
      <c r="B42" s="818" t="s">
        <v>930</v>
      </c>
      <c r="C42" s="819"/>
      <c r="D42" s="414">
        <v>0</v>
      </c>
    </row>
    <row r="43" spans="1:4" s="192" customFormat="1" ht="47.25" thickTop="1" thickBot="1" x14ac:dyDescent="0.25">
      <c r="A43" s="101">
        <v>41053900</v>
      </c>
      <c r="B43" s="839" t="s">
        <v>363</v>
      </c>
      <c r="C43" s="840"/>
      <c r="D43" s="637">
        <v>1171046</v>
      </c>
    </row>
    <row r="44" spans="1:4" s="192" customFormat="1" ht="20.25" hidden="1" thickTop="1" x14ac:dyDescent="0.65">
      <c r="A44" s="745" t="s">
        <v>1053</v>
      </c>
      <c r="B44" s="821" t="s">
        <v>1054</v>
      </c>
      <c r="C44" s="822"/>
      <c r="D44" s="820">
        <v>0</v>
      </c>
    </row>
    <row r="45" spans="1:4" s="192" customFormat="1" ht="13.5" hidden="1" thickBot="1" x14ac:dyDescent="0.25">
      <c r="A45" s="747"/>
      <c r="B45" s="823" t="s">
        <v>1055</v>
      </c>
      <c r="C45" s="824"/>
      <c r="D45" s="747"/>
    </row>
    <row r="46" spans="1:4" s="192" customFormat="1" ht="47.25" hidden="1" thickTop="1" thickBot="1" x14ac:dyDescent="0.25">
      <c r="A46" s="126" t="s">
        <v>611</v>
      </c>
      <c r="B46" s="818" t="s">
        <v>614</v>
      </c>
      <c r="C46" s="819"/>
      <c r="D46" s="414">
        <v>0</v>
      </c>
    </row>
    <row r="47" spans="1:4" s="192" customFormat="1" ht="47.25" hidden="1" thickTop="1" thickBot="1" x14ac:dyDescent="0.25">
      <c r="A47" s="126" t="s">
        <v>999</v>
      </c>
      <c r="B47" s="818" t="s">
        <v>1000</v>
      </c>
      <c r="C47" s="819"/>
      <c r="D47" s="193">
        <f>10623233.82-10623233.82</f>
        <v>0</v>
      </c>
    </row>
    <row r="48" spans="1:4" s="192" customFormat="1" ht="168.75" hidden="1" customHeight="1" thickTop="1" thickBot="1" x14ac:dyDescent="0.25">
      <c r="A48" s="126">
        <v>41057700</v>
      </c>
      <c r="B48" s="818" t="s">
        <v>1335</v>
      </c>
      <c r="C48" s="819"/>
      <c r="D48" s="414">
        <v>0</v>
      </c>
    </row>
    <row r="49" spans="1:5" s="192" customFormat="1" ht="47.25" hidden="1" thickTop="1" thickBot="1" x14ac:dyDescent="0.25">
      <c r="A49" s="126">
        <v>41059000</v>
      </c>
      <c r="B49" s="818" t="s">
        <v>1360</v>
      </c>
      <c r="C49" s="819"/>
      <c r="D49" s="414">
        <v>0</v>
      </c>
    </row>
    <row r="50" spans="1:5" s="192" customFormat="1" ht="47.25" thickTop="1" thickBot="1" x14ac:dyDescent="0.55000000000000004">
      <c r="A50" s="101" t="s">
        <v>1255</v>
      </c>
      <c r="B50" s="839" t="s">
        <v>603</v>
      </c>
      <c r="C50" s="840"/>
      <c r="D50" s="311">
        <f>SUM(D32:D49)</f>
        <v>1171046</v>
      </c>
      <c r="E50" s="194"/>
    </row>
    <row r="51" spans="1:5" s="192" customFormat="1" ht="47.25" hidden="1" thickTop="1" thickBot="1" x14ac:dyDescent="0.25">
      <c r="A51" s="195" t="s">
        <v>1073</v>
      </c>
      <c r="B51" s="846" t="s">
        <v>1074</v>
      </c>
      <c r="C51" s="847"/>
      <c r="D51" s="415">
        <v>0</v>
      </c>
    </row>
    <row r="52" spans="1:5" s="192" customFormat="1" ht="47.25" hidden="1" thickTop="1" thickBot="1" x14ac:dyDescent="0.25">
      <c r="A52" s="195" t="s">
        <v>572</v>
      </c>
      <c r="B52" s="846" t="s">
        <v>573</v>
      </c>
      <c r="C52" s="847"/>
      <c r="D52" s="196">
        <f>D51</f>
        <v>0</v>
      </c>
    </row>
    <row r="53" spans="1:5" ht="76.7" customHeight="1" thickTop="1" thickBot="1" x14ac:dyDescent="0.25">
      <c r="A53" s="827" t="s">
        <v>591</v>
      </c>
      <c r="B53" s="828"/>
      <c r="C53" s="828"/>
      <c r="D53" s="829"/>
    </row>
    <row r="54" spans="1:5" ht="46.5" hidden="1" thickTop="1" thickBot="1" x14ac:dyDescent="0.25">
      <c r="A54" s="565" t="s">
        <v>600</v>
      </c>
      <c r="B54" s="848" t="s">
        <v>436</v>
      </c>
      <c r="C54" s="849"/>
      <c r="D54" s="566">
        <f>D55</f>
        <v>0</v>
      </c>
    </row>
    <row r="55" spans="1:5" ht="47.25" hidden="1" thickTop="1" thickBot="1" x14ac:dyDescent="0.25">
      <c r="A55" s="567" t="s">
        <v>1048</v>
      </c>
      <c r="B55" s="850" t="s">
        <v>1017</v>
      </c>
      <c r="C55" s="851"/>
      <c r="D55" s="568">
        <v>0</v>
      </c>
    </row>
    <row r="56" spans="1:5" ht="47.25" hidden="1" thickTop="1" thickBot="1" x14ac:dyDescent="0.25">
      <c r="A56" s="567" t="s">
        <v>867</v>
      </c>
      <c r="B56" s="850" t="s">
        <v>570</v>
      </c>
      <c r="C56" s="851"/>
      <c r="D56" s="569">
        <f>D54</f>
        <v>0</v>
      </c>
    </row>
    <row r="57" spans="1:5" ht="46.5" hidden="1" customHeight="1" thickTop="1" thickBot="1" x14ac:dyDescent="0.25">
      <c r="A57" s="123" t="s">
        <v>606</v>
      </c>
      <c r="B57" s="834" t="s">
        <v>607</v>
      </c>
      <c r="C57" s="835"/>
      <c r="D57" s="412">
        <f>D62+D64</f>
        <v>0</v>
      </c>
      <c r="E57" s="524" t="b">
        <f>D57=D58+D59+D63+D60+D61</f>
        <v>1</v>
      </c>
    </row>
    <row r="58" spans="1:5" ht="47.25" hidden="1" customHeight="1" thickTop="1" thickBot="1" x14ac:dyDescent="0.25">
      <c r="A58" s="567" t="s">
        <v>931</v>
      </c>
      <c r="B58" s="850" t="s">
        <v>934</v>
      </c>
      <c r="C58" s="851"/>
      <c r="D58" s="568">
        <v>0</v>
      </c>
    </row>
    <row r="59" spans="1:5" ht="47.25" hidden="1" customHeight="1" thickTop="1" thickBot="1" x14ac:dyDescent="0.25">
      <c r="A59" s="567">
        <v>41053900</v>
      </c>
      <c r="B59" s="850" t="s">
        <v>935</v>
      </c>
      <c r="C59" s="851"/>
      <c r="D59" s="568">
        <v>0</v>
      </c>
    </row>
    <row r="60" spans="1:5" ht="47.25" hidden="1" customHeight="1" thickTop="1" thickBot="1" x14ac:dyDescent="0.25">
      <c r="A60" s="126" t="s">
        <v>608</v>
      </c>
      <c r="B60" s="818" t="s">
        <v>609</v>
      </c>
      <c r="C60" s="819"/>
      <c r="D60" s="414">
        <v>0</v>
      </c>
    </row>
    <row r="61" spans="1:5" ht="122.25" hidden="1" customHeight="1" thickTop="1" thickBot="1" x14ac:dyDescent="0.25">
      <c r="A61" s="126" t="s">
        <v>1527</v>
      </c>
      <c r="B61" s="818" t="s">
        <v>1506</v>
      </c>
      <c r="C61" s="819"/>
      <c r="D61" s="414">
        <v>0</v>
      </c>
    </row>
    <row r="62" spans="1:5" ht="47.25" hidden="1" customHeight="1" thickTop="1" thickBot="1" x14ac:dyDescent="0.25">
      <c r="A62" s="126" t="s">
        <v>1255</v>
      </c>
      <c r="B62" s="818" t="s">
        <v>603</v>
      </c>
      <c r="C62" s="819"/>
      <c r="D62" s="193">
        <f>SUM(D58:D61)</f>
        <v>0</v>
      </c>
    </row>
    <row r="63" spans="1:5" ht="47.25" hidden="1" thickTop="1" thickBot="1" x14ac:dyDescent="0.25">
      <c r="A63" s="567">
        <v>41053900</v>
      </c>
      <c r="B63" s="850" t="s">
        <v>1072</v>
      </c>
      <c r="C63" s="851"/>
      <c r="D63" s="568">
        <v>0</v>
      </c>
    </row>
    <row r="64" spans="1:5" ht="47.25" hidden="1" thickTop="1" thickBot="1" x14ac:dyDescent="0.25">
      <c r="A64" s="567" t="s">
        <v>572</v>
      </c>
      <c r="B64" s="850" t="s">
        <v>573</v>
      </c>
      <c r="C64" s="851"/>
      <c r="D64" s="569">
        <f>D63</f>
        <v>0</v>
      </c>
    </row>
    <row r="65" spans="1:6" ht="47.25" thickTop="1" thickBot="1" x14ac:dyDescent="0.25">
      <c r="A65" s="634" t="s">
        <v>380</v>
      </c>
      <c r="B65" s="854" t="s">
        <v>592</v>
      </c>
      <c r="C65" s="855"/>
      <c r="D65" s="635">
        <f>D66+D67</f>
        <v>8349946</v>
      </c>
      <c r="E65" s="525" t="b">
        <f>D65='d1'!C114</f>
        <v>1</v>
      </c>
    </row>
    <row r="66" spans="1:6" ht="47.25" thickTop="1" thickBot="1" x14ac:dyDescent="0.25">
      <c r="A66" s="101" t="s">
        <v>380</v>
      </c>
      <c r="B66" s="839" t="s">
        <v>385</v>
      </c>
      <c r="C66" s="840"/>
      <c r="D66" s="311">
        <f>D50+D26+D30+D52+D16</f>
        <v>8349946</v>
      </c>
      <c r="E66" s="525" t="b">
        <f>D66='d1'!D114</f>
        <v>1</v>
      </c>
    </row>
    <row r="67" spans="1:6" ht="47.25" thickTop="1" thickBot="1" x14ac:dyDescent="0.25">
      <c r="A67" s="101" t="s">
        <v>380</v>
      </c>
      <c r="B67" s="839" t="s">
        <v>386</v>
      </c>
      <c r="C67" s="840"/>
      <c r="D67" s="311">
        <f>D62+D56+D64</f>
        <v>0</v>
      </c>
      <c r="E67" s="525" t="b">
        <f>D67='d1'!E114</f>
        <v>1</v>
      </c>
    </row>
    <row r="68" spans="1:6" ht="31.7" customHeight="1" thickTop="1" x14ac:dyDescent="0.2">
      <c r="A68" s="165"/>
      <c r="B68" s="166"/>
      <c r="C68" s="166"/>
      <c r="D68" s="166"/>
    </row>
    <row r="69" spans="1:6" ht="31.7" customHeight="1" x14ac:dyDescent="0.2">
      <c r="A69" s="165"/>
      <c r="B69" s="166"/>
      <c r="C69" s="166"/>
      <c r="D69" s="166"/>
    </row>
    <row r="70" spans="1:6" ht="60" customHeight="1" x14ac:dyDescent="0.2">
      <c r="A70" s="825" t="s">
        <v>1081</v>
      </c>
      <c r="B70" s="826"/>
      <c r="C70" s="826"/>
      <c r="D70" s="826"/>
    </row>
    <row r="71" spans="1:6" ht="54" customHeight="1" thickBot="1" x14ac:dyDescent="0.25">
      <c r="A71" s="165"/>
      <c r="B71" s="166"/>
      <c r="C71" s="166"/>
      <c r="D71" s="309" t="s">
        <v>403</v>
      </c>
    </row>
    <row r="72" spans="1:6" ht="325.5" customHeight="1" thickTop="1" thickBot="1" x14ac:dyDescent="0.25">
      <c r="A72" s="310" t="s">
        <v>593</v>
      </c>
      <c r="B72" s="632" t="s">
        <v>490</v>
      </c>
      <c r="C72" s="310" t="s">
        <v>594</v>
      </c>
      <c r="D72" s="310" t="s">
        <v>382</v>
      </c>
    </row>
    <row r="73" spans="1:6" ht="50.25" customHeight="1" thickTop="1" thickBot="1" x14ac:dyDescent="0.25">
      <c r="A73" s="101" t="s">
        <v>2</v>
      </c>
      <c r="B73" s="101" t="s">
        <v>3</v>
      </c>
      <c r="C73" s="101" t="s">
        <v>14</v>
      </c>
      <c r="D73" s="101" t="s">
        <v>5</v>
      </c>
    </row>
    <row r="74" spans="1:6" ht="65.25" customHeight="1" thickTop="1" thickBot="1" x14ac:dyDescent="0.25">
      <c r="A74" s="827" t="s">
        <v>595</v>
      </c>
      <c r="B74" s="828"/>
      <c r="C74" s="828"/>
      <c r="D74" s="829"/>
    </row>
    <row r="75" spans="1:6" ht="184.5" thickTop="1" thickBot="1" x14ac:dyDescent="0.55000000000000004">
      <c r="A75" s="101" t="s">
        <v>244</v>
      </c>
      <c r="B75" s="101" t="s">
        <v>245</v>
      </c>
      <c r="C75" s="633" t="s">
        <v>441</v>
      </c>
      <c r="D75" s="311">
        <f>SUM(D76:D77)</f>
        <v>1359600</v>
      </c>
      <c r="E75" s="525" t="b">
        <f>D75='d3'!E44</f>
        <v>1</v>
      </c>
      <c r="F75" s="194"/>
    </row>
    <row r="76" spans="1:6" ht="93" thickTop="1" thickBot="1" x14ac:dyDescent="0.55000000000000004">
      <c r="A76" s="101" t="s">
        <v>1254</v>
      </c>
      <c r="B76" s="101"/>
      <c r="C76" s="633" t="s">
        <v>574</v>
      </c>
      <c r="D76" s="311">
        <v>660000</v>
      </c>
      <c r="E76" s="194"/>
      <c r="F76" s="194"/>
    </row>
    <row r="77" spans="1:6" ht="93" thickTop="1" thickBot="1" x14ac:dyDescent="0.55000000000000004">
      <c r="A77" s="101" t="s">
        <v>1253</v>
      </c>
      <c r="B77" s="101"/>
      <c r="C77" s="633" t="s">
        <v>575</v>
      </c>
      <c r="D77" s="311">
        <v>699600</v>
      </c>
      <c r="E77" s="194"/>
      <c r="F77" s="194"/>
    </row>
    <row r="78" spans="1:6" ht="47.25" thickTop="1" thickBot="1" x14ac:dyDescent="0.55000000000000004">
      <c r="A78" s="101" t="s">
        <v>571</v>
      </c>
      <c r="B78" s="101" t="s">
        <v>362</v>
      </c>
      <c r="C78" s="633" t="s">
        <v>363</v>
      </c>
      <c r="D78" s="311">
        <f>SUM(D79)</f>
        <v>166200</v>
      </c>
      <c r="E78" s="525" t="b">
        <f>D78='d3'!E45</f>
        <v>1</v>
      </c>
      <c r="F78" s="194"/>
    </row>
    <row r="79" spans="1:6" ht="47.25" thickTop="1" thickBot="1" x14ac:dyDescent="0.55000000000000004">
      <c r="A79" s="101" t="s">
        <v>1252</v>
      </c>
      <c r="B79" s="101"/>
      <c r="C79" s="633" t="s">
        <v>573</v>
      </c>
      <c r="D79" s="311">
        <v>166200</v>
      </c>
      <c r="E79" s="194"/>
      <c r="F79" s="194"/>
    </row>
    <row r="80" spans="1:6" ht="47.25" hidden="1" thickTop="1" thickBot="1" x14ac:dyDescent="0.55000000000000004">
      <c r="A80" s="126" t="s">
        <v>1078</v>
      </c>
      <c r="B80" s="126" t="s">
        <v>362</v>
      </c>
      <c r="C80" s="416" t="s">
        <v>363</v>
      </c>
      <c r="D80" s="193">
        <f>D81</f>
        <v>0</v>
      </c>
      <c r="E80" s="525" t="b">
        <f>D80='d3'!E244</f>
        <v>1</v>
      </c>
      <c r="F80" s="194"/>
    </row>
    <row r="81" spans="1:6" ht="47.25" hidden="1" thickTop="1" thickBot="1" x14ac:dyDescent="0.55000000000000004">
      <c r="A81" s="126" t="s">
        <v>1255</v>
      </c>
      <c r="B81" s="126"/>
      <c r="C81" s="416" t="s">
        <v>603</v>
      </c>
      <c r="D81" s="193">
        <v>0</v>
      </c>
      <c r="E81" s="194"/>
      <c r="F81" s="194"/>
    </row>
    <row r="82" spans="1:6" ht="47.25" hidden="1" thickTop="1" thickBot="1" x14ac:dyDescent="0.55000000000000004">
      <c r="A82" s="126" t="s">
        <v>1437</v>
      </c>
      <c r="B82" s="126" t="s">
        <v>362</v>
      </c>
      <c r="C82" s="416" t="s">
        <v>363</v>
      </c>
      <c r="D82" s="193">
        <f>D83</f>
        <v>0</v>
      </c>
      <c r="E82" s="525" t="b">
        <f>D82='d3'!E306</f>
        <v>1</v>
      </c>
      <c r="F82" s="194"/>
    </row>
    <row r="83" spans="1:6" ht="47.25" hidden="1" thickTop="1" thickBot="1" x14ac:dyDescent="0.55000000000000004">
      <c r="A83" s="126" t="s">
        <v>1255</v>
      </c>
      <c r="B83" s="126"/>
      <c r="C83" s="416" t="s">
        <v>603</v>
      </c>
      <c r="D83" s="193">
        <v>0</v>
      </c>
      <c r="E83" s="194"/>
      <c r="F83" s="194"/>
    </row>
    <row r="84" spans="1:6" ht="138.75" thickTop="1" thickBot="1" x14ac:dyDescent="0.55000000000000004">
      <c r="A84" s="101" t="s">
        <v>511</v>
      </c>
      <c r="B84" s="101" t="s">
        <v>512</v>
      </c>
      <c r="C84" s="633" t="s">
        <v>513</v>
      </c>
      <c r="D84" s="311">
        <f>55000000+10000000</f>
        <v>65000000</v>
      </c>
      <c r="E84" s="525" t="b">
        <f>D84='d3'!E46</f>
        <v>1</v>
      </c>
      <c r="F84" s="194"/>
    </row>
    <row r="85" spans="1:6" ht="138.75" hidden="1" thickTop="1" thickBot="1" x14ac:dyDescent="0.55000000000000004">
      <c r="A85" s="126" t="s">
        <v>1293</v>
      </c>
      <c r="B85" s="126" t="s">
        <v>512</v>
      </c>
      <c r="C85" s="416" t="s">
        <v>513</v>
      </c>
      <c r="D85" s="193"/>
      <c r="E85" s="344" t="b">
        <f>D85='d3'!E361</f>
        <v>1</v>
      </c>
      <c r="F85" s="194"/>
    </row>
    <row r="86" spans="1:6" ht="138.75" hidden="1" thickTop="1" thickBot="1" x14ac:dyDescent="0.55000000000000004">
      <c r="A86" s="126" t="s">
        <v>1213</v>
      </c>
      <c r="B86" s="126" t="s">
        <v>512</v>
      </c>
      <c r="C86" s="416" t="s">
        <v>513</v>
      </c>
      <c r="D86" s="193"/>
      <c r="E86" s="344" t="b">
        <f>D86='d3'!E391</f>
        <v>1</v>
      </c>
      <c r="F86" s="194"/>
    </row>
    <row r="87" spans="1:6" ht="47.25" thickTop="1" thickBot="1" x14ac:dyDescent="0.55000000000000004">
      <c r="A87" s="101" t="s">
        <v>1251</v>
      </c>
      <c r="B87" s="101"/>
      <c r="C87" s="633" t="s">
        <v>570</v>
      </c>
      <c r="D87" s="311">
        <f>SUM(D84:D86)</f>
        <v>65000000</v>
      </c>
      <c r="E87" s="194"/>
      <c r="F87" s="194"/>
    </row>
    <row r="88" spans="1:6" ht="47.25" hidden="1" thickTop="1" thickBot="1" x14ac:dyDescent="0.55000000000000004">
      <c r="A88" s="195" t="s">
        <v>581</v>
      </c>
      <c r="B88" s="195" t="s">
        <v>362</v>
      </c>
      <c r="C88" s="197" t="s">
        <v>363</v>
      </c>
      <c r="D88" s="196">
        <f>SUM(D89)</f>
        <v>0</v>
      </c>
      <c r="E88" s="344" t="b">
        <f>D88='d3'!E208</f>
        <v>1</v>
      </c>
      <c r="F88" s="194"/>
    </row>
    <row r="89" spans="1:6" ht="93" hidden="1" thickTop="1" thickBot="1" x14ac:dyDescent="0.55000000000000004">
      <c r="A89" s="195" t="s">
        <v>576</v>
      </c>
      <c r="B89" s="195"/>
      <c r="C89" s="197" t="s">
        <v>577</v>
      </c>
      <c r="D89" s="196">
        <v>0</v>
      </c>
      <c r="E89" s="194"/>
      <c r="F89" s="194"/>
    </row>
    <row r="90" spans="1:6" ht="47.25" hidden="1" thickTop="1" thickBot="1" x14ac:dyDescent="0.55000000000000004">
      <c r="A90" s="195" t="s">
        <v>1078</v>
      </c>
      <c r="B90" s="195" t="s">
        <v>362</v>
      </c>
      <c r="C90" s="197" t="s">
        <v>363</v>
      </c>
      <c r="D90" s="196">
        <v>0</v>
      </c>
      <c r="E90" s="344" t="b">
        <f>D90='d3'!E244</f>
        <v>1</v>
      </c>
      <c r="F90" s="194"/>
    </row>
    <row r="91" spans="1:6" ht="47.25" hidden="1" thickTop="1" thickBot="1" x14ac:dyDescent="0.55000000000000004">
      <c r="A91" s="126" t="s">
        <v>895</v>
      </c>
      <c r="B91" s="126" t="s">
        <v>362</v>
      </c>
      <c r="C91" s="416" t="s">
        <v>363</v>
      </c>
      <c r="D91" s="193"/>
      <c r="E91" s="344" t="b">
        <f>D91='d3'!E381</f>
        <v>1</v>
      </c>
      <c r="F91" s="194"/>
    </row>
    <row r="92" spans="1:6" ht="47.25" hidden="1" thickTop="1" thickBot="1" x14ac:dyDescent="0.55000000000000004">
      <c r="A92" s="126" t="s">
        <v>1255</v>
      </c>
      <c r="B92" s="126"/>
      <c r="C92" s="416" t="s">
        <v>603</v>
      </c>
      <c r="D92" s="193">
        <f>SUM(D90:D91)</f>
        <v>0</v>
      </c>
      <c r="E92" s="194"/>
      <c r="F92" s="194"/>
    </row>
    <row r="93" spans="1:6" ht="409.6" hidden="1" thickTop="1" thickBot="1" x14ac:dyDescent="0.55000000000000004">
      <c r="A93" s="126" t="s">
        <v>1346</v>
      </c>
      <c r="B93" s="126" t="s">
        <v>1347</v>
      </c>
      <c r="C93" s="416" t="s">
        <v>1345</v>
      </c>
      <c r="D93" s="193">
        <f>(2000000)-2000000</f>
        <v>0</v>
      </c>
      <c r="E93" s="194"/>
      <c r="F93" s="194"/>
    </row>
    <row r="94" spans="1:6" ht="47.25" hidden="1" thickTop="1" thickBot="1" x14ac:dyDescent="0.55000000000000004">
      <c r="A94" s="126" t="s">
        <v>1251</v>
      </c>
      <c r="B94" s="126"/>
      <c r="C94" s="416" t="s">
        <v>570</v>
      </c>
      <c r="D94" s="193">
        <f>D93</f>
        <v>0</v>
      </c>
      <c r="E94" s="194"/>
      <c r="F94" s="194"/>
    </row>
    <row r="95" spans="1:6" ht="47.25" thickTop="1" thickBot="1" x14ac:dyDescent="0.55000000000000004">
      <c r="A95" s="101" t="s">
        <v>597</v>
      </c>
      <c r="B95" s="101" t="s">
        <v>598</v>
      </c>
      <c r="C95" s="633" t="s">
        <v>449</v>
      </c>
      <c r="D95" s="311">
        <f>SUM(D96)</f>
        <v>166190800</v>
      </c>
      <c r="E95" s="525" t="b">
        <f>D95='d3'!E418</f>
        <v>1</v>
      </c>
      <c r="F95" s="194"/>
    </row>
    <row r="96" spans="1:6" ht="47.25" thickTop="1" thickBot="1" x14ac:dyDescent="0.55000000000000004">
      <c r="A96" s="101" t="s">
        <v>1251</v>
      </c>
      <c r="B96" s="101"/>
      <c r="C96" s="633" t="s">
        <v>570</v>
      </c>
      <c r="D96" s="311">
        <v>166190800</v>
      </c>
      <c r="E96" s="194"/>
      <c r="F96" s="194"/>
    </row>
    <row r="97" spans="1:6" ht="51.75" customHeight="1" thickTop="1" thickBot="1" x14ac:dyDescent="0.55000000000000004">
      <c r="A97" s="827" t="s">
        <v>596</v>
      </c>
      <c r="B97" s="828"/>
      <c r="C97" s="828"/>
      <c r="D97" s="829"/>
      <c r="E97" s="194"/>
      <c r="F97" s="194"/>
    </row>
    <row r="98" spans="1:6" ht="69" hidden="1" customHeight="1" thickTop="1" thickBot="1" x14ac:dyDescent="0.55000000000000004">
      <c r="A98" s="126" t="s">
        <v>1437</v>
      </c>
      <c r="B98" s="126" t="s">
        <v>362</v>
      </c>
      <c r="C98" s="416" t="s">
        <v>363</v>
      </c>
      <c r="D98" s="193">
        <f>D99</f>
        <v>0</v>
      </c>
      <c r="E98" s="194"/>
      <c r="F98" s="194"/>
    </row>
    <row r="99" spans="1:6" ht="69" hidden="1" customHeight="1" thickTop="1" thickBot="1" x14ac:dyDescent="0.55000000000000004">
      <c r="A99" s="126" t="s">
        <v>1255</v>
      </c>
      <c r="B99" s="126"/>
      <c r="C99" s="416" t="s">
        <v>603</v>
      </c>
      <c r="D99" s="193">
        <v>0</v>
      </c>
      <c r="E99" s="194"/>
      <c r="F99" s="194"/>
    </row>
    <row r="100" spans="1:6" ht="138.75" hidden="1" thickTop="1" thickBot="1" x14ac:dyDescent="0.55000000000000004">
      <c r="A100" s="126" t="s">
        <v>511</v>
      </c>
      <c r="B100" s="126" t="s">
        <v>512</v>
      </c>
      <c r="C100" s="416" t="s">
        <v>513</v>
      </c>
      <c r="D100" s="193">
        <v>0</v>
      </c>
      <c r="E100" s="525" t="b">
        <f>D100='d3'!J46</f>
        <v>1</v>
      </c>
      <c r="F100" s="194"/>
    </row>
    <row r="101" spans="1:6" ht="138.75" hidden="1" thickTop="1" thickBot="1" x14ac:dyDescent="0.55000000000000004">
      <c r="A101" s="126" t="s">
        <v>1213</v>
      </c>
      <c r="B101" s="126" t="s">
        <v>512</v>
      </c>
      <c r="C101" s="416" t="s">
        <v>513</v>
      </c>
      <c r="D101" s="193">
        <v>0</v>
      </c>
      <c r="E101" s="344" t="b">
        <f>D101='d3'!P391</f>
        <v>1</v>
      </c>
      <c r="F101" s="194"/>
    </row>
    <row r="102" spans="1:6" ht="138.75" hidden="1" thickTop="1" thickBot="1" x14ac:dyDescent="0.55000000000000004">
      <c r="A102" s="126" t="s">
        <v>1213</v>
      </c>
      <c r="B102" s="126" t="s">
        <v>512</v>
      </c>
      <c r="C102" s="416" t="s">
        <v>513</v>
      </c>
      <c r="D102" s="193"/>
      <c r="E102" s="344" t="b">
        <f>D102='d3'!J391</f>
        <v>1</v>
      </c>
      <c r="F102" s="194"/>
    </row>
    <row r="103" spans="1:6" ht="47.25" hidden="1" thickTop="1" thickBot="1" x14ac:dyDescent="0.55000000000000004">
      <c r="A103" s="126" t="s">
        <v>1251</v>
      </c>
      <c r="B103" s="126"/>
      <c r="C103" s="416" t="s">
        <v>570</v>
      </c>
      <c r="D103" s="193">
        <f>D100+D102</f>
        <v>0</v>
      </c>
      <c r="E103" s="194"/>
      <c r="F103" s="194"/>
    </row>
    <row r="104" spans="1:6" ht="47.25" hidden="1" thickTop="1" thickBot="1" x14ac:dyDescent="0.55000000000000004">
      <c r="A104" s="195" t="s">
        <v>1004</v>
      </c>
      <c r="B104" s="195" t="s">
        <v>362</v>
      </c>
      <c r="C104" s="197" t="s">
        <v>363</v>
      </c>
      <c r="D104" s="196">
        <v>0</v>
      </c>
      <c r="E104" s="344" t="b">
        <f>D104='d3'!J102</f>
        <v>1</v>
      </c>
      <c r="F104" s="194"/>
    </row>
    <row r="105" spans="1:6" ht="47.25" hidden="1" thickTop="1" thickBot="1" x14ac:dyDescent="0.55000000000000004">
      <c r="A105" s="195" t="s">
        <v>1078</v>
      </c>
      <c r="B105" s="195" t="s">
        <v>362</v>
      </c>
      <c r="C105" s="197" t="s">
        <v>363</v>
      </c>
      <c r="D105" s="196">
        <v>0</v>
      </c>
      <c r="E105" s="344" t="b">
        <f>D105='d3'!J244</f>
        <v>1</v>
      </c>
      <c r="F105" s="194"/>
    </row>
    <row r="106" spans="1:6" ht="47.25" hidden="1" thickTop="1" thickBot="1" x14ac:dyDescent="0.55000000000000004">
      <c r="A106" s="126" t="s">
        <v>1437</v>
      </c>
      <c r="B106" s="126" t="s">
        <v>362</v>
      </c>
      <c r="C106" s="416" t="s">
        <v>363</v>
      </c>
      <c r="D106" s="193"/>
      <c r="E106" s="344" t="b">
        <f>D106='d3'!J306</f>
        <v>1</v>
      </c>
      <c r="F106" s="194"/>
    </row>
    <row r="107" spans="1:6" ht="47.25" hidden="1" thickTop="1" thickBot="1" x14ac:dyDescent="0.55000000000000004">
      <c r="A107" s="126" t="s">
        <v>895</v>
      </c>
      <c r="B107" s="126" t="s">
        <v>362</v>
      </c>
      <c r="C107" s="416" t="s">
        <v>363</v>
      </c>
      <c r="D107" s="193">
        <v>0</v>
      </c>
      <c r="E107" s="344" t="b">
        <f>D107='d3'!J381</f>
        <v>1</v>
      </c>
      <c r="F107" s="194"/>
    </row>
    <row r="108" spans="1:6" ht="47.25" hidden="1" thickTop="1" thickBot="1" x14ac:dyDescent="0.55000000000000004">
      <c r="A108" s="126" t="s">
        <v>1255</v>
      </c>
      <c r="B108" s="126"/>
      <c r="C108" s="416" t="s">
        <v>603</v>
      </c>
      <c r="D108" s="193">
        <f>SUM(D104:D107)</f>
        <v>0</v>
      </c>
      <c r="E108" s="194"/>
      <c r="F108" s="194"/>
    </row>
    <row r="109" spans="1:6" ht="47.25" hidden="1" customHeight="1" thickTop="1" thickBot="1" x14ac:dyDescent="0.55000000000000004">
      <c r="A109" s="411"/>
      <c r="B109" s="411"/>
      <c r="C109" s="413"/>
      <c r="D109" s="417"/>
      <c r="E109" s="194"/>
      <c r="F109" s="194"/>
    </row>
    <row r="110" spans="1:6" ht="84.75" customHeight="1" thickTop="1" thickBot="1" x14ac:dyDescent="0.25">
      <c r="A110" s="634" t="s">
        <v>380</v>
      </c>
      <c r="B110" s="634" t="s">
        <v>380</v>
      </c>
      <c r="C110" s="636" t="s">
        <v>592</v>
      </c>
      <c r="D110" s="635">
        <f>D76+D77+D79+D87+D89+D92+D96+D103+D108+D94+D83+D99+D81</f>
        <v>232716600</v>
      </c>
      <c r="E110" s="526" t="b">
        <f>D110=D111+D112</f>
        <v>1</v>
      </c>
      <c r="F110" s="526" t="b">
        <f>D110=D95+'d7'!G45+'d7'!G46+'d7'!G47+'d7'!G48+'d7'!G49+'d7'!G50+'d7'!G51+'d7'!G52+'d7'!G53+'d7'!G55+'d7'!G56+'d7'!G328+'d7'!G351+'d7'!G43+'d7'!G44+'d7'!G57+'d7'!G344+'d7'!G288+'d7'!G54+'d7'!G218</f>
        <v>1</v>
      </c>
    </row>
    <row r="111" spans="1:6" ht="47.25" thickTop="1" thickBot="1" x14ac:dyDescent="0.55000000000000004">
      <c r="A111" s="101" t="s">
        <v>380</v>
      </c>
      <c r="B111" s="101" t="s">
        <v>380</v>
      </c>
      <c r="C111" s="633" t="s">
        <v>385</v>
      </c>
      <c r="D111" s="311">
        <f>'d3'!E42+'d3'!E360+'d3'!E390+'d3'!E416+'d3'!E381+'d3'!E306+'d3'!E244</f>
        <v>232716600</v>
      </c>
      <c r="E111" s="526" t="b">
        <f>D111=D75+D78+D88+D91+D95+D84+D90+D86+D85+D93+D82+D80</f>
        <v>1</v>
      </c>
      <c r="F111" s="418"/>
    </row>
    <row r="112" spans="1:6" ht="47.25" thickTop="1" thickBot="1" x14ac:dyDescent="0.55000000000000004">
      <c r="A112" s="101" t="s">
        <v>380</v>
      </c>
      <c r="B112" s="101" t="s">
        <v>380</v>
      </c>
      <c r="C112" s="633" t="s">
        <v>386</v>
      </c>
      <c r="D112" s="311">
        <f>'d3'!J42+'d3'!J360+'d3'!J390+'d3'!J416+'d3'!J306</f>
        <v>0</v>
      </c>
      <c r="E112" s="526" t="b">
        <f>D112=D102+D100+D106+D98</f>
        <v>1</v>
      </c>
      <c r="F112" s="418"/>
    </row>
    <row r="113" spans="1:12" ht="91.5" customHeight="1" thickTop="1" x14ac:dyDescent="0.2">
      <c r="A113" s="15"/>
      <c r="B113" s="16"/>
      <c r="C113" s="16"/>
      <c r="D113" s="16"/>
      <c r="E113" s="13"/>
      <c r="F113" s="13"/>
    </row>
    <row r="114" spans="1:12" ht="45.75" x14ac:dyDescent="0.65">
      <c r="A114" s="15"/>
      <c r="B114" s="852" t="s">
        <v>1432</v>
      </c>
      <c r="C114" s="726"/>
      <c r="D114" s="2" t="s">
        <v>1433</v>
      </c>
      <c r="E114" s="366"/>
      <c r="F114" s="198"/>
      <c r="G114" s="199"/>
      <c r="H114" s="198"/>
      <c r="I114" s="198"/>
      <c r="J114" s="200"/>
      <c r="K114" s="200"/>
      <c r="L114" s="200"/>
    </row>
    <row r="115" spans="1:12" ht="45.75" hidden="1" x14ac:dyDescent="0.65">
      <c r="A115" s="15"/>
      <c r="B115" s="3" t="s">
        <v>1398</v>
      </c>
      <c r="C115" s="312"/>
      <c r="D115" s="3" t="s">
        <v>1399</v>
      </c>
      <c r="E115" s="366"/>
      <c r="F115" s="198"/>
      <c r="G115" s="199"/>
      <c r="H115" s="198"/>
      <c r="I115" s="198"/>
      <c r="J115" s="200"/>
      <c r="K115" s="200"/>
      <c r="L115" s="200"/>
    </row>
    <row r="116" spans="1:12" ht="27.75" customHeight="1" x14ac:dyDescent="0.65">
      <c r="A116" s="76"/>
      <c r="B116" s="3"/>
      <c r="C116" s="3"/>
      <c r="D116" s="3"/>
      <c r="E116" s="367"/>
      <c r="F116" s="13"/>
    </row>
    <row r="117" spans="1:12" ht="42" customHeight="1" x14ac:dyDescent="0.65">
      <c r="A117" s="75"/>
      <c r="B117" s="852" t="s">
        <v>519</v>
      </c>
      <c r="C117" s="726"/>
      <c r="D117" s="3" t="s">
        <v>1304</v>
      </c>
      <c r="E117" s="367"/>
      <c r="F117" s="409"/>
      <c r="G117" s="408"/>
      <c r="H117" s="409"/>
      <c r="I117" s="409"/>
    </row>
    <row r="118" spans="1:12" ht="45.75" x14ac:dyDescent="0.65">
      <c r="A118" s="189"/>
      <c r="B118" s="844"/>
      <c r="C118" s="845"/>
      <c r="D118" s="198"/>
      <c r="E118" s="13"/>
      <c r="F118" s="13"/>
    </row>
    <row r="119" spans="1:12" ht="45.75" x14ac:dyDescent="0.65">
      <c r="A119" s="189"/>
      <c r="B119" s="853"/>
      <c r="C119" s="853"/>
      <c r="D119" s="853"/>
      <c r="E119" s="13"/>
      <c r="F119" s="13"/>
    </row>
    <row r="122" spans="1:12" x14ac:dyDescent="0.2">
      <c r="A122" s="191"/>
      <c r="B122" s="191"/>
      <c r="C122" s="191"/>
    </row>
    <row r="124" spans="1:12" x14ac:dyDescent="0.2">
      <c r="A124" s="191"/>
      <c r="B124" s="191"/>
      <c r="C124" s="191"/>
    </row>
    <row r="128" spans="1:12" x14ac:dyDescent="0.2">
      <c r="A128" s="191"/>
      <c r="B128" s="191"/>
      <c r="C128" s="191"/>
      <c r="D128" s="191"/>
    </row>
    <row r="129" s="191" customFormat="1" x14ac:dyDescent="0.2"/>
    <row r="130" s="191" customFormat="1" x14ac:dyDescent="0.2"/>
    <row r="131" s="191" customFormat="1" x14ac:dyDescent="0.2"/>
  </sheetData>
  <mergeCells count="79">
    <mergeCell ref="B48:C48"/>
    <mergeCell ref="B50:C50"/>
    <mergeCell ref="B119:D119"/>
    <mergeCell ref="A74:D74"/>
    <mergeCell ref="A97:D97"/>
    <mergeCell ref="B57:C57"/>
    <mergeCell ref="B66:C66"/>
    <mergeCell ref="B67:C67"/>
    <mergeCell ref="B65:C65"/>
    <mergeCell ref="B58:C58"/>
    <mergeCell ref="B62:C62"/>
    <mergeCell ref="A70:D70"/>
    <mergeCell ref="B63:C63"/>
    <mergeCell ref="B64:C64"/>
    <mergeCell ref="B59:C59"/>
    <mergeCell ref="B117:C117"/>
    <mergeCell ref="B118:C118"/>
    <mergeCell ref="B51:C51"/>
    <mergeCell ref="B52:C52"/>
    <mergeCell ref="B54:C54"/>
    <mergeCell ref="B55:C55"/>
    <mergeCell ref="B56:C56"/>
    <mergeCell ref="A53:D53"/>
    <mergeCell ref="B60:C60"/>
    <mergeCell ref="B114:C114"/>
    <mergeCell ref="B61:C61"/>
    <mergeCell ref="B47:C47"/>
    <mergeCell ref="B29:C29"/>
    <mergeCell ref="B31:C31"/>
    <mergeCell ref="B30:C30"/>
    <mergeCell ref="B41:C41"/>
    <mergeCell ref="B43:C43"/>
    <mergeCell ref="B32:C32"/>
    <mergeCell ref="B33:C33"/>
    <mergeCell ref="B36:C36"/>
    <mergeCell ref="B46:C46"/>
    <mergeCell ref="B39:C39"/>
    <mergeCell ref="B37:C37"/>
    <mergeCell ref="B34:C34"/>
    <mergeCell ref="B35:C35"/>
    <mergeCell ref="N3:O3"/>
    <mergeCell ref="N4:O4"/>
    <mergeCell ref="N5:O5"/>
    <mergeCell ref="A6:D6"/>
    <mergeCell ref="A7:D7"/>
    <mergeCell ref="A5:D5"/>
    <mergeCell ref="B20:C20"/>
    <mergeCell ref="B17:C17"/>
    <mergeCell ref="B27:C27"/>
    <mergeCell ref="B28:C28"/>
    <mergeCell ref="B21:C21"/>
    <mergeCell ref="B25:C25"/>
    <mergeCell ref="B18:C18"/>
    <mergeCell ref="B23:C23"/>
    <mergeCell ref="B24:C24"/>
    <mergeCell ref="B22:C22"/>
    <mergeCell ref="B26:C26"/>
    <mergeCell ref="B19:C19"/>
    <mergeCell ref="A9:D9"/>
    <mergeCell ref="A13:D13"/>
    <mergeCell ref="B11:C11"/>
    <mergeCell ref="B12:C12"/>
    <mergeCell ref="B14:C14"/>
    <mergeCell ref="B15:C15"/>
    <mergeCell ref="B16:C16"/>
    <mergeCell ref="B49:C49"/>
    <mergeCell ref="A32:A33"/>
    <mergeCell ref="D32:D33"/>
    <mergeCell ref="B38:C38"/>
    <mergeCell ref="B44:C44"/>
    <mergeCell ref="A44:A45"/>
    <mergeCell ref="D44:D45"/>
    <mergeCell ref="B45:C45"/>
    <mergeCell ref="A34:A35"/>
    <mergeCell ref="D34:D35"/>
    <mergeCell ref="A36:A37"/>
    <mergeCell ref="D36:D37"/>
    <mergeCell ref="B40:C40"/>
    <mergeCell ref="B42:C42"/>
  </mergeCells>
  <pageMargins left="0.23622047244094491" right="0.27559055118110237" top="0.27559055118110237" bottom="0.15748031496062992" header="0.23622047244094491" footer="0.27559055118110237"/>
  <pageSetup paperSize="9" scale="30" fitToHeight="0" orientation="portrait" verticalDpi="4294967295" r:id="rId1"/>
  <headerFooter alignWithMargins="0">
    <oddFooter>&amp;C&amp;"Times New Roman Cyr,курсив"Сторінка &amp;P з &amp;N</oddFooter>
  </headerFooter>
  <rowBreaks count="1" manualBreakCount="1">
    <brk id="11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5"/>
  <sheetViews>
    <sheetView view="pageBreakPreview" topLeftCell="B1" zoomScale="55" zoomScaleNormal="40" zoomScaleSheetLayoutView="55" workbookViewId="0">
      <pane ySplit="10" topLeftCell="A107" activePane="bottomLeft" state="frozen"/>
      <selection activeCell="G144" sqref="G144"/>
      <selection pane="bottomLeft" activeCell="G25" sqref="G25"/>
    </sheetView>
  </sheetViews>
  <sheetFormatPr defaultColWidth="7.85546875" defaultRowHeight="12.75" x14ac:dyDescent="0.2"/>
  <cols>
    <col min="1" max="1" width="3.28515625" style="167" hidden="1" customWidth="1"/>
    <col min="2" max="3" width="15.42578125" style="11" customWidth="1"/>
    <col min="4" max="4" width="16.85546875" style="11" customWidth="1"/>
    <col min="5" max="5" width="41.5703125" style="11" customWidth="1"/>
    <col min="6" max="6" width="48.7109375" style="11" customWidth="1"/>
    <col min="7" max="8" width="18.140625" style="249" customWidth="1"/>
    <col min="9" max="9" width="20.28515625" style="249" customWidth="1"/>
    <col min="10" max="10" width="23" style="249" customWidth="1"/>
    <col min="11" max="11" width="18.140625" style="249" customWidth="1"/>
    <col min="12" max="14" width="15.42578125" style="167" bestFit="1" customWidth="1"/>
    <col min="15" max="15" width="12.7109375" style="167" customWidth="1"/>
    <col min="16" max="16384" width="7.85546875" style="167"/>
  </cols>
  <sheetData>
    <row r="1" spans="1:18" s="245" customFormat="1" ht="22.7" customHeight="1" x14ac:dyDescent="0.25">
      <c r="B1" s="859"/>
      <c r="C1" s="859"/>
      <c r="D1" s="859"/>
      <c r="E1" s="859"/>
      <c r="F1" s="859"/>
      <c r="G1" s="859"/>
      <c r="H1" s="859"/>
      <c r="I1" s="859"/>
      <c r="J1" s="859"/>
      <c r="K1" s="859"/>
    </row>
    <row r="2" spans="1:18" ht="41.25" customHeight="1" x14ac:dyDescent="0.2">
      <c r="B2" s="321"/>
      <c r="C2" s="321"/>
      <c r="D2" s="321"/>
      <c r="E2" s="321"/>
      <c r="F2" s="321"/>
      <c r="G2" s="816" t="s">
        <v>1571</v>
      </c>
      <c r="H2" s="816"/>
      <c r="I2" s="816"/>
      <c r="J2" s="816"/>
      <c r="K2" s="816"/>
    </row>
    <row r="3" spans="1:18" ht="29.25" customHeight="1" x14ac:dyDescent="0.2">
      <c r="B3" s="321"/>
      <c r="C3" s="321"/>
      <c r="D3" s="321"/>
      <c r="E3" s="321"/>
      <c r="F3" s="321"/>
      <c r="G3" s="322"/>
      <c r="H3" s="322"/>
      <c r="I3" s="322"/>
      <c r="J3" s="322"/>
      <c r="K3" s="322"/>
    </row>
    <row r="4" spans="1:18" ht="31.7" customHeight="1" x14ac:dyDescent="0.2">
      <c r="B4" s="860" t="s">
        <v>1082</v>
      </c>
      <c r="C4" s="811"/>
      <c r="D4" s="811"/>
      <c r="E4" s="811"/>
      <c r="F4" s="811"/>
      <c r="G4" s="811"/>
      <c r="H4" s="811"/>
      <c r="I4" s="811"/>
      <c r="J4" s="811"/>
      <c r="K4" s="811"/>
    </row>
    <row r="5" spans="1:18" ht="31.7" customHeight="1" x14ac:dyDescent="0.2">
      <c r="B5" s="860" t="s">
        <v>1083</v>
      </c>
      <c r="C5" s="811"/>
      <c r="D5" s="811"/>
      <c r="E5" s="811"/>
      <c r="F5" s="811"/>
      <c r="G5" s="811"/>
      <c r="H5" s="811"/>
      <c r="I5" s="811"/>
      <c r="J5" s="811"/>
      <c r="K5" s="811"/>
    </row>
    <row r="6" spans="1:18" ht="24.75" customHeight="1" x14ac:dyDescent="0.2">
      <c r="B6" s="860" t="s">
        <v>1579</v>
      </c>
      <c r="C6" s="811"/>
      <c r="D6" s="811"/>
      <c r="E6" s="811"/>
      <c r="F6" s="811"/>
      <c r="G6" s="811"/>
      <c r="H6" s="811"/>
      <c r="I6" s="811"/>
      <c r="J6" s="811"/>
      <c r="K6" s="811"/>
    </row>
    <row r="7" spans="1:18" ht="18.75" x14ac:dyDescent="0.2">
      <c r="B7" s="801">
        <v>2256400000</v>
      </c>
      <c r="C7" s="802"/>
      <c r="D7" s="323"/>
      <c r="E7" s="323"/>
      <c r="F7" s="323"/>
      <c r="G7" s="323"/>
      <c r="H7" s="323"/>
      <c r="I7" s="323"/>
      <c r="J7" s="323"/>
      <c r="K7" s="323"/>
    </row>
    <row r="8" spans="1:18" ht="19.5" thickBot="1" x14ac:dyDescent="0.25">
      <c r="B8" s="803" t="s">
        <v>488</v>
      </c>
      <c r="C8" s="804"/>
      <c r="D8" s="323"/>
      <c r="E8" s="323"/>
      <c r="F8" s="323"/>
      <c r="G8" s="323"/>
      <c r="H8" s="323"/>
      <c r="I8" s="323"/>
      <c r="J8" s="323"/>
      <c r="K8" s="323"/>
    </row>
    <row r="9" spans="1:18" ht="120" customHeight="1" thickTop="1" thickBot="1" x14ac:dyDescent="0.25">
      <c r="A9" s="326"/>
      <c r="B9" s="324" t="s">
        <v>489</v>
      </c>
      <c r="C9" s="324" t="s">
        <v>490</v>
      </c>
      <c r="D9" s="324" t="s">
        <v>389</v>
      </c>
      <c r="E9" s="324" t="s">
        <v>569</v>
      </c>
      <c r="F9" s="325" t="s">
        <v>1084</v>
      </c>
      <c r="G9" s="325" t="s">
        <v>1085</v>
      </c>
      <c r="H9" s="325" t="s">
        <v>1086</v>
      </c>
      <c r="I9" s="325" t="s">
        <v>1087</v>
      </c>
      <c r="J9" s="325" t="s">
        <v>1582</v>
      </c>
      <c r="K9" s="325" t="s">
        <v>1583</v>
      </c>
      <c r="L9" s="202"/>
      <c r="M9" s="202"/>
      <c r="N9" s="202"/>
      <c r="O9" s="202"/>
      <c r="P9" s="202"/>
      <c r="Q9" s="202"/>
      <c r="R9" s="202"/>
    </row>
    <row r="10" spans="1:18" ht="16.5" thickTop="1" thickBot="1" x14ac:dyDescent="0.25">
      <c r="A10" s="326"/>
      <c r="B10" s="324">
        <v>1</v>
      </c>
      <c r="C10" s="324">
        <v>2</v>
      </c>
      <c r="D10" s="324">
        <v>3</v>
      </c>
      <c r="E10" s="324">
        <v>4</v>
      </c>
      <c r="F10" s="324">
        <v>5</v>
      </c>
      <c r="G10" s="324">
        <v>6</v>
      </c>
      <c r="H10" s="324">
        <v>7</v>
      </c>
      <c r="I10" s="324">
        <v>8</v>
      </c>
      <c r="J10" s="324">
        <v>9</v>
      </c>
      <c r="K10" s="324">
        <v>10</v>
      </c>
      <c r="L10" s="202"/>
      <c r="M10" s="202"/>
      <c r="N10" s="202"/>
      <c r="O10" s="202"/>
      <c r="P10" s="202"/>
      <c r="Q10" s="202"/>
      <c r="R10" s="202"/>
    </row>
    <row r="11" spans="1:18" ht="31.5" hidden="1" thickTop="1" thickBot="1" x14ac:dyDescent="0.25">
      <c r="B11" s="203" t="s">
        <v>148</v>
      </c>
      <c r="C11" s="203"/>
      <c r="D11" s="203"/>
      <c r="E11" s="204" t="s">
        <v>150</v>
      </c>
      <c r="F11" s="203"/>
      <c r="G11" s="203"/>
      <c r="H11" s="203"/>
      <c r="I11" s="204"/>
      <c r="J11" s="205">
        <f>J12</f>
        <v>0</v>
      </c>
      <c r="K11" s="203"/>
      <c r="L11" s="202"/>
      <c r="M11" s="202"/>
      <c r="N11" s="202"/>
      <c r="O11" s="202"/>
      <c r="P11" s="202"/>
      <c r="Q11" s="202"/>
      <c r="R11" s="202"/>
    </row>
    <row r="12" spans="1:18" ht="44.25" hidden="1" thickTop="1" thickBot="1" x14ac:dyDescent="0.25">
      <c r="B12" s="206" t="s">
        <v>149</v>
      </c>
      <c r="C12" s="206"/>
      <c r="D12" s="206"/>
      <c r="E12" s="207" t="s">
        <v>151</v>
      </c>
      <c r="F12" s="206"/>
      <c r="G12" s="206"/>
      <c r="H12" s="206"/>
      <c r="I12" s="207"/>
      <c r="J12" s="208">
        <f>SUM(J13:J18)</f>
        <v>0</v>
      </c>
      <c r="K12" s="206"/>
      <c r="L12" s="202"/>
      <c r="M12" s="202"/>
      <c r="N12" s="202"/>
      <c r="O12" s="202"/>
      <c r="P12" s="202"/>
      <c r="Q12" s="202"/>
      <c r="R12" s="202"/>
    </row>
    <row r="13" spans="1:18" ht="76.5" hidden="1" thickTop="1" thickBot="1" x14ac:dyDescent="0.25">
      <c r="B13" s="209" t="s">
        <v>232</v>
      </c>
      <c r="C13" s="209" t="s">
        <v>233</v>
      </c>
      <c r="D13" s="209" t="s">
        <v>234</v>
      </c>
      <c r="E13" s="209" t="s">
        <v>231</v>
      </c>
      <c r="F13" s="210" t="s">
        <v>516</v>
      </c>
      <c r="G13" s="211"/>
      <c r="H13" s="212"/>
      <c r="I13" s="211"/>
      <c r="J13" s="213"/>
      <c r="K13" s="213"/>
      <c r="L13" s="202"/>
      <c r="M13" s="202"/>
      <c r="N13" s="202"/>
      <c r="O13" s="202"/>
      <c r="P13" s="202"/>
      <c r="Q13" s="202"/>
      <c r="R13" s="202"/>
    </row>
    <row r="14" spans="1:18" ht="76.5" hidden="1" thickTop="1" thickBot="1" x14ac:dyDescent="0.25">
      <c r="B14" s="209" t="s">
        <v>232</v>
      </c>
      <c r="C14" s="209" t="s">
        <v>233</v>
      </c>
      <c r="D14" s="209" t="s">
        <v>234</v>
      </c>
      <c r="E14" s="209" t="s">
        <v>231</v>
      </c>
      <c r="F14" s="210" t="s">
        <v>1062</v>
      </c>
      <c r="G14" s="214" t="s">
        <v>554</v>
      </c>
      <c r="H14" s="215"/>
      <c r="I14" s="216"/>
      <c r="J14" s="213"/>
      <c r="K14" s="216"/>
      <c r="L14" s="202"/>
      <c r="M14" s="202"/>
      <c r="N14" s="202"/>
      <c r="O14" s="202"/>
      <c r="P14" s="202"/>
      <c r="Q14" s="202"/>
      <c r="R14" s="202"/>
    </row>
    <row r="15" spans="1:18" ht="31.5" hidden="1" thickTop="1" thickBot="1" x14ac:dyDescent="0.25">
      <c r="B15" s="209" t="s">
        <v>238</v>
      </c>
      <c r="C15" s="209" t="s">
        <v>239</v>
      </c>
      <c r="D15" s="209" t="s">
        <v>240</v>
      </c>
      <c r="E15" s="209" t="s">
        <v>237</v>
      </c>
      <c r="F15" s="210" t="s">
        <v>516</v>
      </c>
      <c r="G15" s="211"/>
      <c r="H15" s="212"/>
      <c r="I15" s="211"/>
      <c r="J15" s="213"/>
      <c r="K15" s="213"/>
      <c r="L15" s="202"/>
      <c r="M15" s="202"/>
      <c r="N15" s="202"/>
      <c r="O15" s="202"/>
      <c r="P15" s="202"/>
      <c r="Q15" s="202"/>
      <c r="R15" s="202"/>
    </row>
    <row r="16" spans="1:18" ht="61.5" hidden="1" thickTop="1" thickBot="1" x14ac:dyDescent="0.25">
      <c r="B16" s="209" t="s">
        <v>511</v>
      </c>
      <c r="C16" s="209" t="s">
        <v>512</v>
      </c>
      <c r="D16" s="209" t="s">
        <v>43</v>
      </c>
      <c r="E16" s="209" t="s">
        <v>513</v>
      </c>
      <c r="F16" s="210" t="s">
        <v>516</v>
      </c>
      <c r="G16" s="211"/>
      <c r="H16" s="212"/>
      <c r="I16" s="211"/>
      <c r="J16" s="213"/>
      <c r="K16" s="213"/>
      <c r="L16" s="202"/>
      <c r="M16" s="202"/>
      <c r="N16" s="202"/>
      <c r="O16" s="202"/>
      <c r="P16" s="202"/>
      <c r="Q16" s="202"/>
      <c r="R16" s="202"/>
    </row>
    <row r="17" spans="1:18" ht="151.5" hidden="1" thickTop="1" thickBot="1" x14ac:dyDescent="0.25">
      <c r="B17" s="209" t="s">
        <v>511</v>
      </c>
      <c r="C17" s="209" t="s">
        <v>512</v>
      </c>
      <c r="D17" s="209" t="s">
        <v>43</v>
      </c>
      <c r="E17" s="209" t="s">
        <v>513</v>
      </c>
      <c r="F17" s="210" t="s">
        <v>1075</v>
      </c>
      <c r="G17" s="211"/>
      <c r="H17" s="212"/>
      <c r="I17" s="211"/>
      <c r="J17" s="213"/>
      <c r="K17" s="213"/>
      <c r="L17" s="202"/>
      <c r="M17" s="202"/>
      <c r="N17" s="202"/>
      <c r="O17" s="202"/>
      <c r="P17" s="202"/>
      <c r="Q17" s="202"/>
      <c r="R17" s="202"/>
    </row>
    <row r="18" spans="1:18" ht="61.5" hidden="1" thickTop="1" thickBot="1" x14ac:dyDescent="0.25">
      <c r="B18" s="209" t="s">
        <v>511</v>
      </c>
      <c r="C18" s="209" t="s">
        <v>512</v>
      </c>
      <c r="D18" s="209" t="s">
        <v>43</v>
      </c>
      <c r="E18" s="209" t="s">
        <v>513</v>
      </c>
      <c r="F18" s="210" t="s">
        <v>918</v>
      </c>
      <c r="G18" s="211"/>
      <c r="H18" s="212"/>
      <c r="I18" s="211"/>
      <c r="J18" s="213"/>
      <c r="K18" s="213"/>
      <c r="L18" s="202"/>
      <c r="M18" s="202"/>
      <c r="N18" s="202"/>
      <c r="O18" s="202"/>
      <c r="P18" s="202"/>
      <c r="Q18" s="202"/>
      <c r="R18" s="202"/>
    </row>
    <row r="19" spans="1:18" ht="59.25" customHeight="1" thickTop="1" thickBot="1" x14ac:dyDescent="0.25">
      <c r="A19" s="246"/>
      <c r="B19" s="591" t="s">
        <v>152</v>
      </c>
      <c r="C19" s="591"/>
      <c r="D19" s="591"/>
      <c r="E19" s="592" t="s">
        <v>0</v>
      </c>
      <c r="F19" s="591"/>
      <c r="G19" s="591"/>
      <c r="H19" s="593">
        <f>H20</f>
        <v>97651718</v>
      </c>
      <c r="I19" s="593">
        <f>I20</f>
        <v>60642418.25</v>
      </c>
      <c r="J19" s="593">
        <f>J20</f>
        <v>10000000</v>
      </c>
      <c r="K19" s="648"/>
      <c r="L19" s="202"/>
      <c r="M19" s="202"/>
      <c r="N19" s="202"/>
      <c r="O19" s="202"/>
      <c r="P19" s="202"/>
      <c r="Q19" s="202"/>
      <c r="R19" s="202"/>
    </row>
    <row r="20" spans="1:18" ht="56.25" customHeight="1" thickTop="1" thickBot="1" x14ac:dyDescent="0.25">
      <c r="A20" s="246"/>
      <c r="B20" s="595" t="s">
        <v>153</v>
      </c>
      <c r="C20" s="595"/>
      <c r="D20" s="595"/>
      <c r="E20" s="596" t="s">
        <v>1</v>
      </c>
      <c r="F20" s="595"/>
      <c r="G20" s="595"/>
      <c r="H20" s="649">
        <f>H22+H25+H27</f>
        <v>97651718</v>
      </c>
      <c r="I20" s="649">
        <f>I22+I25+I27</f>
        <v>60642418.25</v>
      </c>
      <c r="J20" s="649">
        <f>J22+J25+J27</f>
        <v>10000000</v>
      </c>
      <c r="K20" s="650"/>
      <c r="L20" s="202"/>
      <c r="M20" s="202"/>
      <c r="N20" s="202"/>
      <c r="O20" s="202"/>
      <c r="P20" s="202"/>
      <c r="Q20" s="202"/>
      <c r="R20" s="202"/>
    </row>
    <row r="21" spans="1:18" ht="61.5" hidden="1" thickTop="1" thickBot="1" x14ac:dyDescent="0.25">
      <c r="A21" s="246"/>
      <c r="B21" s="219" t="s">
        <v>635</v>
      </c>
      <c r="C21" s="219" t="s">
        <v>636</v>
      </c>
      <c r="D21" s="219" t="s">
        <v>204</v>
      </c>
      <c r="E21" s="219" t="s">
        <v>1239</v>
      </c>
      <c r="F21" s="220" t="s">
        <v>1495</v>
      </c>
      <c r="G21" s="221" t="s">
        <v>1545</v>
      </c>
      <c r="H21" s="222">
        <v>4405109</v>
      </c>
      <c r="I21" s="222">
        <f>2110572.76+45090+J21</f>
        <v>3405109</v>
      </c>
      <c r="J21" s="223">
        <f>2249446.24-1000000</f>
        <v>1249446.2400000002</v>
      </c>
      <c r="K21" s="224">
        <f>I21/H21</f>
        <v>0.77299086129310313</v>
      </c>
      <c r="L21" s="202"/>
      <c r="M21" s="202"/>
      <c r="N21" s="202"/>
      <c r="O21" s="202"/>
      <c r="P21" s="202"/>
      <c r="Q21" s="202"/>
      <c r="R21" s="202"/>
    </row>
    <row r="22" spans="1:18" ht="91.5" thickTop="1" thickBot="1" x14ac:dyDescent="0.25">
      <c r="A22" s="326"/>
      <c r="B22" s="616" t="s">
        <v>1351</v>
      </c>
      <c r="C22" s="616" t="s">
        <v>1352</v>
      </c>
      <c r="D22" s="616" t="s">
        <v>210</v>
      </c>
      <c r="E22" s="616" t="s">
        <v>1479</v>
      </c>
      <c r="F22" s="645" t="s">
        <v>1412</v>
      </c>
      <c r="G22" s="646" t="s">
        <v>1575</v>
      </c>
      <c r="H22" s="618">
        <v>41197697</v>
      </c>
      <c r="I22" s="618">
        <f>2323251.03+4691300.88+19000000+J22</f>
        <v>31014551.91</v>
      </c>
      <c r="J22" s="618">
        <v>5000000</v>
      </c>
      <c r="K22" s="647">
        <f>(I22+I23-I23)/H22</f>
        <v>0.75282246747918935</v>
      </c>
      <c r="L22" s="225"/>
      <c r="M22" s="226"/>
      <c r="N22" s="202"/>
      <c r="O22" s="202"/>
      <c r="P22" s="202"/>
      <c r="Q22" s="202"/>
      <c r="R22" s="202"/>
    </row>
    <row r="23" spans="1:18" ht="61.5" hidden="1" thickTop="1" thickBot="1" x14ac:dyDescent="0.25">
      <c r="A23" s="326"/>
      <c r="B23" s="219" t="s">
        <v>1353</v>
      </c>
      <c r="C23" s="219" t="s">
        <v>1354</v>
      </c>
      <c r="D23" s="219" t="s">
        <v>210</v>
      </c>
      <c r="E23" s="219" t="s">
        <v>1355</v>
      </c>
      <c r="F23" s="239" t="s">
        <v>1412</v>
      </c>
      <c r="G23" s="221" t="s">
        <v>1409</v>
      </c>
      <c r="H23" s="222">
        <v>41197697</v>
      </c>
      <c r="I23" s="222">
        <f>J23</f>
        <v>7200000</v>
      </c>
      <c r="J23" s="223">
        <v>7200000</v>
      </c>
      <c r="K23" s="224">
        <f>(I23+I22-I22)/H23</f>
        <v>0.17476705069217816</v>
      </c>
      <c r="L23" s="225"/>
      <c r="M23" s="226"/>
      <c r="N23" s="202"/>
      <c r="O23" s="202"/>
      <c r="P23" s="202"/>
      <c r="Q23" s="202"/>
      <c r="R23" s="202"/>
    </row>
    <row r="24" spans="1:18" ht="76.5" hidden="1" thickTop="1" thickBot="1" x14ac:dyDescent="0.25">
      <c r="A24" s="326"/>
      <c r="B24" s="219" t="s">
        <v>1071</v>
      </c>
      <c r="C24" s="219" t="s">
        <v>310</v>
      </c>
      <c r="D24" s="219" t="s">
        <v>303</v>
      </c>
      <c r="E24" s="219" t="s">
        <v>1203</v>
      </c>
      <c r="F24" s="239" t="s">
        <v>1410</v>
      </c>
      <c r="G24" s="221" t="s">
        <v>1409</v>
      </c>
      <c r="H24" s="222">
        <v>27852755</v>
      </c>
      <c r="I24" s="222">
        <f>4294746.41+J24</f>
        <v>22750013.670000002</v>
      </c>
      <c r="J24" s="222">
        <f>(((5000000)+17260227.26)-400000)-3404960</f>
        <v>18455267.260000002</v>
      </c>
      <c r="K24" s="224">
        <v>1</v>
      </c>
      <c r="L24" s="225"/>
      <c r="M24" s="226"/>
      <c r="N24" s="202"/>
      <c r="O24" s="202"/>
      <c r="P24" s="202"/>
      <c r="Q24" s="202"/>
      <c r="R24" s="202"/>
    </row>
    <row r="25" spans="1:18" ht="91.5" thickTop="1" thickBot="1" x14ac:dyDescent="0.25">
      <c r="A25" s="326"/>
      <c r="B25" s="616" t="s">
        <v>1632</v>
      </c>
      <c r="C25" s="616" t="s">
        <v>1612</v>
      </c>
      <c r="D25" s="616" t="s">
        <v>210</v>
      </c>
      <c r="E25" s="616" t="s">
        <v>1614</v>
      </c>
      <c r="F25" s="645" t="s">
        <v>1496</v>
      </c>
      <c r="G25" s="646" t="s">
        <v>1575</v>
      </c>
      <c r="H25" s="618">
        <v>36421941</v>
      </c>
      <c r="I25" s="618">
        <f>539263.14+15000000+J25</f>
        <v>18539263.140000001</v>
      </c>
      <c r="J25" s="618">
        <v>3000000</v>
      </c>
      <c r="K25" s="647">
        <f>I25/H25</f>
        <v>0.5090135954039352</v>
      </c>
      <c r="L25" s="522"/>
      <c r="M25" s="226"/>
      <c r="N25" s="202"/>
      <c r="O25" s="202"/>
      <c r="P25" s="202"/>
      <c r="Q25" s="202"/>
      <c r="R25" s="202"/>
    </row>
    <row r="26" spans="1:18" ht="91.5" hidden="1" thickTop="1" thickBot="1" x14ac:dyDescent="0.25">
      <c r="A26" s="326"/>
      <c r="B26" s="219" t="s">
        <v>1071</v>
      </c>
      <c r="C26" s="219" t="s">
        <v>310</v>
      </c>
      <c r="D26" s="219" t="s">
        <v>303</v>
      </c>
      <c r="E26" s="219" t="s">
        <v>1203</v>
      </c>
      <c r="F26" s="239" t="s">
        <v>1497</v>
      </c>
      <c r="G26" s="221" t="s">
        <v>1575</v>
      </c>
      <c r="H26" s="222">
        <v>34029512</v>
      </c>
      <c r="I26" s="222">
        <f>466622.37+J26</f>
        <v>914355.77999999991</v>
      </c>
      <c r="J26" s="222">
        <f>(2000000)-1552266.59</f>
        <v>447733.40999999992</v>
      </c>
      <c r="K26" s="224">
        <f t="shared" ref="K26" si="0">I26/H26</f>
        <v>2.6869494337738369E-2</v>
      </c>
      <c r="L26" s="522"/>
      <c r="M26" s="226"/>
      <c r="N26" s="202"/>
      <c r="O26" s="202"/>
      <c r="P26" s="202"/>
      <c r="Q26" s="202"/>
      <c r="R26" s="202"/>
    </row>
    <row r="27" spans="1:18" ht="76.5" thickTop="1" thickBot="1" x14ac:dyDescent="0.25">
      <c r="A27" s="326"/>
      <c r="B27" s="616" t="s">
        <v>1632</v>
      </c>
      <c r="C27" s="616" t="s">
        <v>1612</v>
      </c>
      <c r="D27" s="616" t="s">
        <v>210</v>
      </c>
      <c r="E27" s="616" t="s">
        <v>1614</v>
      </c>
      <c r="F27" s="645" t="s">
        <v>1411</v>
      </c>
      <c r="G27" s="646" t="s">
        <v>1575</v>
      </c>
      <c r="H27" s="618">
        <v>20032080</v>
      </c>
      <c r="I27" s="618">
        <f>588603.2+8500000+J27</f>
        <v>11088603.199999999</v>
      </c>
      <c r="J27" s="618">
        <v>2000000</v>
      </c>
      <c r="K27" s="647">
        <f>I27/H27</f>
        <v>0.55354227818578994</v>
      </c>
      <c r="L27" s="225"/>
      <c r="M27" s="226"/>
      <c r="N27" s="202"/>
      <c r="O27" s="202"/>
      <c r="P27" s="202"/>
      <c r="Q27" s="202"/>
      <c r="R27" s="202"/>
    </row>
    <row r="28" spans="1:18" ht="61.5" hidden="1" thickTop="1" thickBot="1" x14ac:dyDescent="0.25">
      <c r="A28" s="326"/>
      <c r="B28" s="219" t="s">
        <v>1071</v>
      </c>
      <c r="C28" s="219" t="s">
        <v>310</v>
      </c>
      <c r="D28" s="219" t="s">
        <v>303</v>
      </c>
      <c r="E28" s="219" t="s">
        <v>1203</v>
      </c>
      <c r="F28" s="239" t="s">
        <v>1540</v>
      </c>
      <c r="G28" s="221" t="s">
        <v>1409</v>
      </c>
      <c r="H28" s="222">
        <v>128794</v>
      </c>
      <c r="I28" s="222">
        <f>10292.43+J28</f>
        <v>118827</v>
      </c>
      <c r="J28" s="222">
        <v>108534.57</v>
      </c>
      <c r="K28" s="224">
        <v>1</v>
      </c>
      <c r="L28" s="225"/>
      <c r="M28" s="226"/>
      <c r="N28" s="202"/>
      <c r="O28" s="202"/>
      <c r="P28" s="202"/>
      <c r="Q28" s="202"/>
      <c r="R28" s="202"/>
    </row>
    <row r="29" spans="1:18" ht="61.5" hidden="1" thickTop="1" thickBot="1" x14ac:dyDescent="0.25">
      <c r="B29" s="219" t="s">
        <v>1071</v>
      </c>
      <c r="C29" s="219" t="s">
        <v>310</v>
      </c>
      <c r="D29" s="219" t="s">
        <v>303</v>
      </c>
      <c r="E29" s="219" t="s">
        <v>1203</v>
      </c>
      <c r="F29" s="220" t="s">
        <v>1101</v>
      </c>
      <c r="G29" s="221" t="s">
        <v>976</v>
      </c>
      <c r="H29" s="222">
        <v>4179432</v>
      </c>
      <c r="I29" s="223">
        <f>(49000)+13800</f>
        <v>62800</v>
      </c>
      <c r="J29" s="223">
        <f>(700000)-700000</f>
        <v>0</v>
      </c>
      <c r="K29" s="224">
        <f>(J29+I29)/H29</f>
        <v>1.5025965250780489E-2</v>
      </c>
      <c r="L29" s="227"/>
      <c r="M29" s="226"/>
      <c r="N29" s="202"/>
      <c r="O29" s="202"/>
      <c r="P29" s="202"/>
      <c r="Q29" s="202"/>
      <c r="R29" s="202"/>
    </row>
    <row r="30" spans="1:18" ht="57" hidden="1" customHeight="1" thickTop="1" thickBot="1" x14ac:dyDescent="0.25">
      <c r="B30" s="552" t="s">
        <v>154</v>
      </c>
      <c r="C30" s="552"/>
      <c r="D30" s="552"/>
      <c r="E30" s="553" t="s">
        <v>18</v>
      </c>
      <c r="F30" s="552"/>
      <c r="G30" s="552"/>
      <c r="H30" s="554">
        <f>H31</f>
        <v>62285420.57</v>
      </c>
      <c r="I30" s="554">
        <f>I31</f>
        <v>33072477.539999999</v>
      </c>
      <c r="J30" s="554">
        <f>J31</f>
        <v>8044424.9900000002</v>
      </c>
      <c r="K30" s="555"/>
      <c r="L30" s="202"/>
      <c r="M30" s="202"/>
      <c r="N30" s="202"/>
      <c r="O30" s="202"/>
      <c r="P30" s="202"/>
      <c r="Q30" s="202"/>
      <c r="R30" s="202"/>
    </row>
    <row r="31" spans="1:18" ht="44.25" hidden="1" customHeight="1" thickTop="1" thickBot="1" x14ac:dyDescent="0.25">
      <c r="B31" s="556" t="s">
        <v>155</v>
      </c>
      <c r="C31" s="556"/>
      <c r="D31" s="556"/>
      <c r="E31" s="557" t="s">
        <v>36</v>
      </c>
      <c r="F31" s="556"/>
      <c r="G31" s="556"/>
      <c r="H31" s="558">
        <f>H34+H33</f>
        <v>62285420.57</v>
      </c>
      <c r="I31" s="558">
        <f>I34+I33</f>
        <v>33072477.539999999</v>
      </c>
      <c r="J31" s="558">
        <f>J34+J33</f>
        <v>8044424.9900000002</v>
      </c>
      <c r="K31" s="559"/>
      <c r="L31" s="202"/>
      <c r="M31" s="202"/>
      <c r="N31" s="202"/>
      <c r="O31" s="202"/>
      <c r="P31" s="202"/>
      <c r="Q31" s="202"/>
      <c r="R31" s="202"/>
    </row>
    <row r="32" spans="1:18" ht="76.5" hidden="1" customHeight="1" thickTop="1" thickBot="1" x14ac:dyDescent="0.25">
      <c r="B32" s="209" t="s">
        <v>414</v>
      </c>
      <c r="C32" s="209" t="s">
        <v>236</v>
      </c>
      <c r="D32" s="209" t="s">
        <v>234</v>
      </c>
      <c r="E32" s="209" t="s">
        <v>235</v>
      </c>
      <c r="F32" s="210" t="s">
        <v>1063</v>
      </c>
      <c r="G32" s="214" t="s">
        <v>1064</v>
      </c>
      <c r="H32" s="215"/>
      <c r="I32" s="216"/>
      <c r="J32" s="213"/>
      <c r="K32" s="216"/>
      <c r="L32" s="202"/>
      <c r="M32" s="202"/>
      <c r="N32" s="202"/>
      <c r="O32" s="202"/>
      <c r="P32" s="202"/>
      <c r="Q32" s="202"/>
      <c r="R32" s="202"/>
    </row>
    <row r="33" spans="1:18" ht="91.5" hidden="1" customHeight="1" thickTop="1" thickBot="1" x14ac:dyDescent="0.25">
      <c r="B33" s="219" t="s">
        <v>214</v>
      </c>
      <c r="C33" s="219" t="s">
        <v>211</v>
      </c>
      <c r="D33" s="219" t="s">
        <v>215</v>
      </c>
      <c r="E33" s="219" t="s">
        <v>19</v>
      </c>
      <c r="F33" s="228" t="s">
        <v>1546</v>
      </c>
      <c r="G33" s="221" t="s">
        <v>1545</v>
      </c>
      <c r="H33" s="222">
        <v>54511993</v>
      </c>
      <c r="I33" s="222">
        <f>21251040+J33</f>
        <v>27251040</v>
      </c>
      <c r="J33" s="223">
        <f>(2000000)+3000000+1000000</f>
        <v>6000000</v>
      </c>
      <c r="K33" s="224">
        <f t="shared" ref="K33" si="1">I33/H33</f>
        <v>0.49990907505436466</v>
      </c>
      <c r="L33" s="202"/>
      <c r="M33" s="202"/>
      <c r="N33" s="202"/>
      <c r="O33" s="202"/>
      <c r="P33" s="202"/>
      <c r="Q33" s="202"/>
      <c r="R33" s="202"/>
    </row>
    <row r="34" spans="1:18" ht="151.5" hidden="1" customHeight="1" thickTop="1" thickBot="1" x14ac:dyDescent="0.25">
      <c r="B34" s="219" t="s">
        <v>1145</v>
      </c>
      <c r="C34" s="219" t="s">
        <v>1146</v>
      </c>
      <c r="D34" s="219" t="s">
        <v>303</v>
      </c>
      <c r="E34" s="219" t="s">
        <v>1204</v>
      </c>
      <c r="F34" s="228" t="s">
        <v>1485</v>
      </c>
      <c r="G34" s="221" t="s">
        <v>1409</v>
      </c>
      <c r="H34" s="222">
        <v>7773427.5700000003</v>
      </c>
      <c r="I34" s="222">
        <f>3730838.96+46173.59+J34</f>
        <v>5821437.54</v>
      </c>
      <c r="J34" s="223">
        <f>((0)+2058924.99)-14500</f>
        <v>2044424.99</v>
      </c>
      <c r="K34" s="224">
        <v>1</v>
      </c>
      <c r="L34" s="202"/>
      <c r="M34" s="202"/>
      <c r="N34" s="202"/>
      <c r="O34" s="202"/>
      <c r="P34" s="202"/>
      <c r="Q34" s="202"/>
      <c r="R34" s="202"/>
    </row>
    <row r="35" spans="1:18" ht="76.5" hidden="1" thickTop="1" thickBot="1" x14ac:dyDescent="0.25">
      <c r="B35" s="219" t="s">
        <v>1145</v>
      </c>
      <c r="C35" s="219" t="s">
        <v>1146</v>
      </c>
      <c r="D35" s="219" t="s">
        <v>303</v>
      </c>
      <c r="E35" s="219" t="s">
        <v>1204</v>
      </c>
      <c r="F35" s="228" t="s">
        <v>1221</v>
      </c>
      <c r="G35" s="221" t="s">
        <v>1227</v>
      </c>
      <c r="H35" s="222">
        <v>20032733</v>
      </c>
      <c r="I35" s="222">
        <f>0+J35</f>
        <v>18828250</v>
      </c>
      <c r="J35" s="223">
        <f>(11239495)+7588755</f>
        <v>18828250</v>
      </c>
      <c r="K35" s="224">
        <v>1</v>
      </c>
      <c r="L35" s="332" t="s">
        <v>1234</v>
      </c>
      <c r="M35" s="202"/>
      <c r="N35" s="202"/>
      <c r="O35" s="202"/>
      <c r="P35" s="202"/>
      <c r="Q35" s="202"/>
      <c r="R35" s="202"/>
    </row>
    <row r="36" spans="1:18" ht="76.5" hidden="1" thickTop="1" thickBot="1" x14ac:dyDescent="0.25">
      <c r="B36" s="219" t="s">
        <v>1145</v>
      </c>
      <c r="C36" s="219" t="s">
        <v>1146</v>
      </c>
      <c r="D36" s="219" t="s">
        <v>303</v>
      </c>
      <c r="E36" s="219" t="s">
        <v>1204</v>
      </c>
      <c r="F36" s="228" t="s">
        <v>1147</v>
      </c>
      <c r="G36" s="221" t="s">
        <v>1104</v>
      </c>
      <c r="H36" s="222">
        <v>300000</v>
      </c>
      <c r="I36" s="222">
        <v>0</v>
      </c>
      <c r="J36" s="223"/>
      <c r="K36" s="224">
        <f>(J36+I36)/H36</f>
        <v>0</v>
      </c>
      <c r="L36" s="202"/>
      <c r="M36" s="202"/>
      <c r="N36" s="202"/>
      <c r="O36" s="202"/>
      <c r="P36" s="202"/>
      <c r="Q36" s="202"/>
      <c r="R36" s="202"/>
    </row>
    <row r="37" spans="1:18" ht="65.099999999999994" customHeight="1" thickTop="1" thickBot="1" x14ac:dyDescent="0.25">
      <c r="B37" s="591" t="s">
        <v>156</v>
      </c>
      <c r="C37" s="591"/>
      <c r="D37" s="591"/>
      <c r="E37" s="592" t="s">
        <v>37</v>
      </c>
      <c r="F37" s="591"/>
      <c r="G37" s="591"/>
      <c r="H37" s="593">
        <f t="shared" ref="H37:J37" si="2">H38</f>
        <v>48608039</v>
      </c>
      <c r="I37" s="593">
        <f t="shared" si="2"/>
        <v>28563137.23</v>
      </c>
      <c r="J37" s="593">
        <f t="shared" si="2"/>
        <v>9560281</v>
      </c>
      <c r="K37" s="648"/>
      <c r="L37" s="202"/>
      <c r="M37" s="202"/>
      <c r="N37" s="202"/>
      <c r="O37" s="202"/>
      <c r="P37" s="202"/>
      <c r="Q37" s="202"/>
      <c r="R37" s="202"/>
    </row>
    <row r="38" spans="1:18" ht="65.099999999999994" customHeight="1" thickTop="1" thickBot="1" x14ac:dyDescent="0.25">
      <c r="B38" s="595" t="s">
        <v>157</v>
      </c>
      <c r="C38" s="595"/>
      <c r="D38" s="595"/>
      <c r="E38" s="596" t="s">
        <v>38</v>
      </c>
      <c r="F38" s="595"/>
      <c r="G38" s="595"/>
      <c r="H38" s="649">
        <f>H40+H41</f>
        <v>48608039</v>
      </c>
      <c r="I38" s="649">
        <f>I40+I41</f>
        <v>28563137.23</v>
      </c>
      <c r="J38" s="649">
        <f>J40+J41</f>
        <v>9560281</v>
      </c>
      <c r="K38" s="650"/>
      <c r="L38" s="202"/>
      <c r="M38" s="202"/>
      <c r="N38" s="202"/>
      <c r="O38" s="202"/>
      <c r="P38" s="202"/>
      <c r="Q38" s="202"/>
      <c r="R38" s="202"/>
    </row>
    <row r="39" spans="1:18" ht="121.5" hidden="1" thickTop="1" thickBot="1" x14ac:dyDescent="0.25">
      <c r="B39" s="219" t="s">
        <v>1168</v>
      </c>
      <c r="C39" s="219" t="s">
        <v>1165</v>
      </c>
      <c r="D39" s="219" t="s">
        <v>206</v>
      </c>
      <c r="E39" s="560" t="s">
        <v>1166</v>
      </c>
      <c r="F39" s="228" t="s">
        <v>1484</v>
      </c>
      <c r="G39" s="221" t="s">
        <v>1409</v>
      </c>
      <c r="H39" s="222">
        <v>31195664</v>
      </c>
      <c r="I39" s="223">
        <f>1082344.8+J39</f>
        <v>18238565.720000003</v>
      </c>
      <c r="J39" s="222">
        <f>((6000000)+9865740-3236524.08)+4527005</f>
        <v>17156220.920000002</v>
      </c>
      <c r="K39" s="224">
        <f>I39/H39</f>
        <v>0.58465066555403344</v>
      </c>
      <c r="L39" s="202"/>
      <c r="M39" s="202"/>
      <c r="N39" s="202"/>
      <c r="O39" s="202"/>
      <c r="P39" s="202"/>
      <c r="Q39" s="202"/>
      <c r="R39" s="202"/>
    </row>
    <row r="40" spans="1:18" ht="106.5" thickTop="1" thickBot="1" x14ac:dyDescent="0.25">
      <c r="B40" s="616" t="s">
        <v>1168</v>
      </c>
      <c r="C40" s="616" t="s">
        <v>1165</v>
      </c>
      <c r="D40" s="616" t="s">
        <v>206</v>
      </c>
      <c r="E40" s="628" t="s">
        <v>1166</v>
      </c>
      <c r="F40" s="652" t="s">
        <v>1636</v>
      </c>
      <c r="G40" s="646" t="s">
        <v>1575</v>
      </c>
      <c r="H40" s="618">
        <v>24622660</v>
      </c>
      <c r="I40" s="653">
        <f>1885817.21+15946443.02-374120+J40</f>
        <v>22018421.23</v>
      </c>
      <c r="J40" s="618">
        <v>4560281</v>
      </c>
      <c r="K40" s="647">
        <f>I40/H40</f>
        <v>0.89423406041426878</v>
      </c>
      <c r="L40" s="202" t="s">
        <v>1517</v>
      </c>
      <c r="M40" s="202"/>
      <c r="N40" s="202"/>
      <c r="O40" s="202"/>
      <c r="P40" s="202"/>
      <c r="Q40" s="202"/>
      <c r="R40" s="202"/>
    </row>
    <row r="41" spans="1:18" ht="106.5" thickTop="1" thickBot="1" x14ac:dyDescent="0.25">
      <c r="B41" s="616" t="s">
        <v>1637</v>
      </c>
      <c r="C41" s="616" t="s">
        <v>1638</v>
      </c>
      <c r="D41" s="616" t="s">
        <v>191</v>
      </c>
      <c r="E41" s="616" t="s">
        <v>1640</v>
      </c>
      <c r="F41" s="652" t="s">
        <v>1574</v>
      </c>
      <c r="G41" s="646" t="s">
        <v>1573</v>
      </c>
      <c r="H41" s="618">
        <v>23985379</v>
      </c>
      <c r="I41" s="653">
        <f>0+1544716+J41</f>
        <v>6544716</v>
      </c>
      <c r="J41" s="618">
        <v>5000000</v>
      </c>
      <c r="K41" s="647">
        <f>I41/H41</f>
        <v>0.27286273024912383</v>
      </c>
      <c r="L41" s="202"/>
      <c r="M41" s="202"/>
      <c r="N41" s="202"/>
      <c r="O41" s="202"/>
      <c r="P41" s="202"/>
      <c r="Q41" s="202"/>
      <c r="R41" s="202"/>
    </row>
    <row r="42" spans="1:18" ht="46.5" hidden="1" thickTop="1" thickBot="1" x14ac:dyDescent="0.25">
      <c r="B42" s="219" t="s">
        <v>910</v>
      </c>
      <c r="C42" s="219" t="s">
        <v>911</v>
      </c>
      <c r="D42" s="219" t="s">
        <v>303</v>
      </c>
      <c r="E42" s="219" t="s">
        <v>1580</v>
      </c>
      <c r="F42" s="228" t="s">
        <v>1526</v>
      </c>
      <c r="G42" s="221" t="s">
        <v>1451</v>
      </c>
      <c r="H42" s="222">
        <v>999655</v>
      </c>
      <c r="I42" s="223">
        <f>0+J42</f>
        <v>450000</v>
      </c>
      <c r="J42" s="222">
        <f>999655-549655</f>
        <v>450000</v>
      </c>
      <c r="K42" s="224">
        <f>I42/H42</f>
        <v>0.45015530357973499</v>
      </c>
      <c r="L42" s="202"/>
      <c r="M42" s="202"/>
      <c r="N42" s="202"/>
      <c r="O42" s="202"/>
      <c r="P42" s="202"/>
      <c r="Q42" s="202"/>
      <c r="R42" s="202"/>
    </row>
    <row r="43" spans="1:18" ht="46.5" hidden="1" thickTop="1" thickBot="1" x14ac:dyDescent="0.25">
      <c r="A43" s="247"/>
      <c r="B43" s="230">
        <v>1000000</v>
      </c>
      <c r="C43" s="230"/>
      <c r="D43" s="230"/>
      <c r="E43" s="231" t="s">
        <v>24</v>
      </c>
      <c r="F43" s="230"/>
      <c r="G43" s="230"/>
      <c r="H43" s="232">
        <f>H44</f>
        <v>27064985</v>
      </c>
      <c r="I43" s="232">
        <f>I44</f>
        <v>19955037.289999999</v>
      </c>
      <c r="J43" s="232">
        <f>J44</f>
        <v>0</v>
      </c>
      <c r="K43" s="233"/>
      <c r="L43" s="202"/>
      <c r="M43" s="202"/>
      <c r="N43" s="202"/>
      <c r="O43" s="202"/>
      <c r="P43" s="202"/>
      <c r="Q43" s="202"/>
      <c r="R43" s="202"/>
    </row>
    <row r="44" spans="1:18" ht="44.25" hidden="1" thickTop="1" thickBot="1" x14ac:dyDescent="0.25">
      <c r="A44" s="247"/>
      <c r="B44" s="234">
        <v>1010000</v>
      </c>
      <c r="C44" s="234"/>
      <c r="D44" s="234"/>
      <c r="E44" s="235" t="s">
        <v>39</v>
      </c>
      <c r="F44" s="234"/>
      <c r="G44" s="234"/>
      <c r="H44" s="236">
        <f>SUM(H45:H46)</f>
        <v>27064985</v>
      </c>
      <c r="I44" s="236">
        <f>SUM(I45:I46)</f>
        <v>19955037.289999999</v>
      </c>
      <c r="J44" s="236">
        <f>SUM(J45:J46)</f>
        <v>0</v>
      </c>
      <c r="K44" s="237"/>
      <c r="L44" s="202"/>
      <c r="M44" s="202"/>
      <c r="N44" s="202"/>
      <c r="O44" s="202"/>
      <c r="P44" s="202"/>
      <c r="Q44" s="202"/>
      <c r="R44" s="202"/>
    </row>
    <row r="45" spans="1:18" ht="46.5" hidden="1" thickTop="1" thickBot="1" x14ac:dyDescent="0.25">
      <c r="B45" s="219" t="s">
        <v>176</v>
      </c>
      <c r="C45" s="219" t="s">
        <v>177</v>
      </c>
      <c r="D45" s="219" t="s">
        <v>174</v>
      </c>
      <c r="E45" s="219" t="s">
        <v>461</v>
      </c>
      <c r="F45" s="220" t="s">
        <v>921</v>
      </c>
      <c r="G45" s="222" t="s">
        <v>517</v>
      </c>
      <c r="H45" s="222">
        <v>27064985</v>
      </c>
      <c r="I45" s="222">
        <f>1430336+2994769.5+4929931.79+5600000+(3000000)+2000000</f>
        <v>19955037.289999999</v>
      </c>
      <c r="J45" s="222">
        <f>(4652920)-4652920</f>
        <v>0</v>
      </c>
      <c r="K45" s="238">
        <f>(J45+I45)/H45</f>
        <v>0.73730088119391157</v>
      </c>
      <c r="L45" s="202"/>
      <c r="M45" s="202"/>
      <c r="N45" s="202"/>
      <c r="O45" s="202"/>
      <c r="P45" s="202"/>
      <c r="Q45" s="202"/>
      <c r="R45" s="202"/>
    </row>
    <row r="46" spans="1:18" ht="106.5" hidden="1" thickTop="1" thickBot="1" x14ac:dyDescent="0.25">
      <c r="A46" s="247"/>
      <c r="B46" s="209" t="s">
        <v>904</v>
      </c>
      <c r="C46" s="209" t="s">
        <v>197</v>
      </c>
      <c r="D46" s="209" t="s">
        <v>170</v>
      </c>
      <c r="E46" s="209" t="s">
        <v>34</v>
      </c>
      <c r="F46" s="229" t="s">
        <v>928</v>
      </c>
      <c r="G46" s="214" t="s">
        <v>554</v>
      </c>
      <c r="H46" s="215"/>
      <c r="I46" s="216"/>
      <c r="J46" s="215"/>
      <c r="K46" s="216"/>
      <c r="L46" s="202"/>
      <c r="M46" s="202"/>
      <c r="N46" s="202"/>
      <c r="O46" s="202"/>
      <c r="P46" s="202"/>
      <c r="Q46" s="202"/>
      <c r="R46" s="202"/>
    </row>
    <row r="47" spans="1:18" ht="65.099999999999994" hidden="1" customHeight="1" thickTop="1" thickBot="1" x14ac:dyDescent="0.25">
      <c r="B47" s="552" t="s">
        <v>22</v>
      </c>
      <c r="C47" s="552"/>
      <c r="D47" s="552"/>
      <c r="E47" s="553" t="s">
        <v>23</v>
      </c>
      <c r="F47" s="552"/>
      <c r="G47" s="552"/>
      <c r="H47" s="554">
        <f t="shared" ref="H47:J47" si="3">H48</f>
        <v>35118863</v>
      </c>
      <c r="I47" s="554">
        <f t="shared" si="3"/>
        <v>31387992.66</v>
      </c>
      <c r="J47" s="554">
        <f t="shared" si="3"/>
        <v>1000000</v>
      </c>
      <c r="K47" s="555"/>
      <c r="L47" s="202"/>
      <c r="M47" s="202"/>
      <c r="N47" s="202"/>
      <c r="O47" s="202"/>
      <c r="P47" s="202"/>
      <c r="Q47" s="202"/>
      <c r="R47" s="202"/>
    </row>
    <row r="48" spans="1:18" ht="57" hidden="1" customHeight="1" thickTop="1" thickBot="1" x14ac:dyDescent="0.25">
      <c r="B48" s="556" t="s">
        <v>21</v>
      </c>
      <c r="C48" s="556"/>
      <c r="D48" s="556"/>
      <c r="E48" s="557" t="s">
        <v>35</v>
      </c>
      <c r="F48" s="556"/>
      <c r="G48" s="556"/>
      <c r="H48" s="558">
        <f>H50</f>
        <v>35118863</v>
      </c>
      <c r="I48" s="558">
        <f t="shared" ref="I48:J48" si="4">I50</f>
        <v>31387992.66</v>
      </c>
      <c r="J48" s="558">
        <f t="shared" si="4"/>
        <v>1000000</v>
      </c>
      <c r="K48" s="559"/>
      <c r="L48" s="202"/>
      <c r="M48" s="202"/>
      <c r="N48" s="202"/>
      <c r="O48" s="202"/>
      <c r="P48" s="202"/>
      <c r="Q48" s="202"/>
      <c r="R48" s="202"/>
    </row>
    <row r="49" spans="1:18" ht="46.5" hidden="1" customHeight="1" thickTop="1" thickBot="1" x14ac:dyDescent="0.25">
      <c r="B49" s="219" t="s">
        <v>189</v>
      </c>
      <c r="C49" s="219" t="s">
        <v>190</v>
      </c>
      <c r="D49" s="219" t="s">
        <v>185</v>
      </c>
      <c r="E49" s="219" t="s">
        <v>10</v>
      </c>
      <c r="F49" s="239" t="s">
        <v>1223</v>
      </c>
      <c r="G49" s="221" t="s">
        <v>602</v>
      </c>
      <c r="H49" s="222">
        <v>2102059</v>
      </c>
      <c r="I49" s="223">
        <f>66820+3338.56+J49</f>
        <v>80838.559999999998</v>
      </c>
      <c r="J49" s="223">
        <v>10680</v>
      </c>
      <c r="K49" s="224">
        <f>I49/H49</f>
        <v>3.8456846358736835E-2</v>
      </c>
      <c r="L49" s="202"/>
      <c r="M49" s="202"/>
      <c r="N49" s="202"/>
      <c r="O49" s="202"/>
      <c r="P49" s="202"/>
      <c r="Q49" s="202"/>
      <c r="R49" s="202"/>
    </row>
    <row r="50" spans="1:18" s="248" customFormat="1" ht="83.25" hidden="1" customHeight="1" thickTop="1" thickBot="1" x14ac:dyDescent="0.25">
      <c r="B50" s="219" t="s">
        <v>28</v>
      </c>
      <c r="C50" s="219" t="s">
        <v>192</v>
      </c>
      <c r="D50" s="219" t="s">
        <v>195</v>
      </c>
      <c r="E50" s="219" t="s">
        <v>48</v>
      </c>
      <c r="F50" s="239" t="s">
        <v>1219</v>
      </c>
      <c r="G50" s="221" t="s">
        <v>1232</v>
      </c>
      <c r="H50" s="222">
        <v>35118863</v>
      </c>
      <c r="I50" s="223">
        <f>30387992.66+J50</f>
        <v>31387992.66</v>
      </c>
      <c r="J50" s="223">
        <v>1000000</v>
      </c>
      <c r="K50" s="224">
        <f>I50/H50</f>
        <v>0.89376448947108567</v>
      </c>
      <c r="L50" s="333">
        <f>H50-I50-4929869.92</f>
        <v>-1198999.58</v>
      </c>
      <c r="M50" s="240"/>
      <c r="N50" s="240"/>
      <c r="O50" s="240"/>
      <c r="P50" s="240"/>
      <c r="Q50" s="240"/>
      <c r="R50" s="240"/>
    </row>
    <row r="51" spans="1:18" s="248" customFormat="1" ht="16.5" hidden="1" thickTop="1" thickBot="1" x14ac:dyDescent="0.25">
      <c r="B51" s="219"/>
      <c r="C51" s="219"/>
      <c r="D51" s="219"/>
      <c r="E51" s="219"/>
      <c r="F51" s="239"/>
      <c r="G51" s="221"/>
      <c r="H51" s="222"/>
      <c r="I51" s="223"/>
      <c r="J51" s="223"/>
      <c r="K51" s="224"/>
      <c r="L51" s="333"/>
      <c r="M51" s="240"/>
      <c r="N51" s="240"/>
      <c r="O51" s="240"/>
      <c r="P51" s="240"/>
      <c r="Q51" s="240"/>
      <c r="R51" s="240"/>
    </row>
    <row r="52" spans="1:18" s="248" customFormat="1" ht="16.5" hidden="1" thickTop="1" thickBot="1" x14ac:dyDescent="0.25">
      <c r="B52" s="219"/>
      <c r="C52" s="219"/>
      <c r="D52" s="219"/>
      <c r="E52" s="219"/>
      <c r="F52" s="239"/>
      <c r="G52" s="221"/>
      <c r="H52" s="222"/>
      <c r="I52" s="223"/>
      <c r="J52" s="223"/>
      <c r="K52" s="224"/>
      <c r="L52" s="333"/>
      <c r="M52" s="240"/>
      <c r="N52" s="240"/>
      <c r="O52" s="240"/>
      <c r="P52" s="240"/>
      <c r="Q52" s="240"/>
      <c r="R52" s="240"/>
    </row>
    <row r="53" spans="1:18" s="248" customFormat="1" ht="46.5" hidden="1" thickTop="1" thickBot="1" x14ac:dyDescent="0.25">
      <c r="B53" s="171" t="s">
        <v>158</v>
      </c>
      <c r="C53" s="171"/>
      <c r="D53" s="171"/>
      <c r="E53" s="172" t="s">
        <v>557</v>
      </c>
      <c r="F53" s="171"/>
      <c r="G53" s="171"/>
      <c r="H53" s="173">
        <f t="shared" ref="H53:J53" si="5">H54</f>
        <v>4177606</v>
      </c>
      <c r="I53" s="173">
        <f t="shared" si="5"/>
        <v>0</v>
      </c>
      <c r="J53" s="173">
        <f t="shared" si="5"/>
        <v>0</v>
      </c>
      <c r="K53" s="217"/>
      <c r="L53" s="241"/>
      <c r="M53" s="240"/>
      <c r="N53" s="240"/>
      <c r="O53" s="240"/>
      <c r="P53" s="240"/>
      <c r="Q53" s="240"/>
      <c r="R53" s="240"/>
    </row>
    <row r="54" spans="1:18" s="248" customFormat="1" ht="44.25" hidden="1" thickTop="1" thickBot="1" x14ac:dyDescent="0.25">
      <c r="B54" s="175" t="s">
        <v>159</v>
      </c>
      <c r="C54" s="175"/>
      <c r="D54" s="175"/>
      <c r="E54" s="176" t="s">
        <v>558</v>
      </c>
      <c r="F54" s="175"/>
      <c r="G54" s="175"/>
      <c r="H54" s="177">
        <f>H55</f>
        <v>4177606</v>
      </c>
      <c r="I54" s="177">
        <f>I55</f>
        <v>0</v>
      </c>
      <c r="J54" s="177">
        <f>J55</f>
        <v>0</v>
      </c>
      <c r="K54" s="218"/>
      <c r="L54" s="241"/>
      <c r="M54" s="240"/>
      <c r="N54" s="240"/>
      <c r="O54" s="240"/>
      <c r="P54" s="240"/>
      <c r="Q54" s="240"/>
      <c r="R54" s="240"/>
    </row>
    <row r="55" spans="1:18" s="248" customFormat="1" ht="33.75" hidden="1" thickTop="1" thickBot="1" x14ac:dyDescent="0.25">
      <c r="B55" s="219" t="s">
        <v>1113</v>
      </c>
      <c r="C55" s="219" t="s">
        <v>304</v>
      </c>
      <c r="D55" s="219" t="s">
        <v>303</v>
      </c>
      <c r="E55" s="219" t="s">
        <v>1205</v>
      </c>
      <c r="F55" s="239" t="s">
        <v>1120</v>
      </c>
      <c r="G55" s="222" t="s">
        <v>1104</v>
      </c>
      <c r="H55" s="222">
        <v>4177606</v>
      </c>
      <c r="I55" s="222">
        <v>0</v>
      </c>
      <c r="J55" s="223"/>
      <c r="K55" s="238">
        <f>(I55+J55)/H55</f>
        <v>0</v>
      </c>
      <c r="L55" s="241"/>
      <c r="M55" s="240"/>
      <c r="N55" s="240"/>
      <c r="O55" s="240"/>
      <c r="P55" s="240"/>
      <c r="Q55" s="240"/>
      <c r="R55" s="240"/>
    </row>
    <row r="56" spans="1:18" s="248" customFormat="1" ht="57" customHeight="1" thickTop="1" thickBot="1" x14ac:dyDescent="0.25">
      <c r="B56" s="591" t="s">
        <v>536</v>
      </c>
      <c r="C56" s="591"/>
      <c r="D56" s="591"/>
      <c r="E56" s="592" t="s">
        <v>555</v>
      </c>
      <c r="F56" s="591"/>
      <c r="G56" s="591"/>
      <c r="H56" s="593">
        <f>H57</f>
        <v>129685028</v>
      </c>
      <c r="I56" s="593">
        <f>I57</f>
        <v>50779063.379999995</v>
      </c>
      <c r="J56" s="593">
        <f>J57</f>
        <v>4357785</v>
      </c>
      <c r="K56" s="648"/>
      <c r="L56" s="241"/>
      <c r="M56" s="240"/>
      <c r="N56" s="240"/>
      <c r="O56" s="240"/>
      <c r="P56" s="240"/>
      <c r="Q56" s="240"/>
      <c r="R56" s="240"/>
    </row>
    <row r="57" spans="1:18" s="248" customFormat="1" ht="58.5" thickTop="1" thickBot="1" x14ac:dyDescent="0.25">
      <c r="B57" s="595" t="s">
        <v>537</v>
      </c>
      <c r="C57" s="595"/>
      <c r="D57" s="595"/>
      <c r="E57" s="596" t="s">
        <v>556</v>
      </c>
      <c r="F57" s="595"/>
      <c r="G57" s="595"/>
      <c r="H57" s="649">
        <f>H60+H61+H65+H66</f>
        <v>129685028</v>
      </c>
      <c r="I57" s="649">
        <f>I60+I61+I65+I66</f>
        <v>50779063.379999995</v>
      </c>
      <c r="J57" s="649">
        <f>J60+J61+J65+J66</f>
        <v>4357785</v>
      </c>
      <c r="K57" s="650"/>
      <c r="L57" s="241"/>
      <c r="M57" s="240"/>
      <c r="N57" s="240"/>
      <c r="O57" s="240"/>
      <c r="P57" s="240"/>
      <c r="Q57" s="240"/>
      <c r="R57" s="240"/>
    </row>
    <row r="58" spans="1:18" s="248" customFormat="1" ht="46.5" hidden="1" thickTop="1" thickBot="1" x14ac:dyDescent="0.25">
      <c r="A58" s="167"/>
      <c r="B58" s="219" t="s">
        <v>544</v>
      </c>
      <c r="C58" s="219" t="s">
        <v>304</v>
      </c>
      <c r="D58" s="219" t="s">
        <v>303</v>
      </c>
      <c r="E58" s="219" t="s">
        <v>467</v>
      </c>
      <c r="F58" s="242" t="s">
        <v>1102</v>
      </c>
      <c r="G58" s="222" t="s">
        <v>1232</v>
      </c>
      <c r="H58" s="222">
        <v>10423167</v>
      </c>
      <c r="I58" s="222">
        <f>1987516+J58</f>
        <v>2297516</v>
      </c>
      <c r="J58" s="222">
        <f>(3000000-2000000)-690000</f>
        <v>310000</v>
      </c>
      <c r="K58" s="238">
        <f>I58/H58</f>
        <v>0.22042398438017927</v>
      </c>
      <c r="L58" s="241"/>
      <c r="M58" s="240"/>
      <c r="N58" s="240"/>
      <c r="O58" s="240"/>
      <c r="P58" s="240"/>
      <c r="Q58" s="240"/>
      <c r="R58" s="240"/>
    </row>
    <row r="59" spans="1:18" s="248" customFormat="1" ht="31.5" hidden="1" thickTop="1" thickBot="1" x14ac:dyDescent="0.25">
      <c r="A59" s="167"/>
      <c r="B59" s="219" t="s">
        <v>544</v>
      </c>
      <c r="C59" s="219" t="s">
        <v>304</v>
      </c>
      <c r="D59" s="219" t="s">
        <v>303</v>
      </c>
      <c r="E59" s="219" t="s">
        <v>467</v>
      </c>
      <c r="F59" s="242" t="s">
        <v>1103</v>
      </c>
      <c r="G59" s="222" t="s">
        <v>518</v>
      </c>
      <c r="H59" s="222">
        <v>19973126</v>
      </c>
      <c r="I59" s="222">
        <v>3000000</v>
      </c>
      <c r="J59" s="222">
        <f>(2000000)-2000000</f>
        <v>0</v>
      </c>
      <c r="K59" s="238">
        <f t="shared" ref="K59:K100" si="6">(I59+J59)/H59</f>
        <v>0.15020182619385669</v>
      </c>
      <c r="L59" s="241"/>
      <c r="M59" s="240"/>
      <c r="N59" s="240"/>
      <c r="O59" s="240"/>
      <c r="P59" s="240"/>
      <c r="Q59" s="240"/>
      <c r="R59" s="240"/>
    </row>
    <row r="60" spans="1:18" s="248" customFormat="1" ht="46.5" thickTop="1" thickBot="1" x14ac:dyDescent="0.25">
      <c r="A60" s="167"/>
      <c r="B60" s="616" t="s">
        <v>1604</v>
      </c>
      <c r="C60" s="616" t="s">
        <v>1601</v>
      </c>
      <c r="D60" s="616" t="s">
        <v>1117</v>
      </c>
      <c r="E60" s="616" t="s">
        <v>1605</v>
      </c>
      <c r="F60" s="324" t="s">
        <v>1138</v>
      </c>
      <c r="G60" s="618" t="s">
        <v>1606</v>
      </c>
      <c r="H60" s="618">
        <v>7326277</v>
      </c>
      <c r="I60" s="618">
        <f>0+J60</f>
        <v>200000</v>
      </c>
      <c r="J60" s="618">
        <v>200000</v>
      </c>
      <c r="K60" s="619">
        <f t="shared" si="6"/>
        <v>5.4597990220680979E-2</v>
      </c>
      <c r="L60" s="241"/>
      <c r="M60" s="240"/>
      <c r="N60" s="240"/>
      <c r="O60" s="240"/>
      <c r="P60" s="240"/>
      <c r="Q60" s="240"/>
      <c r="R60" s="240"/>
    </row>
    <row r="61" spans="1:18" s="248" customFormat="1" ht="61.5" thickTop="1" thickBot="1" x14ac:dyDescent="0.25">
      <c r="A61" s="167"/>
      <c r="B61" s="616" t="s">
        <v>1604</v>
      </c>
      <c r="C61" s="616" t="s">
        <v>1601</v>
      </c>
      <c r="D61" s="616" t="s">
        <v>1117</v>
      </c>
      <c r="E61" s="616" t="s">
        <v>1605</v>
      </c>
      <c r="F61" s="324" t="s">
        <v>1607</v>
      </c>
      <c r="G61" s="618" t="s">
        <v>1608</v>
      </c>
      <c r="H61" s="618">
        <v>19848834</v>
      </c>
      <c r="I61" s="618">
        <f>1639036.69+J61</f>
        <v>1739036.69</v>
      </c>
      <c r="J61" s="618">
        <v>100000</v>
      </c>
      <c r="K61" s="619">
        <f t="shared" ref="K61" si="7">I61/H61</f>
        <v>8.7614047757162958E-2</v>
      </c>
      <c r="L61" s="241"/>
      <c r="M61" s="240"/>
      <c r="N61" s="240"/>
      <c r="O61" s="240"/>
      <c r="P61" s="240"/>
      <c r="Q61" s="240"/>
      <c r="R61" s="240"/>
    </row>
    <row r="62" spans="1:18" s="248" customFormat="1" ht="46.5" hidden="1" thickTop="1" thickBot="1" x14ac:dyDescent="0.25">
      <c r="A62" s="167"/>
      <c r="B62" s="219" t="s">
        <v>544</v>
      </c>
      <c r="C62" s="219" t="s">
        <v>304</v>
      </c>
      <c r="D62" s="219" t="s">
        <v>303</v>
      </c>
      <c r="E62" s="219" t="s">
        <v>467</v>
      </c>
      <c r="F62" s="242" t="s">
        <v>1108</v>
      </c>
      <c r="G62" s="222" t="s">
        <v>1104</v>
      </c>
      <c r="H62" s="222">
        <v>8650378</v>
      </c>
      <c r="I62" s="222">
        <v>0</v>
      </c>
      <c r="J62" s="222"/>
      <c r="K62" s="238">
        <f t="shared" si="6"/>
        <v>0</v>
      </c>
      <c r="L62" s="241"/>
      <c r="M62" s="240"/>
      <c r="N62" s="240"/>
      <c r="O62" s="240"/>
      <c r="P62" s="240"/>
      <c r="Q62" s="240"/>
      <c r="R62" s="240"/>
    </row>
    <row r="63" spans="1:18" s="248" customFormat="1" ht="46.5" hidden="1" thickTop="1" thickBot="1" x14ac:dyDescent="0.25">
      <c r="A63" s="167"/>
      <c r="B63" s="219" t="s">
        <v>544</v>
      </c>
      <c r="C63" s="219" t="s">
        <v>304</v>
      </c>
      <c r="D63" s="219" t="s">
        <v>303</v>
      </c>
      <c r="E63" s="219" t="s">
        <v>467</v>
      </c>
      <c r="F63" s="242" t="s">
        <v>1109</v>
      </c>
      <c r="G63" s="222" t="s">
        <v>517</v>
      </c>
      <c r="H63" s="222">
        <v>68621716</v>
      </c>
      <c r="I63" s="222">
        <v>65923472</v>
      </c>
      <c r="J63" s="222"/>
      <c r="K63" s="238">
        <f t="shared" si="6"/>
        <v>0.96067944439046093</v>
      </c>
      <c r="L63" s="241"/>
      <c r="M63" s="240"/>
      <c r="N63" s="240"/>
      <c r="O63" s="240"/>
      <c r="P63" s="240"/>
      <c r="Q63" s="240"/>
      <c r="R63" s="240"/>
    </row>
    <row r="64" spans="1:18" s="248" customFormat="1" ht="46.5" hidden="1" thickTop="1" thickBot="1" x14ac:dyDescent="0.25">
      <c r="A64" s="167"/>
      <c r="B64" s="219" t="s">
        <v>544</v>
      </c>
      <c r="C64" s="219" t="s">
        <v>304</v>
      </c>
      <c r="D64" s="219" t="s">
        <v>303</v>
      </c>
      <c r="E64" s="219" t="s">
        <v>467</v>
      </c>
      <c r="F64" s="242" t="s">
        <v>1127</v>
      </c>
      <c r="G64" s="222" t="s">
        <v>517</v>
      </c>
      <c r="H64" s="222">
        <v>18370999</v>
      </c>
      <c r="I64" s="222">
        <f>(300000+171778.77+2000000+2000000)</f>
        <v>4471778.7699999996</v>
      </c>
      <c r="J64" s="222"/>
      <c r="K64" s="238">
        <f>(I64+J64)/H64</f>
        <v>0.24341511150264608</v>
      </c>
      <c r="L64" s="241"/>
      <c r="M64" s="240"/>
      <c r="N64" s="240"/>
      <c r="O64" s="240"/>
      <c r="P64" s="240"/>
      <c r="Q64" s="240"/>
      <c r="R64" s="240"/>
    </row>
    <row r="65" spans="1:18" s="248" customFormat="1" ht="46.5" thickTop="1" thickBot="1" x14ac:dyDescent="0.25">
      <c r="A65" s="167"/>
      <c r="B65" s="616" t="s">
        <v>1604</v>
      </c>
      <c r="C65" s="616" t="s">
        <v>1601</v>
      </c>
      <c r="D65" s="616" t="s">
        <v>1117</v>
      </c>
      <c r="E65" s="616" t="s">
        <v>1605</v>
      </c>
      <c r="F65" s="617" t="s">
        <v>1642</v>
      </c>
      <c r="G65" s="618" t="s">
        <v>1575</v>
      </c>
      <c r="H65" s="622">
        <f>3786090+2057785</f>
        <v>5843875</v>
      </c>
      <c r="I65" s="618">
        <f>1240165.95+2351756+J65</f>
        <v>5649706.9500000002</v>
      </c>
      <c r="J65" s="618">
        <v>2057785</v>
      </c>
      <c r="K65" s="619">
        <f>I65/H65</f>
        <v>0.96677409253278013</v>
      </c>
      <c r="L65" s="241"/>
      <c r="M65" s="240"/>
      <c r="N65" s="240"/>
      <c r="O65" s="240"/>
      <c r="P65" s="240"/>
      <c r="Q65" s="240"/>
      <c r="R65" s="240"/>
    </row>
    <row r="66" spans="1:18" s="248" customFormat="1" ht="46.5" thickTop="1" thickBot="1" x14ac:dyDescent="0.25">
      <c r="A66" s="167"/>
      <c r="B66" s="616" t="s">
        <v>545</v>
      </c>
      <c r="C66" s="616" t="s">
        <v>292</v>
      </c>
      <c r="D66" s="616" t="s">
        <v>294</v>
      </c>
      <c r="E66" s="616" t="s">
        <v>293</v>
      </c>
      <c r="F66" s="324" t="s">
        <v>1441</v>
      </c>
      <c r="G66" s="618" t="s">
        <v>1608</v>
      </c>
      <c r="H66" s="622">
        <v>96666042</v>
      </c>
      <c r="I66" s="618">
        <f>29190319.74+12000000+J66</f>
        <v>43190319.739999995</v>
      </c>
      <c r="J66" s="618">
        <v>2000000</v>
      </c>
      <c r="K66" s="619">
        <f>I66/H66</f>
        <v>0.44679929835132792</v>
      </c>
      <c r="L66" s="241"/>
      <c r="M66" s="240"/>
      <c r="N66" s="240"/>
      <c r="O66" s="240"/>
      <c r="P66" s="240"/>
      <c r="Q66" s="240"/>
      <c r="R66" s="240"/>
    </row>
    <row r="67" spans="1:18" s="248" customFormat="1" ht="61.5" hidden="1" thickTop="1" thickBot="1" x14ac:dyDescent="0.25">
      <c r="A67" s="167"/>
      <c r="B67" s="219" t="s">
        <v>546</v>
      </c>
      <c r="C67" s="219" t="s">
        <v>212</v>
      </c>
      <c r="D67" s="219" t="s">
        <v>213</v>
      </c>
      <c r="E67" s="219" t="s">
        <v>41</v>
      </c>
      <c r="F67" s="243" t="s">
        <v>1105</v>
      </c>
      <c r="G67" s="221" t="s">
        <v>1449</v>
      </c>
      <c r="H67" s="562">
        <v>41231871</v>
      </c>
      <c r="I67" s="222">
        <f>19590037.78+J67</f>
        <v>34870208.130000003</v>
      </c>
      <c r="J67" s="222">
        <f>(((9760000)+4303884+1500000)+344886.99)-628600.64</f>
        <v>15280170.35</v>
      </c>
      <c r="K67" s="224">
        <v>1</v>
      </c>
      <c r="L67" s="241"/>
      <c r="M67" s="240"/>
      <c r="N67" s="240"/>
      <c r="O67" s="240"/>
      <c r="P67" s="240"/>
      <c r="Q67" s="240"/>
      <c r="R67" s="240"/>
    </row>
    <row r="68" spans="1:18" s="248" customFormat="1" ht="31.5" hidden="1" thickTop="1" thickBot="1" x14ac:dyDescent="0.25">
      <c r="A68" s="167"/>
      <c r="B68" s="400" t="s">
        <v>547</v>
      </c>
      <c r="C68" s="400" t="s">
        <v>197</v>
      </c>
      <c r="D68" s="400" t="s">
        <v>170</v>
      </c>
      <c r="E68" s="400" t="s">
        <v>34</v>
      </c>
      <c r="F68" s="420" t="s">
        <v>1286</v>
      </c>
      <c r="G68" s="221"/>
      <c r="H68" s="419"/>
      <c r="I68" s="222"/>
      <c r="J68" s="222"/>
      <c r="K68" s="224"/>
      <c r="L68" s="241"/>
      <c r="M68" s="240"/>
      <c r="N68" s="240"/>
      <c r="O68" s="240"/>
      <c r="P68" s="240"/>
      <c r="Q68" s="240"/>
      <c r="R68" s="240"/>
    </row>
    <row r="69" spans="1:18" s="248" customFormat="1" ht="76.5" hidden="1" thickTop="1" thickBot="1" x14ac:dyDescent="0.25">
      <c r="A69" s="167"/>
      <c r="B69" s="219" t="s">
        <v>547</v>
      </c>
      <c r="C69" s="219" t="s">
        <v>197</v>
      </c>
      <c r="D69" s="219" t="s">
        <v>170</v>
      </c>
      <c r="E69" s="219" t="s">
        <v>34</v>
      </c>
      <c r="F69" s="243" t="s">
        <v>1106</v>
      </c>
      <c r="G69" s="221" t="s">
        <v>1100</v>
      </c>
      <c r="H69" s="222">
        <v>4730960</v>
      </c>
      <c r="I69" s="222">
        <f>5000</f>
        <v>5000</v>
      </c>
      <c r="J69" s="222"/>
      <c r="K69" s="238">
        <f t="shared" si="6"/>
        <v>1.0568679506907689E-3</v>
      </c>
      <c r="L69" s="241"/>
      <c r="M69" s="240"/>
      <c r="N69" s="240"/>
      <c r="O69" s="240"/>
      <c r="P69" s="240"/>
      <c r="Q69" s="240"/>
      <c r="R69" s="240"/>
    </row>
    <row r="70" spans="1:18" s="248" customFormat="1" ht="31.5" hidden="1" thickTop="1" thickBot="1" x14ac:dyDescent="0.25">
      <c r="A70" s="167"/>
      <c r="B70" s="219" t="s">
        <v>547</v>
      </c>
      <c r="C70" s="219" t="s">
        <v>197</v>
      </c>
      <c r="D70" s="219" t="s">
        <v>170</v>
      </c>
      <c r="E70" s="219" t="s">
        <v>34</v>
      </c>
      <c r="F70" s="228" t="s">
        <v>1287</v>
      </c>
      <c r="G70" s="221" t="s">
        <v>1218</v>
      </c>
      <c r="H70" s="222">
        <v>3936902</v>
      </c>
      <c r="I70" s="222">
        <f>J70</f>
        <v>100000</v>
      </c>
      <c r="J70" s="222">
        <v>100000</v>
      </c>
      <c r="K70" s="224">
        <f>I70/H70</f>
        <v>2.5400683075169257E-2</v>
      </c>
      <c r="L70" s="241"/>
      <c r="M70" s="240"/>
      <c r="N70" s="240"/>
      <c r="O70" s="240"/>
      <c r="P70" s="240"/>
      <c r="Q70" s="240"/>
      <c r="R70" s="240"/>
    </row>
    <row r="71" spans="1:18" s="248" customFormat="1" ht="31.5" hidden="1" thickTop="1" thickBot="1" x14ac:dyDescent="0.25">
      <c r="A71" s="167"/>
      <c r="B71" s="400" t="s">
        <v>547</v>
      </c>
      <c r="C71" s="400" t="s">
        <v>197</v>
      </c>
      <c r="D71" s="400" t="s">
        <v>170</v>
      </c>
      <c r="E71" s="400" t="s">
        <v>34</v>
      </c>
      <c r="F71" s="420" t="s">
        <v>1286</v>
      </c>
      <c r="G71" s="221"/>
      <c r="H71" s="222"/>
      <c r="I71" s="222"/>
      <c r="J71" s="222"/>
      <c r="K71" s="238"/>
      <c r="L71" s="241"/>
      <c r="M71" s="240"/>
      <c r="N71" s="240"/>
      <c r="O71" s="240"/>
      <c r="P71" s="240"/>
      <c r="Q71" s="240"/>
      <c r="R71" s="240"/>
    </row>
    <row r="72" spans="1:18" s="248" customFormat="1" ht="46.5" hidden="1" thickTop="1" thickBot="1" x14ac:dyDescent="0.25">
      <c r="A72" s="167"/>
      <c r="B72" s="219" t="s">
        <v>547</v>
      </c>
      <c r="C72" s="219" t="s">
        <v>197</v>
      </c>
      <c r="D72" s="219" t="s">
        <v>170</v>
      </c>
      <c r="E72" s="219" t="s">
        <v>34</v>
      </c>
      <c r="F72" s="228" t="s">
        <v>1365</v>
      </c>
      <c r="G72" s="221" t="s">
        <v>1232</v>
      </c>
      <c r="H72" s="222">
        <v>7619432.4500000002</v>
      </c>
      <c r="I72" s="222">
        <f>2006390.45+J72</f>
        <v>6506390.4500000002</v>
      </c>
      <c r="J72" s="222">
        <f>(((100000)+1500000)+2000000)+900000</f>
        <v>4500000</v>
      </c>
      <c r="K72" s="224">
        <f>I72/H72</f>
        <v>0.85392061583274492</v>
      </c>
      <c r="L72" s="241"/>
      <c r="M72" s="240"/>
      <c r="N72" s="240"/>
      <c r="O72" s="240"/>
      <c r="P72" s="240"/>
      <c r="Q72" s="240"/>
      <c r="R72" s="240"/>
    </row>
    <row r="73" spans="1:18" s="248" customFormat="1" ht="31.5" hidden="1" thickTop="1" thickBot="1" x14ac:dyDescent="0.25">
      <c r="A73" s="167"/>
      <c r="B73" s="400" t="s">
        <v>547</v>
      </c>
      <c r="C73" s="400" t="s">
        <v>197</v>
      </c>
      <c r="D73" s="400" t="s">
        <v>170</v>
      </c>
      <c r="E73" s="400" t="s">
        <v>34</v>
      </c>
      <c r="F73" s="420" t="s">
        <v>1285</v>
      </c>
      <c r="G73" s="221"/>
      <c r="H73" s="222"/>
      <c r="I73" s="222"/>
      <c r="J73" s="222"/>
      <c r="K73" s="238"/>
      <c r="L73" s="241"/>
      <c r="M73" s="240"/>
      <c r="N73" s="240"/>
      <c r="O73" s="240"/>
      <c r="P73" s="240"/>
      <c r="Q73" s="240"/>
      <c r="R73" s="240"/>
    </row>
    <row r="74" spans="1:18" s="248" customFormat="1" ht="61.5" hidden="1" thickTop="1" thickBot="1" x14ac:dyDescent="0.25">
      <c r="A74" s="167"/>
      <c r="B74" s="219" t="s">
        <v>547</v>
      </c>
      <c r="C74" s="219" t="s">
        <v>197</v>
      </c>
      <c r="D74" s="219" t="s">
        <v>170</v>
      </c>
      <c r="E74" s="219" t="s">
        <v>34</v>
      </c>
      <c r="F74" s="228" t="s">
        <v>1284</v>
      </c>
      <c r="G74" s="222" t="s">
        <v>1228</v>
      </c>
      <c r="H74" s="222">
        <v>1814685</v>
      </c>
      <c r="I74" s="222">
        <f>0+J74</f>
        <v>1814685</v>
      </c>
      <c r="J74" s="222">
        <v>1814685</v>
      </c>
      <c r="K74" s="224">
        <f>I74/H74</f>
        <v>1</v>
      </c>
      <c r="L74" s="241"/>
      <c r="M74" s="240"/>
      <c r="N74" s="240"/>
      <c r="O74" s="240"/>
      <c r="P74" s="240"/>
      <c r="Q74" s="240"/>
      <c r="R74" s="240"/>
    </row>
    <row r="75" spans="1:18" s="248" customFormat="1" ht="46.5" hidden="1" thickTop="1" thickBot="1" x14ac:dyDescent="0.25">
      <c r="A75" s="167"/>
      <c r="B75" s="400" t="s">
        <v>547</v>
      </c>
      <c r="C75" s="400" t="s">
        <v>197</v>
      </c>
      <c r="D75" s="400" t="s">
        <v>170</v>
      </c>
      <c r="E75" s="400" t="s">
        <v>34</v>
      </c>
      <c r="F75" s="420" t="s">
        <v>1519</v>
      </c>
      <c r="G75" s="563"/>
      <c r="H75" s="563"/>
      <c r="I75" s="563"/>
      <c r="J75" s="563"/>
      <c r="K75" s="564"/>
      <c r="L75" s="241"/>
      <c r="M75" s="240"/>
      <c r="N75" s="240"/>
      <c r="O75" s="240"/>
      <c r="P75" s="240"/>
      <c r="Q75" s="240"/>
      <c r="R75" s="240"/>
    </row>
    <row r="76" spans="1:18" s="248" customFormat="1" ht="46.5" hidden="1" thickTop="1" thickBot="1" x14ac:dyDescent="0.25">
      <c r="A76" s="167"/>
      <c r="B76" s="219" t="s">
        <v>547</v>
      </c>
      <c r="C76" s="219" t="s">
        <v>197</v>
      </c>
      <c r="D76" s="219" t="s">
        <v>170</v>
      </c>
      <c r="E76" s="219" t="s">
        <v>34</v>
      </c>
      <c r="F76" s="228" t="s">
        <v>1271</v>
      </c>
      <c r="G76" s="222" t="s">
        <v>1227</v>
      </c>
      <c r="H76" s="222">
        <v>5372119</v>
      </c>
      <c r="I76" s="222">
        <f>98758+J76</f>
        <v>3645877</v>
      </c>
      <c r="J76" s="222">
        <f>(((800000)+4473361)-1008242)-718000</f>
        <v>3547119</v>
      </c>
      <c r="K76" s="224">
        <v>1</v>
      </c>
      <c r="L76" s="241"/>
      <c r="M76" s="240"/>
      <c r="N76" s="240"/>
      <c r="O76" s="240"/>
      <c r="P76" s="240"/>
      <c r="Q76" s="240"/>
      <c r="R76" s="240"/>
    </row>
    <row r="77" spans="1:18" s="248" customFormat="1" ht="46.5" hidden="1" thickTop="1" thickBot="1" x14ac:dyDescent="0.25">
      <c r="A77" s="326"/>
      <c r="B77" s="219" t="s">
        <v>547</v>
      </c>
      <c r="C77" s="219" t="s">
        <v>197</v>
      </c>
      <c r="D77" s="219" t="s">
        <v>170</v>
      </c>
      <c r="E77" s="219" t="s">
        <v>34</v>
      </c>
      <c r="F77" s="228" t="s">
        <v>1499</v>
      </c>
      <c r="G77" s="222" t="s">
        <v>1409</v>
      </c>
      <c r="H77" s="222">
        <v>7772411</v>
      </c>
      <c r="I77" s="222">
        <f>4658497.53+J77</f>
        <v>5218554.53</v>
      </c>
      <c r="J77" s="222">
        <f>(650000)-89943</f>
        <v>560057</v>
      </c>
      <c r="K77" s="224">
        <v>1</v>
      </c>
      <c r="L77" s="241"/>
      <c r="M77" s="240"/>
      <c r="N77" s="240"/>
      <c r="O77" s="240"/>
      <c r="P77" s="240"/>
      <c r="Q77" s="240"/>
      <c r="R77" s="240"/>
    </row>
    <row r="78" spans="1:18" s="248" customFormat="1" ht="46.5" hidden="1" thickTop="1" thickBot="1" x14ac:dyDescent="0.25">
      <c r="A78" s="167"/>
      <c r="B78" s="219" t="s">
        <v>547</v>
      </c>
      <c r="C78" s="219" t="s">
        <v>197</v>
      </c>
      <c r="D78" s="219" t="s">
        <v>170</v>
      </c>
      <c r="E78" s="219" t="s">
        <v>34</v>
      </c>
      <c r="F78" s="228" t="s">
        <v>1272</v>
      </c>
      <c r="G78" s="222" t="s">
        <v>1228</v>
      </c>
      <c r="H78" s="222">
        <f>9279628-9279628</f>
        <v>0</v>
      </c>
      <c r="I78" s="222">
        <f t="shared" ref="I78:I83" si="8">0+J78</f>
        <v>0</v>
      </c>
      <c r="J78" s="222">
        <f>(((800000)+8479628)-752674)-8526954</f>
        <v>0</v>
      </c>
      <c r="K78" s="224">
        <v>1</v>
      </c>
      <c r="L78" s="241"/>
      <c r="M78" s="240"/>
      <c r="N78" s="240"/>
      <c r="O78" s="240"/>
      <c r="P78" s="240"/>
      <c r="Q78" s="240"/>
      <c r="R78" s="240"/>
    </row>
    <row r="79" spans="1:18" s="248" customFormat="1" ht="46.5" hidden="1" thickTop="1" thickBot="1" x14ac:dyDescent="0.25">
      <c r="A79" s="167"/>
      <c r="B79" s="219" t="s">
        <v>547</v>
      </c>
      <c r="C79" s="219" t="s">
        <v>197</v>
      </c>
      <c r="D79" s="219" t="s">
        <v>170</v>
      </c>
      <c r="E79" s="219" t="s">
        <v>34</v>
      </c>
      <c r="F79" s="228" t="s">
        <v>1273</v>
      </c>
      <c r="G79" s="222" t="s">
        <v>1228</v>
      </c>
      <c r="H79" s="222">
        <v>1414397</v>
      </c>
      <c r="I79" s="222">
        <f t="shared" si="8"/>
        <v>1392754</v>
      </c>
      <c r="J79" s="222">
        <f>((216700)+1197697)-21643</f>
        <v>1392754</v>
      </c>
      <c r="K79" s="224">
        <v>1</v>
      </c>
      <c r="L79" s="241"/>
      <c r="M79" s="240"/>
      <c r="N79" s="240"/>
      <c r="O79" s="240"/>
      <c r="P79" s="240"/>
      <c r="Q79" s="240"/>
      <c r="R79" s="240"/>
    </row>
    <row r="80" spans="1:18" s="248" customFormat="1" ht="31.5" hidden="1" thickTop="1" thickBot="1" x14ac:dyDescent="0.25">
      <c r="A80" s="167"/>
      <c r="B80" s="219" t="s">
        <v>547</v>
      </c>
      <c r="C80" s="219" t="s">
        <v>197</v>
      </c>
      <c r="D80" s="219" t="s">
        <v>170</v>
      </c>
      <c r="E80" s="219" t="s">
        <v>34</v>
      </c>
      <c r="F80" s="228" t="s">
        <v>1277</v>
      </c>
      <c r="G80" s="222" t="s">
        <v>1228</v>
      </c>
      <c r="H80" s="222">
        <v>1102662</v>
      </c>
      <c r="I80" s="222">
        <f t="shared" si="8"/>
        <v>1083784</v>
      </c>
      <c r="J80" s="222">
        <f>((500000)+602662)-18878</f>
        <v>1083784</v>
      </c>
      <c r="K80" s="224">
        <v>1</v>
      </c>
      <c r="L80" s="241"/>
      <c r="M80" s="240"/>
      <c r="N80" s="240"/>
      <c r="O80" s="240"/>
      <c r="P80" s="240"/>
      <c r="Q80" s="240"/>
      <c r="R80" s="240"/>
    </row>
    <row r="81" spans="1:18" s="248" customFormat="1" ht="46.5" hidden="1" thickTop="1" thickBot="1" x14ac:dyDescent="0.25">
      <c r="A81" s="167"/>
      <c r="B81" s="219" t="s">
        <v>547</v>
      </c>
      <c r="C81" s="219" t="s">
        <v>197</v>
      </c>
      <c r="D81" s="219" t="s">
        <v>170</v>
      </c>
      <c r="E81" s="219" t="s">
        <v>34</v>
      </c>
      <c r="F81" s="228" t="s">
        <v>1274</v>
      </c>
      <c r="G81" s="222" t="s">
        <v>1228</v>
      </c>
      <c r="H81" s="222">
        <v>2295880</v>
      </c>
      <c r="I81" s="222">
        <f t="shared" si="8"/>
        <v>2272102</v>
      </c>
      <c r="J81" s="222">
        <f>((800000)+1495880)-23778</f>
        <v>2272102</v>
      </c>
      <c r="K81" s="224">
        <v>1</v>
      </c>
      <c r="L81" s="241"/>
      <c r="M81" s="240"/>
      <c r="N81" s="240"/>
      <c r="O81" s="240"/>
      <c r="P81" s="240"/>
      <c r="Q81" s="240"/>
      <c r="R81" s="240"/>
    </row>
    <row r="82" spans="1:18" s="248" customFormat="1" ht="46.5" hidden="1" thickTop="1" thickBot="1" x14ac:dyDescent="0.25">
      <c r="A82" s="167"/>
      <c r="B82" s="219" t="s">
        <v>547</v>
      </c>
      <c r="C82" s="219" t="s">
        <v>197</v>
      </c>
      <c r="D82" s="219" t="s">
        <v>170</v>
      </c>
      <c r="E82" s="219" t="s">
        <v>34</v>
      </c>
      <c r="F82" s="228" t="s">
        <v>1275</v>
      </c>
      <c r="G82" s="222" t="s">
        <v>1228</v>
      </c>
      <c r="H82" s="222">
        <v>130655</v>
      </c>
      <c r="I82" s="222">
        <f t="shared" si="8"/>
        <v>130655</v>
      </c>
      <c r="J82" s="222">
        <f>(119860)+10795</f>
        <v>130655</v>
      </c>
      <c r="K82" s="224">
        <f t="shared" ref="K82:K83" si="9">I82/H82</f>
        <v>1</v>
      </c>
      <c r="L82" s="241"/>
      <c r="M82" s="240"/>
      <c r="N82" s="240"/>
      <c r="O82" s="240"/>
      <c r="P82" s="240"/>
      <c r="Q82" s="240"/>
      <c r="R82" s="240"/>
    </row>
    <row r="83" spans="1:18" s="248" customFormat="1" ht="46.5" hidden="1" thickTop="1" thickBot="1" x14ac:dyDescent="0.25">
      <c r="A83" s="167"/>
      <c r="B83" s="219" t="s">
        <v>547</v>
      </c>
      <c r="C83" s="219" t="s">
        <v>197</v>
      </c>
      <c r="D83" s="219" t="s">
        <v>170</v>
      </c>
      <c r="E83" s="219" t="s">
        <v>34</v>
      </c>
      <c r="F83" s="228" t="s">
        <v>1276</v>
      </c>
      <c r="G83" s="222" t="s">
        <v>1228</v>
      </c>
      <c r="H83" s="222">
        <v>294266</v>
      </c>
      <c r="I83" s="222">
        <f t="shared" si="8"/>
        <v>294266</v>
      </c>
      <c r="J83" s="222">
        <f>(213380)+80886</f>
        <v>294266</v>
      </c>
      <c r="K83" s="224">
        <f t="shared" si="9"/>
        <v>1</v>
      </c>
      <c r="L83" s="241"/>
      <c r="M83" s="240"/>
      <c r="N83" s="240"/>
      <c r="O83" s="240"/>
      <c r="P83" s="240"/>
      <c r="Q83" s="240"/>
      <c r="R83" s="240"/>
    </row>
    <row r="84" spans="1:18" s="248" customFormat="1" ht="61.5" hidden="1" thickTop="1" thickBot="1" x14ac:dyDescent="0.25">
      <c r="A84" s="167"/>
      <c r="B84" s="219" t="s">
        <v>547</v>
      </c>
      <c r="C84" s="219" t="s">
        <v>197</v>
      </c>
      <c r="D84" s="219" t="s">
        <v>170</v>
      </c>
      <c r="E84" s="219" t="s">
        <v>34</v>
      </c>
      <c r="F84" s="228" t="s">
        <v>1500</v>
      </c>
      <c r="G84" s="222" t="s">
        <v>1409</v>
      </c>
      <c r="H84" s="222">
        <v>17008063</v>
      </c>
      <c r="I84" s="222">
        <f>12294844.89+J84</f>
        <v>12818628.890000001</v>
      </c>
      <c r="J84" s="222">
        <v>523784</v>
      </c>
      <c r="K84" s="224">
        <v>1</v>
      </c>
      <c r="L84" s="241"/>
      <c r="M84" s="240"/>
      <c r="N84" s="240"/>
      <c r="O84" s="240"/>
      <c r="P84" s="240"/>
      <c r="Q84" s="240"/>
      <c r="R84" s="240"/>
    </row>
    <row r="85" spans="1:18" s="248" customFormat="1" ht="61.5" hidden="1" thickTop="1" thickBot="1" x14ac:dyDescent="0.25">
      <c r="A85" s="167"/>
      <c r="B85" s="219" t="s">
        <v>547</v>
      </c>
      <c r="C85" s="219" t="s">
        <v>197</v>
      </c>
      <c r="D85" s="219" t="s">
        <v>170</v>
      </c>
      <c r="E85" s="219" t="s">
        <v>34</v>
      </c>
      <c r="F85" s="228" t="s">
        <v>1501</v>
      </c>
      <c r="G85" s="222" t="s">
        <v>1409</v>
      </c>
      <c r="H85" s="222">
        <v>5736181</v>
      </c>
      <c r="I85" s="222">
        <f>4740400.33+J85</f>
        <v>5067178.33</v>
      </c>
      <c r="J85" s="222">
        <v>326778</v>
      </c>
      <c r="K85" s="224">
        <v>1</v>
      </c>
      <c r="L85" s="241"/>
      <c r="M85" s="240"/>
      <c r="N85" s="240"/>
      <c r="O85" s="240"/>
      <c r="P85" s="240"/>
      <c r="Q85" s="240"/>
      <c r="R85" s="240"/>
    </row>
    <row r="86" spans="1:18" s="248" customFormat="1" ht="76.5" hidden="1" thickTop="1" thickBot="1" x14ac:dyDescent="0.25">
      <c r="A86" s="167"/>
      <c r="B86" s="219" t="s">
        <v>547</v>
      </c>
      <c r="C86" s="219" t="s">
        <v>197</v>
      </c>
      <c r="D86" s="219" t="s">
        <v>170</v>
      </c>
      <c r="E86" s="219" t="s">
        <v>34</v>
      </c>
      <c r="F86" s="228" t="s">
        <v>1504</v>
      </c>
      <c r="G86" s="222" t="s">
        <v>1409</v>
      </c>
      <c r="H86" s="222">
        <v>2852505</v>
      </c>
      <c r="I86" s="222">
        <f>1038210.19+J86</f>
        <v>2406282.19</v>
      </c>
      <c r="J86" s="222">
        <f>(1736486)-368414</f>
        <v>1368072</v>
      </c>
      <c r="K86" s="224">
        <v>1</v>
      </c>
      <c r="L86" s="241"/>
      <c r="M86" s="240"/>
      <c r="N86" s="240"/>
      <c r="O86" s="240"/>
      <c r="P86" s="240"/>
      <c r="Q86" s="240"/>
      <c r="R86" s="240"/>
    </row>
    <row r="87" spans="1:18" s="248" customFormat="1" ht="45.75" hidden="1" customHeight="1" thickTop="1" thickBot="1" x14ac:dyDescent="0.25">
      <c r="A87" s="167"/>
      <c r="B87" s="219" t="s">
        <v>547</v>
      </c>
      <c r="C87" s="219" t="s">
        <v>197</v>
      </c>
      <c r="D87" s="219" t="s">
        <v>170</v>
      </c>
      <c r="E87" s="219" t="s">
        <v>34</v>
      </c>
      <c r="F87" s="228" t="s">
        <v>1278</v>
      </c>
      <c r="G87" s="222" t="s">
        <v>1409</v>
      </c>
      <c r="H87" s="222">
        <v>3610921</v>
      </c>
      <c r="I87" s="222">
        <f>2914367.36+J87</f>
        <v>3178721.36</v>
      </c>
      <c r="J87" s="222">
        <v>264354</v>
      </c>
      <c r="K87" s="224">
        <v>1</v>
      </c>
      <c r="L87" s="241"/>
      <c r="M87" s="240"/>
      <c r="N87" s="240"/>
      <c r="O87" s="240"/>
      <c r="P87" s="240"/>
      <c r="Q87" s="240"/>
      <c r="R87" s="240"/>
    </row>
    <row r="88" spans="1:18" s="248" customFormat="1" ht="46.5" hidden="1" thickTop="1" thickBot="1" x14ac:dyDescent="0.25">
      <c r="A88" s="167"/>
      <c r="B88" s="219" t="s">
        <v>547</v>
      </c>
      <c r="C88" s="219" t="s">
        <v>197</v>
      </c>
      <c r="D88" s="219" t="s">
        <v>170</v>
      </c>
      <c r="E88" s="219" t="s">
        <v>34</v>
      </c>
      <c r="F88" s="228" t="s">
        <v>1279</v>
      </c>
      <c r="G88" s="222" t="s">
        <v>1218</v>
      </c>
      <c r="H88" s="222">
        <v>2163176</v>
      </c>
      <c r="I88" s="222">
        <f>333866.12+J88</f>
        <v>1685143</v>
      </c>
      <c r="J88" s="222">
        <f>(778960+362316.88)+210000</f>
        <v>1351276.88</v>
      </c>
      <c r="K88" s="224">
        <f>I88/H88</f>
        <v>0.77901335813636985</v>
      </c>
      <c r="L88" s="241" t="s">
        <v>1438</v>
      </c>
      <c r="M88" s="240"/>
      <c r="N88" s="240"/>
      <c r="O88" s="240"/>
      <c r="P88" s="240"/>
      <c r="Q88" s="240"/>
      <c r="R88" s="240"/>
    </row>
    <row r="89" spans="1:18" s="248" customFormat="1" ht="61.5" hidden="1" thickTop="1" thickBot="1" x14ac:dyDescent="0.25">
      <c r="A89" s="167"/>
      <c r="B89" s="219" t="s">
        <v>547</v>
      </c>
      <c r="C89" s="219" t="s">
        <v>197</v>
      </c>
      <c r="D89" s="219" t="s">
        <v>170</v>
      </c>
      <c r="E89" s="219" t="s">
        <v>34</v>
      </c>
      <c r="F89" s="228" t="s">
        <v>1280</v>
      </c>
      <c r="G89" s="222" t="s">
        <v>1218</v>
      </c>
      <c r="H89" s="222">
        <v>990371</v>
      </c>
      <c r="I89" s="222">
        <f>495172+J89</f>
        <v>602150</v>
      </c>
      <c r="J89" s="222">
        <v>106978</v>
      </c>
      <c r="K89" s="224">
        <f>I89/H89</f>
        <v>0.60800447509064781</v>
      </c>
      <c r="L89" s="241" t="s">
        <v>1281</v>
      </c>
      <c r="M89" s="240"/>
      <c r="N89" s="240"/>
      <c r="O89" s="240"/>
      <c r="P89" s="240"/>
      <c r="Q89" s="240"/>
      <c r="R89" s="240"/>
    </row>
    <row r="90" spans="1:18" s="248" customFormat="1" ht="61.5" hidden="1" thickTop="1" thickBot="1" x14ac:dyDescent="0.25">
      <c r="A90" s="167"/>
      <c r="B90" s="219" t="s">
        <v>547</v>
      </c>
      <c r="C90" s="219" t="s">
        <v>197</v>
      </c>
      <c r="D90" s="219" t="s">
        <v>170</v>
      </c>
      <c r="E90" s="219" t="s">
        <v>34</v>
      </c>
      <c r="F90" s="228" t="s">
        <v>1283</v>
      </c>
      <c r="G90" s="222" t="s">
        <v>1218</v>
      </c>
      <c r="H90" s="222">
        <v>3193463</v>
      </c>
      <c r="I90" s="222">
        <f>990793.71+J90</f>
        <v>2706428.58</v>
      </c>
      <c r="J90" s="222">
        <f>500000+1215634.87</f>
        <v>1715634.87</v>
      </c>
      <c r="K90" s="224">
        <f>I90/H90</f>
        <v>0.84749019481359267</v>
      </c>
      <c r="L90" s="241" t="s">
        <v>1281</v>
      </c>
      <c r="M90" s="240"/>
      <c r="N90" s="240"/>
      <c r="O90" s="240"/>
      <c r="P90" s="240"/>
      <c r="Q90" s="240"/>
      <c r="R90" s="240"/>
    </row>
    <row r="91" spans="1:18" s="248" customFormat="1" ht="76.5" hidden="1" thickTop="1" thickBot="1" x14ac:dyDescent="0.25">
      <c r="A91" s="167"/>
      <c r="B91" s="219" t="s">
        <v>547</v>
      </c>
      <c r="C91" s="219" t="s">
        <v>197</v>
      </c>
      <c r="D91" s="219" t="s">
        <v>170</v>
      </c>
      <c r="E91" s="219" t="s">
        <v>34</v>
      </c>
      <c r="F91" s="228" t="s">
        <v>1110</v>
      </c>
      <c r="G91" s="222" t="s">
        <v>1104</v>
      </c>
      <c r="H91" s="222">
        <v>3387286</v>
      </c>
      <c r="I91" s="222">
        <v>0</v>
      </c>
      <c r="J91" s="222">
        <f>(500000)-500000</f>
        <v>0</v>
      </c>
      <c r="K91" s="238">
        <f t="shared" si="6"/>
        <v>0</v>
      </c>
      <c r="L91" s="241"/>
      <c r="M91" s="240"/>
      <c r="N91" s="240"/>
      <c r="O91" s="240"/>
      <c r="P91" s="240"/>
      <c r="Q91" s="240"/>
      <c r="R91" s="240"/>
    </row>
    <row r="92" spans="1:18" s="248" customFormat="1" ht="76.5" hidden="1" thickTop="1" thickBot="1" x14ac:dyDescent="0.25">
      <c r="A92" s="167"/>
      <c r="B92" s="219" t="s">
        <v>547</v>
      </c>
      <c r="C92" s="219" t="s">
        <v>197</v>
      </c>
      <c r="D92" s="219" t="s">
        <v>170</v>
      </c>
      <c r="E92" s="219" t="s">
        <v>34</v>
      </c>
      <c r="F92" s="228" t="s">
        <v>1107</v>
      </c>
      <c r="G92" s="222" t="s">
        <v>1104</v>
      </c>
      <c r="H92" s="222">
        <v>5891152</v>
      </c>
      <c r="I92" s="222">
        <v>0</v>
      </c>
      <c r="J92" s="222">
        <f>(1000000)-1000000</f>
        <v>0</v>
      </c>
      <c r="K92" s="238">
        <f t="shared" si="6"/>
        <v>0</v>
      </c>
      <c r="L92" s="241"/>
      <c r="M92" s="240"/>
      <c r="N92" s="240"/>
      <c r="O92" s="240"/>
      <c r="P92" s="240"/>
      <c r="Q92" s="240"/>
      <c r="R92" s="240"/>
    </row>
    <row r="93" spans="1:18" s="248" customFormat="1" ht="31.5" hidden="1" thickTop="1" thickBot="1" x14ac:dyDescent="0.25">
      <c r="A93" s="167"/>
      <c r="B93" s="219" t="s">
        <v>547</v>
      </c>
      <c r="C93" s="219" t="s">
        <v>197</v>
      </c>
      <c r="D93" s="219" t="s">
        <v>170</v>
      </c>
      <c r="E93" s="219" t="s">
        <v>34</v>
      </c>
      <c r="F93" s="228" t="s">
        <v>1282</v>
      </c>
      <c r="G93" s="222" t="s">
        <v>1227</v>
      </c>
      <c r="H93" s="222">
        <v>1442309</v>
      </c>
      <c r="I93" s="222">
        <f>0+J93</f>
        <v>1165856.81</v>
      </c>
      <c r="J93" s="222">
        <v>1165856.81</v>
      </c>
      <c r="K93" s="224">
        <v>1</v>
      </c>
      <c r="L93" s="241"/>
      <c r="M93" s="240"/>
      <c r="N93" s="240"/>
      <c r="O93" s="240"/>
      <c r="P93" s="240"/>
      <c r="Q93" s="240"/>
      <c r="R93" s="240"/>
    </row>
    <row r="94" spans="1:18" s="248" customFormat="1" ht="46.5" hidden="1" thickTop="1" thickBot="1" x14ac:dyDescent="0.25">
      <c r="A94" s="167"/>
      <c r="B94" s="219" t="s">
        <v>547</v>
      </c>
      <c r="C94" s="219" t="s">
        <v>197</v>
      </c>
      <c r="D94" s="219" t="s">
        <v>170</v>
      </c>
      <c r="E94" s="219" t="s">
        <v>34</v>
      </c>
      <c r="F94" s="228" t="s">
        <v>1295</v>
      </c>
      <c r="G94" s="222" t="s">
        <v>924</v>
      </c>
      <c r="H94" s="222">
        <v>21842639</v>
      </c>
      <c r="I94" s="222">
        <f>3147154.85+J94</f>
        <v>9252879.8499999996</v>
      </c>
      <c r="J94" s="222">
        <f>(5891152)+214573</f>
        <v>6105725</v>
      </c>
      <c r="K94" s="224">
        <f t="shared" ref="K94:K99" si="10">I94/H94</f>
        <v>0.42361547292888918</v>
      </c>
      <c r="L94" s="241"/>
      <c r="M94" s="240"/>
      <c r="N94" s="240"/>
      <c r="O94" s="240"/>
      <c r="P94" s="240"/>
      <c r="Q94" s="240"/>
      <c r="R94" s="240"/>
    </row>
    <row r="95" spans="1:18" s="248" customFormat="1" ht="31.5" hidden="1" thickTop="1" thickBot="1" x14ac:dyDescent="0.25">
      <c r="A95" s="167"/>
      <c r="B95" s="219" t="s">
        <v>547</v>
      </c>
      <c r="C95" s="219" t="s">
        <v>197</v>
      </c>
      <c r="D95" s="219" t="s">
        <v>170</v>
      </c>
      <c r="E95" s="219" t="s">
        <v>34</v>
      </c>
      <c r="F95" s="228" t="s">
        <v>1395</v>
      </c>
      <c r="G95" s="222" t="s">
        <v>1228</v>
      </c>
      <c r="H95" s="222">
        <v>428388</v>
      </c>
      <c r="I95" s="222">
        <v>428388</v>
      </c>
      <c r="J95" s="222">
        <f>(428388)-12412</f>
        <v>415976</v>
      </c>
      <c r="K95" s="224">
        <f t="shared" si="10"/>
        <v>1</v>
      </c>
      <c r="L95" s="241"/>
      <c r="M95" s="240"/>
      <c r="N95" s="240"/>
      <c r="O95" s="240"/>
      <c r="P95" s="240"/>
      <c r="Q95" s="240"/>
      <c r="R95" s="240"/>
    </row>
    <row r="96" spans="1:18" s="248" customFormat="1" ht="46.5" hidden="1" thickTop="1" thickBot="1" x14ac:dyDescent="0.25">
      <c r="A96" s="167"/>
      <c r="B96" s="219" t="s">
        <v>547</v>
      </c>
      <c r="C96" s="219" t="s">
        <v>197</v>
      </c>
      <c r="D96" s="219" t="s">
        <v>170</v>
      </c>
      <c r="E96" s="219" t="s">
        <v>34</v>
      </c>
      <c r="F96" s="228" t="s">
        <v>1446</v>
      </c>
      <c r="G96" s="222" t="s">
        <v>1228</v>
      </c>
      <c r="H96" s="222">
        <v>3122498</v>
      </c>
      <c r="I96" s="222">
        <v>3122498</v>
      </c>
      <c r="J96" s="222">
        <f>(3122498)-325803</f>
        <v>2796695</v>
      </c>
      <c r="K96" s="224">
        <f t="shared" si="10"/>
        <v>1</v>
      </c>
      <c r="L96" s="241"/>
      <c r="M96" s="240"/>
      <c r="N96" s="240"/>
      <c r="O96" s="240"/>
      <c r="P96" s="240"/>
      <c r="Q96" s="240"/>
      <c r="R96" s="240"/>
    </row>
    <row r="97" spans="1:18" s="248" customFormat="1" ht="31.5" hidden="1" thickTop="1" thickBot="1" x14ac:dyDescent="0.25">
      <c r="A97" s="167"/>
      <c r="B97" s="219" t="s">
        <v>547</v>
      </c>
      <c r="C97" s="219" t="s">
        <v>197</v>
      </c>
      <c r="D97" s="219" t="s">
        <v>170</v>
      </c>
      <c r="E97" s="219" t="s">
        <v>34</v>
      </c>
      <c r="F97" s="228" t="s">
        <v>1375</v>
      </c>
      <c r="G97" s="222" t="s">
        <v>1228</v>
      </c>
      <c r="H97" s="222">
        <v>738847</v>
      </c>
      <c r="I97" s="222">
        <v>738847</v>
      </c>
      <c r="J97" s="222">
        <f>(738847)-43844</f>
        <v>695003</v>
      </c>
      <c r="K97" s="224">
        <f t="shared" si="10"/>
        <v>1</v>
      </c>
      <c r="L97" s="241"/>
      <c r="M97" s="240"/>
      <c r="N97" s="240"/>
      <c r="O97" s="240"/>
      <c r="P97" s="240"/>
      <c r="Q97" s="240"/>
      <c r="R97" s="240"/>
    </row>
    <row r="98" spans="1:18" s="248" customFormat="1" ht="31.5" hidden="1" thickTop="1" thickBot="1" x14ac:dyDescent="0.25">
      <c r="A98" s="167"/>
      <c r="B98" s="219" t="s">
        <v>547</v>
      </c>
      <c r="C98" s="219" t="s">
        <v>197</v>
      </c>
      <c r="D98" s="219" t="s">
        <v>170</v>
      </c>
      <c r="E98" s="219" t="s">
        <v>34</v>
      </c>
      <c r="F98" s="228" t="s">
        <v>1376</v>
      </c>
      <c r="G98" s="221" t="s">
        <v>1409</v>
      </c>
      <c r="H98" s="222">
        <v>963194</v>
      </c>
      <c r="I98" s="222">
        <f>0+J98</f>
        <v>663000</v>
      </c>
      <c r="J98" s="222">
        <v>663000</v>
      </c>
      <c r="K98" s="224">
        <f t="shared" si="10"/>
        <v>0.68833485258421456</v>
      </c>
      <c r="L98" s="241"/>
      <c r="M98" s="240"/>
      <c r="N98" s="240"/>
      <c r="O98" s="240"/>
      <c r="P98" s="240"/>
      <c r="Q98" s="240"/>
      <c r="R98" s="240"/>
    </row>
    <row r="99" spans="1:18" s="248" customFormat="1" ht="46.5" hidden="1" thickTop="1" thickBot="1" x14ac:dyDescent="0.25">
      <c r="A99" s="167"/>
      <c r="B99" s="219" t="s">
        <v>547</v>
      </c>
      <c r="C99" s="219" t="s">
        <v>197</v>
      </c>
      <c r="D99" s="219" t="s">
        <v>170</v>
      </c>
      <c r="E99" s="219" t="s">
        <v>34</v>
      </c>
      <c r="F99" s="228" t="s">
        <v>1377</v>
      </c>
      <c r="G99" s="222" t="s">
        <v>1228</v>
      </c>
      <c r="H99" s="222">
        <v>923291</v>
      </c>
      <c r="I99" s="222">
        <v>923291</v>
      </c>
      <c r="J99" s="222">
        <f>(923291)-17624</f>
        <v>905667</v>
      </c>
      <c r="K99" s="224">
        <f t="shared" si="10"/>
        <v>1</v>
      </c>
      <c r="L99" s="241"/>
      <c r="M99" s="240"/>
      <c r="N99" s="240"/>
      <c r="O99" s="240"/>
      <c r="P99" s="240"/>
      <c r="Q99" s="240"/>
      <c r="R99" s="240"/>
    </row>
    <row r="100" spans="1:18" s="248" customFormat="1" ht="76.5" hidden="1" thickTop="1" thickBot="1" x14ac:dyDescent="0.25">
      <c r="A100" s="167"/>
      <c r="B100" s="219" t="s">
        <v>547</v>
      </c>
      <c r="C100" s="219" t="s">
        <v>197</v>
      </c>
      <c r="D100" s="219" t="s">
        <v>170</v>
      </c>
      <c r="E100" s="219" t="s">
        <v>34</v>
      </c>
      <c r="F100" s="228" t="s">
        <v>892</v>
      </c>
      <c r="G100" s="221" t="s">
        <v>976</v>
      </c>
      <c r="H100" s="222">
        <v>2924077</v>
      </c>
      <c r="I100" s="222">
        <v>100000</v>
      </c>
      <c r="J100" s="222">
        <f>(500000)-500000</f>
        <v>0</v>
      </c>
      <c r="K100" s="238">
        <f t="shared" si="6"/>
        <v>3.4198825817514385E-2</v>
      </c>
      <c r="L100" s="241"/>
      <c r="M100" s="240"/>
      <c r="N100" s="240"/>
      <c r="O100" s="240"/>
      <c r="P100" s="240"/>
      <c r="Q100" s="240"/>
      <c r="R100" s="240"/>
    </row>
    <row r="101" spans="1:18" s="248" customFormat="1" ht="61.5" hidden="1" thickTop="1" thickBot="1" x14ac:dyDescent="0.25">
      <c r="A101" s="167"/>
      <c r="B101" s="400" t="s">
        <v>547</v>
      </c>
      <c r="C101" s="400" t="s">
        <v>197</v>
      </c>
      <c r="D101" s="400" t="s">
        <v>170</v>
      </c>
      <c r="E101" s="400" t="s">
        <v>34</v>
      </c>
      <c r="F101" s="420" t="s">
        <v>1518</v>
      </c>
      <c r="G101" s="563"/>
      <c r="H101" s="563"/>
      <c r="I101" s="563"/>
      <c r="J101" s="563"/>
      <c r="K101" s="564"/>
      <c r="L101" s="241"/>
      <c r="M101" s="240"/>
      <c r="N101" s="240"/>
      <c r="O101" s="240"/>
      <c r="P101" s="240"/>
      <c r="Q101" s="240"/>
      <c r="R101" s="240"/>
    </row>
    <row r="102" spans="1:18" s="248" customFormat="1" ht="61.5" hidden="1" thickTop="1" thickBot="1" x14ac:dyDescent="0.25">
      <c r="A102" s="167"/>
      <c r="B102" s="219" t="s">
        <v>547</v>
      </c>
      <c r="C102" s="219" t="s">
        <v>197</v>
      </c>
      <c r="D102" s="219" t="s">
        <v>170</v>
      </c>
      <c r="E102" s="219" t="s">
        <v>34</v>
      </c>
      <c r="F102" s="561" t="s">
        <v>1520</v>
      </c>
      <c r="G102" s="222" t="s">
        <v>1451</v>
      </c>
      <c r="H102" s="419">
        <v>2297842</v>
      </c>
      <c r="I102" s="222">
        <f>0+J102</f>
        <v>2247104</v>
      </c>
      <c r="J102" s="222">
        <f>((1090264)+400000)+756840</f>
        <v>2247104</v>
      </c>
      <c r="K102" s="238">
        <f>I102/H102</f>
        <v>0.97791928252682303</v>
      </c>
      <c r="L102" s="241"/>
      <c r="M102" s="240"/>
      <c r="N102" s="240"/>
      <c r="O102" s="240"/>
      <c r="P102" s="240"/>
      <c r="Q102" s="240"/>
      <c r="R102" s="240"/>
    </row>
    <row r="103" spans="1:18" ht="54.75" customHeight="1" thickTop="1" thickBot="1" x14ac:dyDescent="0.25">
      <c r="B103" s="591" t="s">
        <v>25</v>
      </c>
      <c r="C103" s="591"/>
      <c r="D103" s="591"/>
      <c r="E103" s="592" t="s">
        <v>878</v>
      </c>
      <c r="F103" s="591"/>
      <c r="G103" s="591"/>
      <c r="H103" s="593">
        <f>H104</f>
        <v>533067680</v>
      </c>
      <c r="I103" s="593">
        <f>I104</f>
        <v>133626422.06999999</v>
      </c>
      <c r="J103" s="593">
        <f>J104</f>
        <v>23300000</v>
      </c>
      <c r="K103" s="648"/>
      <c r="L103" s="244"/>
      <c r="M103" s="202"/>
      <c r="N103" s="202"/>
      <c r="O103" s="202"/>
      <c r="P103" s="202"/>
      <c r="Q103" s="202"/>
      <c r="R103" s="202"/>
    </row>
    <row r="104" spans="1:18" ht="44.25" thickTop="1" thickBot="1" x14ac:dyDescent="0.25">
      <c r="B104" s="595" t="s">
        <v>26</v>
      </c>
      <c r="C104" s="595"/>
      <c r="D104" s="595"/>
      <c r="E104" s="596" t="s">
        <v>879</v>
      </c>
      <c r="F104" s="595"/>
      <c r="G104" s="595"/>
      <c r="H104" s="649">
        <f>H106+H107+H120+H123+H105</f>
        <v>533067680</v>
      </c>
      <c r="I104" s="649">
        <f>I105+I106+I107+I120+I123</f>
        <v>133626422.06999999</v>
      </c>
      <c r="J104" s="649">
        <f>J105+J106+J107+J120+J123</f>
        <v>23300000</v>
      </c>
      <c r="K104" s="650"/>
      <c r="L104" s="244"/>
      <c r="M104" s="202"/>
      <c r="N104" s="202"/>
      <c r="O104" s="202"/>
      <c r="P104" s="202"/>
      <c r="Q104" s="202"/>
      <c r="R104" s="202"/>
    </row>
    <row r="105" spans="1:18" ht="91.5" customHeight="1" thickTop="1" thickBot="1" x14ac:dyDescent="0.25">
      <c r="B105" s="616" t="s">
        <v>1611</v>
      </c>
      <c r="C105" s="616" t="s">
        <v>1612</v>
      </c>
      <c r="D105" s="616" t="s">
        <v>210</v>
      </c>
      <c r="E105" s="616" t="s">
        <v>1614</v>
      </c>
      <c r="F105" s="629" t="s">
        <v>1523</v>
      </c>
      <c r="G105" s="618" t="s">
        <v>1575</v>
      </c>
      <c r="H105" s="618">
        <v>44541379</v>
      </c>
      <c r="I105" s="618">
        <f>5381378.3+29160000+J105</f>
        <v>44541378.299999997</v>
      </c>
      <c r="J105" s="618">
        <v>10000000</v>
      </c>
      <c r="K105" s="619">
        <f t="shared" ref="K105:K106" si="11">I105/H105</f>
        <v>0.99999998428427639</v>
      </c>
      <c r="L105" s="618">
        <v>42847731</v>
      </c>
      <c r="M105" s="202"/>
      <c r="N105" s="202"/>
      <c r="O105" s="202"/>
      <c r="P105" s="202"/>
      <c r="Q105" s="202"/>
      <c r="R105" s="202"/>
    </row>
    <row r="106" spans="1:18" ht="106.5" customHeight="1" thickTop="1" thickBot="1" x14ac:dyDescent="0.25">
      <c r="B106" s="616" t="s">
        <v>1611</v>
      </c>
      <c r="C106" s="616" t="s">
        <v>1612</v>
      </c>
      <c r="D106" s="616" t="s">
        <v>210</v>
      </c>
      <c r="E106" s="616" t="s">
        <v>1614</v>
      </c>
      <c r="F106" s="629" t="s">
        <v>1483</v>
      </c>
      <c r="G106" s="618" t="s">
        <v>1575</v>
      </c>
      <c r="H106" s="618">
        <v>48619051</v>
      </c>
      <c r="I106" s="618">
        <f>5758322.59+10000000+J106</f>
        <v>22758322.59</v>
      </c>
      <c r="J106" s="618">
        <v>7000000</v>
      </c>
      <c r="K106" s="619">
        <f t="shared" si="11"/>
        <v>0.46809475137636891</v>
      </c>
      <c r="L106" s="244"/>
      <c r="M106" s="202"/>
      <c r="N106" s="202"/>
      <c r="O106" s="202"/>
      <c r="P106" s="202"/>
      <c r="Q106" s="202"/>
      <c r="R106" s="202"/>
    </row>
    <row r="107" spans="1:18" ht="46.5" thickTop="1" thickBot="1" x14ac:dyDescent="0.25">
      <c r="B107" s="616" t="s">
        <v>1619</v>
      </c>
      <c r="C107" s="616" t="s">
        <v>1620</v>
      </c>
      <c r="D107" s="616" t="s">
        <v>182</v>
      </c>
      <c r="E107" s="628" t="s">
        <v>1618</v>
      </c>
      <c r="F107" s="629" t="s">
        <v>1524</v>
      </c>
      <c r="G107" s="618" t="s">
        <v>924</v>
      </c>
      <c r="H107" s="618">
        <v>81367771</v>
      </c>
      <c r="I107" s="618">
        <f>980635.67+1049900+J107</f>
        <v>2230535.67</v>
      </c>
      <c r="J107" s="618">
        <v>200000</v>
      </c>
      <c r="K107" s="619">
        <f>I107/H107</f>
        <v>2.7413011842244026E-2</v>
      </c>
      <c r="L107" s="244"/>
      <c r="M107" s="202"/>
      <c r="N107" s="202"/>
      <c r="O107" s="202"/>
      <c r="P107" s="202"/>
      <c r="Q107" s="202"/>
      <c r="R107" s="202"/>
    </row>
    <row r="108" spans="1:18" ht="91.5" hidden="1" thickTop="1" thickBot="1" x14ac:dyDescent="0.25">
      <c r="A108" s="326"/>
      <c r="B108" s="421" t="s">
        <v>431</v>
      </c>
      <c r="C108" s="421" t="s">
        <v>432</v>
      </c>
      <c r="D108" s="421" t="s">
        <v>195</v>
      </c>
      <c r="E108" s="421" t="s">
        <v>1144</v>
      </c>
      <c r="F108" s="239" t="s">
        <v>1090</v>
      </c>
      <c r="G108" s="222" t="s">
        <v>1092</v>
      </c>
      <c r="H108" s="222">
        <v>448128773</v>
      </c>
      <c r="I108" s="222">
        <f>287427907.48+3866315.08+J108</f>
        <v>293494222.56</v>
      </c>
      <c r="J108" s="222">
        <f>(3000000)-800000</f>
        <v>2200000</v>
      </c>
      <c r="K108" s="238">
        <f t="shared" ref="K108:K123" si="12">I108/H108</f>
        <v>0.6549327787974909</v>
      </c>
      <c r="L108" s="244"/>
      <c r="M108" s="202"/>
      <c r="N108" s="202"/>
      <c r="O108" s="202"/>
      <c r="P108" s="202"/>
      <c r="Q108" s="202"/>
      <c r="R108" s="202"/>
    </row>
    <row r="109" spans="1:18" ht="46.5" hidden="1" thickTop="1" thickBot="1" x14ac:dyDescent="0.25">
      <c r="A109" s="326"/>
      <c r="B109" s="421" t="s">
        <v>912</v>
      </c>
      <c r="C109" s="421" t="s">
        <v>304</v>
      </c>
      <c r="D109" s="421" t="s">
        <v>303</v>
      </c>
      <c r="E109" s="421" t="s">
        <v>467</v>
      </c>
      <c r="F109" s="422" t="s">
        <v>1091</v>
      </c>
      <c r="G109" s="222" t="s">
        <v>1232</v>
      </c>
      <c r="H109" s="222">
        <v>6293206</v>
      </c>
      <c r="I109" s="222">
        <f>1639036.69+J109</f>
        <v>6139036.6899999995</v>
      </c>
      <c r="J109" s="222">
        <f>(100000+1000000)+3400000</f>
        <v>4500000</v>
      </c>
      <c r="K109" s="238">
        <f t="shared" si="12"/>
        <v>0.97550226228094228</v>
      </c>
      <c r="L109" s="423">
        <f>1639037+J109</f>
        <v>6139037</v>
      </c>
      <c r="M109" s="202"/>
      <c r="N109" s="202"/>
      <c r="O109" s="202"/>
      <c r="P109" s="202"/>
      <c r="Q109" s="202"/>
      <c r="R109" s="202"/>
    </row>
    <row r="110" spans="1:18" ht="61.5" hidden="1" thickTop="1" thickBot="1" x14ac:dyDescent="0.25">
      <c r="A110" s="326"/>
      <c r="B110" s="421" t="s">
        <v>309</v>
      </c>
      <c r="C110" s="421" t="s">
        <v>310</v>
      </c>
      <c r="D110" s="421" t="s">
        <v>303</v>
      </c>
      <c r="E110" s="421" t="s">
        <v>308</v>
      </c>
      <c r="F110" s="422" t="s">
        <v>922</v>
      </c>
      <c r="G110" s="222" t="s">
        <v>1092</v>
      </c>
      <c r="H110" s="222">
        <f>(9300000+10829899)-20129899</f>
        <v>0</v>
      </c>
      <c r="I110" s="222">
        <f>(7572904.16+J110)-7572904.16</f>
        <v>0</v>
      </c>
      <c r="J110" s="222">
        <f>(200000+2000000)-2200000</f>
        <v>0</v>
      </c>
      <c r="K110" s="238" t="e">
        <f t="shared" si="12"/>
        <v>#DIV/0!</v>
      </c>
      <c r="L110" s="423">
        <f>7572904+J110</f>
        <v>7572904</v>
      </c>
      <c r="M110" s="202"/>
      <c r="N110" s="202"/>
      <c r="O110" s="202"/>
      <c r="P110" s="202"/>
      <c r="Q110" s="202"/>
      <c r="R110" s="202"/>
    </row>
    <row r="111" spans="1:18" ht="46.5" hidden="1" thickTop="1" thickBot="1" x14ac:dyDescent="0.25">
      <c r="A111" s="326"/>
      <c r="B111" s="421" t="s">
        <v>309</v>
      </c>
      <c r="C111" s="421" t="s">
        <v>310</v>
      </c>
      <c r="D111" s="421" t="s">
        <v>303</v>
      </c>
      <c r="E111" s="421" t="s">
        <v>308</v>
      </c>
      <c r="F111" s="422" t="s">
        <v>1298</v>
      </c>
      <c r="G111" s="222" t="s">
        <v>1299</v>
      </c>
      <c r="H111" s="222">
        <f>56437448-56437448</f>
        <v>0</v>
      </c>
      <c r="I111" s="222">
        <f>48973733.31+J111-48973733.31</f>
        <v>0</v>
      </c>
      <c r="J111" s="222">
        <f>(2000000)-2000000</f>
        <v>0</v>
      </c>
      <c r="K111" s="238" t="e">
        <f>I111/H111</f>
        <v>#DIV/0!</v>
      </c>
      <c r="L111" s="423">
        <f>28071676+15122869+2857360+1500000+1458181+J111</f>
        <v>49010086</v>
      </c>
      <c r="M111" s="341"/>
      <c r="N111" s="202"/>
      <c r="O111" s="202"/>
      <c r="P111" s="202"/>
      <c r="Q111" s="202"/>
      <c r="R111" s="202"/>
    </row>
    <row r="112" spans="1:18" ht="61.5" hidden="1" thickTop="1" thickBot="1" x14ac:dyDescent="0.25">
      <c r="A112" s="326"/>
      <c r="B112" s="421" t="s">
        <v>309</v>
      </c>
      <c r="C112" s="421" t="s">
        <v>310</v>
      </c>
      <c r="D112" s="421" t="s">
        <v>303</v>
      </c>
      <c r="E112" s="421" t="s">
        <v>308</v>
      </c>
      <c r="F112" s="422" t="s">
        <v>1300</v>
      </c>
      <c r="G112" s="222" t="s">
        <v>1301</v>
      </c>
      <c r="H112" s="222">
        <f>34056704-34056704</f>
        <v>0</v>
      </c>
      <c r="I112" s="222">
        <f>24032981.17+J112-24032981.17</f>
        <v>0</v>
      </c>
      <c r="J112" s="222">
        <f>1000000-1000000</f>
        <v>0</v>
      </c>
      <c r="K112" s="238" t="e">
        <f>I112/H112</f>
        <v>#DIV/0!</v>
      </c>
      <c r="L112" s="423">
        <f>13051785+7748088+1427600+2095030-176100+J112</f>
        <v>24146403</v>
      </c>
      <c r="M112" s="341"/>
      <c r="N112" s="202"/>
      <c r="O112" s="202"/>
      <c r="P112" s="202"/>
      <c r="Q112" s="202"/>
      <c r="R112" s="202"/>
    </row>
    <row r="113" spans="1:18" ht="79.5" hidden="1" thickTop="1" thickBot="1" x14ac:dyDescent="0.25">
      <c r="A113" s="326"/>
      <c r="B113" s="421" t="s">
        <v>309</v>
      </c>
      <c r="C113" s="421" t="s">
        <v>310</v>
      </c>
      <c r="D113" s="421" t="s">
        <v>303</v>
      </c>
      <c r="E113" s="421" t="s">
        <v>308</v>
      </c>
      <c r="F113" s="422" t="s">
        <v>1581</v>
      </c>
      <c r="G113" s="222" t="s">
        <v>1409</v>
      </c>
      <c r="H113" s="222">
        <v>31706437</v>
      </c>
      <c r="I113" s="222">
        <f>9023652.06+J113</f>
        <v>25189076.849999998</v>
      </c>
      <c r="J113" s="222">
        <f>((((5000000)+12265815.94)+2500000)+2400000)-6000391.15</f>
        <v>16165424.789999997</v>
      </c>
      <c r="K113" s="238">
        <f t="shared" ref="K113:K114" si="13">I113/H113</f>
        <v>0.7944467822101865</v>
      </c>
      <c r="L113" s="423"/>
      <c r="M113" s="341"/>
      <c r="N113" s="202"/>
      <c r="O113" s="202"/>
      <c r="P113" s="202"/>
      <c r="Q113" s="202"/>
      <c r="R113" s="202"/>
    </row>
    <row r="114" spans="1:18" ht="80.25" hidden="1" thickTop="1" thickBot="1" x14ac:dyDescent="0.25">
      <c r="A114" s="326"/>
      <c r="B114" s="421" t="s">
        <v>309</v>
      </c>
      <c r="C114" s="421" t="s">
        <v>310</v>
      </c>
      <c r="D114" s="421" t="s">
        <v>303</v>
      </c>
      <c r="E114" s="421" t="s">
        <v>308</v>
      </c>
      <c r="F114" s="523" t="s">
        <v>1481</v>
      </c>
      <c r="G114" s="222" t="s">
        <v>1409</v>
      </c>
      <c r="H114" s="222">
        <v>54864985</v>
      </c>
      <c r="I114" s="222">
        <f>1449509.74+J114</f>
        <v>1449509.74</v>
      </c>
      <c r="J114" s="222">
        <f>(1000000)-1000000</f>
        <v>0</v>
      </c>
      <c r="K114" s="238">
        <f t="shared" si="13"/>
        <v>2.641957780540722E-2</v>
      </c>
      <c r="L114" s="423"/>
      <c r="M114" s="341"/>
      <c r="N114" s="202"/>
      <c r="O114" s="202"/>
      <c r="P114" s="202"/>
      <c r="Q114" s="202"/>
      <c r="R114" s="202"/>
    </row>
    <row r="115" spans="1:18" ht="61.5" hidden="1" thickTop="1" thickBot="1" x14ac:dyDescent="0.25">
      <c r="B115" s="421" t="s">
        <v>313</v>
      </c>
      <c r="C115" s="421" t="s">
        <v>314</v>
      </c>
      <c r="D115" s="421" t="s">
        <v>303</v>
      </c>
      <c r="E115" s="421" t="s">
        <v>460</v>
      </c>
      <c r="F115" s="424" t="s">
        <v>1093</v>
      </c>
      <c r="G115" s="222" t="s">
        <v>925</v>
      </c>
      <c r="H115" s="222">
        <v>15423995</v>
      </c>
      <c r="I115" s="222">
        <f>211261.75+1743.5+J115</f>
        <v>663787.25</v>
      </c>
      <c r="J115" s="222">
        <f>100000+350782</f>
        <v>450782</v>
      </c>
      <c r="K115" s="238">
        <f t="shared" si="12"/>
        <v>4.3036013043313358E-2</v>
      </c>
      <c r="L115" s="423">
        <f>213005+J115</f>
        <v>663787</v>
      </c>
      <c r="M115" s="202"/>
      <c r="N115" s="202"/>
      <c r="O115" s="202"/>
      <c r="P115" s="202"/>
      <c r="Q115" s="202"/>
      <c r="R115" s="202"/>
    </row>
    <row r="116" spans="1:18" ht="76.5" hidden="1" thickTop="1" thickBot="1" x14ac:dyDescent="0.25">
      <c r="B116" s="421" t="s">
        <v>313</v>
      </c>
      <c r="C116" s="421" t="s">
        <v>314</v>
      </c>
      <c r="D116" s="421" t="s">
        <v>303</v>
      </c>
      <c r="E116" s="421" t="s">
        <v>460</v>
      </c>
      <c r="F116" s="424" t="s">
        <v>1094</v>
      </c>
      <c r="G116" s="222" t="s">
        <v>1092</v>
      </c>
      <c r="H116" s="222">
        <v>14473674</v>
      </c>
      <c r="I116" s="222">
        <f>8250400.29+J116</f>
        <v>8833240.2899999991</v>
      </c>
      <c r="J116" s="222">
        <f>((100000+1760720)+4362554)-5640434</f>
        <v>582840</v>
      </c>
      <c r="K116" s="238">
        <f t="shared" si="12"/>
        <v>0.61029703239136102</v>
      </c>
      <c r="L116" s="423">
        <f>8250400+J116</f>
        <v>8833240</v>
      </c>
      <c r="M116" s="202"/>
      <c r="N116" s="202"/>
      <c r="O116" s="202"/>
      <c r="P116" s="202"/>
      <c r="Q116" s="202"/>
      <c r="R116" s="202"/>
    </row>
    <row r="117" spans="1:18" ht="31.5" hidden="1" thickTop="1" thickBot="1" x14ac:dyDescent="0.25">
      <c r="B117" s="421" t="s">
        <v>313</v>
      </c>
      <c r="C117" s="421" t="s">
        <v>314</v>
      </c>
      <c r="D117" s="421" t="s">
        <v>303</v>
      </c>
      <c r="E117" s="421" t="s">
        <v>460</v>
      </c>
      <c r="F117" s="424" t="s">
        <v>1361</v>
      </c>
      <c r="G117" s="222" t="s">
        <v>923</v>
      </c>
      <c r="H117" s="222">
        <v>80787509</v>
      </c>
      <c r="I117" s="222">
        <f>1618673.51+31922.71+J117</f>
        <v>2046000.22</v>
      </c>
      <c r="J117" s="222">
        <f>(270000)+125404</f>
        <v>395404</v>
      </c>
      <c r="K117" s="238">
        <f t="shared" si="12"/>
        <v>2.5325700041079369E-2</v>
      </c>
      <c r="L117" s="423">
        <f>1618674+J117</f>
        <v>2014078</v>
      </c>
      <c r="M117" s="202"/>
      <c r="N117" s="202"/>
      <c r="O117" s="202"/>
      <c r="P117" s="202"/>
      <c r="Q117" s="202"/>
      <c r="R117" s="202"/>
    </row>
    <row r="118" spans="1:18" ht="46.5" hidden="1" thickTop="1" thickBot="1" x14ac:dyDescent="0.25">
      <c r="B118" s="421" t="s">
        <v>313</v>
      </c>
      <c r="C118" s="421" t="s">
        <v>314</v>
      </c>
      <c r="D118" s="421" t="s">
        <v>303</v>
      </c>
      <c r="E118" s="421" t="s">
        <v>460</v>
      </c>
      <c r="F118" s="425" t="s">
        <v>1193</v>
      </c>
      <c r="G118" s="222" t="s">
        <v>925</v>
      </c>
      <c r="H118" s="222">
        <v>65017720</v>
      </c>
      <c r="I118" s="222">
        <f>22468487.3+J118</f>
        <v>38809572.299999997</v>
      </c>
      <c r="J118" s="222">
        <f>(100000+2000000)+14241085</f>
        <v>16341085</v>
      </c>
      <c r="K118" s="238">
        <f t="shared" si="12"/>
        <v>0.59690761687736815</v>
      </c>
      <c r="L118" s="423">
        <f>22468487+J118</f>
        <v>38809572</v>
      </c>
      <c r="M118" s="202"/>
      <c r="N118" s="202"/>
      <c r="O118" s="202"/>
      <c r="P118" s="202"/>
      <c r="Q118" s="202"/>
      <c r="R118" s="202"/>
    </row>
    <row r="119" spans="1:18" ht="61.5" hidden="1" thickTop="1" thickBot="1" x14ac:dyDescent="0.25">
      <c r="B119" s="421" t="s">
        <v>313</v>
      </c>
      <c r="C119" s="421" t="s">
        <v>314</v>
      </c>
      <c r="D119" s="421" t="s">
        <v>303</v>
      </c>
      <c r="E119" s="421" t="s">
        <v>460</v>
      </c>
      <c r="F119" s="425" t="s">
        <v>1231</v>
      </c>
      <c r="G119" s="222" t="s">
        <v>1233</v>
      </c>
      <c r="H119" s="222">
        <v>14225016</v>
      </c>
      <c r="I119" s="222">
        <f>49956+33089.84+J119</f>
        <v>133045.84</v>
      </c>
      <c r="J119" s="222">
        <v>50000</v>
      </c>
      <c r="K119" s="238">
        <f t="shared" si="12"/>
        <v>9.3529483552074744E-3</v>
      </c>
      <c r="L119" s="423">
        <f>83046+J119</f>
        <v>133046</v>
      </c>
      <c r="M119" s="202"/>
      <c r="N119" s="202"/>
      <c r="O119" s="202"/>
      <c r="P119" s="202"/>
      <c r="Q119" s="202"/>
      <c r="R119" s="202"/>
    </row>
    <row r="120" spans="1:18" ht="61.5" thickTop="1" thickBot="1" x14ac:dyDescent="0.25">
      <c r="B120" s="626" t="s">
        <v>313</v>
      </c>
      <c r="C120" s="626" t="s">
        <v>314</v>
      </c>
      <c r="D120" s="626" t="s">
        <v>303</v>
      </c>
      <c r="E120" s="626" t="s">
        <v>460</v>
      </c>
      <c r="F120" s="627" t="s">
        <v>1542</v>
      </c>
      <c r="G120" s="618" t="s">
        <v>924</v>
      </c>
      <c r="H120" s="618">
        <v>192098922</v>
      </c>
      <c r="I120" s="618">
        <f>1481149.2+27900742.6+J120</f>
        <v>31381891.800000001</v>
      </c>
      <c r="J120" s="618">
        <v>2000000</v>
      </c>
      <c r="K120" s="619">
        <f t="shared" si="12"/>
        <v>0.16336318534884856</v>
      </c>
      <c r="L120" s="423">
        <f>151662+J120</f>
        <v>2151662</v>
      </c>
      <c r="M120" s="202"/>
      <c r="N120" s="202"/>
      <c r="O120" s="202"/>
      <c r="P120" s="202"/>
      <c r="Q120" s="202"/>
      <c r="R120" s="202"/>
    </row>
    <row r="121" spans="1:18" ht="61.5" hidden="1" thickTop="1" thickBot="1" x14ac:dyDescent="0.25">
      <c r="B121" s="421" t="s">
        <v>313</v>
      </c>
      <c r="C121" s="421" t="s">
        <v>314</v>
      </c>
      <c r="D121" s="421" t="s">
        <v>303</v>
      </c>
      <c r="E121" s="421" t="s">
        <v>460</v>
      </c>
      <c r="F121" s="425" t="s">
        <v>1379</v>
      </c>
      <c r="G121" s="222" t="s">
        <v>1260</v>
      </c>
      <c r="H121" s="222">
        <v>2848861</v>
      </c>
      <c r="I121" s="222">
        <f>102794.48+J121</f>
        <v>2848861.48</v>
      </c>
      <c r="J121" s="222">
        <f>(2000000)+746067</f>
        <v>2746067</v>
      </c>
      <c r="K121" s="238">
        <f t="shared" si="12"/>
        <v>1.0000001684883888</v>
      </c>
      <c r="L121" s="423">
        <f>102794+J121</f>
        <v>2848861</v>
      </c>
      <c r="M121" s="202"/>
      <c r="N121" s="202"/>
      <c r="O121" s="202"/>
      <c r="P121" s="202"/>
      <c r="Q121" s="202"/>
      <c r="R121" s="202"/>
    </row>
    <row r="122" spans="1:18" ht="76.5" hidden="1" thickTop="1" thickBot="1" x14ac:dyDescent="0.25">
      <c r="B122" s="421" t="s">
        <v>313</v>
      </c>
      <c r="C122" s="421" t="s">
        <v>314</v>
      </c>
      <c r="D122" s="421" t="s">
        <v>303</v>
      </c>
      <c r="E122" s="421" t="s">
        <v>460</v>
      </c>
      <c r="F122" s="425" t="s">
        <v>1450</v>
      </c>
      <c r="G122" s="222" t="s">
        <v>1573</v>
      </c>
      <c r="H122" s="222">
        <v>3686595</v>
      </c>
      <c r="I122" s="222">
        <f>J122</f>
        <v>1471760.73</v>
      </c>
      <c r="J122" s="222">
        <f>(1500000)-28239.27</f>
        <v>1471760.73</v>
      </c>
      <c r="K122" s="238">
        <f t="shared" si="12"/>
        <v>0.39921953184442555</v>
      </c>
      <c r="L122" s="423"/>
      <c r="M122" s="202"/>
      <c r="N122" s="202"/>
      <c r="O122" s="202"/>
      <c r="P122" s="202"/>
      <c r="Q122" s="202"/>
      <c r="R122" s="202"/>
    </row>
    <row r="123" spans="1:18" ht="61.5" thickTop="1" thickBot="1" x14ac:dyDescent="0.25">
      <c r="B123" s="626" t="s">
        <v>313</v>
      </c>
      <c r="C123" s="626" t="s">
        <v>314</v>
      </c>
      <c r="D123" s="626" t="s">
        <v>303</v>
      </c>
      <c r="E123" s="626" t="s">
        <v>460</v>
      </c>
      <c r="F123" s="627" t="s">
        <v>1543</v>
      </c>
      <c r="G123" s="618" t="s">
        <v>924</v>
      </c>
      <c r="H123" s="618">
        <v>166440557</v>
      </c>
      <c r="I123" s="618">
        <f>20837715.5+7776578.21+J123</f>
        <v>32714293.710000001</v>
      </c>
      <c r="J123" s="618">
        <v>4100000</v>
      </c>
      <c r="K123" s="619">
        <f t="shared" si="12"/>
        <v>0.19655241666849266</v>
      </c>
      <c r="L123" s="423">
        <f>4088+756990+J123</f>
        <v>4861078</v>
      </c>
      <c r="M123" s="202"/>
      <c r="N123" s="202"/>
      <c r="O123" s="202"/>
      <c r="P123" s="202"/>
      <c r="Q123" s="202"/>
      <c r="R123" s="202"/>
    </row>
    <row r="124" spans="1:18" ht="21.75" thickTop="1" thickBot="1" x14ac:dyDescent="0.25">
      <c r="A124" s="246"/>
      <c r="B124" s="698" t="s">
        <v>380</v>
      </c>
      <c r="C124" s="698" t="s">
        <v>380</v>
      </c>
      <c r="D124" s="698" t="s">
        <v>380</v>
      </c>
      <c r="E124" s="698" t="s">
        <v>382</v>
      </c>
      <c r="F124" s="698" t="s">
        <v>380</v>
      </c>
      <c r="G124" s="698" t="s">
        <v>380</v>
      </c>
      <c r="H124" s="698">
        <f>H103+H56+H37+H19</f>
        <v>809012465</v>
      </c>
      <c r="I124" s="698">
        <f>I103+I56+I37+I19</f>
        <v>273611040.92999995</v>
      </c>
      <c r="J124" s="698">
        <f>J103+J56+J37+J19</f>
        <v>47218066</v>
      </c>
      <c r="K124" s="698" t="s">
        <v>380</v>
      </c>
      <c r="L124" s="538" t="b">
        <f>H124=H123+H120+H107+H106+H66+H65+H61+H60+H41+H40+H27+H25+H22+H105</f>
        <v>1</v>
      </c>
      <c r="M124" s="538" t="b">
        <f>I124=I123+I120+I107+I106+I66+I65+I61+I60+I41+I40+I27+I25+I22+I105</f>
        <v>1</v>
      </c>
      <c r="N124" s="538" t="b">
        <f>J124=J123+J120+J107+J106+J66+J65+J61+J60+J41+J40+J27+J25+J22+J105</f>
        <v>1</v>
      </c>
      <c r="O124" s="202"/>
      <c r="P124" s="202"/>
      <c r="Q124" s="202"/>
      <c r="R124" s="202"/>
    </row>
    <row r="125" spans="1:18" ht="16.5" thickTop="1" x14ac:dyDescent="0.2">
      <c r="B125" s="862" t="s">
        <v>1468</v>
      </c>
      <c r="C125" s="862"/>
      <c r="D125" s="862"/>
      <c r="E125" s="862"/>
      <c r="F125" s="862"/>
      <c r="G125" s="862"/>
      <c r="H125" s="862"/>
      <c r="I125" s="862"/>
      <c r="J125" s="862"/>
      <c r="K125" s="862"/>
      <c r="L125" s="712"/>
      <c r="M125" s="712"/>
      <c r="N125" s="712"/>
      <c r="O125" s="712"/>
      <c r="P125" s="712"/>
      <c r="Q125" s="712"/>
      <c r="R125" s="712"/>
    </row>
    <row r="126" spans="1:18" ht="14.25" customHeight="1" x14ac:dyDescent="0.2">
      <c r="B126" s="858"/>
      <c r="C126" s="858"/>
      <c r="D126" s="858"/>
      <c r="E126" s="858"/>
      <c r="F126" s="858"/>
      <c r="G126" s="858"/>
      <c r="H126" s="858"/>
      <c r="I126" s="858"/>
      <c r="J126" s="858"/>
      <c r="K126" s="858"/>
      <c r="L126" s="326"/>
      <c r="M126" s="326"/>
      <c r="N126" s="326"/>
      <c r="O126" s="326"/>
      <c r="P126" s="326"/>
      <c r="Q126" s="326"/>
      <c r="R126" s="326"/>
    </row>
    <row r="127" spans="1:18" ht="15" x14ac:dyDescent="0.25">
      <c r="B127" s="321"/>
      <c r="C127" s="321"/>
      <c r="D127" s="861" t="s">
        <v>1432</v>
      </c>
      <c r="E127" s="857"/>
      <c r="F127" s="350"/>
      <c r="G127" s="350" t="s">
        <v>1433</v>
      </c>
      <c r="H127" s="334"/>
      <c r="I127" s="330"/>
      <c r="J127" s="330"/>
      <c r="K127" s="328"/>
      <c r="L127" s="326"/>
      <c r="M127" s="326"/>
      <c r="N127" s="326"/>
      <c r="O127" s="326"/>
      <c r="P127" s="326"/>
      <c r="Q127" s="326"/>
      <c r="R127" s="326"/>
    </row>
    <row r="128" spans="1:18" ht="15" hidden="1" x14ac:dyDescent="0.25">
      <c r="B128" s="321"/>
      <c r="C128" s="321"/>
      <c r="D128" s="328" t="s">
        <v>1434</v>
      </c>
      <c r="E128" s="329"/>
      <c r="F128" s="328"/>
      <c r="G128" s="328" t="s">
        <v>1399</v>
      </c>
      <c r="H128" s="334"/>
      <c r="I128" s="330"/>
      <c r="J128" s="330"/>
      <c r="K128" s="328"/>
      <c r="L128" s="326"/>
      <c r="M128" s="326"/>
      <c r="N128" s="326"/>
      <c r="O128" s="326"/>
      <c r="P128" s="326"/>
      <c r="Q128" s="326"/>
      <c r="R128" s="326"/>
    </row>
    <row r="129" spans="2:18" ht="4.7" hidden="1" customHeight="1" x14ac:dyDescent="0.25">
      <c r="B129" s="321"/>
      <c r="C129" s="321"/>
      <c r="D129" s="328"/>
      <c r="E129" s="328"/>
      <c r="F129" s="328"/>
      <c r="G129" s="328"/>
      <c r="H129" s="334"/>
      <c r="I129" s="334"/>
      <c r="J129" s="321"/>
      <c r="K129" s="321"/>
      <c r="L129" s="326"/>
      <c r="M129" s="326"/>
      <c r="N129" s="326"/>
      <c r="O129" s="326"/>
      <c r="P129" s="326"/>
      <c r="Q129" s="326"/>
      <c r="R129" s="326"/>
    </row>
    <row r="130" spans="2:18" ht="33.75" customHeight="1" x14ac:dyDescent="0.25">
      <c r="B130" s="321"/>
      <c r="C130" s="321"/>
      <c r="D130" s="856" t="s">
        <v>519</v>
      </c>
      <c r="E130" s="857"/>
      <c r="F130" s="328"/>
      <c r="G130" s="328" t="s">
        <v>1304</v>
      </c>
      <c r="H130" s="328"/>
      <c r="I130" s="330"/>
      <c r="J130" s="330"/>
      <c r="K130" s="328"/>
      <c r="L130" s="326"/>
      <c r="M130" s="326"/>
      <c r="N130" s="326"/>
      <c r="O130" s="326"/>
      <c r="P130" s="326"/>
      <c r="Q130" s="326"/>
      <c r="R130" s="326"/>
    </row>
    <row r="141" spans="2:18" x14ac:dyDescent="0.2">
      <c r="D141" s="11">
        <f>SUM(D142:D154)+D161</f>
        <v>88281</v>
      </c>
    </row>
    <row r="142" spans="2:18" ht="46.5" x14ac:dyDescent="0.2">
      <c r="K142" s="250"/>
    </row>
    <row r="145" spans="7:11" ht="46.5" x14ac:dyDescent="0.2">
      <c r="G145" s="250"/>
      <c r="K145" s="250"/>
    </row>
    <row r="161" spans="1:12" x14ac:dyDescent="0.2">
      <c r="A161" s="167">
        <v>41057700</v>
      </c>
      <c r="B161" s="11" t="s">
        <v>1335</v>
      </c>
      <c r="D161" s="11">
        <v>88281</v>
      </c>
    </row>
    <row r="162" spans="1:12" x14ac:dyDescent="0.2">
      <c r="G162" s="249" t="e">
        <f>C162=C158+C157+C156+C136+C130+C123+C116+C115+C110+C109+C108+C104+C94+C93+C92+C91+C89+C88+C86+C84+C83+C82+C79+C78+C77+C75+C74+C68+C67+C66+C62+C60+C59+C57+C56+C52+C51+C50+C49+C48+C47+C46+C45+C44+C43+C36+C33+C30+#REF!+#REF!+#REF!+#REF!+C20+C19+C18+C120+C119+C37+C54+C147+C146+C127+C161</f>
        <v>#REF!</v>
      </c>
      <c r="H162" s="249" t="e">
        <f>D162=D158+D157+D156+D136+D130+D123+D116+D115+D110+D109+D108+D104+D94+D93+D92+D91+D89+D88+D86+D84+D83+D82+D79+D78+D77+D75+D74+D68+D67+D66+D62+D60+D59+D57+D56+D52+D51+D50+D49+D48+D47+D46+D45+D44+D43+D36+D33+D30+#REF!+#REF!+#REF!+#REF!+D20+D19+D18+D120+D119+D37+D54+D147+D146+D127+D161</f>
        <v>#VALUE!</v>
      </c>
      <c r="I162" s="249" t="e">
        <f>E162=E158+E157+E156+E136+E130+E123+E116+E115+E110+E109+E108+E104+E94+E93+E92+E91+E89+E88+E86+E84+E83+E82+E79+E78+E77+E75+E74+E68+E67+E66+E62+E60+E59+E57+E56+E52+E51+E50+E49+E48+E47+E46+E45+E44+E43+E36+E33+E30+#REF!+#REF!+#REF!+#REF!+E20+E19+E18+E120+E119+E37+E54+E147+E146+E127+E161</f>
        <v>#VALUE!</v>
      </c>
      <c r="J162" s="249" t="e">
        <f>F162=F158+F157+F156+F136+F130+F123+F116+F115+F110+F109+F108+F104+F94+F93+F92+F91+F89+F88+F86+F84+F83+F82+F79+F78+F77+F75+F74+F68+F67+F66+F62+F60+F59+F57+F56+F52+F51+F50+F49+F48+F47+F46+F45+F44+F43+F36+F33+F30+#REF!+#REF!+#REF!+#REF!+F20+F19+F18+F120+F119+F37+F54+F147+F146+F127+F161</f>
        <v>#VALUE!</v>
      </c>
    </row>
    <row r="163" spans="1:12" x14ac:dyDescent="0.2">
      <c r="G163" s="249" t="b">
        <f>(3453807039-'d2'!C37+7423154+961639+622418100+3715400+4544686)+16400+4309689+6350319+16579700+88281=C162</f>
        <v>0</v>
      </c>
    </row>
    <row r="165" spans="1:12" ht="90" x14ac:dyDescent="1.1499999999999999">
      <c r="L165" s="188"/>
    </row>
  </sheetData>
  <mergeCells count="11">
    <mergeCell ref="D130:E130"/>
    <mergeCell ref="B126:K126"/>
    <mergeCell ref="B8:C8"/>
    <mergeCell ref="B1:K1"/>
    <mergeCell ref="G2:K2"/>
    <mergeCell ref="B4:K4"/>
    <mergeCell ref="B5:K5"/>
    <mergeCell ref="B7:C7"/>
    <mergeCell ref="B6:K6"/>
    <mergeCell ref="D127:E127"/>
    <mergeCell ref="B125:K125"/>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rowBreaks count="1" manualBreakCount="1">
    <brk id="39"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7"/>
  <sheetViews>
    <sheetView tabSelected="1" view="pageBreakPreview" topLeftCell="C1" zoomScale="25" zoomScaleNormal="25" zoomScaleSheetLayoutView="25" zoomScalePageLayoutView="10" workbookViewId="0">
      <pane ySplit="14" topLeftCell="A15" activePane="bottomLeft" state="frozen"/>
      <selection activeCell="H66" sqref="H63:H66"/>
      <selection pane="bottomLeft" activeCell="H46" sqref="H46"/>
    </sheetView>
  </sheetViews>
  <sheetFormatPr defaultColWidth="9.140625" defaultRowHeight="12.75" x14ac:dyDescent="0.2"/>
  <cols>
    <col min="1" max="1" width="48" style="189" customWidth="1"/>
    <col min="2" max="2" width="52.5703125" style="189" customWidth="1"/>
    <col min="3" max="3" width="65.7109375" style="189" customWidth="1"/>
    <col min="4" max="4" width="158.28515625" style="189" customWidth="1"/>
    <col min="5" max="5" width="161.85546875" style="282" customWidth="1"/>
    <col min="6" max="6" width="114" style="189" customWidth="1"/>
    <col min="7" max="7" width="55.42578125" style="189" customWidth="1"/>
    <col min="8" max="8" width="63.5703125" style="189" customWidth="1"/>
    <col min="9" max="9" width="62.140625" style="189" customWidth="1"/>
    <col min="10" max="10" width="70.28515625" style="282" customWidth="1"/>
    <col min="11" max="11" width="100.28515625" style="121" customWidth="1"/>
    <col min="12" max="12" width="99.5703125" style="121" bestFit="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64" t="s">
        <v>585</v>
      </c>
      <c r="J1" s="764"/>
    </row>
    <row r="2" spans="1:13" ht="45.75" x14ac:dyDescent="0.2">
      <c r="A2" s="76"/>
      <c r="B2" s="76"/>
      <c r="C2" s="76"/>
      <c r="D2" s="76"/>
      <c r="E2" s="77"/>
      <c r="F2" s="78"/>
      <c r="G2" s="77"/>
      <c r="H2" s="77"/>
      <c r="I2" s="764" t="s">
        <v>1567</v>
      </c>
      <c r="J2" s="767"/>
    </row>
    <row r="3" spans="1:13" ht="40.700000000000003" customHeight="1" x14ac:dyDescent="0.2">
      <c r="A3" s="76"/>
      <c r="B3" s="76"/>
      <c r="C3" s="76"/>
      <c r="D3" s="76"/>
      <c r="E3" s="77"/>
      <c r="F3" s="78"/>
      <c r="G3" s="77"/>
      <c r="H3" s="77"/>
      <c r="I3" s="764"/>
      <c r="J3" s="767"/>
    </row>
    <row r="4" spans="1:13" ht="45.75" hidden="1" x14ac:dyDescent="0.2">
      <c r="A4" s="76"/>
      <c r="B4" s="76"/>
      <c r="C4" s="76"/>
      <c r="D4" s="76"/>
      <c r="E4" s="77"/>
      <c r="F4" s="78"/>
      <c r="G4" s="77"/>
      <c r="H4" s="77"/>
      <c r="I4" s="76"/>
      <c r="J4" s="78"/>
    </row>
    <row r="5" spans="1:13" ht="45" x14ac:dyDescent="0.2">
      <c r="A5" s="768" t="s">
        <v>561</v>
      </c>
      <c r="B5" s="768"/>
      <c r="C5" s="768"/>
      <c r="D5" s="768"/>
      <c r="E5" s="768"/>
      <c r="F5" s="768"/>
      <c r="G5" s="768"/>
      <c r="H5" s="768"/>
      <c r="I5" s="768"/>
      <c r="J5" s="768"/>
    </row>
    <row r="6" spans="1:13" ht="45" x14ac:dyDescent="0.2">
      <c r="A6" s="768" t="s">
        <v>1088</v>
      </c>
      <c r="B6" s="768"/>
      <c r="C6" s="768"/>
      <c r="D6" s="768"/>
      <c r="E6" s="768"/>
      <c r="F6" s="768"/>
      <c r="G6" s="768"/>
      <c r="H6" s="768"/>
      <c r="I6" s="768"/>
      <c r="J6" s="768"/>
    </row>
    <row r="7" spans="1:13" ht="45" x14ac:dyDescent="0.2">
      <c r="A7" s="768" t="s">
        <v>1578</v>
      </c>
      <c r="B7" s="768"/>
      <c r="C7" s="768"/>
      <c r="D7" s="768"/>
      <c r="E7" s="768"/>
      <c r="F7" s="768"/>
      <c r="G7" s="768"/>
      <c r="H7" s="768"/>
      <c r="I7" s="768"/>
      <c r="J7" s="768"/>
    </row>
    <row r="8" spans="1:13" ht="45" x14ac:dyDescent="0.2">
      <c r="A8" s="768"/>
      <c r="B8" s="768"/>
      <c r="C8" s="768"/>
      <c r="D8" s="768"/>
      <c r="E8" s="768"/>
      <c r="F8" s="768"/>
      <c r="G8" s="768"/>
      <c r="H8" s="768"/>
      <c r="I8" s="768"/>
      <c r="J8" s="768"/>
    </row>
    <row r="9" spans="1:13" ht="45.75" x14ac:dyDescent="0.65">
      <c r="A9" s="769">
        <v>2256400000</v>
      </c>
      <c r="B9" s="770"/>
      <c r="C9" s="730"/>
      <c r="D9" s="730"/>
      <c r="E9" s="730"/>
      <c r="F9" s="730"/>
      <c r="G9" s="730"/>
      <c r="H9" s="730"/>
      <c r="I9" s="730"/>
      <c r="J9" s="730"/>
      <c r="K9" s="137"/>
      <c r="L9" s="137"/>
      <c r="M9" s="137"/>
    </row>
    <row r="10" spans="1:13" ht="45.75" x14ac:dyDescent="0.2">
      <c r="A10" s="774" t="s">
        <v>488</v>
      </c>
      <c r="B10" s="775"/>
      <c r="C10" s="730"/>
      <c r="D10" s="730"/>
      <c r="E10" s="730"/>
      <c r="F10" s="730"/>
      <c r="G10" s="730"/>
      <c r="H10" s="730"/>
      <c r="I10" s="730"/>
      <c r="J10" s="730"/>
      <c r="K10" s="137"/>
      <c r="L10" s="137"/>
      <c r="M10" s="137"/>
    </row>
    <row r="11" spans="1:13" ht="53.45" customHeight="1" thickBot="1" x14ac:dyDescent="0.25">
      <c r="A11" s="77"/>
      <c r="B11" s="77"/>
      <c r="C11" s="77"/>
      <c r="D11" s="77"/>
      <c r="E11" s="77"/>
      <c r="F11" s="78"/>
      <c r="G11" s="77"/>
      <c r="H11" s="77"/>
      <c r="I11" s="77"/>
      <c r="J11" s="309" t="s">
        <v>403</v>
      </c>
      <c r="K11" s="137"/>
      <c r="L11" s="137"/>
      <c r="M11" s="137"/>
    </row>
    <row r="12" spans="1:13" ht="104.25" customHeight="1" thickTop="1" thickBot="1" x14ac:dyDescent="0.25">
      <c r="A12" s="877" t="s">
        <v>489</v>
      </c>
      <c r="B12" s="877" t="s">
        <v>490</v>
      </c>
      <c r="C12" s="877" t="s">
        <v>389</v>
      </c>
      <c r="D12" s="877" t="s">
        <v>562</v>
      </c>
      <c r="E12" s="877" t="s">
        <v>493</v>
      </c>
      <c r="F12" s="877" t="s">
        <v>494</v>
      </c>
      <c r="G12" s="877" t="s">
        <v>382</v>
      </c>
      <c r="H12" s="877" t="s">
        <v>12</v>
      </c>
      <c r="I12" s="878" t="s">
        <v>52</v>
      </c>
      <c r="J12" s="772"/>
      <c r="K12" s="137"/>
      <c r="L12" s="137"/>
      <c r="M12" s="137"/>
    </row>
    <row r="13" spans="1:13" ht="406.5" customHeight="1" thickTop="1" thickBot="1" x14ac:dyDescent="0.25">
      <c r="A13" s="878"/>
      <c r="B13" s="772"/>
      <c r="C13" s="772"/>
      <c r="D13" s="878"/>
      <c r="E13" s="878"/>
      <c r="F13" s="878"/>
      <c r="G13" s="878"/>
      <c r="H13" s="878"/>
      <c r="I13" s="313" t="s">
        <v>383</v>
      </c>
      <c r="J13" s="313" t="s">
        <v>384</v>
      </c>
      <c r="K13" s="137"/>
      <c r="L13" s="137"/>
      <c r="M13" s="137"/>
    </row>
    <row r="14" spans="1:13" s="4" customFormat="1" ht="47.25" thickTop="1" thickBot="1" x14ac:dyDescent="0.25">
      <c r="A14" s="101" t="s">
        <v>2</v>
      </c>
      <c r="B14" s="101" t="s">
        <v>3</v>
      </c>
      <c r="C14" s="101" t="s">
        <v>14</v>
      </c>
      <c r="D14" s="101" t="s">
        <v>5</v>
      </c>
      <c r="E14" s="101" t="s">
        <v>391</v>
      </c>
      <c r="F14" s="101" t="s">
        <v>392</v>
      </c>
      <c r="G14" s="101" t="s">
        <v>393</v>
      </c>
      <c r="H14" s="101" t="s">
        <v>394</v>
      </c>
      <c r="I14" s="101" t="s">
        <v>395</v>
      </c>
      <c r="J14" s="101" t="s">
        <v>396</v>
      </c>
      <c r="K14" s="131"/>
      <c r="L14" s="131"/>
      <c r="M14" s="131"/>
    </row>
    <row r="15" spans="1:13" s="4" customFormat="1" ht="170.25" customHeight="1" thickTop="1" thickBot="1" x14ac:dyDescent="0.25">
      <c r="A15" s="600" t="s">
        <v>148</v>
      </c>
      <c r="B15" s="600"/>
      <c r="C15" s="600"/>
      <c r="D15" s="601" t="s">
        <v>150</v>
      </c>
      <c r="E15" s="600"/>
      <c r="F15" s="600"/>
      <c r="G15" s="602">
        <f>G16</f>
        <v>174334509</v>
      </c>
      <c r="H15" s="602">
        <f t="shared" ref="H15:J15" si="0">H16</f>
        <v>137702509</v>
      </c>
      <c r="I15" s="602">
        <f>I16</f>
        <v>36632000</v>
      </c>
      <c r="J15" s="602">
        <f t="shared" si="0"/>
        <v>32132000</v>
      </c>
      <c r="K15" s="95" t="b">
        <f>H16='d3'!E16-'d3'!E18+'d7'!H17+'d7'!H20+'d7'!H22+H21</f>
        <v>1</v>
      </c>
      <c r="L15" s="95" t="b">
        <f>I16='d3'!J16-'d3'!J18+I17+I20+I22+I21</f>
        <v>1</v>
      </c>
      <c r="M15" s="95" t="b">
        <f>J16='d3'!K16-'d3'!K18+J17+J20+J22+J21</f>
        <v>1</v>
      </c>
    </row>
    <row r="16" spans="1:13" s="4" customFormat="1" ht="170.25" customHeight="1" thickTop="1" thickBot="1" x14ac:dyDescent="0.25">
      <c r="A16" s="603" t="s">
        <v>149</v>
      </c>
      <c r="B16" s="603"/>
      <c r="C16" s="603"/>
      <c r="D16" s="604" t="s">
        <v>151</v>
      </c>
      <c r="E16" s="605"/>
      <c r="F16" s="605"/>
      <c r="G16" s="605">
        <f>SUM(G17:G57)</f>
        <v>174334509</v>
      </c>
      <c r="H16" s="605">
        <f>SUM(H17:H57)</f>
        <v>137702509</v>
      </c>
      <c r="I16" s="605">
        <f>SUM(I17:I57)</f>
        <v>36632000</v>
      </c>
      <c r="J16" s="605">
        <f>SUM(J17:J57)</f>
        <v>32132000</v>
      </c>
      <c r="K16" s="131"/>
      <c r="L16" s="131"/>
      <c r="M16" s="131"/>
    </row>
    <row r="17" spans="1:13" ht="230.25" thickTop="1" thickBot="1" x14ac:dyDescent="0.25">
      <c r="A17" s="101" t="s">
        <v>232</v>
      </c>
      <c r="B17" s="101" t="s">
        <v>233</v>
      </c>
      <c r="C17" s="101" t="s">
        <v>234</v>
      </c>
      <c r="D17" s="101" t="s">
        <v>231</v>
      </c>
      <c r="E17" s="314" t="s">
        <v>1011</v>
      </c>
      <c r="F17" s="311" t="s">
        <v>845</v>
      </c>
      <c r="G17" s="311">
        <f t="shared" ref="G17:G34" si="1">H17+I17</f>
        <v>1307000</v>
      </c>
      <c r="H17" s="315">
        <v>0</v>
      </c>
      <c r="I17" s="311">
        <f>342000+50000+75000+630000+150000+30000+30000</f>
        <v>1307000</v>
      </c>
      <c r="J17" s="311">
        <f>342000+50000+75000+630000+150000+30000+30000</f>
        <v>1307000</v>
      </c>
      <c r="K17" s="251"/>
      <c r="L17" s="251"/>
      <c r="M17" s="251"/>
    </row>
    <row r="18" spans="1:13" ht="321.75" hidden="1" thickTop="1" thickBot="1" x14ac:dyDescent="0.25">
      <c r="A18" s="126" t="s">
        <v>232</v>
      </c>
      <c r="B18" s="126" t="s">
        <v>233</v>
      </c>
      <c r="C18" s="126" t="s">
        <v>234</v>
      </c>
      <c r="D18" s="126" t="s">
        <v>231</v>
      </c>
      <c r="E18" s="193" t="s">
        <v>1176</v>
      </c>
      <c r="F18" s="193" t="s">
        <v>847</v>
      </c>
      <c r="G18" s="193">
        <f t="shared" si="1"/>
        <v>0</v>
      </c>
      <c r="H18" s="253">
        <v>0</v>
      </c>
      <c r="I18" s="193">
        <v>0</v>
      </c>
      <c r="J18" s="193">
        <v>0</v>
      </c>
      <c r="K18" s="254"/>
      <c r="L18" s="254"/>
      <c r="M18" s="254"/>
    </row>
    <row r="19" spans="1:13" ht="230.25" hidden="1" thickTop="1" thickBot="1" x14ac:dyDescent="0.25">
      <c r="A19" s="41" t="s">
        <v>232</v>
      </c>
      <c r="B19" s="41" t="s">
        <v>233</v>
      </c>
      <c r="C19" s="41" t="s">
        <v>234</v>
      </c>
      <c r="D19" s="41" t="s">
        <v>231</v>
      </c>
      <c r="E19" s="255" t="s">
        <v>859</v>
      </c>
      <c r="F19" s="73" t="s">
        <v>860</v>
      </c>
      <c r="G19" s="73">
        <f t="shared" si="1"/>
        <v>0</v>
      </c>
      <c r="H19" s="256"/>
      <c r="I19" s="73"/>
      <c r="J19" s="73"/>
      <c r="K19" s="257"/>
      <c r="L19" s="148"/>
      <c r="M19" s="137"/>
    </row>
    <row r="20" spans="1:13" ht="230.25" hidden="1" thickTop="1" thickBot="1" x14ac:dyDescent="0.25">
      <c r="A20" s="126" t="s">
        <v>232</v>
      </c>
      <c r="B20" s="126" t="s">
        <v>233</v>
      </c>
      <c r="C20" s="126" t="s">
        <v>234</v>
      </c>
      <c r="D20" s="126" t="s">
        <v>231</v>
      </c>
      <c r="E20" s="252" t="s">
        <v>1119</v>
      </c>
      <c r="F20" s="193" t="s">
        <v>1118</v>
      </c>
      <c r="G20" s="193">
        <f t="shared" si="1"/>
        <v>0</v>
      </c>
      <c r="H20" s="253">
        <v>0</v>
      </c>
      <c r="I20" s="193">
        <v>0</v>
      </c>
      <c r="J20" s="193">
        <v>0</v>
      </c>
      <c r="K20" s="257"/>
      <c r="L20" s="148"/>
      <c r="M20" s="137"/>
    </row>
    <row r="21" spans="1:13" ht="230.25" hidden="1" thickTop="1" thickBot="1" x14ac:dyDescent="0.25">
      <c r="A21" s="126" t="s">
        <v>232</v>
      </c>
      <c r="B21" s="126" t="s">
        <v>233</v>
      </c>
      <c r="C21" s="126" t="s">
        <v>234</v>
      </c>
      <c r="D21" s="126" t="s">
        <v>231</v>
      </c>
      <c r="E21" s="252" t="s">
        <v>1396</v>
      </c>
      <c r="F21" s="193" t="s">
        <v>1397</v>
      </c>
      <c r="G21" s="193">
        <f t="shared" si="1"/>
        <v>0</v>
      </c>
      <c r="H21" s="253">
        <v>0</v>
      </c>
      <c r="I21" s="193">
        <v>0</v>
      </c>
      <c r="J21" s="193">
        <v>0</v>
      </c>
      <c r="K21" s="257"/>
      <c r="L21" s="148"/>
      <c r="M21" s="137"/>
    </row>
    <row r="22" spans="1:13" ht="230.25" thickTop="1" thickBot="1" x14ac:dyDescent="0.25">
      <c r="A22" s="101" t="s">
        <v>232</v>
      </c>
      <c r="B22" s="101" t="s">
        <v>233</v>
      </c>
      <c r="C22" s="101" t="s">
        <v>234</v>
      </c>
      <c r="D22" s="101" t="s">
        <v>231</v>
      </c>
      <c r="E22" s="314" t="s">
        <v>1609</v>
      </c>
      <c r="F22" s="311"/>
      <c r="G22" s="311">
        <f t="shared" si="1"/>
        <v>200000</v>
      </c>
      <c r="H22" s="315">
        <v>0</v>
      </c>
      <c r="I22" s="311">
        <v>200000</v>
      </c>
      <c r="J22" s="311">
        <v>200000</v>
      </c>
      <c r="K22" s="257"/>
      <c r="L22" s="148"/>
      <c r="M22" s="137"/>
    </row>
    <row r="23" spans="1:13" ht="321.75" hidden="1" thickTop="1" thickBot="1" x14ac:dyDescent="0.25">
      <c r="A23" s="126" t="s">
        <v>618</v>
      </c>
      <c r="B23" s="126" t="s">
        <v>361</v>
      </c>
      <c r="C23" s="126" t="s">
        <v>619</v>
      </c>
      <c r="D23" s="126" t="s">
        <v>620</v>
      </c>
      <c r="E23" s="252" t="s">
        <v>1256</v>
      </c>
      <c r="F23" s="193" t="s">
        <v>1257</v>
      </c>
      <c r="G23" s="193">
        <f t="shared" si="1"/>
        <v>0</v>
      </c>
      <c r="H23" s="253">
        <f>'d3'!E20</f>
        <v>0</v>
      </c>
      <c r="I23" s="193">
        <v>0</v>
      </c>
      <c r="J23" s="193">
        <v>0</v>
      </c>
      <c r="K23" s="257"/>
      <c r="L23" s="148"/>
      <c r="M23" s="137"/>
    </row>
    <row r="24" spans="1:13" ht="276" thickTop="1" thickBot="1" x14ac:dyDescent="0.25">
      <c r="A24" s="101" t="s">
        <v>246</v>
      </c>
      <c r="B24" s="101" t="s">
        <v>43</v>
      </c>
      <c r="C24" s="101" t="s">
        <v>42</v>
      </c>
      <c r="D24" s="101" t="s">
        <v>247</v>
      </c>
      <c r="E24" s="314" t="s">
        <v>1343</v>
      </c>
      <c r="F24" s="311" t="s">
        <v>1306</v>
      </c>
      <c r="G24" s="311">
        <f t="shared" si="1"/>
        <v>27669400</v>
      </c>
      <c r="H24" s="315">
        <f>1071000+26598400</f>
        <v>27669400</v>
      </c>
      <c r="I24" s="311">
        <v>0</v>
      </c>
      <c r="J24" s="311">
        <v>0</v>
      </c>
      <c r="K24" s="879" t="b">
        <f>H24+H26+H25+H28+H27='d3'!E21</f>
        <v>1</v>
      </c>
      <c r="L24" s="875"/>
      <c r="M24" s="875"/>
    </row>
    <row r="25" spans="1:13" ht="138.75" hidden="1" thickTop="1" thickBot="1" x14ac:dyDescent="0.25">
      <c r="A25" s="126" t="s">
        <v>246</v>
      </c>
      <c r="B25" s="126" t="s">
        <v>43</v>
      </c>
      <c r="C25" s="126" t="s">
        <v>42</v>
      </c>
      <c r="D25" s="126" t="s">
        <v>247</v>
      </c>
      <c r="E25" s="252" t="s">
        <v>1458</v>
      </c>
      <c r="F25" s="193" t="s">
        <v>1469</v>
      </c>
      <c r="G25" s="193">
        <f t="shared" ref="G25" si="2">H25+I25</f>
        <v>0</v>
      </c>
      <c r="H25" s="253">
        <f>950000-100000-850000</f>
        <v>0</v>
      </c>
      <c r="I25" s="193">
        <v>0</v>
      </c>
      <c r="J25" s="193">
        <v>0</v>
      </c>
      <c r="K25" s="879"/>
      <c r="L25" s="875"/>
      <c r="M25" s="875"/>
    </row>
    <row r="26" spans="1:13" ht="184.7" customHeight="1" thickTop="1" thickBot="1" x14ac:dyDescent="0.25">
      <c r="A26" s="101" t="s">
        <v>246</v>
      </c>
      <c r="B26" s="101" t="s">
        <v>43</v>
      </c>
      <c r="C26" s="101" t="s">
        <v>42</v>
      </c>
      <c r="D26" s="101" t="s">
        <v>247</v>
      </c>
      <c r="E26" s="314" t="s">
        <v>1609</v>
      </c>
      <c r="F26" s="311"/>
      <c r="G26" s="311">
        <f t="shared" si="1"/>
        <v>2105800</v>
      </c>
      <c r="H26" s="315">
        <f>188000+1788600+129200</f>
        <v>2105800</v>
      </c>
      <c r="I26" s="311">
        <v>0</v>
      </c>
      <c r="J26" s="311">
        <v>0</v>
      </c>
      <c r="K26" s="880"/>
      <c r="L26" s="876"/>
      <c r="M26" s="876"/>
    </row>
    <row r="27" spans="1:13" ht="184.7" hidden="1" customHeight="1" thickTop="1" thickBot="1" x14ac:dyDescent="0.25">
      <c r="A27" s="126" t="s">
        <v>246</v>
      </c>
      <c r="B27" s="126" t="s">
        <v>43</v>
      </c>
      <c r="C27" s="126" t="s">
        <v>42</v>
      </c>
      <c r="D27" s="126" t="s">
        <v>247</v>
      </c>
      <c r="E27" s="252" t="s">
        <v>1230</v>
      </c>
      <c r="F27" s="193" t="s">
        <v>920</v>
      </c>
      <c r="G27" s="193">
        <f t="shared" si="1"/>
        <v>0</v>
      </c>
      <c r="H27" s="253">
        <v>0</v>
      </c>
      <c r="I27" s="193">
        <v>0</v>
      </c>
      <c r="J27" s="193">
        <v>0</v>
      </c>
      <c r="K27" s="137"/>
      <c r="L27" s="137"/>
      <c r="M27" s="137"/>
    </row>
    <row r="28" spans="1:13" ht="230.25" hidden="1" thickTop="1" thickBot="1" x14ac:dyDescent="0.25">
      <c r="A28" s="126" t="s">
        <v>246</v>
      </c>
      <c r="B28" s="126" t="s">
        <v>43</v>
      </c>
      <c r="C28" s="126" t="s">
        <v>42</v>
      </c>
      <c r="D28" s="126" t="s">
        <v>247</v>
      </c>
      <c r="E28" s="193" t="s">
        <v>1459</v>
      </c>
      <c r="F28" s="149" t="s">
        <v>1156</v>
      </c>
      <c r="G28" s="193">
        <f>H28+I28</f>
        <v>0</v>
      </c>
      <c r="H28" s="193">
        <f>((((90000000-10000000+32000000-67690000+1000000-2000000+30000000)-23310000)-30000000)-7182000)-12818000</f>
        <v>0</v>
      </c>
      <c r="I28" s="193">
        <v>0</v>
      </c>
      <c r="J28" s="193">
        <v>0</v>
      </c>
      <c r="K28" s="137"/>
      <c r="L28" s="137"/>
      <c r="M28" s="137"/>
    </row>
    <row r="29" spans="1:13" ht="184.5" thickTop="1" thickBot="1" x14ac:dyDescent="0.25">
      <c r="A29" s="101" t="s">
        <v>1533</v>
      </c>
      <c r="B29" s="101" t="s">
        <v>328</v>
      </c>
      <c r="C29" s="101" t="s">
        <v>191</v>
      </c>
      <c r="D29" s="615" t="s">
        <v>330</v>
      </c>
      <c r="E29" s="314" t="s">
        <v>1192</v>
      </c>
      <c r="F29" s="311" t="s">
        <v>856</v>
      </c>
      <c r="G29" s="311">
        <f>H29+I29</f>
        <v>4585029</v>
      </c>
      <c r="H29" s="311">
        <f>'d3'!E24</f>
        <v>4160029</v>
      </c>
      <c r="I29" s="311">
        <f>'d3'!J24</f>
        <v>425000</v>
      </c>
      <c r="J29" s="311">
        <f>'d3'!K24</f>
        <v>425000</v>
      </c>
      <c r="K29" s="137"/>
      <c r="L29" s="137"/>
      <c r="M29" s="137"/>
    </row>
    <row r="30" spans="1:13" ht="138.75" thickTop="1" thickBot="1" x14ac:dyDescent="0.25">
      <c r="A30" s="101" t="s">
        <v>238</v>
      </c>
      <c r="B30" s="101" t="s">
        <v>239</v>
      </c>
      <c r="C30" s="101" t="s">
        <v>240</v>
      </c>
      <c r="D30" s="101" t="s">
        <v>237</v>
      </c>
      <c r="E30" s="314" t="s">
        <v>1011</v>
      </c>
      <c r="F30" s="311" t="s">
        <v>845</v>
      </c>
      <c r="G30" s="311">
        <f t="shared" si="1"/>
        <v>6305100</v>
      </c>
      <c r="H30" s="311">
        <f>'d3'!E27</f>
        <v>6305100</v>
      </c>
      <c r="I30" s="311">
        <f>'d3'!J27</f>
        <v>0</v>
      </c>
      <c r="J30" s="311">
        <f>'d3'!K27</f>
        <v>0</v>
      </c>
      <c r="K30" s="95" t="b">
        <f>H30='d3'!E27</f>
        <v>1</v>
      </c>
      <c r="L30" s="436" t="b">
        <f>I30='d3'!J27</f>
        <v>1</v>
      </c>
      <c r="M30" s="482" t="b">
        <f>J30='d3'!K27</f>
        <v>1</v>
      </c>
    </row>
    <row r="31" spans="1:13" ht="138.75" hidden="1" thickTop="1" thickBot="1" x14ac:dyDescent="0.25">
      <c r="A31" s="41" t="s">
        <v>961</v>
      </c>
      <c r="B31" s="41" t="s">
        <v>962</v>
      </c>
      <c r="C31" s="41" t="s">
        <v>240</v>
      </c>
      <c r="D31" s="41" t="s">
        <v>963</v>
      </c>
      <c r="E31" s="255" t="s">
        <v>1011</v>
      </c>
      <c r="F31" s="73" t="s">
        <v>845</v>
      </c>
      <c r="G31" s="193">
        <f t="shared" si="1"/>
        <v>0</v>
      </c>
      <c r="H31" s="193">
        <f>'d3'!E28</f>
        <v>0</v>
      </c>
      <c r="I31" s="193">
        <f>'d3'!J28</f>
        <v>0</v>
      </c>
      <c r="J31" s="193">
        <f>'d3'!K28</f>
        <v>0</v>
      </c>
      <c r="K31" s="251" t="b">
        <f>H31='d3'!E28</f>
        <v>1</v>
      </c>
      <c r="L31" s="258" t="b">
        <f>I31='d3'!J28</f>
        <v>1</v>
      </c>
      <c r="M31" s="259" t="b">
        <f>J31='d3'!K28</f>
        <v>1</v>
      </c>
    </row>
    <row r="32" spans="1:13" ht="184.5" hidden="1" thickTop="1" thickBot="1" x14ac:dyDescent="0.25">
      <c r="A32" s="126" t="s">
        <v>1362</v>
      </c>
      <c r="B32" s="126" t="s">
        <v>212</v>
      </c>
      <c r="C32" s="126" t="s">
        <v>213</v>
      </c>
      <c r="D32" s="126" t="s">
        <v>41</v>
      </c>
      <c r="E32" s="252" t="s">
        <v>1396</v>
      </c>
      <c r="F32" s="193" t="s">
        <v>1397</v>
      </c>
      <c r="G32" s="193">
        <f t="shared" si="1"/>
        <v>0</v>
      </c>
      <c r="H32" s="193">
        <v>0</v>
      </c>
      <c r="I32" s="193">
        <v>0</v>
      </c>
      <c r="J32" s="193">
        <v>0</v>
      </c>
      <c r="K32" s="251" t="b">
        <f>'d3'!E30='d7'!H32</f>
        <v>1</v>
      </c>
      <c r="L32" s="258" t="b">
        <f>I32='d3'!J30</f>
        <v>1</v>
      </c>
      <c r="M32" s="259" t="b">
        <f>J32='d3'!K30</f>
        <v>1</v>
      </c>
    </row>
    <row r="33" spans="1:13" ht="138.75" thickTop="1" thickBot="1" x14ac:dyDescent="0.25">
      <c r="A33" s="101" t="s">
        <v>298</v>
      </c>
      <c r="B33" s="101" t="s">
        <v>299</v>
      </c>
      <c r="C33" s="101" t="s">
        <v>170</v>
      </c>
      <c r="D33" s="101" t="s">
        <v>440</v>
      </c>
      <c r="E33" s="314" t="s">
        <v>1609</v>
      </c>
      <c r="F33" s="311"/>
      <c r="G33" s="311">
        <f t="shared" si="1"/>
        <v>326435</v>
      </c>
      <c r="H33" s="311">
        <f>'d3'!E31</f>
        <v>326435</v>
      </c>
      <c r="I33" s="311">
        <f>'d3'!J31</f>
        <v>0</v>
      </c>
      <c r="J33" s="311">
        <f>'d3'!K31</f>
        <v>0</v>
      </c>
      <c r="K33" s="95" t="b">
        <f>H33='d3'!E31</f>
        <v>1</v>
      </c>
      <c r="L33" s="436" t="b">
        <f>I33='d3'!J31</f>
        <v>1</v>
      </c>
      <c r="M33" s="482" t="b">
        <f>J33='d3'!K31</f>
        <v>1</v>
      </c>
    </row>
    <row r="34" spans="1:13" ht="292.7" customHeight="1" thickTop="1" thickBot="1" x14ac:dyDescent="0.7">
      <c r="A34" s="737" t="s">
        <v>338</v>
      </c>
      <c r="B34" s="737" t="s">
        <v>337</v>
      </c>
      <c r="C34" s="737" t="s">
        <v>170</v>
      </c>
      <c r="D34" s="486" t="s">
        <v>438</v>
      </c>
      <c r="E34" s="873" t="s">
        <v>1609</v>
      </c>
      <c r="F34" s="740"/>
      <c r="G34" s="740">
        <f t="shared" si="1"/>
        <v>4500000</v>
      </c>
      <c r="H34" s="740">
        <f>'d3'!E33</f>
        <v>0</v>
      </c>
      <c r="I34" s="740">
        <f>'d3'!J33</f>
        <v>4500000</v>
      </c>
      <c r="J34" s="740">
        <f>'d3'!K33</f>
        <v>0</v>
      </c>
      <c r="K34" s="95" t="b">
        <f>H34='d3'!E33</f>
        <v>1</v>
      </c>
      <c r="L34" s="436" t="b">
        <f>I34='d3'!J33</f>
        <v>1</v>
      </c>
      <c r="M34" s="482" t="b">
        <f>J34='d3'!K33</f>
        <v>1</v>
      </c>
    </row>
    <row r="35" spans="1:13" ht="138.75" customHeight="1" thickTop="1" thickBot="1" x14ac:dyDescent="0.25">
      <c r="A35" s="748"/>
      <c r="B35" s="748"/>
      <c r="C35" s="748"/>
      <c r="D35" s="487" t="s">
        <v>439</v>
      </c>
      <c r="E35" s="874"/>
      <c r="F35" s="741"/>
      <c r="G35" s="883"/>
      <c r="H35" s="883"/>
      <c r="I35" s="883"/>
      <c r="J35" s="883"/>
      <c r="K35" s="137"/>
      <c r="L35" s="137"/>
      <c r="M35" s="137"/>
    </row>
    <row r="36" spans="1:13" ht="138.75" thickTop="1" thickBot="1" x14ac:dyDescent="0.25">
      <c r="A36" s="101" t="s">
        <v>901</v>
      </c>
      <c r="B36" s="101" t="s">
        <v>256</v>
      </c>
      <c r="C36" s="101" t="s">
        <v>170</v>
      </c>
      <c r="D36" s="101" t="s">
        <v>254</v>
      </c>
      <c r="E36" s="311" t="s">
        <v>1644</v>
      </c>
      <c r="F36" s="320"/>
      <c r="G36" s="311">
        <f t="shared" ref="G36:G44" si="3">H36+I36</f>
        <v>2655260</v>
      </c>
      <c r="H36" s="311">
        <f>'d3'!E35</f>
        <v>2655260</v>
      </c>
      <c r="I36" s="311">
        <f>'d3'!J35</f>
        <v>0</v>
      </c>
      <c r="J36" s="311">
        <f>'d3'!K35</f>
        <v>0</v>
      </c>
      <c r="K36" s="137"/>
      <c r="L36" s="137"/>
      <c r="M36" s="137"/>
    </row>
    <row r="37" spans="1:13" ht="93" thickTop="1" thickBot="1" x14ac:dyDescent="0.25">
      <c r="A37" s="101" t="s">
        <v>1177</v>
      </c>
      <c r="B37" s="101" t="s">
        <v>1178</v>
      </c>
      <c r="C37" s="101" t="s">
        <v>1153</v>
      </c>
      <c r="D37" s="101" t="s">
        <v>1179</v>
      </c>
      <c r="E37" s="311" t="s">
        <v>1646</v>
      </c>
      <c r="F37" s="320"/>
      <c r="G37" s="311">
        <f t="shared" si="3"/>
        <v>40200000</v>
      </c>
      <c r="H37" s="311">
        <v>10000000</v>
      </c>
      <c r="I37" s="311">
        <f>30200000</f>
        <v>30200000</v>
      </c>
      <c r="J37" s="311">
        <f>30200000</f>
        <v>30200000</v>
      </c>
      <c r="K37" s="95" t="b">
        <f>H37+H39+H38='d3'!E38</f>
        <v>1</v>
      </c>
      <c r="L37" s="436" t="b">
        <f>I37+I39+I38='d3'!J38</f>
        <v>1</v>
      </c>
      <c r="M37" s="436" t="b">
        <f>J37+J39+J38='d3'!K38</f>
        <v>1</v>
      </c>
    </row>
    <row r="38" spans="1:13" ht="138.75" hidden="1" thickTop="1" thickBot="1" x14ac:dyDescent="0.25">
      <c r="A38" s="126" t="s">
        <v>1177</v>
      </c>
      <c r="B38" s="126" t="s">
        <v>1178</v>
      </c>
      <c r="C38" s="126" t="s">
        <v>1153</v>
      </c>
      <c r="D38" s="126" t="s">
        <v>1179</v>
      </c>
      <c r="E38" s="126" t="s">
        <v>1454</v>
      </c>
      <c r="F38" s="193" t="s">
        <v>1471</v>
      </c>
      <c r="G38" s="193">
        <f t="shared" ref="G38" si="4">H38+I38</f>
        <v>0</v>
      </c>
      <c r="H38" s="193">
        <v>0</v>
      </c>
      <c r="I38" s="193">
        <v>0</v>
      </c>
      <c r="J38" s="193">
        <v>0</v>
      </c>
      <c r="K38" s="540"/>
      <c r="L38" s="540"/>
      <c r="M38" s="540"/>
    </row>
    <row r="39" spans="1:13" ht="321.75" hidden="1" thickTop="1" thickBot="1" x14ac:dyDescent="0.25">
      <c r="A39" s="126" t="s">
        <v>1177</v>
      </c>
      <c r="B39" s="126" t="s">
        <v>1178</v>
      </c>
      <c r="C39" s="126" t="s">
        <v>1153</v>
      </c>
      <c r="D39" s="126" t="s">
        <v>1179</v>
      </c>
      <c r="E39" s="193" t="s">
        <v>1348</v>
      </c>
      <c r="F39" s="193" t="s">
        <v>847</v>
      </c>
      <c r="G39" s="193">
        <f t="shared" si="3"/>
        <v>0</v>
      </c>
      <c r="H39" s="193">
        <v>0</v>
      </c>
      <c r="I39" s="193">
        <v>0</v>
      </c>
      <c r="J39" s="193">
        <v>0</v>
      </c>
      <c r="K39" s="137"/>
      <c r="L39" s="137"/>
      <c r="M39" s="137"/>
    </row>
    <row r="40" spans="1:13" ht="138.75" hidden="1" thickTop="1" thickBot="1" x14ac:dyDescent="0.25">
      <c r="A40" s="126" t="s">
        <v>1154</v>
      </c>
      <c r="B40" s="126" t="s">
        <v>1155</v>
      </c>
      <c r="C40" s="126" t="s">
        <v>1153</v>
      </c>
      <c r="D40" s="126" t="s">
        <v>1152</v>
      </c>
      <c r="E40" s="126" t="s">
        <v>1535</v>
      </c>
      <c r="F40" s="193" t="s">
        <v>1471</v>
      </c>
      <c r="G40" s="193">
        <f t="shared" si="3"/>
        <v>0</v>
      </c>
      <c r="H40" s="193">
        <v>0</v>
      </c>
      <c r="I40" s="193">
        <v>0</v>
      </c>
      <c r="J40" s="193">
        <v>0</v>
      </c>
    </row>
    <row r="41" spans="1:13" ht="184.5" thickTop="1" thickBot="1" x14ac:dyDescent="0.25">
      <c r="A41" s="101" t="s">
        <v>1154</v>
      </c>
      <c r="B41" s="101" t="s">
        <v>1155</v>
      </c>
      <c r="C41" s="101" t="s">
        <v>1153</v>
      </c>
      <c r="D41" s="101" t="s">
        <v>1152</v>
      </c>
      <c r="E41" s="311" t="s">
        <v>1622</v>
      </c>
      <c r="F41" s="311" t="s">
        <v>1472</v>
      </c>
      <c r="G41" s="311">
        <f>H41+I41</f>
        <v>6806114</v>
      </c>
      <c r="H41" s="311">
        <v>6806114</v>
      </c>
      <c r="I41" s="311">
        <v>0</v>
      </c>
      <c r="J41" s="311">
        <v>0</v>
      </c>
      <c r="K41" s="95" t="b">
        <f>H40+H41='d3'!E39</f>
        <v>1</v>
      </c>
      <c r="L41" s="436" t="b">
        <f>I40+I41='d3'!J39</f>
        <v>1</v>
      </c>
      <c r="M41" s="436" t="b">
        <f>J40+J41='d3'!K39</f>
        <v>1</v>
      </c>
    </row>
    <row r="42" spans="1:13" ht="184.5" thickTop="1" thickBot="1" x14ac:dyDescent="0.25">
      <c r="A42" s="101" t="s">
        <v>241</v>
      </c>
      <c r="B42" s="101" t="s">
        <v>242</v>
      </c>
      <c r="C42" s="101" t="s">
        <v>243</v>
      </c>
      <c r="D42" s="101" t="s">
        <v>1624</v>
      </c>
      <c r="E42" s="311" t="s">
        <v>1645</v>
      </c>
      <c r="F42" s="311" t="s">
        <v>1473</v>
      </c>
      <c r="G42" s="311">
        <f t="shared" si="3"/>
        <v>11148571</v>
      </c>
      <c r="H42" s="311">
        <f>'d3'!E41</f>
        <v>11148571</v>
      </c>
      <c r="I42" s="311">
        <f>'d3'!J41</f>
        <v>0</v>
      </c>
      <c r="J42" s="311">
        <f>'d3'!K41</f>
        <v>0</v>
      </c>
      <c r="K42" s="95" t="b">
        <f>H42='d3'!E41</f>
        <v>1</v>
      </c>
      <c r="L42" s="436" t="b">
        <f>I42='d3'!J41</f>
        <v>1</v>
      </c>
      <c r="M42" s="482" t="b">
        <f>J42='d3'!K41</f>
        <v>1</v>
      </c>
    </row>
    <row r="43" spans="1:13" ht="184.5" thickTop="1" thickBot="1" x14ac:dyDescent="0.25">
      <c r="A43" s="101" t="s">
        <v>244</v>
      </c>
      <c r="B43" s="101" t="s">
        <v>245</v>
      </c>
      <c r="C43" s="101" t="s">
        <v>43</v>
      </c>
      <c r="D43" s="101" t="s">
        <v>441</v>
      </c>
      <c r="E43" s="314" t="s">
        <v>1609</v>
      </c>
      <c r="F43" s="311"/>
      <c r="G43" s="311">
        <f t="shared" si="3"/>
        <v>1359600</v>
      </c>
      <c r="H43" s="315">
        <f>'d3'!E44</f>
        <v>1359600</v>
      </c>
      <c r="I43" s="311">
        <f>'d3'!J44</f>
        <v>0</v>
      </c>
      <c r="J43" s="311">
        <f>'d3'!K44</f>
        <v>0</v>
      </c>
      <c r="K43" s="95" t="b">
        <f>H43='d3'!E44</f>
        <v>1</v>
      </c>
      <c r="L43" s="436" t="b">
        <f>I43='d3'!J44</f>
        <v>1</v>
      </c>
      <c r="M43" s="436" t="b">
        <f>J43='d3'!K44</f>
        <v>1</v>
      </c>
    </row>
    <row r="44" spans="1:13" ht="138.75" thickTop="1" thickBot="1" x14ac:dyDescent="0.25">
      <c r="A44" s="101" t="s">
        <v>571</v>
      </c>
      <c r="B44" s="101" t="s">
        <v>362</v>
      </c>
      <c r="C44" s="101" t="s">
        <v>43</v>
      </c>
      <c r="D44" s="101" t="s">
        <v>363</v>
      </c>
      <c r="E44" s="314" t="s">
        <v>1609</v>
      </c>
      <c r="F44" s="311"/>
      <c r="G44" s="311">
        <f t="shared" si="3"/>
        <v>166200</v>
      </c>
      <c r="H44" s="315">
        <f>'d3'!E45</f>
        <v>166200</v>
      </c>
      <c r="I44" s="311">
        <f>'d3'!J45</f>
        <v>0</v>
      </c>
      <c r="J44" s="311">
        <f>'d3'!K45</f>
        <v>0</v>
      </c>
      <c r="K44" s="95" t="b">
        <f>H44='d3'!E45</f>
        <v>1</v>
      </c>
      <c r="L44" s="436" t="b">
        <f>I44='d3'!J45</f>
        <v>1</v>
      </c>
      <c r="M44" s="436" t="b">
        <f>J44='d3'!K45</f>
        <v>1</v>
      </c>
    </row>
    <row r="45" spans="1:13" ht="138.75" thickTop="1" thickBot="1" x14ac:dyDescent="0.25">
      <c r="A45" s="101" t="s">
        <v>511</v>
      </c>
      <c r="B45" s="101" t="s">
        <v>512</v>
      </c>
      <c r="C45" s="101" t="s">
        <v>43</v>
      </c>
      <c r="D45" s="101" t="s">
        <v>513</v>
      </c>
      <c r="E45" s="311" t="s">
        <v>1646</v>
      </c>
      <c r="F45" s="320"/>
      <c r="G45" s="311">
        <f t="shared" ref="G45:G57" si="5">H45+I45</f>
        <v>64500000</v>
      </c>
      <c r="H45" s="311">
        <f>54500000+10000000</f>
        <v>64500000</v>
      </c>
      <c r="I45" s="311">
        <v>0</v>
      </c>
      <c r="J45" s="311">
        <v>0</v>
      </c>
      <c r="K45" s="95" t="b">
        <f>H45+H46+H47+H48+H49+H50+H56+H51+H53+H55+H52+H57+H54='d3'!E46</f>
        <v>1</v>
      </c>
      <c r="L45" s="436" t="b">
        <f>I45+I46+I47+I48+I49+I50+I56+I53+I55+I51+I52+I57+I54='d3'!J46</f>
        <v>1</v>
      </c>
      <c r="M45" s="436" t="b">
        <f>J45+J46+J47+J48+J49+J50+J56+J53+J55+J51+J52+J57+J54='d3'!K46</f>
        <v>1</v>
      </c>
    </row>
    <row r="46" spans="1:13" ht="321.75" thickTop="1" thickBot="1" x14ac:dyDescent="0.25">
      <c r="A46" s="101" t="s">
        <v>511</v>
      </c>
      <c r="B46" s="101" t="s">
        <v>512</v>
      </c>
      <c r="C46" s="101" t="s">
        <v>43</v>
      </c>
      <c r="D46" s="101" t="s">
        <v>513</v>
      </c>
      <c r="E46" s="311" t="s">
        <v>1348</v>
      </c>
      <c r="F46" s="311" t="s">
        <v>847</v>
      </c>
      <c r="G46" s="311">
        <f t="shared" si="5"/>
        <v>500000</v>
      </c>
      <c r="H46" s="311">
        <v>500000</v>
      </c>
      <c r="I46" s="311">
        <v>0</v>
      </c>
      <c r="J46" s="311">
        <v>0</v>
      </c>
      <c r="K46" s="251"/>
      <c r="L46" s="258"/>
      <c r="M46" s="259"/>
    </row>
    <row r="47" spans="1:13" ht="230.25" hidden="1" thickTop="1" thickBot="1" x14ac:dyDescent="0.25">
      <c r="A47" s="126" t="s">
        <v>511</v>
      </c>
      <c r="B47" s="126" t="s">
        <v>512</v>
      </c>
      <c r="C47" s="126" t="s">
        <v>43</v>
      </c>
      <c r="D47" s="126" t="s">
        <v>513</v>
      </c>
      <c r="E47" s="193" t="s">
        <v>1015</v>
      </c>
      <c r="F47" s="193" t="s">
        <v>919</v>
      </c>
      <c r="G47" s="193">
        <f t="shared" si="5"/>
        <v>0</v>
      </c>
      <c r="H47" s="193">
        <v>0</v>
      </c>
      <c r="I47" s="193">
        <v>0</v>
      </c>
      <c r="J47" s="193">
        <v>0</v>
      </c>
      <c r="K47" s="251"/>
      <c r="L47" s="258"/>
      <c r="M47" s="259"/>
    </row>
    <row r="48" spans="1:13" ht="184.5" hidden="1" thickTop="1" thickBot="1" x14ac:dyDescent="0.25">
      <c r="A48" s="126" t="s">
        <v>511</v>
      </c>
      <c r="B48" s="126" t="s">
        <v>512</v>
      </c>
      <c r="C48" s="126" t="s">
        <v>43</v>
      </c>
      <c r="D48" s="126" t="s">
        <v>513</v>
      </c>
      <c r="E48" s="193" t="s">
        <v>1340</v>
      </c>
      <c r="F48" s="193" t="s">
        <v>1270</v>
      </c>
      <c r="G48" s="193">
        <f t="shared" si="5"/>
        <v>0</v>
      </c>
      <c r="H48" s="193">
        <v>0</v>
      </c>
      <c r="I48" s="193">
        <v>0</v>
      </c>
      <c r="J48" s="193">
        <v>0</v>
      </c>
      <c r="K48" s="251"/>
      <c r="L48" s="258"/>
      <c r="M48" s="259"/>
    </row>
    <row r="49" spans="1:13" ht="321.75" hidden="1" thickTop="1" thickBot="1" x14ac:dyDescent="0.25">
      <c r="A49" s="126" t="s">
        <v>511</v>
      </c>
      <c r="B49" s="126" t="s">
        <v>512</v>
      </c>
      <c r="C49" s="126" t="s">
        <v>43</v>
      </c>
      <c r="D49" s="126" t="s">
        <v>513</v>
      </c>
      <c r="E49" s="193" t="s">
        <v>1302</v>
      </c>
      <c r="F49" s="193" t="s">
        <v>1269</v>
      </c>
      <c r="G49" s="193">
        <f t="shared" si="5"/>
        <v>0</v>
      </c>
      <c r="H49" s="193">
        <v>0</v>
      </c>
      <c r="I49" s="193">
        <v>0</v>
      </c>
      <c r="J49" s="193">
        <v>0</v>
      </c>
      <c r="K49" s="251"/>
      <c r="L49" s="258"/>
      <c r="M49" s="259"/>
    </row>
    <row r="50" spans="1:13" ht="230.25" hidden="1" thickTop="1" thickBot="1" x14ac:dyDescent="0.25">
      <c r="A50" s="126" t="s">
        <v>511</v>
      </c>
      <c r="B50" s="126" t="s">
        <v>512</v>
      </c>
      <c r="C50" s="126" t="s">
        <v>43</v>
      </c>
      <c r="D50" s="126" t="s">
        <v>513</v>
      </c>
      <c r="E50" s="193" t="s">
        <v>1341</v>
      </c>
      <c r="F50" s="193" t="s">
        <v>1307</v>
      </c>
      <c r="G50" s="193">
        <f>H50+I50</f>
        <v>0</v>
      </c>
      <c r="H50" s="193">
        <v>0</v>
      </c>
      <c r="I50" s="193">
        <v>0</v>
      </c>
      <c r="J50" s="193">
        <v>0</v>
      </c>
      <c r="K50" s="251"/>
      <c r="L50" s="258"/>
      <c r="M50" s="259"/>
    </row>
    <row r="51" spans="1:13" ht="276" hidden="1" thickTop="1" thickBot="1" x14ac:dyDescent="0.25">
      <c r="A51" s="126" t="s">
        <v>511</v>
      </c>
      <c r="B51" s="126" t="s">
        <v>512</v>
      </c>
      <c r="C51" s="126" t="s">
        <v>43</v>
      </c>
      <c r="D51" s="126" t="s">
        <v>513</v>
      </c>
      <c r="E51" s="193" t="s">
        <v>1509</v>
      </c>
      <c r="F51" s="193" t="s">
        <v>1536</v>
      </c>
      <c r="G51" s="193">
        <f t="shared" si="5"/>
        <v>0</v>
      </c>
      <c r="H51" s="193">
        <v>0</v>
      </c>
      <c r="I51" s="193">
        <v>0</v>
      </c>
      <c r="J51" s="193">
        <v>0</v>
      </c>
      <c r="K51" s="251"/>
      <c r="L51" s="258"/>
      <c r="M51" s="259"/>
    </row>
    <row r="52" spans="1:13" ht="230.25" hidden="1" thickTop="1" thickBot="1" x14ac:dyDescent="0.25">
      <c r="A52" s="126" t="s">
        <v>511</v>
      </c>
      <c r="B52" s="126" t="s">
        <v>512</v>
      </c>
      <c r="C52" s="126" t="s">
        <v>43</v>
      </c>
      <c r="D52" s="126" t="s">
        <v>513</v>
      </c>
      <c r="E52" s="193" t="s">
        <v>1363</v>
      </c>
      <c r="F52" s="193" t="s">
        <v>1364</v>
      </c>
      <c r="G52" s="193">
        <f t="shared" si="5"/>
        <v>0</v>
      </c>
      <c r="H52" s="193"/>
      <c r="I52" s="193"/>
      <c r="J52" s="193"/>
      <c r="K52" s="251"/>
      <c r="L52" s="258"/>
      <c r="M52" s="259"/>
    </row>
    <row r="53" spans="1:13" ht="230.25" hidden="1" thickTop="1" thickBot="1" x14ac:dyDescent="0.25">
      <c r="A53" s="126" t="s">
        <v>511</v>
      </c>
      <c r="B53" s="126" t="s">
        <v>512</v>
      </c>
      <c r="C53" s="126" t="s">
        <v>43</v>
      </c>
      <c r="D53" s="126" t="s">
        <v>513</v>
      </c>
      <c r="E53" s="193" t="s">
        <v>1508</v>
      </c>
      <c r="F53" s="193"/>
      <c r="G53" s="193">
        <f t="shared" si="5"/>
        <v>0</v>
      </c>
      <c r="H53" s="193">
        <v>0</v>
      </c>
      <c r="I53" s="193">
        <f>800000-800000</f>
        <v>0</v>
      </c>
      <c r="J53" s="193">
        <f>800000-800000</f>
        <v>0</v>
      </c>
      <c r="K53" s="251"/>
      <c r="L53" s="258"/>
      <c r="M53" s="259"/>
    </row>
    <row r="54" spans="1:13" ht="230.25" hidden="1" thickTop="1" thickBot="1" x14ac:dyDescent="0.25">
      <c r="A54" s="126" t="s">
        <v>511</v>
      </c>
      <c r="B54" s="126" t="s">
        <v>512</v>
      </c>
      <c r="C54" s="126" t="s">
        <v>43</v>
      </c>
      <c r="D54" s="126" t="s">
        <v>513</v>
      </c>
      <c r="E54" s="193" t="s">
        <v>1547</v>
      </c>
      <c r="F54" s="193" t="s">
        <v>1537</v>
      </c>
      <c r="G54" s="193">
        <f t="shared" si="5"/>
        <v>0</v>
      </c>
      <c r="H54" s="193">
        <v>0</v>
      </c>
      <c r="I54" s="193">
        <v>0</v>
      </c>
      <c r="J54" s="193">
        <v>0</v>
      </c>
      <c r="K54" s="251"/>
      <c r="L54" s="258"/>
      <c r="M54" s="259"/>
    </row>
    <row r="55" spans="1:13" ht="313.5" hidden="1" thickTop="1" thickBot="1" x14ac:dyDescent="0.25">
      <c r="A55" s="126" t="s">
        <v>511</v>
      </c>
      <c r="B55" s="126" t="s">
        <v>512</v>
      </c>
      <c r="C55" s="126" t="s">
        <v>43</v>
      </c>
      <c r="D55" s="126" t="s">
        <v>513</v>
      </c>
      <c r="E55" s="546" t="s">
        <v>1290</v>
      </c>
      <c r="F55" s="193" t="s">
        <v>1291</v>
      </c>
      <c r="G55" s="193">
        <f t="shared" si="5"/>
        <v>0</v>
      </c>
      <c r="H55" s="193">
        <v>0</v>
      </c>
      <c r="I55" s="193">
        <v>0</v>
      </c>
      <c r="J55" s="193">
        <v>0</v>
      </c>
      <c r="K55" s="251"/>
      <c r="L55" s="258"/>
      <c r="M55" s="259"/>
    </row>
    <row r="56" spans="1:13" ht="184.5" hidden="1" thickTop="1" thickBot="1" x14ac:dyDescent="0.25">
      <c r="A56" s="126" t="s">
        <v>511</v>
      </c>
      <c r="B56" s="126" t="s">
        <v>512</v>
      </c>
      <c r="C56" s="126" t="s">
        <v>43</v>
      </c>
      <c r="D56" s="126" t="s">
        <v>513</v>
      </c>
      <c r="E56" s="193" t="s">
        <v>1259</v>
      </c>
      <c r="F56" s="193" t="s">
        <v>936</v>
      </c>
      <c r="G56" s="193">
        <f t="shared" si="5"/>
        <v>0</v>
      </c>
      <c r="H56" s="193">
        <v>0</v>
      </c>
      <c r="I56" s="193">
        <v>0</v>
      </c>
      <c r="J56" s="193">
        <v>0</v>
      </c>
      <c r="K56" s="251"/>
      <c r="L56" s="258"/>
      <c r="M56" s="259"/>
    </row>
    <row r="57" spans="1:13" ht="230.25" hidden="1" thickTop="1" thickBot="1" x14ac:dyDescent="0.25">
      <c r="A57" s="126" t="s">
        <v>511</v>
      </c>
      <c r="B57" s="126" t="s">
        <v>512</v>
      </c>
      <c r="C57" s="126" t="s">
        <v>43</v>
      </c>
      <c r="D57" s="126" t="s">
        <v>513</v>
      </c>
      <c r="E57" s="193" t="s">
        <v>1400</v>
      </c>
      <c r="F57" s="193" t="s">
        <v>1401</v>
      </c>
      <c r="G57" s="193">
        <f t="shared" si="5"/>
        <v>0</v>
      </c>
      <c r="H57" s="193"/>
      <c r="I57" s="193"/>
      <c r="J57" s="193"/>
      <c r="K57" s="251"/>
      <c r="L57" s="258"/>
      <c r="M57" s="259"/>
    </row>
    <row r="58" spans="1:13" ht="170.25" customHeight="1" thickTop="1" thickBot="1" x14ac:dyDescent="0.25">
      <c r="A58" s="600" t="s">
        <v>152</v>
      </c>
      <c r="B58" s="600"/>
      <c r="C58" s="600"/>
      <c r="D58" s="601" t="s">
        <v>0</v>
      </c>
      <c r="E58" s="600"/>
      <c r="F58" s="600"/>
      <c r="G58" s="602">
        <f>G59</f>
        <v>1635099822</v>
      </c>
      <c r="H58" s="602">
        <f t="shared" ref="H58:J58" si="6">H59</f>
        <v>1376984092</v>
      </c>
      <c r="I58" s="602">
        <f t="shared" si="6"/>
        <v>258115730</v>
      </c>
      <c r="J58" s="602">
        <f t="shared" si="6"/>
        <v>14395320</v>
      </c>
      <c r="K58" s="95" t="b">
        <f>H58='d3'!E48</f>
        <v>1</v>
      </c>
      <c r="L58" s="436" t="b">
        <f>I58='d3'!J48</f>
        <v>1</v>
      </c>
      <c r="M58" s="482" t="b">
        <f>J58='d3'!K47</f>
        <v>1</v>
      </c>
    </row>
    <row r="59" spans="1:13" ht="170.25" customHeight="1" thickTop="1" thickBot="1" x14ac:dyDescent="0.25">
      <c r="A59" s="603" t="s">
        <v>153</v>
      </c>
      <c r="B59" s="603"/>
      <c r="C59" s="603"/>
      <c r="D59" s="604" t="s">
        <v>1</v>
      </c>
      <c r="E59" s="605"/>
      <c r="F59" s="605"/>
      <c r="G59" s="605">
        <f>SUM(G60:G104)</f>
        <v>1635099822</v>
      </c>
      <c r="H59" s="605">
        <f>SUM(H60:H104)</f>
        <v>1376984092</v>
      </c>
      <c r="I59" s="605">
        <f>SUM(I60:I104)</f>
        <v>258115730</v>
      </c>
      <c r="J59" s="605">
        <f>SUM(J60:J104)</f>
        <v>14395320</v>
      </c>
      <c r="K59" s="137"/>
      <c r="L59" s="137"/>
      <c r="M59" s="137"/>
    </row>
    <row r="60" spans="1:13" ht="138.75" thickTop="1" thickBot="1" x14ac:dyDescent="0.25">
      <c r="A60" s="101" t="s">
        <v>198</v>
      </c>
      <c r="B60" s="101" t="s">
        <v>199</v>
      </c>
      <c r="C60" s="101" t="s">
        <v>201</v>
      </c>
      <c r="D60" s="101" t="s">
        <v>202</v>
      </c>
      <c r="E60" s="314" t="s">
        <v>1356</v>
      </c>
      <c r="F60" s="311" t="s">
        <v>1135</v>
      </c>
      <c r="G60" s="311">
        <f t="shared" ref="G60:G79" si="7">H60+I60</f>
        <v>709702567</v>
      </c>
      <c r="H60" s="311">
        <f>'d3'!E50-H61-H62</f>
        <v>601825737</v>
      </c>
      <c r="I60" s="311">
        <f>'d3'!J50-I61-I62</f>
        <v>107876830</v>
      </c>
      <c r="J60" s="311">
        <f>'d3'!K50-J61-J62</f>
        <v>0</v>
      </c>
      <c r="K60" s="95" t="b">
        <f>H60+H61+H62='d3'!E50</f>
        <v>1</v>
      </c>
      <c r="L60" s="436" t="b">
        <f>I60+I61+I62='d3'!J50</f>
        <v>1</v>
      </c>
      <c r="M60" s="436" t="b">
        <f>J60+J61+J62='d3'!K50</f>
        <v>1</v>
      </c>
    </row>
    <row r="61" spans="1:13" ht="184.5" hidden="1" thickTop="1" thickBot="1" x14ac:dyDescent="0.25">
      <c r="A61" s="126" t="s">
        <v>198</v>
      </c>
      <c r="B61" s="126" t="s">
        <v>199</v>
      </c>
      <c r="C61" s="126" t="s">
        <v>201</v>
      </c>
      <c r="D61" s="126" t="s">
        <v>202</v>
      </c>
      <c r="E61" s="252" t="s">
        <v>1528</v>
      </c>
      <c r="F61" s="193" t="s">
        <v>1529</v>
      </c>
      <c r="G61" s="193">
        <f>H61+I61</f>
        <v>0</v>
      </c>
      <c r="H61" s="193"/>
      <c r="I61" s="193"/>
      <c r="J61" s="193"/>
      <c r="K61" s="137"/>
      <c r="L61" s="137"/>
      <c r="M61" s="137"/>
    </row>
    <row r="62" spans="1:13" ht="321.75" hidden="1" thickTop="1" thickBot="1" x14ac:dyDescent="0.25">
      <c r="A62" s="126" t="s">
        <v>198</v>
      </c>
      <c r="B62" s="126" t="s">
        <v>199</v>
      </c>
      <c r="C62" s="126" t="s">
        <v>201</v>
      </c>
      <c r="D62" s="126" t="s">
        <v>202</v>
      </c>
      <c r="E62" s="193" t="s">
        <v>1348</v>
      </c>
      <c r="F62" s="193" t="s">
        <v>847</v>
      </c>
      <c r="G62" s="193">
        <f t="shared" si="7"/>
        <v>0</v>
      </c>
      <c r="H62" s="193"/>
      <c r="I62" s="193"/>
      <c r="J62" s="193"/>
      <c r="K62" s="137"/>
      <c r="L62" s="137"/>
      <c r="M62" s="137"/>
    </row>
    <row r="63" spans="1:13" ht="138.75" thickTop="1" thickBot="1" x14ac:dyDescent="0.25">
      <c r="A63" s="101" t="s">
        <v>635</v>
      </c>
      <c r="B63" s="101" t="s">
        <v>636</v>
      </c>
      <c r="C63" s="101" t="s">
        <v>204</v>
      </c>
      <c r="D63" s="101" t="s">
        <v>1239</v>
      </c>
      <c r="E63" s="314" t="s">
        <v>1356</v>
      </c>
      <c r="F63" s="311" t="s">
        <v>1135</v>
      </c>
      <c r="G63" s="311">
        <f t="shared" si="7"/>
        <v>597319398</v>
      </c>
      <c r="H63" s="311">
        <f>'d3'!E52-H64-H65-H66</f>
        <v>494944038</v>
      </c>
      <c r="I63" s="311">
        <f>'d3'!J52-I64-I65-I66</f>
        <v>102375360</v>
      </c>
      <c r="J63" s="311">
        <f>'d3'!K52-J64-J65-J66</f>
        <v>2795000</v>
      </c>
      <c r="K63" s="95" t="b">
        <f>H63+H64+H65+H66='d3'!E52</f>
        <v>1</v>
      </c>
      <c r="L63" s="436" t="b">
        <f>I63+I64+I65+I66='d3'!J52</f>
        <v>1</v>
      </c>
      <c r="M63" s="436" t="b">
        <f>J63+J64+J65='d3'!K52</f>
        <v>1</v>
      </c>
    </row>
    <row r="64" spans="1:13" ht="184.5" hidden="1" thickTop="1" thickBot="1" x14ac:dyDescent="0.25">
      <c r="A64" s="126" t="s">
        <v>635</v>
      </c>
      <c r="B64" s="126" t="s">
        <v>636</v>
      </c>
      <c r="C64" s="126" t="s">
        <v>204</v>
      </c>
      <c r="D64" s="126" t="s">
        <v>1239</v>
      </c>
      <c r="E64" s="252" t="s">
        <v>1528</v>
      </c>
      <c r="F64" s="193" t="s">
        <v>1529</v>
      </c>
      <c r="G64" s="193">
        <f t="shared" si="7"/>
        <v>0</v>
      </c>
      <c r="H64" s="193"/>
      <c r="I64" s="193"/>
      <c r="J64" s="193"/>
      <c r="K64" s="255"/>
      <c r="L64" s="137"/>
      <c r="M64" s="137"/>
    </row>
    <row r="65" spans="1:13" ht="138.75" hidden="1" thickTop="1" thickBot="1" x14ac:dyDescent="0.25">
      <c r="A65" s="41" t="s">
        <v>635</v>
      </c>
      <c r="B65" s="41" t="s">
        <v>636</v>
      </c>
      <c r="C65" s="41" t="s">
        <v>204</v>
      </c>
      <c r="D65" s="126" t="s">
        <v>1239</v>
      </c>
      <c r="E65" s="252" t="s">
        <v>1134</v>
      </c>
      <c r="F65" s="193" t="s">
        <v>1135</v>
      </c>
      <c r="G65" s="73">
        <f>H65+I65</f>
        <v>0</v>
      </c>
      <c r="H65" s="73">
        <v>0</v>
      </c>
      <c r="I65" s="73">
        <v>0</v>
      </c>
      <c r="J65" s="73">
        <v>0</v>
      </c>
      <c r="K65" s="137"/>
      <c r="L65" s="137"/>
      <c r="M65" s="137"/>
    </row>
    <row r="66" spans="1:13" ht="321.75" hidden="1" thickTop="1" thickBot="1" x14ac:dyDescent="0.25">
      <c r="A66" s="126" t="s">
        <v>635</v>
      </c>
      <c r="B66" s="126" t="s">
        <v>636</v>
      </c>
      <c r="C66" s="126" t="s">
        <v>204</v>
      </c>
      <c r="D66" s="126" t="s">
        <v>1239</v>
      </c>
      <c r="E66" s="193" t="s">
        <v>1348</v>
      </c>
      <c r="F66" s="193" t="s">
        <v>847</v>
      </c>
      <c r="G66" s="193">
        <f t="shared" si="7"/>
        <v>0</v>
      </c>
      <c r="H66" s="193"/>
      <c r="I66" s="193"/>
      <c r="J66" s="193"/>
      <c r="K66" s="137"/>
      <c r="L66" s="137"/>
      <c r="M66" s="137"/>
    </row>
    <row r="67" spans="1:13" ht="321.75" thickTop="1" thickBot="1" x14ac:dyDescent="0.25">
      <c r="A67" s="101" t="s">
        <v>644</v>
      </c>
      <c r="B67" s="101" t="s">
        <v>645</v>
      </c>
      <c r="C67" s="101" t="s">
        <v>207</v>
      </c>
      <c r="D67" s="101" t="s">
        <v>1629</v>
      </c>
      <c r="E67" s="314" t="s">
        <v>1356</v>
      </c>
      <c r="F67" s="311" t="s">
        <v>1135</v>
      </c>
      <c r="G67" s="311">
        <f t="shared" si="7"/>
        <v>30441972</v>
      </c>
      <c r="H67" s="311">
        <f>'d3'!E53-H68</f>
        <v>30239872</v>
      </c>
      <c r="I67" s="311">
        <f>'d3'!J53-I68</f>
        <v>202100</v>
      </c>
      <c r="J67" s="311">
        <f>'d3'!K53-J68</f>
        <v>30000</v>
      </c>
      <c r="K67" s="95" t="b">
        <f>H67+H68='d3'!E53</f>
        <v>1</v>
      </c>
      <c r="L67" s="95" t="b">
        <f>I67+I68='d3'!J53</f>
        <v>1</v>
      </c>
      <c r="M67" s="95" t="b">
        <f>J67+J68='d3'!K53</f>
        <v>1</v>
      </c>
    </row>
    <row r="68" spans="1:13" ht="184.5" hidden="1" thickTop="1" thickBot="1" x14ac:dyDescent="0.25">
      <c r="A68" s="41" t="s">
        <v>644</v>
      </c>
      <c r="B68" s="41" t="s">
        <v>645</v>
      </c>
      <c r="C68" s="41" t="s">
        <v>207</v>
      </c>
      <c r="D68" s="41" t="s">
        <v>495</v>
      </c>
      <c r="E68" s="255" t="s">
        <v>579</v>
      </c>
      <c r="F68" s="73" t="s">
        <v>406</v>
      </c>
      <c r="G68" s="73">
        <f t="shared" si="7"/>
        <v>0</v>
      </c>
      <c r="H68" s="73">
        <v>0</v>
      </c>
      <c r="I68" s="73"/>
      <c r="J68" s="73"/>
      <c r="K68" s="255" t="s">
        <v>559</v>
      </c>
      <c r="L68" s="137"/>
      <c r="M68" s="137"/>
    </row>
    <row r="69" spans="1:13" ht="184.5" thickTop="1" thickBot="1" x14ac:dyDescent="0.25">
      <c r="A69" s="101" t="s">
        <v>979</v>
      </c>
      <c r="B69" s="101" t="s">
        <v>980</v>
      </c>
      <c r="C69" s="101" t="s">
        <v>207</v>
      </c>
      <c r="D69" s="101" t="s">
        <v>1240</v>
      </c>
      <c r="E69" s="314" t="s">
        <v>1356</v>
      </c>
      <c r="F69" s="311" t="s">
        <v>1135</v>
      </c>
      <c r="G69" s="311">
        <f t="shared" si="7"/>
        <v>20073906</v>
      </c>
      <c r="H69" s="311">
        <f>'d3'!E54</f>
        <v>20058906</v>
      </c>
      <c r="I69" s="311">
        <f>'d3'!J54</f>
        <v>15000</v>
      </c>
      <c r="J69" s="311">
        <f>'d3'!K54</f>
        <v>15000</v>
      </c>
      <c r="K69" s="261"/>
      <c r="L69" s="137"/>
      <c r="M69" s="137"/>
    </row>
    <row r="70" spans="1:13" ht="138.75" thickTop="1" thickBot="1" x14ac:dyDescent="0.25">
      <c r="A70" s="101" t="s">
        <v>651</v>
      </c>
      <c r="B70" s="101" t="s">
        <v>652</v>
      </c>
      <c r="C70" s="101" t="s">
        <v>204</v>
      </c>
      <c r="D70" s="101" t="s">
        <v>1241</v>
      </c>
      <c r="E70" s="314" t="s">
        <v>1356</v>
      </c>
      <c r="F70" s="311" t="s">
        <v>1135</v>
      </c>
      <c r="G70" s="311">
        <f t="shared" si="7"/>
        <v>0</v>
      </c>
      <c r="H70" s="311">
        <f>'d3'!E56</f>
        <v>0</v>
      </c>
      <c r="I70" s="311">
        <f>'d3'!J56</f>
        <v>0</v>
      </c>
      <c r="J70" s="311">
        <f>'d3'!K56</f>
        <v>0</v>
      </c>
      <c r="K70" s="261"/>
      <c r="L70" s="137"/>
      <c r="M70" s="137"/>
    </row>
    <row r="71" spans="1:13" ht="138.75" thickTop="1" thickBot="1" x14ac:dyDescent="0.25">
      <c r="A71" s="101" t="s">
        <v>1098</v>
      </c>
      <c r="B71" s="101" t="s">
        <v>1099</v>
      </c>
      <c r="C71" s="101" t="s">
        <v>207</v>
      </c>
      <c r="D71" s="101" t="s">
        <v>1242</v>
      </c>
      <c r="E71" s="314" t="s">
        <v>1356</v>
      </c>
      <c r="F71" s="311" t="s">
        <v>1135</v>
      </c>
      <c r="G71" s="311">
        <f t="shared" ref="G71" si="8">H71+I71</f>
        <v>0</v>
      </c>
      <c r="H71" s="311">
        <f>'d3'!E57</f>
        <v>0</v>
      </c>
      <c r="I71" s="311">
        <f>'d3'!J57</f>
        <v>0</v>
      </c>
      <c r="J71" s="311">
        <f>'d3'!K57</f>
        <v>0</v>
      </c>
      <c r="K71" s="261"/>
      <c r="L71" s="137"/>
      <c r="M71" s="137"/>
    </row>
    <row r="72" spans="1:13" ht="339.75" hidden="1" customHeight="1" thickTop="1" thickBot="1" x14ac:dyDescent="0.25">
      <c r="A72" s="126" t="s">
        <v>916</v>
      </c>
      <c r="B72" s="126" t="s">
        <v>917</v>
      </c>
      <c r="C72" s="126" t="s">
        <v>204</v>
      </c>
      <c r="D72" s="126" t="s">
        <v>1631</v>
      </c>
      <c r="E72" s="252" t="s">
        <v>1356</v>
      </c>
      <c r="F72" s="193" t="s">
        <v>1135</v>
      </c>
      <c r="G72" s="193">
        <f t="shared" si="7"/>
        <v>0</v>
      </c>
      <c r="H72" s="193">
        <f>'d3'!E59</f>
        <v>0</v>
      </c>
      <c r="I72" s="193">
        <f>'d3'!J59</f>
        <v>0</v>
      </c>
      <c r="J72" s="193">
        <f>'d3'!K59</f>
        <v>0</v>
      </c>
      <c r="K72" s="264"/>
      <c r="L72" s="137"/>
      <c r="M72" s="137"/>
    </row>
    <row r="73" spans="1:13" ht="138.75" thickTop="1" thickBot="1" x14ac:dyDescent="0.25">
      <c r="A73" s="101" t="s">
        <v>653</v>
      </c>
      <c r="B73" s="101" t="s">
        <v>206</v>
      </c>
      <c r="C73" s="101" t="s">
        <v>181</v>
      </c>
      <c r="D73" s="101" t="s">
        <v>497</v>
      </c>
      <c r="E73" s="314" t="s">
        <v>1356</v>
      </c>
      <c r="F73" s="311" t="s">
        <v>1135</v>
      </c>
      <c r="G73" s="311">
        <f t="shared" si="7"/>
        <v>38251792</v>
      </c>
      <c r="H73" s="311">
        <f>'d3'!E60-H75-H74</f>
        <v>36783932</v>
      </c>
      <c r="I73" s="311">
        <f>'d3'!J60-I75-I74</f>
        <v>1467860</v>
      </c>
      <c r="J73" s="311">
        <f>'d3'!K60-J75-J74</f>
        <v>0</v>
      </c>
      <c r="K73" s="95" t="b">
        <f>H73+H75+H74='d3'!E60</f>
        <v>1</v>
      </c>
      <c r="L73" s="95" t="b">
        <f>I73+I75+I74='d3'!J60</f>
        <v>1</v>
      </c>
      <c r="M73" s="95" t="b">
        <f>J73+J75+J74='d3'!K60</f>
        <v>1</v>
      </c>
    </row>
    <row r="74" spans="1:13" ht="184.5" hidden="1" thickTop="1" thickBot="1" x14ac:dyDescent="0.25">
      <c r="A74" s="126" t="s">
        <v>653</v>
      </c>
      <c r="B74" s="126" t="s">
        <v>206</v>
      </c>
      <c r="C74" s="126" t="s">
        <v>181</v>
      </c>
      <c r="D74" s="126" t="s">
        <v>497</v>
      </c>
      <c r="E74" s="252" t="s">
        <v>1528</v>
      </c>
      <c r="F74" s="193" t="s">
        <v>1529</v>
      </c>
      <c r="G74" s="193">
        <f t="shared" si="7"/>
        <v>0</v>
      </c>
      <c r="H74" s="193"/>
      <c r="I74" s="193"/>
      <c r="J74" s="193"/>
      <c r="K74" s="540"/>
      <c r="L74" s="540"/>
      <c r="M74" s="540"/>
    </row>
    <row r="75" spans="1:13" ht="321.75" hidden="1" thickTop="1" thickBot="1" x14ac:dyDescent="0.25">
      <c r="A75" s="126" t="s">
        <v>653</v>
      </c>
      <c r="B75" s="126" t="s">
        <v>206</v>
      </c>
      <c r="C75" s="126" t="s">
        <v>181</v>
      </c>
      <c r="D75" s="126" t="s">
        <v>497</v>
      </c>
      <c r="E75" s="193" t="s">
        <v>1348</v>
      </c>
      <c r="F75" s="193" t="s">
        <v>847</v>
      </c>
      <c r="G75" s="193">
        <f t="shared" si="7"/>
        <v>0</v>
      </c>
      <c r="H75" s="193"/>
      <c r="I75" s="193"/>
      <c r="J75" s="193"/>
      <c r="K75" s="137"/>
      <c r="L75" s="137"/>
      <c r="M75" s="137"/>
    </row>
    <row r="76" spans="1:13" ht="184.5" thickTop="1" thickBot="1" x14ac:dyDescent="0.25">
      <c r="A76" s="101" t="s">
        <v>654</v>
      </c>
      <c r="B76" s="101" t="s">
        <v>655</v>
      </c>
      <c r="C76" s="101" t="s">
        <v>209</v>
      </c>
      <c r="D76" s="101" t="s">
        <v>656</v>
      </c>
      <c r="E76" s="314" t="s">
        <v>1356</v>
      </c>
      <c r="F76" s="311" t="s">
        <v>1135</v>
      </c>
      <c r="G76" s="311">
        <f t="shared" si="7"/>
        <v>195647012</v>
      </c>
      <c r="H76" s="311">
        <f>'d3'!E62-H78-H77</f>
        <v>161147012</v>
      </c>
      <c r="I76" s="311">
        <f>'d3'!J62-I78-I77</f>
        <v>34500000</v>
      </c>
      <c r="J76" s="311">
        <f>'d3'!K62-J78-J77</f>
        <v>180000</v>
      </c>
      <c r="K76" s="95" t="b">
        <f>H76+H78+H77='d3'!E62</f>
        <v>1</v>
      </c>
      <c r="L76" s="95" t="b">
        <f>I76+I78+I77='d3'!J62</f>
        <v>1</v>
      </c>
      <c r="M76" s="95" t="b">
        <f>J76+J78+J77='d3'!K62</f>
        <v>1</v>
      </c>
    </row>
    <row r="77" spans="1:13" ht="184.5" hidden="1" thickTop="1" thickBot="1" x14ac:dyDescent="0.25">
      <c r="A77" s="126" t="s">
        <v>654</v>
      </c>
      <c r="B77" s="126" t="s">
        <v>655</v>
      </c>
      <c r="C77" s="126" t="s">
        <v>209</v>
      </c>
      <c r="D77" s="126" t="s">
        <v>656</v>
      </c>
      <c r="E77" s="252" t="s">
        <v>1528</v>
      </c>
      <c r="F77" s="193" t="s">
        <v>1529</v>
      </c>
      <c r="G77" s="193">
        <f t="shared" si="7"/>
        <v>0</v>
      </c>
      <c r="H77" s="193"/>
      <c r="I77" s="193"/>
      <c r="J77" s="193"/>
      <c r="K77" s="540"/>
      <c r="L77" s="540"/>
      <c r="M77" s="540"/>
    </row>
    <row r="78" spans="1:13" ht="321.75" hidden="1" thickTop="1" thickBot="1" x14ac:dyDescent="0.25">
      <c r="A78" s="126" t="s">
        <v>654</v>
      </c>
      <c r="B78" s="126" t="s">
        <v>655</v>
      </c>
      <c r="C78" s="126" t="s">
        <v>209</v>
      </c>
      <c r="D78" s="126" t="s">
        <v>656</v>
      </c>
      <c r="E78" s="193" t="s">
        <v>1348</v>
      </c>
      <c r="F78" s="193" t="s">
        <v>847</v>
      </c>
      <c r="G78" s="193">
        <f t="shared" si="7"/>
        <v>0</v>
      </c>
      <c r="H78" s="193"/>
      <c r="I78" s="193"/>
      <c r="J78" s="193"/>
      <c r="K78" s="137"/>
      <c r="L78" s="137"/>
      <c r="M78" s="137"/>
    </row>
    <row r="79" spans="1:13" ht="138.75" thickTop="1" thickBot="1" x14ac:dyDescent="0.25">
      <c r="A79" s="101" t="s">
        <v>658</v>
      </c>
      <c r="B79" s="101" t="s">
        <v>657</v>
      </c>
      <c r="C79" s="101" t="s">
        <v>209</v>
      </c>
      <c r="D79" s="101" t="s">
        <v>659</v>
      </c>
      <c r="E79" s="314" t="s">
        <v>1356</v>
      </c>
      <c r="F79" s="311" t="s">
        <v>1135</v>
      </c>
      <c r="G79" s="311">
        <f t="shared" si="7"/>
        <v>0</v>
      </c>
      <c r="H79" s="311">
        <f>'d3'!E63</f>
        <v>0</v>
      </c>
      <c r="I79" s="311">
        <f>'d3'!J63</f>
        <v>0</v>
      </c>
      <c r="J79" s="311">
        <f>'d3'!K63</f>
        <v>0</v>
      </c>
      <c r="K79" s="137"/>
      <c r="L79" s="137"/>
      <c r="M79" s="137"/>
    </row>
    <row r="80" spans="1:13" ht="138.75" thickTop="1" thickBot="1" x14ac:dyDescent="0.25">
      <c r="A80" s="101" t="s">
        <v>663</v>
      </c>
      <c r="B80" s="101" t="s">
        <v>664</v>
      </c>
      <c r="C80" s="101" t="s">
        <v>210</v>
      </c>
      <c r="D80" s="101" t="s">
        <v>499</v>
      </c>
      <c r="E80" s="314" t="s">
        <v>1356</v>
      </c>
      <c r="F80" s="311" t="s">
        <v>1135</v>
      </c>
      <c r="G80" s="311">
        <f t="shared" ref="G80" si="9">H80+I80</f>
        <v>26148670</v>
      </c>
      <c r="H80" s="311">
        <f>'d3'!E65</f>
        <v>25845410</v>
      </c>
      <c r="I80" s="311">
        <f>'d3'!J65</f>
        <v>303260</v>
      </c>
      <c r="J80" s="311">
        <f>'d3'!K65</f>
        <v>0</v>
      </c>
      <c r="K80" s="137"/>
      <c r="L80" s="137"/>
      <c r="M80" s="137"/>
    </row>
    <row r="81" spans="1:13" ht="138.75" thickTop="1" thickBot="1" x14ac:dyDescent="0.25">
      <c r="A81" s="101" t="s">
        <v>665</v>
      </c>
      <c r="B81" s="101" t="s">
        <v>666</v>
      </c>
      <c r="C81" s="101" t="s">
        <v>210</v>
      </c>
      <c r="D81" s="101" t="s">
        <v>336</v>
      </c>
      <c r="E81" s="314" t="s">
        <v>1356</v>
      </c>
      <c r="F81" s="311" t="s">
        <v>1135</v>
      </c>
      <c r="G81" s="311">
        <f>H81+I81</f>
        <v>1179540</v>
      </c>
      <c r="H81" s="311">
        <f>'d3'!E66-H82</f>
        <v>804220</v>
      </c>
      <c r="I81" s="311">
        <f>'d3'!J66-I82</f>
        <v>375320</v>
      </c>
      <c r="J81" s="311">
        <f>'d3'!K66-J82</f>
        <v>375320</v>
      </c>
      <c r="K81" s="480" t="b">
        <f>H81+H82='d3'!E66</f>
        <v>1</v>
      </c>
      <c r="L81" s="481" t="b">
        <f>I81+I82='d3'!J66</f>
        <v>1</v>
      </c>
      <c r="M81" s="481" t="b">
        <f>J81+J82='d3'!K66</f>
        <v>1</v>
      </c>
    </row>
    <row r="82" spans="1:13" ht="230.25" hidden="1" customHeight="1" thickTop="1" thickBot="1" x14ac:dyDescent="0.25">
      <c r="A82" s="41" t="s">
        <v>665</v>
      </c>
      <c r="B82" s="41" t="s">
        <v>666</v>
      </c>
      <c r="C82" s="41" t="s">
        <v>210</v>
      </c>
      <c r="D82" s="41" t="s">
        <v>336</v>
      </c>
      <c r="E82" s="252" t="s">
        <v>1134</v>
      </c>
      <c r="F82" s="193" t="s">
        <v>1135</v>
      </c>
      <c r="G82" s="73">
        <f>H82+I82</f>
        <v>0</v>
      </c>
      <c r="H82" s="73"/>
      <c r="I82" s="73"/>
      <c r="J82" s="73"/>
      <c r="K82" s="255" t="s">
        <v>560</v>
      </c>
      <c r="L82" s="137"/>
      <c r="M82" s="137"/>
    </row>
    <row r="83" spans="1:13" ht="138.75" thickTop="1" thickBot="1" x14ac:dyDescent="0.25">
      <c r="A83" s="101" t="s">
        <v>669</v>
      </c>
      <c r="B83" s="101" t="s">
        <v>670</v>
      </c>
      <c r="C83" s="101" t="s">
        <v>210</v>
      </c>
      <c r="D83" s="101" t="s">
        <v>671</v>
      </c>
      <c r="E83" s="314" t="s">
        <v>1356</v>
      </c>
      <c r="F83" s="311" t="s">
        <v>1135</v>
      </c>
      <c r="G83" s="311">
        <f t="shared" ref="G83:G84" si="10">H83+I83</f>
        <v>1579578</v>
      </c>
      <c r="H83" s="311">
        <f>'d3'!E68</f>
        <v>1579578</v>
      </c>
      <c r="I83" s="311">
        <f>'d3'!J68</f>
        <v>0</v>
      </c>
      <c r="J83" s="311">
        <f>'d3'!K68</f>
        <v>0</v>
      </c>
      <c r="K83" s="137"/>
      <c r="L83" s="137"/>
      <c r="M83" s="137"/>
    </row>
    <row r="84" spans="1:13" ht="138.75" hidden="1" thickTop="1" thickBot="1" x14ac:dyDescent="0.25">
      <c r="A84" s="126" t="s">
        <v>672</v>
      </c>
      <c r="B84" s="126" t="s">
        <v>673</v>
      </c>
      <c r="C84" s="126" t="s">
        <v>210</v>
      </c>
      <c r="D84" s="126" t="s">
        <v>674</v>
      </c>
      <c r="E84" s="252" t="s">
        <v>1356</v>
      </c>
      <c r="F84" s="193" t="s">
        <v>1135</v>
      </c>
      <c r="G84" s="193">
        <f t="shared" si="10"/>
        <v>0</v>
      </c>
      <c r="H84" s="193">
        <f>'d3'!E69</f>
        <v>0</v>
      </c>
      <c r="I84" s="193">
        <f>'d3'!J69</f>
        <v>0</v>
      </c>
      <c r="J84" s="193">
        <f>'d3'!K69</f>
        <v>0</v>
      </c>
      <c r="K84" s="137"/>
      <c r="L84" s="137"/>
      <c r="M84" s="137"/>
    </row>
    <row r="85" spans="1:13" ht="138.75" thickTop="1" thickBot="1" x14ac:dyDescent="0.25">
      <c r="A85" s="101" t="s">
        <v>641</v>
      </c>
      <c r="B85" s="101" t="s">
        <v>642</v>
      </c>
      <c r="C85" s="101" t="s">
        <v>210</v>
      </c>
      <c r="D85" s="101" t="s">
        <v>643</v>
      </c>
      <c r="E85" s="314" t="s">
        <v>1356</v>
      </c>
      <c r="F85" s="311" t="s">
        <v>1135</v>
      </c>
      <c r="G85" s="311">
        <f t="shared" ref="G85:G86" si="11">H85+I85</f>
        <v>3040387</v>
      </c>
      <c r="H85" s="311">
        <f>'d3'!E70</f>
        <v>3040387</v>
      </c>
      <c r="I85" s="311">
        <f>'d3'!J70</f>
        <v>0</v>
      </c>
      <c r="J85" s="311">
        <f>'d3'!K70</f>
        <v>0</v>
      </c>
      <c r="K85" s="137"/>
      <c r="L85" s="137"/>
      <c r="M85" s="137"/>
    </row>
    <row r="86" spans="1:13" ht="230.25" hidden="1" thickTop="1" thickBot="1" x14ac:dyDescent="0.25">
      <c r="A86" s="126" t="s">
        <v>648</v>
      </c>
      <c r="B86" s="126" t="s">
        <v>649</v>
      </c>
      <c r="C86" s="126" t="s">
        <v>210</v>
      </c>
      <c r="D86" s="126" t="s">
        <v>1550</v>
      </c>
      <c r="E86" s="252" t="s">
        <v>1356</v>
      </c>
      <c r="F86" s="193" t="s">
        <v>1135</v>
      </c>
      <c r="G86" s="193">
        <f t="shared" si="11"/>
        <v>0</v>
      </c>
      <c r="H86" s="193">
        <f>'d3'!E72</f>
        <v>0</v>
      </c>
      <c r="I86" s="193">
        <f>'d3'!J72</f>
        <v>0</v>
      </c>
      <c r="J86" s="193">
        <f>'d3'!K72</f>
        <v>0</v>
      </c>
      <c r="K86" s="137"/>
      <c r="L86" s="137"/>
      <c r="M86" s="137"/>
    </row>
    <row r="87" spans="1:13" ht="230.25" hidden="1" thickTop="1" thickBot="1" x14ac:dyDescent="0.25">
      <c r="A87" s="126" t="s">
        <v>964</v>
      </c>
      <c r="B87" s="126" t="s">
        <v>965</v>
      </c>
      <c r="C87" s="126" t="s">
        <v>210</v>
      </c>
      <c r="D87" s="126" t="s">
        <v>1551</v>
      </c>
      <c r="E87" s="252" t="s">
        <v>1356</v>
      </c>
      <c r="F87" s="193" t="s">
        <v>1135</v>
      </c>
      <c r="G87" s="193">
        <f t="shared" ref="G87" si="12">H87+I87</f>
        <v>0</v>
      </c>
      <c r="H87" s="193">
        <f>'d3'!E73</f>
        <v>0</v>
      </c>
      <c r="I87" s="193">
        <f>'d3'!J73</f>
        <v>0</v>
      </c>
      <c r="J87" s="193">
        <f>'d3'!K73</f>
        <v>0</v>
      </c>
      <c r="K87" s="137"/>
      <c r="L87" s="137"/>
      <c r="M87" s="137"/>
    </row>
    <row r="88" spans="1:13" ht="184.5" hidden="1" thickTop="1" thickBot="1" x14ac:dyDescent="0.25">
      <c r="A88" s="126" t="s">
        <v>638</v>
      </c>
      <c r="B88" s="126" t="s">
        <v>639</v>
      </c>
      <c r="C88" s="126" t="s">
        <v>210</v>
      </c>
      <c r="D88" s="126" t="s">
        <v>640</v>
      </c>
      <c r="E88" s="252" t="s">
        <v>1356</v>
      </c>
      <c r="F88" s="193" t="s">
        <v>1135</v>
      </c>
      <c r="G88" s="193">
        <f t="shared" ref="G88:G104" si="13">H88+I88</f>
        <v>0</v>
      </c>
      <c r="H88" s="193">
        <f>'d3'!E74</f>
        <v>0</v>
      </c>
      <c r="I88" s="193">
        <f>'d3'!J74</f>
        <v>0</v>
      </c>
      <c r="J88" s="193">
        <f>'d3'!K74</f>
        <v>0</v>
      </c>
      <c r="K88" s="137"/>
      <c r="L88" s="137"/>
      <c r="M88" s="137"/>
    </row>
    <row r="89" spans="1:13" ht="230.25" hidden="1" thickTop="1" thickBot="1" x14ac:dyDescent="0.25">
      <c r="A89" s="126" t="s">
        <v>926</v>
      </c>
      <c r="B89" s="126" t="s">
        <v>927</v>
      </c>
      <c r="C89" s="126" t="s">
        <v>210</v>
      </c>
      <c r="D89" s="126" t="s">
        <v>1402</v>
      </c>
      <c r="E89" s="252" t="s">
        <v>1356</v>
      </c>
      <c r="F89" s="193" t="s">
        <v>1135</v>
      </c>
      <c r="G89" s="193">
        <f t="shared" si="13"/>
        <v>0</v>
      </c>
      <c r="H89" s="193">
        <f>'d3'!E75</f>
        <v>0</v>
      </c>
      <c r="I89" s="193">
        <f>'d3'!J75</f>
        <v>0</v>
      </c>
      <c r="J89" s="193">
        <f>'d3'!K75</f>
        <v>0</v>
      </c>
      <c r="K89" s="137"/>
      <c r="L89" s="137"/>
      <c r="M89" s="137"/>
    </row>
    <row r="90" spans="1:13" ht="230.25" hidden="1" thickTop="1" thickBot="1" x14ac:dyDescent="0.25">
      <c r="A90" s="126" t="s">
        <v>982</v>
      </c>
      <c r="B90" s="126" t="s">
        <v>984</v>
      </c>
      <c r="C90" s="126" t="s">
        <v>210</v>
      </c>
      <c r="D90" s="126" t="s">
        <v>1216</v>
      </c>
      <c r="E90" s="252" t="s">
        <v>1356</v>
      </c>
      <c r="F90" s="193" t="s">
        <v>1135</v>
      </c>
      <c r="G90" s="193">
        <f t="shared" si="13"/>
        <v>0</v>
      </c>
      <c r="H90" s="193">
        <f>'d3'!E77</f>
        <v>0</v>
      </c>
      <c r="I90" s="193">
        <f>'d3'!J77</f>
        <v>0</v>
      </c>
      <c r="J90" s="193">
        <f>'d3'!K77</f>
        <v>0</v>
      </c>
      <c r="K90" s="137"/>
      <c r="L90" s="137"/>
      <c r="M90" s="137"/>
    </row>
    <row r="91" spans="1:13" ht="263.25" hidden="1" customHeight="1" thickTop="1" thickBot="1" x14ac:dyDescent="0.25">
      <c r="A91" s="126" t="s">
        <v>1022</v>
      </c>
      <c r="B91" s="126" t="s">
        <v>1023</v>
      </c>
      <c r="C91" s="126" t="s">
        <v>210</v>
      </c>
      <c r="D91" s="126" t="s">
        <v>1510</v>
      </c>
      <c r="E91" s="252" t="s">
        <v>1356</v>
      </c>
      <c r="F91" s="193" t="s">
        <v>1135</v>
      </c>
      <c r="G91" s="193">
        <f t="shared" si="13"/>
        <v>0</v>
      </c>
      <c r="H91" s="193">
        <f>'d3'!E78</f>
        <v>0</v>
      </c>
      <c r="I91" s="193">
        <f>'d3'!J78</f>
        <v>0</v>
      </c>
      <c r="J91" s="193">
        <f>'d3'!K78</f>
        <v>0</v>
      </c>
      <c r="K91" s="137"/>
      <c r="L91" s="137"/>
      <c r="M91" s="137"/>
    </row>
    <row r="92" spans="1:13" ht="321.75" thickTop="1" thickBot="1" x14ac:dyDescent="0.25">
      <c r="A92" s="101" t="s">
        <v>1351</v>
      </c>
      <c r="B92" s="101" t="s">
        <v>1352</v>
      </c>
      <c r="C92" s="101" t="s">
        <v>210</v>
      </c>
      <c r="D92" s="101" t="s">
        <v>1479</v>
      </c>
      <c r="E92" s="311" t="s">
        <v>1348</v>
      </c>
      <c r="F92" s="311" t="s">
        <v>847</v>
      </c>
      <c r="G92" s="311">
        <f t="shared" si="13"/>
        <v>5000000</v>
      </c>
      <c r="H92" s="311">
        <f>'d3'!E80</f>
        <v>0</v>
      </c>
      <c r="I92" s="311">
        <f>'d3'!J80</f>
        <v>5000000</v>
      </c>
      <c r="J92" s="311">
        <f>'d3'!K80</f>
        <v>5000000</v>
      </c>
      <c r="K92" s="137"/>
      <c r="L92" s="137"/>
      <c r="M92" s="137"/>
    </row>
    <row r="93" spans="1:13" ht="321.75" hidden="1" thickTop="1" thickBot="1" x14ac:dyDescent="0.25">
      <c r="A93" s="126" t="s">
        <v>1353</v>
      </c>
      <c r="B93" s="126" t="s">
        <v>1354</v>
      </c>
      <c r="C93" s="126" t="s">
        <v>210</v>
      </c>
      <c r="D93" s="126" t="s">
        <v>1355</v>
      </c>
      <c r="E93" s="193" t="s">
        <v>1348</v>
      </c>
      <c r="F93" s="193" t="s">
        <v>847</v>
      </c>
      <c r="G93" s="193">
        <f t="shared" si="13"/>
        <v>0</v>
      </c>
      <c r="H93" s="193">
        <f>'d3'!E81</f>
        <v>0</v>
      </c>
      <c r="I93" s="193">
        <f>'d3'!J81</f>
        <v>0</v>
      </c>
      <c r="J93" s="193">
        <f>'d3'!K81</f>
        <v>0</v>
      </c>
      <c r="K93" s="137"/>
      <c r="L93" s="137"/>
      <c r="M93" s="137"/>
    </row>
    <row r="94" spans="1:13" ht="184.5" hidden="1" thickTop="1" thickBot="1" x14ac:dyDescent="0.25">
      <c r="A94" s="126" t="s">
        <v>1416</v>
      </c>
      <c r="B94" s="126" t="s">
        <v>1417</v>
      </c>
      <c r="C94" s="126" t="s">
        <v>210</v>
      </c>
      <c r="D94" s="126" t="s">
        <v>1421</v>
      </c>
      <c r="E94" s="252" t="s">
        <v>1356</v>
      </c>
      <c r="F94" s="193" t="s">
        <v>1135</v>
      </c>
      <c r="G94" s="193">
        <f t="shared" si="13"/>
        <v>0</v>
      </c>
      <c r="H94" s="193">
        <f>'d3'!E83</f>
        <v>0</v>
      </c>
      <c r="I94" s="193">
        <f>'d3'!J83</f>
        <v>0</v>
      </c>
      <c r="J94" s="193">
        <f>'d3'!K83</f>
        <v>0</v>
      </c>
      <c r="K94" s="137"/>
      <c r="L94" s="137"/>
      <c r="M94" s="137"/>
    </row>
    <row r="95" spans="1:13" ht="184.5" hidden="1" thickTop="1" thickBot="1" x14ac:dyDescent="0.25">
      <c r="A95" s="126" t="s">
        <v>1418</v>
      </c>
      <c r="B95" s="126" t="s">
        <v>1419</v>
      </c>
      <c r="C95" s="126" t="s">
        <v>210</v>
      </c>
      <c r="D95" s="126" t="s">
        <v>1420</v>
      </c>
      <c r="E95" s="252" t="s">
        <v>1356</v>
      </c>
      <c r="F95" s="193" t="s">
        <v>1135</v>
      </c>
      <c r="G95" s="193">
        <f t="shared" si="13"/>
        <v>0</v>
      </c>
      <c r="H95" s="193">
        <f>'d3'!E84</f>
        <v>0</v>
      </c>
      <c r="I95" s="193">
        <f>'d3'!J84</f>
        <v>0</v>
      </c>
      <c r="J95" s="193">
        <f>'d3'!K84</f>
        <v>0</v>
      </c>
      <c r="K95" s="137"/>
      <c r="L95" s="137"/>
      <c r="M95" s="137"/>
    </row>
    <row r="96" spans="1:13" ht="321.75" hidden="1" thickTop="1" thickBot="1" x14ac:dyDescent="0.25">
      <c r="A96" s="126" t="s">
        <v>1490</v>
      </c>
      <c r="B96" s="126" t="s">
        <v>1488</v>
      </c>
      <c r="C96" s="126" t="s">
        <v>210</v>
      </c>
      <c r="D96" s="126" t="s">
        <v>1491</v>
      </c>
      <c r="E96" s="252" t="s">
        <v>1356</v>
      </c>
      <c r="F96" s="193" t="s">
        <v>1135</v>
      </c>
      <c r="G96" s="193">
        <f t="shared" si="13"/>
        <v>0</v>
      </c>
      <c r="H96" s="193">
        <f>'d3'!E86</f>
        <v>0</v>
      </c>
      <c r="I96" s="193">
        <f>'d3'!J86</f>
        <v>0</v>
      </c>
      <c r="J96" s="193">
        <f>'d3'!K86</f>
        <v>0</v>
      </c>
      <c r="K96" s="137"/>
      <c r="L96" s="137"/>
      <c r="M96" s="137"/>
    </row>
    <row r="97" spans="1:13" ht="321.75" hidden="1" thickTop="1" thickBot="1" x14ac:dyDescent="0.25">
      <c r="A97" s="126" t="s">
        <v>1492</v>
      </c>
      <c r="B97" s="126" t="s">
        <v>1493</v>
      </c>
      <c r="C97" s="126" t="s">
        <v>210</v>
      </c>
      <c r="D97" s="126" t="s">
        <v>1494</v>
      </c>
      <c r="E97" s="252" t="s">
        <v>1356</v>
      </c>
      <c r="F97" s="193" t="s">
        <v>1135</v>
      </c>
      <c r="G97" s="193">
        <f>H97+I97</f>
        <v>0</v>
      </c>
      <c r="H97" s="193">
        <f>'d3'!E87</f>
        <v>0</v>
      </c>
      <c r="I97" s="193">
        <f>'d3'!J87</f>
        <v>0</v>
      </c>
      <c r="J97" s="193">
        <f>'d3'!K87</f>
        <v>0</v>
      </c>
      <c r="K97" s="137"/>
      <c r="L97" s="137"/>
      <c r="M97" s="137"/>
    </row>
    <row r="98" spans="1:13" ht="321.75" thickTop="1" thickBot="1" x14ac:dyDescent="0.25">
      <c r="A98" s="101" t="s">
        <v>1632</v>
      </c>
      <c r="B98" s="101" t="s">
        <v>1612</v>
      </c>
      <c r="C98" s="101" t="s">
        <v>210</v>
      </c>
      <c r="D98" s="101" t="s">
        <v>1613</v>
      </c>
      <c r="E98" s="311" t="s">
        <v>1348</v>
      </c>
      <c r="F98" s="311" t="s">
        <v>847</v>
      </c>
      <c r="G98" s="311">
        <f t="shared" si="13"/>
        <v>5000000</v>
      </c>
      <c r="H98" s="311">
        <v>0</v>
      </c>
      <c r="I98" s="311">
        <f>2000000+3000000</f>
        <v>5000000</v>
      </c>
      <c r="J98" s="311">
        <f>2000000+3000000</f>
        <v>5000000</v>
      </c>
      <c r="K98" s="137"/>
      <c r="L98" s="137"/>
      <c r="M98" s="137"/>
    </row>
    <row r="99" spans="1:13" ht="184.5" hidden="1" thickTop="1" thickBot="1" x14ac:dyDescent="0.25">
      <c r="A99" s="126" t="s">
        <v>1555</v>
      </c>
      <c r="B99" s="126" t="s">
        <v>1556</v>
      </c>
      <c r="C99" s="126" t="s">
        <v>210</v>
      </c>
      <c r="D99" s="126" t="s">
        <v>1559</v>
      </c>
      <c r="E99" s="252" t="s">
        <v>1356</v>
      </c>
      <c r="F99" s="193" t="s">
        <v>1135</v>
      </c>
      <c r="G99" s="193">
        <f>H99+I99</f>
        <v>0</v>
      </c>
      <c r="H99" s="193">
        <f>'d3'!E90</f>
        <v>0</v>
      </c>
      <c r="I99" s="193">
        <f>'d3'!J90</f>
        <v>0</v>
      </c>
      <c r="J99" s="193">
        <f>'d3'!K90</f>
        <v>0</v>
      </c>
      <c r="K99" s="137"/>
      <c r="L99" s="137"/>
      <c r="M99" s="137"/>
    </row>
    <row r="100" spans="1:13" ht="230.25" thickTop="1" thickBot="1" x14ac:dyDescent="0.25">
      <c r="A100" s="101" t="s">
        <v>429</v>
      </c>
      <c r="B100" s="101" t="s">
        <v>430</v>
      </c>
      <c r="C100" s="101" t="s">
        <v>185</v>
      </c>
      <c r="D100" s="101" t="s">
        <v>428</v>
      </c>
      <c r="E100" s="314" t="s">
        <v>1356</v>
      </c>
      <c r="F100" s="311" t="s">
        <v>1135</v>
      </c>
      <c r="G100" s="311">
        <f t="shared" si="13"/>
        <v>715000</v>
      </c>
      <c r="H100" s="311">
        <f>'d3'!E92</f>
        <v>715000</v>
      </c>
      <c r="I100" s="311">
        <f>'d3'!J92</f>
        <v>0</v>
      </c>
      <c r="J100" s="311">
        <f>'d3'!K92</f>
        <v>0</v>
      </c>
      <c r="K100" s="137"/>
      <c r="L100" s="137"/>
      <c r="M100" s="137"/>
    </row>
    <row r="101" spans="1:13" ht="138.75" hidden="1" thickTop="1" thickBot="1" x14ac:dyDescent="0.25">
      <c r="A101" s="126" t="s">
        <v>1198</v>
      </c>
      <c r="B101" s="126" t="s">
        <v>1165</v>
      </c>
      <c r="C101" s="126" t="s">
        <v>206</v>
      </c>
      <c r="D101" s="379" t="s">
        <v>1166</v>
      </c>
      <c r="E101" s="252" t="s">
        <v>1157</v>
      </c>
      <c r="F101" s="193" t="s">
        <v>1133</v>
      </c>
      <c r="G101" s="193">
        <f t="shared" si="13"/>
        <v>0</v>
      </c>
      <c r="H101" s="193">
        <f>'d3'!E93</f>
        <v>0</v>
      </c>
      <c r="I101" s="193">
        <f>'d3'!J93</f>
        <v>0</v>
      </c>
      <c r="J101" s="193">
        <f>'d3'!K93</f>
        <v>0</v>
      </c>
      <c r="K101" s="137"/>
      <c r="L101" s="137"/>
      <c r="M101" s="137"/>
    </row>
    <row r="102" spans="1:13" ht="138.75" thickTop="1" thickBot="1" x14ac:dyDescent="0.25">
      <c r="A102" s="101" t="s">
        <v>1061</v>
      </c>
      <c r="B102" s="101" t="s">
        <v>212</v>
      </c>
      <c r="C102" s="101" t="s">
        <v>213</v>
      </c>
      <c r="D102" s="101" t="s">
        <v>41</v>
      </c>
      <c r="E102" s="314" t="s">
        <v>1356</v>
      </c>
      <c r="F102" s="311" t="s">
        <v>1135</v>
      </c>
      <c r="G102" s="311">
        <f t="shared" si="13"/>
        <v>1000000</v>
      </c>
      <c r="H102" s="311">
        <f>'d3'!E96</f>
        <v>0</v>
      </c>
      <c r="I102" s="311">
        <f>'d3'!J96</f>
        <v>1000000</v>
      </c>
      <c r="J102" s="311">
        <f>'d3'!K96</f>
        <v>1000000</v>
      </c>
      <c r="K102" s="137"/>
      <c r="L102" s="137"/>
      <c r="M102" s="137"/>
    </row>
    <row r="103" spans="1:13" ht="138.75" hidden="1" thickTop="1" thickBot="1" x14ac:dyDescent="0.25">
      <c r="A103" s="126" t="s">
        <v>1191</v>
      </c>
      <c r="B103" s="126" t="s">
        <v>1155</v>
      </c>
      <c r="C103" s="126" t="s">
        <v>1153</v>
      </c>
      <c r="D103" s="126" t="s">
        <v>1152</v>
      </c>
      <c r="E103" s="126" t="s">
        <v>1342</v>
      </c>
      <c r="F103" s="193" t="s">
        <v>1246</v>
      </c>
      <c r="G103" s="193">
        <f t="shared" si="13"/>
        <v>0</v>
      </c>
      <c r="H103" s="193">
        <f>'d3'!E99</f>
        <v>0</v>
      </c>
      <c r="I103" s="193">
        <f>'d3'!J99</f>
        <v>0</v>
      </c>
      <c r="J103" s="193">
        <f>'d3'!K99</f>
        <v>0</v>
      </c>
      <c r="K103" s="137"/>
      <c r="L103" s="137"/>
      <c r="M103" s="137"/>
    </row>
    <row r="104" spans="1:13" ht="138.75" hidden="1" thickTop="1" thickBot="1" x14ac:dyDescent="0.25">
      <c r="A104" s="41" t="s">
        <v>1004</v>
      </c>
      <c r="B104" s="41" t="s">
        <v>362</v>
      </c>
      <c r="C104" s="41" t="s">
        <v>43</v>
      </c>
      <c r="D104" s="41" t="s">
        <v>363</v>
      </c>
      <c r="E104" s="255" t="s">
        <v>578</v>
      </c>
      <c r="F104" s="73" t="s">
        <v>409</v>
      </c>
      <c r="G104" s="73">
        <f t="shared" si="13"/>
        <v>0</v>
      </c>
      <c r="H104" s="73">
        <f>'d3'!E102</f>
        <v>0</v>
      </c>
      <c r="I104" s="73">
        <f>'d3'!J102</f>
        <v>0</v>
      </c>
      <c r="J104" s="73">
        <f>'d3'!K102</f>
        <v>0</v>
      </c>
      <c r="K104" s="137"/>
      <c r="L104" s="137"/>
      <c r="M104" s="137"/>
    </row>
    <row r="105" spans="1:13" ht="170.25" customHeight="1" thickTop="1" thickBot="1" x14ac:dyDescent="0.25">
      <c r="A105" s="600" t="s">
        <v>154</v>
      </c>
      <c r="B105" s="600"/>
      <c r="C105" s="600"/>
      <c r="D105" s="601" t="s">
        <v>18</v>
      </c>
      <c r="E105" s="600"/>
      <c r="F105" s="600"/>
      <c r="G105" s="602">
        <f>G106</f>
        <v>114454171</v>
      </c>
      <c r="H105" s="602">
        <f t="shared" ref="H105:J105" si="14">H106</f>
        <v>99913319</v>
      </c>
      <c r="I105" s="602">
        <f t="shared" si="14"/>
        <v>14540852</v>
      </c>
      <c r="J105" s="602">
        <f t="shared" si="14"/>
        <v>14540852</v>
      </c>
      <c r="K105" s="95" t="b">
        <f>H105='d3'!E104-'d3'!E106+H107+H108</f>
        <v>1</v>
      </c>
      <c r="L105" s="95" t="b">
        <f>I105='d3'!J104-'d3'!J106+'d7'!I107+I108</f>
        <v>1</v>
      </c>
      <c r="M105" s="95" t="b">
        <f>J105='d3'!K104-'d3'!K106+'d7'!J107+J108</f>
        <v>1</v>
      </c>
    </row>
    <row r="106" spans="1:13" ht="170.25" customHeight="1" thickTop="1" thickBot="1" x14ac:dyDescent="0.25">
      <c r="A106" s="603" t="s">
        <v>155</v>
      </c>
      <c r="B106" s="603"/>
      <c r="C106" s="603"/>
      <c r="D106" s="604" t="s">
        <v>36</v>
      </c>
      <c r="E106" s="605"/>
      <c r="F106" s="605"/>
      <c r="G106" s="605">
        <f>SUM(G107:G130)</f>
        <v>114454171</v>
      </c>
      <c r="H106" s="605">
        <f>SUM(H107:H130)</f>
        <v>99913319</v>
      </c>
      <c r="I106" s="605">
        <f>SUM(I107:I130)</f>
        <v>14540852</v>
      </c>
      <c r="J106" s="605">
        <f>SUM(J107:J130)</f>
        <v>14540852</v>
      </c>
      <c r="K106" s="137"/>
      <c r="L106" s="137"/>
      <c r="M106" s="137"/>
    </row>
    <row r="107" spans="1:13" ht="172.5" hidden="1" customHeight="1" thickTop="1" thickBot="1" x14ac:dyDescent="0.25">
      <c r="A107" s="126" t="s">
        <v>414</v>
      </c>
      <c r="B107" s="126" t="s">
        <v>236</v>
      </c>
      <c r="C107" s="126" t="s">
        <v>234</v>
      </c>
      <c r="D107" s="126" t="s">
        <v>235</v>
      </c>
      <c r="E107" s="252" t="s">
        <v>1244</v>
      </c>
      <c r="F107" s="193" t="s">
        <v>1245</v>
      </c>
      <c r="G107" s="266">
        <f>H107+I107</f>
        <v>0</v>
      </c>
      <c r="H107" s="266"/>
      <c r="I107" s="266">
        <v>0</v>
      </c>
      <c r="J107" s="266">
        <v>0</v>
      </c>
      <c r="K107" s="137"/>
      <c r="L107" s="137"/>
      <c r="M107" s="137"/>
    </row>
    <row r="108" spans="1:13" ht="172.5" hidden="1" customHeight="1" thickTop="1" thickBot="1" x14ac:dyDescent="0.25">
      <c r="A108" s="126" t="s">
        <v>414</v>
      </c>
      <c r="B108" s="126" t="s">
        <v>236</v>
      </c>
      <c r="C108" s="126" t="s">
        <v>234</v>
      </c>
      <c r="D108" s="126" t="s">
        <v>235</v>
      </c>
      <c r="E108" s="252" t="s">
        <v>1011</v>
      </c>
      <c r="F108" s="193" t="s">
        <v>845</v>
      </c>
      <c r="G108" s="266">
        <f>H108+I108</f>
        <v>0</v>
      </c>
      <c r="H108" s="266"/>
      <c r="I108" s="266">
        <v>0</v>
      </c>
      <c r="J108" s="266">
        <v>0</v>
      </c>
      <c r="K108" s="137"/>
      <c r="L108" s="137"/>
      <c r="M108" s="137"/>
    </row>
    <row r="109" spans="1:13" ht="321.75" hidden="1" thickTop="1" thickBot="1" x14ac:dyDescent="0.25">
      <c r="A109" s="126" t="s">
        <v>1222</v>
      </c>
      <c r="B109" s="126" t="s">
        <v>361</v>
      </c>
      <c r="C109" s="126" t="s">
        <v>619</v>
      </c>
      <c r="D109" s="126" t="s">
        <v>620</v>
      </c>
      <c r="E109" s="252" t="s">
        <v>1256</v>
      </c>
      <c r="F109" s="193" t="s">
        <v>1257</v>
      </c>
      <c r="G109" s="266">
        <f>H109+I109</f>
        <v>0</v>
      </c>
      <c r="H109" s="266">
        <f>'d3'!E107</f>
        <v>0</v>
      </c>
      <c r="I109" s="266">
        <f>'d3'!J107</f>
        <v>0</v>
      </c>
      <c r="J109" s="266">
        <f>'d3'!K107</f>
        <v>0</v>
      </c>
      <c r="K109" s="137"/>
      <c r="L109" s="137"/>
      <c r="M109" s="137"/>
    </row>
    <row r="110" spans="1:13" ht="276" thickTop="1" thickBot="1" x14ac:dyDescent="0.25">
      <c r="A110" s="101" t="s">
        <v>214</v>
      </c>
      <c r="B110" s="101" t="s">
        <v>211</v>
      </c>
      <c r="C110" s="101" t="s">
        <v>215</v>
      </c>
      <c r="D110" s="101" t="s">
        <v>19</v>
      </c>
      <c r="E110" s="311" t="s">
        <v>1633</v>
      </c>
      <c r="F110" s="311" t="s">
        <v>1475</v>
      </c>
      <c r="G110" s="318">
        <f>H110+I110</f>
        <v>36756538</v>
      </c>
      <c r="H110" s="318">
        <f>'d3'!E109-H111</f>
        <v>28342986</v>
      </c>
      <c r="I110" s="318">
        <f>'d3'!J109-I111</f>
        <v>8413552</v>
      </c>
      <c r="J110" s="318">
        <f>'d3'!K109-J111</f>
        <v>8413552</v>
      </c>
      <c r="K110" s="137"/>
      <c r="L110" s="137"/>
      <c r="M110" s="137"/>
    </row>
    <row r="111" spans="1:13" ht="184.5" hidden="1" thickTop="1" thickBot="1" x14ac:dyDescent="0.25">
      <c r="A111" s="126" t="s">
        <v>214</v>
      </c>
      <c r="B111" s="126" t="s">
        <v>211</v>
      </c>
      <c r="C111" s="126" t="s">
        <v>215</v>
      </c>
      <c r="D111" s="126" t="s">
        <v>19</v>
      </c>
      <c r="E111" s="252" t="s">
        <v>1528</v>
      </c>
      <c r="F111" s="193" t="s">
        <v>1529</v>
      </c>
      <c r="G111" s="193">
        <f t="shared" ref="G111" si="15">H111+I111</f>
        <v>0</v>
      </c>
      <c r="H111" s="193"/>
      <c r="I111" s="193"/>
      <c r="J111" s="193"/>
      <c r="K111" s="137"/>
      <c r="L111" s="137"/>
      <c r="M111" s="137"/>
    </row>
    <row r="112" spans="1:13" ht="276" thickTop="1" thickBot="1" x14ac:dyDescent="0.25">
      <c r="A112" s="101" t="s">
        <v>503</v>
      </c>
      <c r="B112" s="101" t="s">
        <v>506</v>
      </c>
      <c r="C112" s="101" t="s">
        <v>505</v>
      </c>
      <c r="D112" s="101" t="s">
        <v>504</v>
      </c>
      <c r="E112" s="311" t="s">
        <v>1633</v>
      </c>
      <c r="F112" s="311" t="s">
        <v>1475</v>
      </c>
      <c r="G112" s="318">
        <f>H112+I112</f>
        <v>8260600</v>
      </c>
      <c r="H112" s="318">
        <f>'d3'!E110</f>
        <v>8260600</v>
      </c>
      <c r="I112" s="318">
        <f>'d3'!J110</f>
        <v>0</v>
      </c>
      <c r="J112" s="318">
        <f>'d3'!K110</f>
        <v>0</v>
      </c>
      <c r="K112" s="137"/>
      <c r="L112" s="137"/>
      <c r="M112" s="137"/>
    </row>
    <row r="113" spans="1:13" ht="276" thickTop="1" thickBot="1" x14ac:dyDescent="0.25">
      <c r="A113" s="101" t="s">
        <v>216</v>
      </c>
      <c r="B113" s="101" t="s">
        <v>217</v>
      </c>
      <c r="C113" s="101" t="s">
        <v>218</v>
      </c>
      <c r="D113" s="101" t="s">
        <v>219</v>
      </c>
      <c r="E113" s="311" t="s">
        <v>1633</v>
      </c>
      <c r="F113" s="311" t="s">
        <v>1475</v>
      </c>
      <c r="G113" s="318">
        <f t="shared" ref="G113:G120" si="16">H113+I113</f>
        <v>14617200</v>
      </c>
      <c r="H113" s="318">
        <f>'d3'!E111</f>
        <v>8489900</v>
      </c>
      <c r="I113" s="318">
        <f>'d3'!J111</f>
        <v>6127300</v>
      </c>
      <c r="J113" s="318">
        <f>'d3'!K111</f>
        <v>6127300</v>
      </c>
      <c r="K113" s="137"/>
      <c r="L113" s="137"/>
      <c r="M113" s="137"/>
    </row>
    <row r="114" spans="1:13" ht="276" thickTop="1" thickBot="1" x14ac:dyDescent="0.25">
      <c r="A114" s="101" t="s">
        <v>220</v>
      </c>
      <c r="B114" s="101" t="s">
        <v>221</v>
      </c>
      <c r="C114" s="101" t="s">
        <v>222</v>
      </c>
      <c r="D114" s="101" t="s">
        <v>344</v>
      </c>
      <c r="E114" s="311" t="s">
        <v>1633</v>
      </c>
      <c r="F114" s="311" t="s">
        <v>1475</v>
      </c>
      <c r="G114" s="318">
        <f t="shared" si="16"/>
        <v>24013785</v>
      </c>
      <c r="H114" s="318">
        <f>'d3'!E112-H115</f>
        <v>24013785</v>
      </c>
      <c r="I114" s="318">
        <f>'d3'!J112-I115</f>
        <v>0</v>
      </c>
      <c r="J114" s="318">
        <f>'d3'!K112-J115</f>
        <v>0</v>
      </c>
      <c r="K114" s="137"/>
      <c r="L114" s="137"/>
      <c r="M114" s="137"/>
    </row>
    <row r="115" spans="1:13" ht="184.5" hidden="1" thickTop="1" thickBot="1" x14ac:dyDescent="0.25">
      <c r="A115" s="126" t="s">
        <v>220</v>
      </c>
      <c r="B115" s="126" t="s">
        <v>221</v>
      </c>
      <c r="C115" s="126" t="s">
        <v>222</v>
      </c>
      <c r="D115" s="126" t="s">
        <v>344</v>
      </c>
      <c r="E115" s="252" t="s">
        <v>1528</v>
      </c>
      <c r="F115" s="193" t="s">
        <v>1529</v>
      </c>
      <c r="G115" s="193">
        <f t="shared" si="16"/>
        <v>0</v>
      </c>
      <c r="H115" s="193"/>
      <c r="I115" s="193"/>
      <c r="J115" s="193"/>
      <c r="K115" s="137"/>
      <c r="L115" s="137"/>
      <c r="M115" s="137"/>
    </row>
    <row r="116" spans="1:13" ht="300.75" hidden="1" thickTop="1" thickBot="1" x14ac:dyDescent="0.25">
      <c r="A116" s="126" t="s">
        <v>223</v>
      </c>
      <c r="B116" s="126" t="s">
        <v>224</v>
      </c>
      <c r="C116" s="126" t="s">
        <v>225</v>
      </c>
      <c r="D116" s="126" t="s">
        <v>226</v>
      </c>
      <c r="E116" s="265" t="s">
        <v>1167</v>
      </c>
      <c r="F116" s="193" t="s">
        <v>858</v>
      </c>
      <c r="G116" s="266"/>
      <c r="H116" s="266"/>
      <c r="I116" s="266"/>
      <c r="J116" s="266"/>
      <c r="K116" s="137"/>
      <c r="L116" s="137"/>
      <c r="M116" s="137"/>
    </row>
    <row r="117" spans="1:13" ht="184.5" hidden="1" thickTop="1" thickBot="1" x14ac:dyDescent="0.25">
      <c r="A117" s="126" t="s">
        <v>223</v>
      </c>
      <c r="B117" s="126" t="s">
        <v>224</v>
      </c>
      <c r="C117" s="126" t="s">
        <v>225</v>
      </c>
      <c r="D117" s="126" t="s">
        <v>226</v>
      </c>
      <c r="E117" s="252" t="s">
        <v>1192</v>
      </c>
      <c r="F117" s="193" t="s">
        <v>856</v>
      </c>
      <c r="G117" s="193"/>
      <c r="H117" s="193"/>
      <c r="I117" s="193"/>
      <c r="J117" s="193"/>
      <c r="K117" s="137"/>
      <c r="L117" s="137"/>
      <c r="M117" s="137"/>
    </row>
    <row r="118" spans="1:13" ht="276" thickTop="1" thickBot="1" x14ac:dyDescent="0.25">
      <c r="A118" s="101" t="s">
        <v>227</v>
      </c>
      <c r="B118" s="101" t="s">
        <v>228</v>
      </c>
      <c r="C118" s="101" t="s">
        <v>345</v>
      </c>
      <c r="D118" s="101" t="s">
        <v>229</v>
      </c>
      <c r="E118" s="311" t="s">
        <v>1633</v>
      </c>
      <c r="F118" s="311" t="s">
        <v>1475</v>
      </c>
      <c r="G118" s="318">
        <f t="shared" si="16"/>
        <v>20992313</v>
      </c>
      <c r="H118" s="318">
        <f>'d3'!E115</f>
        <v>20992313</v>
      </c>
      <c r="I118" s="318">
        <f>'d3'!J115</f>
        <v>0</v>
      </c>
      <c r="J118" s="318">
        <f>'d3'!K115</f>
        <v>0</v>
      </c>
      <c r="K118" s="137"/>
      <c r="L118" s="137"/>
      <c r="M118" s="137"/>
    </row>
    <row r="119" spans="1:13" ht="258" hidden="1" thickTop="1" thickBot="1" x14ac:dyDescent="0.25">
      <c r="A119" s="41" t="s">
        <v>473</v>
      </c>
      <c r="B119" s="41" t="s">
        <v>474</v>
      </c>
      <c r="C119" s="41" t="s">
        <v>230</v>
      </c>
      <c r="D119" s="41" t="s">
        <v>475</v>
      </c>
      <c r="E119" s="267" t="s">
        <v>857</v>
      </c>
      <c r="F119" s="73" t="s">
        <v>858</v>
      </c>
      <c r="G119" s="268">
        <f t="shared" si="16"/>
        <v>0</v>
      </c>
      <c r="H119" s="268">
        <f>'d3'!E117</f>
        <v>0</v>
      </c>
      <c r="I119" s="268">
        <f>'d3'!J117</f>
        <v>0</v>
      </c>
      <c r="J119" s="268">
        <f>'d3'!K117</f>
        <v>0</v>
      </c>
      <c r="K119" s="137"/>
      <c r="L119" s="137"/>
      <c r="M119" s="137"/>
    </row>
    <row r="120" spans="1:13" s="5" customFormat="1" ht="409.6" customHeight="1" thickTop="1" thickBot="1" x14ac:dyDescent="0.25">
      <c r="A120" s="101" t="s">
        <v>320</v>
      </c>
      <c r="B120" s="101" t="s">
        <v>322</v>
      </c>
      <c r="C120" s="101" t="s">
        <v>230</v>
      </c>
      <c r="D120" s="615" t="s">
        <v>318</v>
      </c>
      <c r="E120" s="311" t="s">
        <v>1633</v>
      </c>
      <c r="F120" s="311" t="s">
        <v>1475</v>
      </c>
      <c r="G120" s="318">
        <f t="shared" si="16"/>
        <v>4424235</v>
      </c>
      <c r="H120" s="318">
        <f>'d3'!E119</f>
        <v>4424235</v>
      </c>
      <c r="I120" s="318">
        <f>'d3'!J119</f>
        <v>0</v>
      </c>
      <c r="J120" s="318">
        <f>'d3'!K119</f>
        <v>0</v>
      </c>
      <c r="K120" s="136"/>
      <c r="L120" s="136"/>
      <c r="M120" s="136"/>
    </row>
    <row r="121" spans="1:13" s="5" customFormat="1" ht="276" thickTop="1" thickBot="1" x14ac:dyDescent="0.25">
      <c r="A121" s="101" t="s">
        <v>321</v>
      </c>
      <c r="B121" s="101" t="s">
        <v>323</v>
      </c>
      <c r="C121" s="101" t="s">
        <v>230</v>
      </c>
      <c r="D121" s="615" t="s">
        <v>319</v>
      </c>
      <c r="E121" s="311" t="s">
        <v>1633</v>
      </c>
      <c r="F121" s="311" t="s">
        <v>1475</v>
      </c>
      <c r="G121" s="318">
        <f>H121+I121</f>
        <v>5084500</v>
      </c>
      <c r="H121" s="318">
        <f>184500+1000000+3900000</f>
        <v>5084500</v>
      </c>
      <c r="I121" s="318">
        <v>0</v>
      </c>
      <c r="J121" s="318">
        <v>0</v>
      </c>
      <c r="K121" s="480" t="b">
        <f>H121+H122='d3'!E120</f>
        <v>1</v>
      </c>
      <c r="L121" s="481" t="b">
        <f>I121+I122='d3'!J120</f>
        <v>1</v>
      </c>
      <c r="M121" s="481" t="b">
        <f>J121+J122='d3'!K120</f>
        <v>1</v>
      </c>
    </row>
    <row r="122" spans="1:13" s="5" customFormat="1" ht="138.75" thickTop="1" thickBot="1" x14ac:dyDescent="0.25">
      <c r="A122" s="101" t="s">
        <v>321</v>
      </c>
      <c r="B122" s="101" t="s">
        <v>323</v>
      </c>
      <c r="C122" s="101" t="s">
        <v>230</v>
      </c>
      <c r="D122" s="615" t="s">
        <v>319</v>
      </c>
      <c r="E122" s="314" t="s">
        <v>1609</v>
      </c>
      <c r="F122" s="311"/>
      <c r="G122" s="318">
        <f>H122+I122</f>
        <v>205000</v>
      </c>
      <c r="H122" s="318">
        <v>205000</v>
      </c>
      <c r="I122" s="318">
        <v>0</v>
      </c>
      <c r="J122" s="318">
        <v>0</v>
      </c>
      <c r="K122" s="136"/>
      <c r="L122" s="136"/>
      <c r="M122" s="136"/>
    </row>
    <row r="123" spans="1:13" s="5" customFormat="1" ht="276" hidden="1" thickTop="1" thickBot="1" x14ac:dyDescent="0.25">
      <c r="A123" s="126" t="s">
        <v>1515</v>
      </c>
      <c r="B123" s="126" t="s">
        <v>1516</v>
      </c>
      <c r="C123" s="126" t="s">
        <v>230</v>
      </c>
      <c r="D123" s="379" t="s">
        <v>1514</v>
      </c>
      <c r="E123" s="311" t="s">
        <v>1633</v>
      </c>
      <c r="F123" s="193" t="s">
        <v>1475</v>
      </c>
      <c r="G123" s="266">
        <f>H123+I123</f>
        <v>0</v>
      </c>
      <c r="H123" s="266">
        <f>'d3'!E122</f>
        <v>0</v>
      </c>
      <c r="I123" s="266">
        <f>'d3'!J122</f>
        <v>0</v>
      </c>
      <c r="J123" s="266">
        <f>'d3'!K122</f>
        <v>0</v>
      </c>
      <c r="K123" s="136"/>
      <c r="L123" s="136"/>
      <c r="M123" s="136"/>
    </row>
    <row r="124" spans="1:13" s="5" customFormat="1" ht="276" thickTop="1" thickBot="1" x14ac:dyDescent="0.25">
      <c r="A124" s="101" t="s">
        <v>1164</v>
      </c>
      <c r="B124" s="101" t="s">
        <v>1165</v>
      </c>
      <c r="C124" s="101" t="s">
        <v>206</v>
      </c>
      <c r="D124" s="615" t="s">
        <v>1166</v>
      </c>
      <c r="E124" s="311" t="s">
        <v>1633</v>
      </c>
      <c r="F124" s="311" t="s">
        <v>1475</v>
      </c>
      <c r="G124" s="318">
        <f t="shared" ref="G124:G127" si="17">H124+I124</f>
        <v>100000</v>
      </c>
      <c r="H124" s="318">
        <f>'d3'!E124</f>
        <v>100000</v>
      </c>
      <c r="I124" s="318">
        <f>'d3'!J124</f>
        <v>0</v>
      </c>
      <c r="J124" s="318">
        <f>'d3'!K124</f>
        <v>0</v>
      </c>
      <c r="K124" s="136"/>
      <c r="L124" s="136"/>
      <c r="M124" s="136"/>
    </row>
    <row r="125" spans="1:13" s="5" customFormat="1" ht="258" hidden="1" thickTop="1" thickBot="1" x14ac:dyDescent="0.25">
      <c r="A125" s="41" t="s">
        <v>1027</v>
      </c>
      <c r="B125" s="41" t="s">
        <v>1028</v>
      </c>
      <c r="C125" s="41" t="s">
        <v>170</v>
      </c>
      <c r="D125" s="41" t="s">
        <v>1029</v>
      </c>
      <c r="E125" s="265" t="s">
        <v>1460</v>
      </c>
      <c r="F125" s="193"/>
      <c r="G125" s="73">
        <f t="shared" si="17"/>
        <v>0</v>
      </c>
      <c r="H125" s="73">
        <f>'d3'!E126</f>
        <v>0</v>
      </c>
      <c r="I125" s="73">
        <f>'d3'!J126</f>
        <v>0</v>
      </c>
      <c r="J125" s="73">
        <f>'d3'!K126</f>
        <v>0</v>
      </c>
      <c r="K125" s="136"/>
      <c r="L125" s="136"/>
      <c r="M125" s="136"/>
    </row>
    <row r="126" spans="1:13" s="5" customFormat="1" ht="276" hidden="1" thickTop="1" thickBot="1" x14ac:dyDescent="0.25">
      <c r="A126" s="126" t="s">
        <v>1220</v>
      </c>
      <c r="B126" s="126" t="s">
        <v>212</v>
      </c>
      <c r="C126" s="126" t="s">
        <v>213</v>
      </c>
      <c r="D126" s="126" t="s">
        <v>41</v>
      </c>
      <c r="E126" s="193" t="s">
        <v>1474</v>
      </c>
      <c r="F126" s="193" t="s">
        <v>1475</v>
      </c>
      <c r="G126" s="193">
        <f t="shared" si="17"/>
        <v>0</v>
      </c>
      <c r="H126" s="193">
        <f>'d3'!E128</f>
        <v>0</v>
      </c>
      <c r="I126" s="193">
        <f>'d3'!J128</f>
        <v>0</v>
      </c>
      <c r="J126" s="193">
        <f>'d3'!K128</f>
        <v>0</v>
      </c>
      <c r="K126" s="136"/>
      <c r="L126" s="136"/>
      <c r="M126" s="136"/>
    </row>
    <row r="127" spans="1:13" s="5" customFormat="1" ht="138.75" hidden="1" thickTop="1" thickBot="1" x14ac:dyDescent="0.25">
      <c r="A127" s="41" t="s">
        <v>433</v>
      </c>
      <c r="B127" s="41" t="s">
        <v>197</v>
      </c>
      <c r="C127" s="41" t="s">
        <v>170</v>
      </c>
      <c r="D127" s="41" t="s">
        <v>34</v>
      </c>
      <c r="E127" s="73" t="s">
        <v>434</v>
      </c>
      <c r="F127" s="73" t="s">
        <v>408</v>
      </c>
      <c r="G127" s="864">
        <f t="shared" si="17"/>
        <v>0</v>
      </c>
      <c r="H127" s="864">
        <v>0</v>
      </c>
      <c r="I127" s="864">
        <f>'d3'!J129-I129</f>
        <v>0</v>
      </c>
      <c r="J127" s="864">
        <f>'d3'!K129-J129</f>
        <v>0</v>
      </c>
      <c r="K127" s="136"/>
      <c r="L127" s="136"/>
      <c r="M127" s="136"/>
    </row>
    <row r="128" spans="1:13" s="5" customFormat="1" ht="258" hidden="1" thickTop="1" thickBot="1" x14ac:dyDescent="0.25">
      <c r="A128" s="41" t="s">
        <v>433</v>
      </c>
      <c r="B128" s="41" t="s">
        <v>197</v>
      </c>
      <c r="C128" s="41" t="s">
        <v>170</v>
      </c>
      <c r="D128" s="41" t="s">
        <v>34</v>
      </c>
      <c r="E128" s="267" t="s">
        <v>857</v>
      </c>
      <c r="F128" s="73" t="s">
        <v>858</v>
      </c>
      <c r="G128" s="865"/>
      <c r="H128" s="865"/>
      <c r="I128" s="865"/>
      <c r="J128" s="865"/>
      <c r="K128" s="136"/>
      <c r="L128" s="136"/>
      <c r="M128" s="136"/>
    </row>
    <row r="129" spans="1:13" s="5" customFormat="1" ht="184.5" hidden="1" thickTop="1" thickBot="1" x14ac:dyDescent="0.25">
      <c r="A129" s="41" t="s">
        <v>433</v>
      </c>
      <c r="B129" s="41" t="s">
        <v>197</v>
      </c>
      <c r="C129" s="41" t="s">
        <v>170</v>
      </c>
      <c r="D129" s="41" t="s">
        <v>34</v>
      </c>
      <c r="E129" s="255" t="s">
        <v>447</v>
      </c>
      <c r="F129" s="260" t="s">
        <v>448</v>
      </c>
      <c r="G129" s="73">
        <f>H129+I129</f>
        <v>0</v>
      </c>
      <c r="H129" s="73">
        <v>0</v>
      </c>
      <c r="I129" s="73"/>
      <c r="J129" s="73"/>
      <c r="K129" s="136"/>
      <c r="L129" s="136"/>
      <c r="M129" s="136"/>
    </row>
    <row r="130" spans="1:13" s="5" customFormat="1" ht="138.75" hidden="1" thickTop="1" thickBot="1" x14ac:dyDescent="0.25">
      <c r="A130" s="41" t="s">
        <v>507</v>
      </c>
      <c r="B130" s="41" t="s">
        <v>362</v>
      </c>
      <c r="C130" s="41" t="s">
        <v>43</v>
      </c>
      <c r="D130" s="41" t="s">
        <v>363</v>
      </c>
      <c r="E130" s="73" t="s">
        <v>434</v>
      </c>
      <c r="F130" s="73" t="s">
        <v>408</v>
      </c>
      <c r="G130" s="73">
        <f>H130+I130</f>
        <v>0</v>
      </c>
      <c r="H130" s="73">
        <f>'d3'!F130</f>
        <v>0</v>
      </c>
      <c r="I130" s="73">
        <f>'d3'!J130</f>
        <v>0</v>
      </c>
      <c r="J130" s="73">
        <f>'d3'!K130</f>
        <v>0</v>
      </c>
      <c r="K130" s="136"/>
      <c r="L130" s="136"/>
      <c r="M130" s="136"/>
    </row>
    <row r="131" spans="1:13" ht="170.25" customHeight="1" thickTop="1" thickBot="1" x14ac:dyDescent="0.25">
      <c r="A131" s="600" t="s">
        <v>156</v>
      </c>
      <c r="B131" s="600"/>
      <c r="C131" s="600"/>
      <c r="D131" s="601" t="s">
        <v>37</v>
      </c>
      <c r="E131" s="600"/>
      <c r="F131" s="600"/>
      <c r="G131" s="602">
        <f>G132</f>
        <v>379415694</v>
      </c>
      <c r="H131" s="602">
        <f t="shared" ref="H131:J131" si="18">H132</f>
        <v>292158363</v>
      </c>
      <c r="I131" s="602">
        <f t="shared" si="18"/>
        <v>87257331</v>
      </c>
      <c r="J131" s="602">
        <f t="shared" si="18"/>
        <v>77206781</v>
      </c>
      <c r="K131" s="95" t="b">
        <f>H131='d3'!E132-'d3'!E134+H133+H134+H135</f>
        <v>1</v>
      </c>
      <c r="L131" s="436" t="b">
        <f>I131='d3'!J132-'d3'!J134-'d3'!J160+'d7'!I133+I134+I135</f>
        <v>1</v>
      </c>
      <c r="M131" s="436" t="b">
        <f>J131='d3'!K132-'d3'!K134-'d3'!K160+'d7'!J133+J134+J135</f>
        <v>1</v>
      </c>
    </row>
    <row r="132" spans="1:13" ht="170.25" customHeight="1" thickTop="1" thickBot="1" x14ac:dyDescent="0.25">
      <c r="A132" s="603" t="s">
        <v>157</v>
      </c>
      <c r="B132" s="603"/>
      <c r="C132" s="603"/>
      <c r="D132" s="604" t="s">
        <v>38</v>
      </c>
      <c r="E132" s="605"/>
      <c r="F132" s="605"/>
      <c r="G132" s="605">
        <f>SUM(G133:G175)</f>
        <v>379415694</v>
      </c>
      <c r="H132" s="605">
        <f>SUM(H133:H175)</f>
        <v>292158363</v>
      </c>
      <c r="I132" s="605">
        <f>SUM(I133:I175)</f>
        <v>87257331</v>
      </c>
      <c r="J132" s="605">
        <f>SUM(J133:J175)</f>
        <v>77206781</v>
      </c>
      <c r="K132" s="137"/>
      <c r="L132" s="47"/>
      <c r="M132" s="137"/>
    </row>
    <row r="133" spans="1:13" ht="138.75" hidden="1" thickTop="1" thickBot="1" x14ac:dyDescent="0.25">
      <c r="A133" s="126" t="s">
        <v>413</v>
      </c>
      <c r="B133" s="126" t="s">
        <v>236</v>
      </c>
      <c r="C133" s="126" t="s">
        <v>234</v>
      </c>
      <c r="D133" s="126" t="s">
        <v>235</v>
      </c>
      <c r="E133" s="252" t="s">
        <v>1011</v>
      </c>
      <c r="F133" s="193" t="s">
        <v>845</v>
      </c>
      <c r="G133" s="193">
        <f t="shared" ref="G133:G173" si="19">H133+I133</f>
        <v>0</v>
      </c>
      <c r="H133" s="193">
        <v>0</v>
      </c>
      <c r="I133" s="193">
        <v>0</v>
      </c>
      <c r="J133" s="193">
        <v>0</v>
      </c>
      <c r="K133" s="137"/>
      <c r="L133" s="47"/>
      <c r="M133" s="137"/>
    </row>
    <row r="134" spans="1:13" ht="138.75" hidden="1" thickTop="1" thickBot="1" x14ac:dyDescent="0.25">
      <c r="A134" s="126" t="s">
        <v>413</v>
      </c>
      <c r="B134" s="126" t="s">
        <v>236</v>
      </c>
      <c r="C134" s="126" t="s">
        <v>234</v>
      </c>
      <c r="D134" s="126" t="s">
        <v>235</v>
      </c>
      <c r="E134" s="252" t="s">
        <v>1244</v>
      </c>
      <c r="F134" s="193" t="s">
        <v>1245</v>
      </c>
      <c r="G134" s="193">
        <f t="shared" si="19"/>
        <v>0</v>
      </c>
      <c r="H134" s="193">
        <v>0</v>
      </c>
      <c r="I134" s="193">
        <v>0</v>
      </c>
      <c r="J134" s="193">
        <v>0</v>
      </c>
      <c r="K134" s="137"/>
      <c r="L134" s="47"/>
      <c r="M134" s="137"/>
    </row>
    <row r="135" spans="1:13" ht="138.75" hidden="1" thickTop="1" thickBot="1" x14ac:dyDescent="0.25">
      <c r="A135" s="126" t="s">
        <v>413</v>
      </c>
      <c r="B135" s="126" t="s">
        <v>236</v>
      </c>
      <c r="C135" s="126" t="s">
        <v>234</v>
      </c>
      <c r="D135" s="126" t="s">
        <v>235</v>
      </c>
      <c r="E135" s="252" t="s">
        <v>1157</v>
      </c>
      <c r="F135" s="193" t="s">
        <v>1133</v>
      </c>
      <c r="G135" s="193">
        <f t="shared" ref="G135" si="20">H135+I135</f>
        <v>0</v>
      </c>
      <c r="H135" s="193">
        <v>0</v>
      </c>
      <c r="I135" s="193"/>
      <c r="J135" s="193"/>
      <c r="K135" s="137"/>
      <c r="L135" s="47"/>
      <c r="M135" s="137"/>
    </row>
    <row r="136" spans="1:13" ht="321.75" hidden="1" thickTop="1" thickBot="1" x14ac:dyDescent="0.25">
      <c r="A136" s="126" t="s">
        <v>622</v>
      </c>
      <c r="B136" s="126" t="s">
        <v>361</v>
      </c>
      <c r="C136" s="126" t="s">
        <v>619</v>
      </c>
      <c r="D136" s="126" t="s">
        <v>620</v>
      </c>
      <c r="E136" s="252" t="s">
        <v>1256</v>
      </c>
      <c r="F136" s="193" t="s">
        <v>1257</v>
      </c>
      <c r="G136" s="193">
        <f t="shared" si="19"/>
        <v>0</v>
      </c>
      <c r="H136" s="193">
        <f>'d3'!E135</f>
        <v>0</v>
      </c>
      <c r="I136" s="193">
        <f>'d3'!J135</f>
        <v>0</v>
      </c>
      <c r="J136" s="193">
        <f>'d3'!K135</f>
        <v>0</v>
      </c>
      <c r="K136" s="137"/>
      <c r="L136" s="47"/>
      <c r="M136" s="137"/>
    </row>
    <row r="137" spans="1:13" ht="138.75" thickTop="1" thickBot="1" x14ac:dyDescent="0.25">
      <c r="A137" s="101" t="s">
        <v>906</v>
      </c>
      <c r="B137" s="101" t="s">
        <v>43</v>
      </c>
      <c r="C137" s="101" t="s">
        <v>42</v>
      </c>
      <c r="D137" s="101" t="s">
        <v>247</v>
      </c>
      <c r="E137" s="314" t="s">
        <v>941</v>
      </c>
      <c r="F137" s="311" t="s">
        <v>937</v>
      </c>
      <c r="G137" s="311">
        <f t="shared" si="19"/>
        <v>30000</v>
      </c>
      <c r="H137" s="311">
        <f>'d3'!E136</f>
        <v>30000</v>
      </c>
      <c r="I137" s="311">
        <f>'d3'!J136</f>
        <v>0</v>
      </c>
      <c r="J137" s="311">
        <f>'d3'!K136</f>
        <v>0</v>
      </c>
      <c r="K137" s="137"/>
      <c r="L137" s="47"/>
      <c r="M137" s="137"/>
    </row>
    <row r="138" spans="1:13" s="5" customFormat="1" ht="138.75" thickTop="1" thickBot="1" x14ac:dyDescent="0.25">
      <c r="A138" s="101" t="s">
        <v>268</v>
      </c>
      <c r="B138" s="101" t="s">
        <v>269</v>
      </c>
      <c r="C138" s="101" t="s">
        <v>205</v>
      </c>
      <c r="D138" s="320" t="s">
        <v>270</v>
      </c>
      <c r="E138" s="314" t="s">
        <v>1157</v>
      </c>
      <c r="F138" s="311" t="s">
        <v>1133</v>
      </c>
      <c r="G138" s="311">
        <f t="shared" si="19"/>
        <v>908000</v>
      </c>
      <c r="H138" s="311">
        <f>'d3'!E139</f>
        <v>858000</v>
      </c>
      <c r="I138" s="311">
        <f>'d3'!J139</f>
        <v>50000</v>
      </c>
      <c r="J138" s="311">
        <f>'d3'!K139</f>
        <v>50000</v>
      </c>
      <c r="K138" s="136"/>
      <c r="L138" s="136"/>
      <c r="M138" s="136"/>
    </row>
    <row r="139" spans="1:13" s="5" customFormat="1" ht="138.75" thickTop="1" thickBot="1" x14ac:dyDescent="0.25">
      <c r="A139" s="101" t="s">
        <v>271</v>
      </c>
      <c r="B139" s="101" t="s">
        <v>272</v>
      </c>
      <c r="C139" s="101" t="s">
        <v>206</v>
      </c>
      <c r="D139" s="101" t="s">
        <v>6</v>
      </c>
      <c r="E139" s="314" t="s">
        <v>1157</v>
      </c>
      <c r="F139" s="311" t="s">
        <v>1133</v>
      </c>
      <c r="G139" s="311">
        <f t="shared" si="19"/>
        <v>650000</v>
      </c>
      <c r="H139" s="311">
        <f>'d3'!E140</f>
        <v>650000</v>
      </c>
      <c r="I139" s="311">
        <f>'d3'!J140</f>
        <v>0</v>
      </c>
      <c r="J139" s="311">
        <f>'d3'!K140</f>
        <v>0</v>
      </c>
      <c r="K139" s="136"/>
      <c r="L139" s="136"/>
      <c r="M139" s="136"/>
    </row>
    <row r="140" spans="1:13" s="5" customFormat="1" ht="138.75" thickTop="1" thickBot="1" x14ac:dyDescent="0.25">
      <c r="A140" s="101" t="s">
        <v>274</v>
      </c>
      <c r="B140" s="101" t="s">
        <v>275</v>
      </c>
      <c r="C140" s="101" t="s">
        <v>206</v>
      </c>
      <c r="D140" s="101" t="s">
        <v>7</v>
      </c>
      <c r="E140" s="314" t="s">
        <v>1157</v>
      </c>
      <c r="F140" s="311" t="s">
        <v>1133</v>
      </c>
      <c r="G140" s="311">
        <f t="shared" si="19"/>
        <v>40000000</v>
      </c>
      <c r="H140" s="311">
        <f>'d3'!E141</f>
        <v>40000000</v>
      </c>
      <c r="I140" s="311">
        <f>'d3'!J141</f>
        <v>0</v>
      </c>
      <c r="J140" s="311">
        <f>'d3'!K141</f>
        <v>0</v>
      </c>
      <c r="K140" s="136"/>
      <c r="L140" s="136"/>
      <c r="M140" s="136"/>
    </row>
    <row r="141" spans="1:13" s="5" customFormat="1" ht="138.75" thickTop="1" thickBot="1" x14ac:dyDescent="0.25">
      <c r="A141" s="101" t="s">
        <v>276</v>
      </c>
      <c r="B141" s="101" t="s">
        <v>273</v>
      </c>
      <c r="C141" s="101" t="s">
        <v>206</v>
      </c>
      <c r="D141" s="101" t="s">
        <v>8</v>
      </c>
      <c r="E141" s="314" t="s">
        <v>1157</v>
      </c>
      <c r="F141" s="311" t="s">
        <v>1133</v>
      </c>
      <c r="G141" s="311">
        <f t="shared" si="19"/>
        <v>800000</v>
      </c>
      <c r="H141" s="311">
        <f>'d3'!E142</f>
        <v>800000</v>
      </c>
      <c r="I141" s="311">
        <f>'d3'!J142</f>
        <v>0</v>
      </c>
      <c r="J141" s="311">
        <f>'d3'!K142</f>
        <v>0</v>
      </c>
      <c r="K141" s="136"/>
      <c r="L141" s="136"/>
      <c r="M141" s="136"/>
    </row>
    <row r="142" spans="1:13" s="5" customFormat="1" ht="138.75" thickTop="1" thickBot="1" x14ac:dyDescent="0.25">
      <c r="A142" s="101" t="s">
        <v>277</v>
      </c>
      <c r="B142" s="101" t="s">
        <v>278</v>
      </c>
      <c r="C142" s="101" t="s">
        <v>206</v>
      </c>
      <c r="D142" s="101" t="s">
        <v>9</v>
      </c>
      <c r="E142" s="314" t="s">
        <v>1157</v>
      </c>
      <c r="F142" s="311" t="s">
        <v>1133</v>
      </c>
      <c r="G142" s="311">
        <f t="shared" si="19"/>
        <v>50000000</v>
      </c>
      <c r="H142" s="311">
        <f>'d3'!E143</f>
        <v>50000000</v>
      </c>
      <c r="I142" s="311">
        <f>'d3'!J143</f>
        <v>0</v>
      </c>
      <c r="J142" s="311">
        <f>'d3'!K143</f>
        <v>0</v>
      </c>
      <c r="K142" s="136"/>
      <c r="L142" s="136"/>
      <c r="M142" s="136"/>
    </row>
    <row r="143" spans="1:13" s="5" customFormat="1" ht="138.75" thickTop="1" thickBot="1" x14ac:dyDescent="0.25">
      <c r="A143" s="101" t="s">
        <v>476</v>
      </c>
      <c r="B143" s="101" t="s">
        <v>477</v>
      </c>
      <c r="C143" s="101" t="s">
        <v>206</v>
      </c>
      <c r="D143" s="101" t="s">
        <v>478</v>
      </c>
      <c r="E143" s="314" t="s">
        <v>1157</v>
      </c>
      <c r="F143" s="311" t="s">
        <v>1133</v>
      </c>
      <c r="G143" s="311">
        <f t="shared" si="19"/>
        <v>381295</v>
      </c>
      <c r="H143" s="311">
        <f>'d3'!E144</f>
        <v>381295</v>
      </c>
      <c r="I143" s="311">
        <f>'d3'!J144</f>
        <v>0</v>
      </c>
      <c r="J143" s="311">
        <f>'d3'!K144</f>
        <v>0</v>
      </c>
      <c r="K143" s="136"/>
      <c r="L143" s="136"/>
      <c r="M143" s="136"/>
    </row>
    <row r="144" spans="1:13" s="5" customFormat="1" ht="138.75" thickTop="1" thickBot="1" x14ac:dyDescent="0.25">
      <c r="A144" s="101" t="s">
        <v>907</v>
      </c>
      <c r="B144" s="101" t="s">
        <v>908</v>
      </c>
      <c r="C144" s="101" t="s">
        <v>206</v>
      </c>
      <c r="D144" s="101" t="s">
        <v>909</v>
      </c>
      <c r="E144" s="314" t="s">
        <v>1157</v>
      </c>
      <c r="F144" s="311" t="s">
        <v>1133</v>
      </c>
      <c r="G144" s="311">
        <f t="shared" ref="G144" si="21">H144+I144</f>
        <v>2000000</v>
      </c>
      <c r="H144" s="311">
        <f>'d3'!E145</f>
        <v>2000000</v>
      </c>
      <c r="I144" s="311">
        <f>'d3'!J145</f>
        <v>0</v>
      </c>
      <c r="J144" s="311">
        <f>'d3'!K145</f>
        <v>0</v>
      </c>
      <c r="K144" s="136"/>
      <c r="L144" s="136"/>
      <c r="M144" s="136"/>
    </row>
    <row r="145" spans="1:13" s="5" customFormat="1" ht="138.75" thickTop="1" thickBot="1" x14ac:dyDescent="0.25">
      <c r="A145" s="101" t="s">
        <v>479</v>
      </c>
      <c r="B145" s="101" t="s">
        <v>480</v>
      </c>
      <c r="C145" s="101" t="s">
        <v>205</v>
      </c>
      <c r="D145" s="101" t="s">
        <v>481</v>
      </c>
      <c r="E145" s="314" t="s">
        <v>1157</v>
      </c>
      <c r="F145" s="311" t="s">
        <v>1133</v>
      </c>
      <c r="G145" s="311">
        <f t="shared" si="19"/>
        <v>629581</v>
      </c>
      <c r="H145" s="311">
        <f>'d3'!E146</f>
        <v>629581</v>
      </c>
      <c r="I145" s="311">
        <f>'d3'!J146</f>
        <v>0</v>
      </c>
      <c r="J145" s="311">
        <f>'d3'!K146</f>
        <v>0</v>
      </c>
      <c r="K145" s="136"/>
      <c r="L145" s="136"/>
      <c r="M145" s="136"/>
    </row>
    <row r="146" spans="1:13" ht="184.5" thickTop="1" thickBot="1" x14ac:dyDescent="0.25">
      <c r="A146" s="101" t="s">
        <v>266</v>
      </c>
      <c r="B146" s="101" t="s">
        <v>264</v>
      </c>
      <c r="C146" s="101" t="s">
        <v>200</v>
      </c>
      <c r="D146" s="101" t="s">
        <v>17</v>
      </c>
      <c r="E146" s="314" t="s">
        <v>1157</v>
      </c>
      <c r="F146" s="311" t="s">
        <v>1133</v>
      </c>
      <c r="G146" s="311">
        <f t="shared" si="19"/>
        <v>49803535</v>
      </c>
      <c r="H146" s="311">
        <f>'d3'!E148-H147</f>
        <v>47853535</v>
      </c>
      <c r="I146" s="311">
        <f>'d3'!J148-I147</f>
        <v>1950000</v>
      </c>
      <c r="J146" s="311">
        <f>'d3'!K148-J147</f>
        <v>150000</v>
      </c>
      <c r="K146" s="95" t="b">
        <f>H146+H147='d3'!E148</f>
        <v>1</v>
      </c>
      <c r="L146" s="95" t="b">
        <f>I146+I147='d3'!J148</f>
        <v>1</v>
      </c>
      <c r="M146" s="95" t="b">
        <f>J146+J147='d3'!K148</f>
        <v>1</v>
      </c>
    </row>
    <row r="147" spans="1:13" ht="184.5" hidden="1" thickTop="1" thickBot="1" x14ac:dyDescent="0.25">
      <c r="A147" s="126" t="s">
        <v>266</v>
      </c>
      <c r="B147" s="126" t="s">
        <v>264</v>
      </c>
      <c r="C147" s="126" t="s">
        <v>200</v>
      </c>
      <c r="D147" s="126" t="s">
        <v>17</v>
      </c>
      <c r="E147" s="252" t="s">
        <v>1528</v>
      </c>
      <c r="F147" s="193" t="s">
        <v>1529</v>
      </c>
      <c r="G147" s="193">
        <f t="shared" si="19"/>
        <v>0</v>
      </c>
      <c r="H147" s="193"/>
      <c r="I147" s="193"/>
      <c r="J147" s="193"/>
      <c r="K147" s="137"/>
      <c r="L147" s="137"/>
      <c r="M147" s="137"/>
    </row>
    <row r="148" spans="1:13" ht="138.75" thickTop="1" thickBot="1" x14ac:dyDescent="0.25">
      <c r="A148" s="101" t="s">
        <v>267</v>
      </c>
      <c r="B148" s="101" t="s">
        <v>265</v>
      </c>
      <c r="C148" s="101" t="s">
        <v>199</v>
      </c>
      <c r="D148" s="101" t="s">
        <v>453</v>
      </c>
      <c r="E148" s="314" t="s">
        <v>1157</v>
      </c>
      <c r="F148" s="311" t="s">
        <v>1133</v>
      </c>
      <c r="G148" s="311">
        <f t="shared" si="19"/>
        <v>13869902</v>
      </c>
      <c r="H148" s="311">
        <f>'d3'!E149-H149</f>
        <v>13869902</v>
      </c>
      <c r="I148" s="311">
        <f>'d3'!J149-I149</f>
        <v>0</v>
      </c>
      <c r="J148" s="311">
        <f>'d3'!K149-J149</f>
        <v>0</v>
      </c>
      <c r="K148" s="137"/>
      <c r="L148" s="137"/>
      <c r="M148" s="137"/>
    </row>
    <row r="149" spans="1:13" ht="184.5" hidden="1" thickTop="1" thickBot="1" x14ac:dyDescent="0.25">
      <c r="A149" s="126" t="s">
        <v>267</v>
      </c>
      <c r="B149" s="126" t="s">
        <v>265</v>
      </c>
      <c r="C149" s="126" t="s">
        <v>199</v>
      </c>
      <c r="D149" s="126" t="s">
        <v>453</v>
      </c>
      <c r="E149" s="252" t="s">
        <v>1344</v>
      </c>
      <c r="F149" s="193" t="s">
        <v>448</v>
      </c>
      <c r="G149" s="193">
        <f t="shared" si="19"/>
        <v>0</v>
      </c>
      <c r="H149" s="193">
        <v>0</v>
      </c>
      <c r="I149" s="193">
        <v>0</v>
      </c>
      <c r="J149" s="193">
        <v>0</v>
      </c>
      <c r="K149" s="137"/>
      <c r="L149" s="137"/>
      <c r="M149" s="137"/>
    </row>
    <row r="150" spans="1:13" ht="138.75" thickTop="1" thickBot="1" x14ac:dyDescent="0.25">
      <c r="A150" s="101" t="s">
        <v>1180</v>
      </c>
      <c r="B150" s="101" t="s">
        <v>184</v>
      </c>
      <c r="C150" s="101" t="s">
        <v>185</v>
      </c>
      <c r="D150" s="101" t="s">
        <v>632</v>
      </c>
      <c r="E150" s="314" t="s">
        <v>1157</v>
      </c>
      <c r="F150" s="311" t="s">
        <v>1133</v>
      </c>
      <c r="G150" s="311">
        <f>H150+I150</f>
        <v>8670892</v>
      </c>
      <c r="H150" s="311">
        <f>'d3'!E151-H151</f>
        <v>8619292</v>
      </c>
      <c r="I150" s="311">
        <f>'d3'!J151-I151</f>
        <v>51600</v>
      </c>
      <c r="J150" s="311">
        <f>'d3'!K151-J151</f>
        <v>0</v>
      </c>
      <c r="K150" s="137"/>
      <c r="L150" s="137"/>
      <c r="M150" s="137"/>
    </row>
    <row r="151" spans="1:13" ht="184.5" hidden="1" thickTop="1" thickBot="1" x14ac:dyDescent="0.25">
      <c r="A151" s="126" t="s">
        <v>1180</v>
      </c>
      <c r="B151" s="126" t="s">
        <v>184</v>
      </c>
      <c r="C151" s="126" t="s">
        <v>185</v>
      </c>
      <c r="D151" s="126" t="s">
        <v>632</v>
      </c>
      <c r="E151" s="252" t="s">
        <v>1344</v>
      </c>
      <c r="F151" s="193" t="s">
        <v>448</v>
      </c>
      <c r="G151" s="193">
        <f>H151+I151</f>
        <v>0</v>
      </c>
      <c r="H151" s="193">
        <v>0</v>
      </c>
      <c r="I151" s="193">
        <v>0</v>
      </c>
      <c r="J151" s="193">
        <v>0</v>
      </c>
      <c r="K151" s="137"/>
      <c r="L151" s="137"/>
      <c r="M151" s="137"/>
    </row>
    <row r="152" spans="1:13" ht="184.5" thickTop="1" thickBot="1" x14ac:dyDescent="0.25">
      <c r="A152" s="101" t="s">
        <v>995</v>
      </c>
      <c r="B152" s="101" t="s">
        <v>996</v>
      </c>
      <c r="C152" s="101" t="s">
        <v>185</v>
      </c>
      <c r="D152" s="101" t="s">
        <v>997</v>
      </c>
      <c r="E152" s="314" t="s">
        <v>1157</v>
      </c>
      <c r="F152" s="311" t="s">
        <v>1133</v>
      </c>
      <c r="G152" s="311">
        <f t="shared" si="19"/>
        <v>4225673</v>
      </c>
      <c r="H152" s="311">
        <f>'d3'!E152</f>
        <v>4225673</v>
      </c>
      <c r="I152" s="311">
        <f>'d3'!J152</f>
        <v>0</v>
      </c>
      <c r="J152" s="311">
        <f>'d3'!K152</f>
        <v>0</v>
      </c>
      <c r="K152" s="137"/>
      <c r="L152" s="137"/>
      <c r="M152" s="137"/>
    </row>
    <row r="153" spans="1:13" ht="276" thickTop="1" thickBot="1" x14ac:dyDescent="0.25">
      <c r="A153" s="101" t="s">
        <v>262</v>
      </c>
      <c r="B153" s="101" t="s">
        <v>263</v>
      </c>
      <c r="C153" s="101" t="s">
        <v>199</v>
      </c>
      <c r="D153" s="101" t="s">
        <v>451</v>
      </c>
      <c r="E153" s="314" t="s">
        <v>1157</v>
      </c>
      <c r="F153" s="311" t="s">
        <v>1133</v>
      </c>
      <c r="G153" s="311">
        <f t="shared" si="19"/>
        <v>9547200</v>
      </c>
      <c r="H153" s="311">
        <f>'d3'!E153</f>
        <v>9547200</v>
      </c>
      <c r="I153" s="311">
        <f>'d3'!J153</f>
        <v>0</v>
      </c>
      <c r="J153" s="311">
        <f>'d3'!K153</f>
        <v>0</v>
      </c>
      <c r="K153" s="137"/>
      <c r="L153" s="137"/>
      <c r="M153" s="137"/>
    </row>
    <row r="154" spans="1:13" ht="184.5" thickTop="1" thickBot="1" x14ac:dyDescent="0.25">
      <c r="A154" s="101" t="s">
        <v>482</v>
      </c>
      <c r="B154" s="101" t="s">
        <v>483</v>
      </c>
      <c r="C154" s="101" t="s">
        <v>199</v>
      </c>
      <c r="D154" s="101" t="s">
        <v>484</v>
      </c>
      <c r="E154" s="314" t="s">
        <v>1157</v>
      </c>
      <c r="F154" s="311" t="s">
        <v>1133</v>
      </c>
      <c r="G154" s="311">
        <f t="shared" si="19"/>
        <v>160170</v>
      </c>
      <c r="H154" s="311">
        <f>'d3'!E155</f>
        <v>160170</v>
      </c>
      <c r="I154" s="311">
        <f>'d3'!J155</f>
        <v>0</v>
      </c>
      <c r="J154" s="311">
        <f>'d3'!K155</f>
        <v>0</v>
      </c>
      <c r="K154" s="137"/>
      <c r="L154" s="137"/>
      <c r="M154" s="137"/>
    </row>
    <row r="155" spans="1:13" ht="276" thickTop="1" thickBot="1" x14ac:dyDescent="0.25">
      <c r="A155" s="101" t="s">
        <v>347</v>
      </c>
      <c r="B155" s="101" t="s">
        <v>346</v>
      </c>
      <c r="C155" s="101" t="s">
        <v>50</v>
      </c>
      <c r="D155" s="101" t="s">
        <v>452</v>
      </c>
      <c r="E155" s="314" t="s">
        <v>1157</v>
      </c>
      <c r="F155" s="311" t="s">
        <v>1133</v>
      </c>
      <c r="G155" s="311">
        <f t="shared" si="19"/>
        <v>1377120</v>
      </c>
      <c r="H155" s="311">
        <v>1377120</v>
      </c>
      <c r="I155" s="311">
        <f>'d3'!J156-I156-I157</f>
        <v>0</v>
      </c>
      <c r="J155" s="311">
        <f>'d3'!K156-J156-J157</f>
        <v>0</v>
      </c>
      <c r="K155" s="95" t="b">
        <f>H155+H156+H157='d3'!E156</f>
        <v>1</v>
      </c>
      <c r="L155" s="95" t="b">
        <f>I155+I156+I157='d3'!J156</f>
        <v>1</v>
      </c>
      <c r="M155" s="95" t="b">
        <f>J155+J156+J157='d3'!K156</f>
        <v>1</v>
      </c>
    </row>
    <row r="156" spans="1:13" ht="276" thickTop="1" thickBot="1" x14ac:dyDescent="0.25">
      <c r="A156" s="101" t="s">
        <v>347</v>
      </c>
      <c r="B156" s="101" t="s">
        <v>346</v>
      </c>
      <c r="C156" s="101" t="s">
        <v>50</v>
      </c>
      <c r="D156" s="101" t="s">
        <v>452</v>
      </c>
      <c r="E156" s="314" t="s">
        <v>1192</v>
      </c>
      <c r="F156" s="311" t="s">
        <v>856</v>
      </c>
      <c r="G156" s="311">
        <f t="shared" si="19"/>
        <v>993624</v>
      </c>
      <c r="H156" s="311">
        <v>993624</v>
      </c>
      <c r="I156" s="311">
        <v>0</v>
      </c>
      <c r="J156" s="311">
        <v>0</v>
      </c>
      <c r="K156" s="137"/>
      <c r="L156" s="137"/>
      <c r="M156" s="137"/>
    </row>
    <row r="157" spans="1:13" ht="276" thickTop="1" thickBot="1" x14ac:dyDescent="0.25">
      <c r="A157" s="101" t="s">
        <v>347</v>
      </c>
      <c r="B157" s="101" t="s">
        <v>346</v>
      </c>
      <c r="C157" s="101" t="s">
        <v>50</v>
      </c>
      <c r="D157" s="101" t="s">
        <v>452</v>
      </c>
      <c r="E157" s="314" t="s">
        <v>1343</v>
      </c>
      <c r="F157" s="311" t="s">
        <v>1306</v>
      </c>
      <c r="G157" s="311">
        <f t="shared" si="19"/>
        <v>2804400</v>
      </c>
      <c r="H157" s="311">
        <v>2804400</v>
      </c>
      <c r="I157" s="311">
        <v>0</v>
      </c>
      <c r="J157" s="311">
        <v>0</v>
      </c>
      <c r="K157" s="137"/>
      <c r="L157" s="137"/>
      <c r="M157" s="137"/>
    </row>
    <row r="158" spans="1:13" ht="138.75" thickTop="1" thickBot="1" x14ac:dyDescent="0.25">
      <c r="A158" s="101" t="s">
        <v>324</v>
      </c>
      <c r="B158" s="101" t="s">
        <v>325</v>
      </c>
      <c r="C158" s="101" t="s">
        <v>205</v>
      </c>
      <c r="D158" s="101" t="s">
        <v>629</v>
      </c>
      <c r="E158" s="314" t="s">
        <v>1157</v>
      </c>
      <c r="F158" s="311" t="s">
        <v>1133</v>
      </c>
      <c r="G158" s="311">
        <f t="shared" si="19"/>
        <v>300000</v>
      </c>
      <c r="H158" s="311">
        <v>300000</v>
      </c>
      <c r="I158" s="311">
        <f>'d3'!J158</f>
        <v>0</v>
      </c>
      <c r="J158" s="311">
        <f>'d3'!K158</f>
        <v>0</v>
      </c>
      <c r="K158" s="95" t="b">
        <f>H158+H159='d3'!E158</f>
        <v>1</v>
      </c>
      <c r="L158" s="95" t="b">
        <f>I158+I159='d3'!J158</f>
        <v>1</v>
      </c>
      <c r="M158" s="95" t="b">
        <f>J158+J159='d3'!K158</f>
        <v>1</v>
      </c>
    </row>
    <row r="159" spans="1:13" ht="184.5" thickTop="1" thickBot="1" x14ac:dyDescent="0.25">
      <c r="A159" s="101" t="s">
        <v>324</v>
      </c>
      <c r="B159" s="101" t="s">
        <v>325</v>
      </c>
      <c r="C159" s="101" t="s">
        <v>205</v>
      </c>
      <c r="D159" s="101" t="s">
        <v>629</v>
      </c>
      <c r="E159" s="314" t="s">
        <v>1192</v>
      </c>
      <c r="F159" s="311" t="s">
        <v>856</v>
      </c>
      <c r="G159" s="311">
        <f t="shared" si="19"/>
        <v>200000</v>
      </c>
      <c r="H159" s="311">
        <v>200000</v>
      </c>
      <c r="I159" s="311">
        <v>0</v>
      </c>
      <c r="J159" s="311">
        <v>0</v>
      </c>
      <c r="K159" s="137"/>
      <c r="L159" s="137"/>
      <c r="M159" s="137"/>
    </row>
    <row r="160" spans="1:13" ht="138.75" thickTop="1" thickBot="1" x14ac:dyDescent="0.25">
      <c r="A160" s="101" t="s">
        <v>426</v>
      </c>
      <c r="B160" s="101" t="s">
        <v>371</v>
      </c>
      <c r="C160" s="101" t="s">
        <v>372</v>
      </c>
      <c r="D160" s="101" t="s">
        <v>370</v>
      </c>
      <c r="E160" s="314" t="s">
        <v>1457</v>
      </c>
      <c r="F160" s="311" t="s">
        <v>1507</v>
      </c>
      <c r="G160" s="311">
        <f t="shared" si="19"/>
        <v>117000</v>
      </c>
      <c r="H160" s="311">
        <f>'d3'!E159</f>
        <v>117000</v>
      </c>
      <c r="I160" s="311">
        <f>'d3'!J159</f>
        <v>0</v>
      </c>
      <c r="J160" s="311">
        <f>'d3'!K159</f>
        <v>0</v>
      </c>
      <c r="K160" s="137"/>
      <c r="L160" s="137"/>
      <c r="M160" s="137"/>
    </row>
    <row r="161" spans="1:14" ht="138.75" thickTop="1" thickBot="1" x14ac:dyDescent="0.25">
      <c r="A161" s="101" t="s">
        <v>1168</v>
      </c>
      <c r="B161" s="101" t="s">
        <v>1165</v>
      </c>
      <c r="C161" s="101" t="s">
        <v>206</v>
      </c>
      <c r="D161" s="615" t="s">
        <v>1166</v>
      </c>
      <c r="E161" s="314" t="s">
        <v>1157</v>
      </c>
      <c r="F161" s="311" t="s">
        <v>1133</v>
      </c>
      <c r="G161" s="311">
        <f>H161+I161</f>
        <v>9736476</v>
      </c>
      <c r="H161" s="315">
        <f>'d3'!E173</f>
        <v>5176195</v>
      </c>
      <c r="I161" s="311">
        <f>'d3'!J173</f>
        <v>4560281</v>
      </c>
      <c r="J161" s="311">
        <f>'d3'!K173</f>
        <v>4560281</v>
      </c>
      <c r="K161" s="137"/>
      <c r="L161" s="137"/>
      <c r="M161" s="137"/>
    </row>
    <row r="162" spans="1:14" ht="138.75" thickTop="1" thickBot="1" x14ac:dyDescent="0.25">
      <c r="A162" s="101" t="s">
        <v>326</v>
      </c>
      <c r="B162" s="101" t="s">
        <v>328</v>
      </c>
      <c r="C162" s="101" t="s">
        <v>191</v>
      </c>
      <c r="D162" s="615" t="s">
        <v>330</v>
      </c>
      <c r="E162" s="314" t="s">
        <v>1157</v>
      </c>
      <c r="F162" s="311" t="s">
        <v>1133</v>
      </c>
      <c r="G162" s="311">
        <f t="shared" si="19"/>
        <v>40929745</v>
      </c>
      <c r="H162" s="315">
        <f>'d3'!E175-H163</f>
        <v>32434295</v>
      </c>
      <c r="I162" s="311">
        <f>'d3'!J175-I163</f>
        <v>8495450</v>
      </c>
      <c r="J162" s="311">
        <f>'d3'!K175-J163</f>
        <v>296500</v>
      </c>
      <c r="L162" s="137"/>
      <c r="M162" s="137"/>
    </row>
    <row r="163" spans="1:14" ht="184.5" hidden="1" thickTop="1" thickBot="1" x14ac:dyDescent="0.25">
      <c r="A163" s="126" t="s">
        <v>326</v>
      </c>
      <c r="B163" s="126" t="s">
        <v>328</v>
      </c>
      <c r="C163" s="126" t="s">
        <v>191</v>
      </c>
      <c r="D163" s="379" t="s">
        <v>330</v>
      </c>
      <c r="E163" s="252" t="s">
        <v>1528</v>
      </c>
      <c r="F163" s="193" t="s">
        <v>1529</v>
      </c>
      <c r="G163" s="193">
        <f>H163+I163</f>
        <v>0</v>
      </c>
      <c r="H163" s="253"/>
      <c r="I163" s="193"/>
      <c r="J163" s="193"/>
      <c r="K163" s="137"/>
      <c r="L163" s="137"/>
      <c r="M163" s="137"/>
    </row>
    <row r="164" spans="1:14" ht="138.75" thickTop="1" thickBot="1" x14ac:dyDescent="0.25">
      <c r="A164" s="101" t="s">
        <v>327</v>
      </c>
      <c r="B164" s="101" t="s">
        <v>329</v>
      </c>
      <c r="C164" s="101" t="s">
        <v>191</v>
      </c>
      <c r="D164" s="615" t="s">
        <v>331</v>
      </c>
      <c r="E164" s="314" t="s">
        <v>1157</v>
      </c>
      <c r="F164" s="311" t="s">
        <v>1133</v>
      </c>
      <c r="G164" s="311">
        <f>H164+I164</f>
        <v>26628236</v>
      </c>
      <c r="H164" s="311">
        <v>26478236</v>
      </c>
      <c r="I164" s="311">
        <v>150000</v>
      </c>
      <c r="J164" s="311">
        <v>150000</v>
      </c>
      <c r="K164" s="881" t="b">
        <f>H164+H166+H167+H168+H169+H165='d3'!E176</f>
        <v>1</v>
      </c>
      <c r="L164" s="881" t="b">
        <f>I164+I166+I167+I168+I169+I165='d3'!J176</f>
        <v>1</v>
      </c>
      <c r="M164" s="881" t="b">
        <f>J164+J166+J167+J168+J169+J165='d3'!K176</f>
        <v>1</v>
      </c>
    </row>
    <row r="165" spans="1:14" ht="321.75" thickTop="1" thickBot="1" x14ac:dyDescent="0.25">
      <c r="A165" s="101" t="s">
        <v>327</v>
      </c>
      <c r="B165" s="101" t="s">
        <v>329</v>
      </c>
      <c r="C165" s="101" t="s">
        <v>191</v>
      </c>
      <c r="D165" s="615" t="s">
        <v>331</v>
      </c>
      <c r="E165" s="311" t="s">
        <v>1348</v>
      </c>
      <c r="F165" s="311" t="s">
        <v>847</v>
      </c>
      <c r="G165" s="311">
        <f t="shared" si="19"/>
        <v>2000000</v>
      </c>
      <c r="H165" s="311">
        <v>2000000</v>
      </c>
      <c r="I165" s="311">
        <v>0</v>
      </c>
      <c r="J165" s="311">
        <v>0</v>
      </c>
      <c r="K165" s="881"/>
      <c r="L165" s="881"/>
      <c r="M165" s="881"/>
    </row>
    <row r="166" spans="1:14" ht="138.75" thickTop="1" thickBot="1" x14ac:dyDescent="0.25">
      <c r="A166" s="101" t="s">
        <v>327</v>
      </c>
      <c r="B166" s="101" t="s">
        <v>329</v>
      </c>
      <c r="C166" s="101" t="s">
        <v>191</v>
      </c>
      <c r="D166" s="615" t="s">
        <v>331</v>
      </c>
      <c r="E166" s="311" t="s">
        <v>1456</v>
      </c>
      <c r="F166" s="311" t="s">
        <v>855</v>
      </c>
      <c r="G166" s="311">
        <f t="shared" si="19"/>
        <v>1086500</v>
      </c>
      <c r="H166" s="311">
        <v>1086500</v>
      </c>
      <c r="I166" s="311">
        <v>0</v>
      </c>
      <c r="J166" s="311">
        <v>0</v>
      </c>
      <c r="K166" s="882"/>
      <c r="L166" s="882"/>
      <c r="M166" s="882"/>
      <c r="N166" s="251"/>
    </row>
    <row r="167" spans="1:14" ht="251.45" customHeight="1" thickTop="1" thickBot="1" x14ac:dyDescent="0.25">
      <c r="A167" s="101" t="s">
        <v>327</v>
      </c>
      <c r="B167" s="101" t="s">
        <v>329</v>
      </c>
      <c r="C167" s="101" t="s">
        <v>191</v>
      </c>
      <c r="D167" s="615" t="s">
        <v>331</v>
      </c>
      <c r="E167" s="314" t="s">
        <v>1192</v>
      </c>
      <c r="F167" s="311" t="s">
        <v>856</v>
      </c>
      <c r="G167" s="311">
        <f t="shared" si="19"/>
        <v>25001345</v>
      </c>
      <c r="H167" s="311">
        <v>25001345</v>
      </c>
      <c r="I167" s="311">
        <v>0</v>
      </c>
      <c r="J167" s="311">
        <v>0</v>
      </c>
      <c r="K167" s="882"/>
      <c r="L167" s="882"/>
      <c r="M167" s="882"/>
    </row>
    <row r="168" spans="1:14" ht="138.75" thickTop="1" thickBot="1" x14ac:dyDescent="0.25">
      <c r="A168" s="101" t="s">
        <v>327</v>
      </c>
      <c r="B168" s="101" t="s">
        <v>329</v>
      </c>
      <c r="C168" s="101" t="s">
        <v>191</v>
      </c>
      <c r="D168" s="615" t="s">
        <v>331</v>
      </c>
      <c r="E168" s="314" t="s">
        <v>1422</v>
      </c>
      <c r="F168" s="311" t="s">
        <v>1423</v>
      </c>
      <c r="G168" s="311">
        <f t="shared" si="19"/>
        <v>2060000</v>
      </c>
      <c r="H168" s="311">
        <v>2060000</v>
      </c>
      <c r="I168" s="311">
        <v>0</v>
      </c>
      <c r="J168" s="311">
        <v>0</v>
      </c>
      <c r="K168" s="13"/>
      <c r="L168" s="13"/>
      <c r="M168" s="13"/>
    </row>
    <row r="169" spans="1:14" ht="276" thickTop="1" thickBot="1" x14ac:dyDescent="0.25">
      <c r="A169" s="101" t="s">
        <v>327</v>
      </c>
      <c r="B169" s="101" t="s">
        <v>329</v>
      </c>
      <c r="C169" s="101" t="s">
        <v>191</v>
      </c>
      <c r="D169" s="615" t="s">
        <v>331</v>
      </c>
      <c r="E169" s="314" t="s">
        <v>1343</v>
      </c>
      <c r="F169" s="311" t="s">
        <v>1306</v>
      </c>
      <c r="G169" s="311">
        <f t="shared" si="19"/>
        <v>46505000</v>
      </c>
      <c r="H169" s="311">
        <v>12505000</v>
      </c>
      <c r="I169" s="311">
        <v>34000000</v>
      </c>
      <c r="J169" s="311">
        <v>34000000</v>
      </c>
      <c r="K169" s="13"/>
      <c r="L169" s="13"/>
      <c r="M169" s="13"/>
    </row>
    <row r="170" spans="1:14" ht="138.75" thickTop="1" thickBot="1" x14ac:dyDescent="0.25">
      <c r="A170" s="101" t="s">
        <v>1637</v>
      </c>
      <c r="B170" s="101" t="s">
        <v>1638</v>
      </c>
      <c r="C170" s="101" t="s">
        <v>191</v>
      </c>
      <c r="D170" s="101" t="s">
        <v>1639</v>
      </c>
      <c r="E170" s="314" t="s">
        <v>1157</v>
      </c>
      <c r="F170" s="311" t="s">
        <v>1133</v>
      </c>
      <c r="G170" s="311">
        <f t="shared" si="19"/>
        <v>13000000</v>
      </c>
      <c r="H170" s="311">
        <f>'d3'!E177</f>
        <v>0</v>
      </c>
      <c r="I170" s="311">
        <f>'d3'!J177</f>
        <v>13000000</v>
      </c>
      <c r="J170" s="311">
        <f>'d3'!K177</f>
        <v>13000000</v>
      </c>
      <c r="K170" s="13"/>
      <c r="L170" s="13"/>
      <c r="M170" s="13"/>
    </row>
    <row r="171" spans="1:14" ht="184.5" thickTop="1" thickBot="1" x14ac:dyDescent="0.25">
      <c r="A171" s="101" t="s">
        <v>366</v>
      </c>
      <c r="B171" s="101" t="s">
        <v>364</v>
      </c>
      <c r="C171" s="101" t="s">
        <v>339</v>
      </c>
      <c r="D171" s="615" t="s">
        <v>365</v>
      </c>
      <c r="E171" s="314" t="s">
        <v>1192</v>
      </c>
      <c r="F171" s="311" t="s">
        <v>856</v>
      </c>
      <c r="G171" s="311">
        <f t="shared" si="19"/>
        <v>25000000</v>
      </c>
      <c r="H171" s="311">
        <f>'d3'!E180</f>
        <v>0</v>
      </c>
      <c r="I171" s="311">
        <f>'d3'!J180</f>
        <v>25000000</v>
      </c>
      <c r="J171" s="311">
        <f>'d3'!K180</f>
        <v>25000000</v>
      </c>
      <c r="K171" s="137"/>
      <c r="L171" s="137"/>
      <c r="M171" s="137"/>
    </row>
    <row r="172" spans="1:14" ht="276" hidden="1" thickTop="1" thickBot="1" x14ac:dyDescent="0.25">
      <c r="A172" s="126" t="s">
        <v>1045</v>
      </c>
      <c r="B172" s="126" t="s">
        <v>1046</v>
      </c>
      <c r="C172" s="126" t="s">
        <v>339</v>
      </c>
      <c r="D172" s="379" t="s">
        <v>1047</v>
      </c>
      <c r="E172" s="252" t="s">
        <v>1456</v>
      </c>
      <c r="F172" s="193" t="s">
        <v>855</v>
      </c>
      <c r="G172" s="193">
        <f t="shared" si="19"/>
        <v>0</v>
      </c>
      <c r="H172" s="193">
        <f>'d3'!E181</f>
        <v>0</v>
      </c>
      <c r="I172" s="193">
        <f>'d3'!J181</f>
        <v>0</v>
      </c>
      <c r="J172" s="193">
        <f>'d3'!K181</f>
        <v>0</v>
      </c>
      <c r="K172" s="137"/>
      <c r="L172" s="137"/>
      <c r="M172" s="137"/>
    </row>
    <row r="173" spans="1:14" ht="138.75" hidden="1" thickTop="1" thickBot="1" x14ac:dyDescent="0.25">
      <c r="A173" s="126" t="s">
        <v>1268</v>
      </c>
      <c r="B173" s="126" t="s">
        <v>212</v>
      </c>
      <c r="C173" s="126" t="s">
        <v>213</v>
      </c>
      <c r="D173" s="126" t="s">
        <v>41</v>
      </c>
      <c r="E173" s="252" t="s">
        <v>1157</v>
      </c>
      <c r="F173" s="193" t="s">
        <v>1133</v>
      </c>
      <c r="G173" s="193">
        <f t="shared" si="19"/>
        <v>0</v>
      </c>
      <c r="H173" s="266">
        <f>'d3'!E184</f>
        <v>0</v>
      </c>
      <c r="I173" s="266">
        <f>'d3'!J184</f>
        <v>0</v>
      </c>
      <c r="J173" s="266">
        <f>'d3'!K184</f>
        <v>0</v>
      </c>
      <c r="K173" s="137"/>
      <c r="L173" s="137"/>
      <c r="M173" s="137"/>
    </row>
    <row r="174" spans="1:14" ht="276" hidden="1" thickTop="1" thickBot="1" x14ac:dyDescent="0.7">
      <c r="A174" s="749" t="s">
        <v>421</v>
      </c>
      <c r="B174" s="749" t="s">
        <v>337</v>
      </c>
      <c r="C174" s="749" t="s">
        <v>170</v>
      </c>
      <c r="D174" s="152" t="s">
        <v>438</v>
      </c>
      <c r="E174" s="749" t="s">
        <v>1128</v>
      </c>
      <c r="F174" s="749" t="s">
        <v>1129</v>
      </c>
      <c r="G174" s="820">
        <f>H174+I174</f>
        <v>0</v>
      </c>
      <c r="H174" s="820">
        <f>'d3'!E186</f>
        <v>0</v>
      </c>
      <c r="I174" s="820">
        <f>'d3'!J186</f>
        <v>0</v>
      </c>
      <c r="J174" s="820">
        <f>'d3'!K186</f>
        <v>0</v>
      </c>
      <c r="K174" s="137"/>
      <c r="L174" s="137"/>
      <c r="M174" s="137"/>
    </row>
    <row r="175" spans="1:14" ht="138.75" hidden="1" thickTop="1" thickBot="1" x14ac:dyDescent="0.25">
      <c r="A175" s="752"/>
      <c r="B175" s="752"/>
      <c r="C175" s="752"/>
      <c r="D175" s="153" t="s">
        <v>439</v>
      </c>
      <c r="E175" s="752"/>
      <c r="F175" s="752"/>
      <c r="G175" s="866"/>
      <c r="H175" s="872"/>
      <c r="I175" s="866"/>
      <c r="J175" s="866"/>
      <c r="K175" s="251"/>
      <c r="L175" s="258"/>
      <c r="M175" s="258"/>
    </row>
    <row r="176" spans="1:14" ht="170.25" customHeight="1" thickTop="1" thickBot="1" x14ac:dyDescent="0.25">
      <c r="A176" s="600">
        <v>1000000</v>
      </c>
      <c r="B176" s="600"/>
      <c r="C176" s="600"/>
      <c r="D176" s="601" t="s">
        <v>24</v>
      </c>
      <c r="E176" s="600"/>
      <c r="F176" s="600"/>
      <c r="G176" s="602">
        <f>G177</f>
        <v>183478205</v>
      </c>
      <c r="H176" s="602">
        <f t="shared" ref="H176:J176" si="22">H177</f>
        <v>170994814</v>
      </c>
      <c r="I176" s="602">
        <f t="shared" si="22"/>
        <v>12483391</v>
      </c>
      <c r="J176" s="602">
        <f t="shared" si="22"/>
        <v>131591</v>
      </c>
      <c r="K176" s="95" t="b">
        <f>H176='d3'!E189</f>
        <v>1</v>
      </c>
      <c r="L176" s="436" t="b">
        <f>I176='d3'!J189</f>
        <v>1</v>
      </c>
      <c r="M176" s="436" t="b">
        <f>J176='d3'!K189</f>
        <v>1</v>
      </c>
    </row>
    <row r="177" spans="1:13" ht="170.25" customHeight="1" thickTop="1" thickBot="1" x14ac:dyDescent="0.25">
      <c r="A177" s="603">
        <v>1010000</v>
      </c>
      <c r="B177" s="603"/>
      <c r="C177" s="603"/>
      <c r="D177" s="604" t="s">
        <v>39</v>
      </c>
      <c r="E177" s="605"/>
      <c r="F177" s="605"/>
      <c r="G177" s="605">
        <f>SUM(G178:G196)</f>
        <v>183478205</v>
      </c>
      <c r="H177" s="605">
        <f>SUM(H178:H196)</f>
        <v>170994814</v>
      </c>
      <c r="I177" s="605">
        <f>SUM(I178:I196)</f>
        <v>12483391</v>
      </c>
      <c r="J177" s="605">
        <f>SUM(J178:J196)</f>
        <v>131591</v>
      </c>
      <c r="K177" s="137"/>
      <c r="L177" s="137"/>
      <c r="M177" s="137"/>
    </row>
    <row r="178" spans="1:13" ht="138.75" thickTop="1" thickBot="1" x14ac:dyDescent="0.25">
      <c r="A178" s="101" t="s">
        <v>630</v>
      </c>
      <c r="B178" s="101" t="s">
        <v>631</v>
      </c>
      <c r="C178" s="101" t="s">
        <v>181</v>
      </c>
      <c r="D178" s="101" t="s">
        <v>1089</v>
      </c>
      <c r="E178" s="311" t="s">
        <v>853</v>
      </c>
      <c r="F178" s="311" t="s">
        <v>854</v>
      </c>
      <c r="G178" s="311">
        <f>H178+I178</f>
        <v>104657950</v>
      </c>
      <c r="H178" s="311">
        <f>'d3'!E191-H179</f>
        <v>93548990</v>
      </c>
      <c r="I178" s="311">
        <f>'d3'!J191-I179</f>
        <v>11108960</v>
      </c>
      <c r="J178" s="311">
        <f>'d3'!K191-J179</f>
        <v>0</v>
      </c>
      <c r="K178" s="137"/>
      <c r="L178" s="137"/>
      <c r="M178" s="137"/>
    </row>
    <row r="179" spans="1:13" ht="184.5" hidden="1" thickTop="1" thickBot="1" x14ac:dyDescent="0.25">
      <c r="A179" s="126" t="s">
        <v>630</v>
      </c>
      <c r="B179" s="126" t="s">
        <v>631</v>
      </c>
      <c r="C179" s="126" t="s">
        <v>181</v>
      </c>
      <c r="D179" s="126" t="s">
        <v>1089</v>
      </c>
      <c r="E179" s="252" t="s">
        <v>1344</v>
      </c>
      <c r="F179" s="193" t="s">
        <v>448</v>
      </c>
      <c r="G179" s="193">
        <f t="shared" ref="G179" si="23">H179+I179</f>
        <v>0</v>
      </c>
      <c r="H179" s="193">
        <v>0</v>
      </c>
      <c r="I179" s="193">
        <v>0</v>
      </c>
      <c r="J179" s="193">
        <v>0</v>
      </c>
      <c r="K179" s="137"/>
      <c r="L179" s="137"/>
      <c r="M179" s="137"/>
    </row>
    <row r="180" spans="1:13" ht="138.75" thickTop="1" thickBot="1" x14ac:dyDescent="0.25">
      <c r="A180" s="101" t="s">
        <v>172</v>
      </c>
      <c r="B180" s="101" t="s">
        <v>173</v>
      </c>
      <c r="C180" s="101" t="s">
        <v>174</v>
      </c>
      <c r="D180" s="101" t="s">
        <v>175</v>
      </c>
      <c r="E180" s="311" t="s">
        <v>853</v>
      </c>
      <c r="F180" s="311" t="s">
        <v>854</v>
      </c>
      <c r="G180" s="311">
        <f t="shared" ref="G180:G196" si="24">H180+I180</f>
        <v>18577742</v>
      </c>
      <c r="H180" s="311">
        <f>'d3'!E193-H181-H182</f>
        <v>18367742</v>
      </c>
      <c r="I180" s="311">
        <f>'d3'!J193-I181-I182</f>
        <v>210000</v>
      </c>
      <c r="J180" s="311">
        <f>'d3'!K193-J181-J182</f>
        <v>0</v>
      </c>
      <c r="K180" s="137"/>
      <c r="L180" s="137"/>
      <c r="M180" s="137"/>
    </row>
    <row r="181" spans="1:13" ht="184.5" hidden="1" thickTop="1" thickBot="1" x14ac:dyDescent="0.25">
      <c r="A181" s="126" t="s">
        <v>172</v>
      </c>
      <c r="B181" s="126" t="s">
        <v>173</v>
      </c>
      <c r="C181" s="126" t="s">
        <v>174</v>
      </c>
      <c r="D181" s="126" t="s">
        <v>175</v>
      </c>
      <c r="E181" s="252" t="s">
        <v>1528</v>
      </c>
      <c r="F181" s="193" t="s">
        <v>1529</v>
      </c>
      <c r="G181" s="193">
        <f>H181+I181</f>
        <v>0</v>
      </c>
      <c r="H181" s="253"/>
      <c r="I181" s="193"/>
      <c r="J181" s="193"/>
      <c r="K181" s="137"/>
      <c r="L181" s="137"/>
      <c r="M181" s="137"/>
    </row>
    <row r="182" spans="1:13" ht="184.5" hidden="1" thickTop="1" thickBot="1" x14ac:dyDescent="0.25">
      <c r="A182" s="126" t="s">
        <v>172</v>
      </c>
      <c r="B182" s="126" t="s">
        <v>173</v>
      </c>
      <c r="C182" s="126" t="s">
        <v>174</v>
      </c>
      <c r="D182" s="126" t="s">
        <v>175</v>
      </c>
      <c r="E182" s="193" t="s">
        <v>851</v>
      </c>
      <c r="F182" s="193" t="s">
        <v>852</v>
      </c>
      <c r="G182" s="193">
        <f>H182+I182</f>
        <v>0</v>
      </c>
      <c r="H182" s="253">
        <v>0</v>
      </c>
      <c r="I182" s="193">
        <v>0</v>
      </c>
      <c r="J182" s="193">
        <v>0</v>
      </c>
      <c r="K182" s="137"/>
      <c r="L182" s="137"/>
      <c r="M182" s="137"/>
    </row>
    <row r="183" spans="1:13" ht="138.75" thickTop="1" thickBot="1" x14ac:dyDescent="0.25">
      <c r="A183" s="101" t="s">
        <v>176</v>
      </c>
      <c r="B183" s="101" t="s">
        <v>177</v>
      </c>
      <c r="C183" s="101" t="s">
        <v>174</v>
      </c>
      <c r="D183" s="101" t="s">
        <v>461</v>
      </c>
      <c r="E183" s="311" t="s">
        <v>853</v>
      </c>
      <c r="F183" s="311" t="s">
        <v>854</v>
      </c>
      <c r="G183" s="311">
        <f t="shared" si="24"/>
        <v>2976770</v>
      </c>
      <c r="H183" s="311">
        <f>'d3'!E194-H184</f>
        <v>2851170</v>
      </c>
      <c r="I183" s="311">
        <f>'d3'!J194-I184</f>
        <v>125600</v>
      </c>
      <c r="J183" s="311">
        <f>'d3'!K194-J184</f>
        <v>0</v>
      </c>
      <c r="K183" s="137"/>
      <c r="L183" s="137"/>
      <c r="M183" s="137"/>
    </row>
    <row r="184" spans="1:13" ht="184.5" hidden="1" thickTop="1" thickBot="1" x14ac:dyDescent="0.25">
      <c r="A184" s="126" t="s">
        <v>176</v>
      </c>
      <c r="B184" s="126" t="s">
        <v>177</v>
      </c>
      <c r="C184" s="126" t="s">
        <v>174</v>
      </c>
      <c r="D184" s="126" t="s">
        <v>461</v>
      </c>
      <c r="E184" s="252" t="s">
        <v>1344</v>
      </c>
      <c r="F184" s="193" t="s">
        <v>448</v>
      </c>
      <c r="G184" s="193">
        <f t="shared" si="24"/>
        <v>0</v>
      </c>
      <c r="H184" s="193">
        <v>0</v>
      </c>
      <c r="I184" s="193">
        <v>0</v>
      </c>
      <c r="J184" s="193">
        <v>0</v>
      </c>
      <c r="K184" s="137"/>
      <c r="L184" s="137"/>
      <c r="M184" s="137"/>
    </row>
    <row r="185" spans="1:13" ht="138.75" thickTop="1" thickBot="1" x14ac:dyDescent="0.25">
      <c r="A185" s="101" t="s">
        <v>178</v>
      </c>
      <c r="B185" s="101" t="s">
        <v>171</v>
      </c>
      <c r="C185" s="101" t="s">
        <v>179</v>
      </c>
      <c r="D185" s="101" t="s">
        <v>180</v>
      </c>
      <c r="E185" s="311" t="s">
        <v>853</v>
      </c>
      <c r="F185" s="311" t="s">
        <v>854</v>
      </c>
      <c r="G185" s="311">
        <f t="shared" si="24"/>
        <v>22328513</v>
      </c>
      <c r="H185" s="311">
        <f>'d3'!E195-H186</f>
        <v>21605273</v>
      </c>
      <c r="I185" s="311">
        <f>'d3'!J195-I186</f>
        <v>723240</v>
      </c>
      <c r="J185" s="311">
        <f>'d3'!K195-J186</f>
        <v>0</v>
      </c>
      <c r="K185" s="137"/>
      <c r="L185" s="137"/>
      <c r="M185" s="137"/>
    </row>
    <row r="186" spans="1:13" ht="184.5" hidden="1" thickTop="1" thickBot="1" x14ac:dyDescent="0.25">
      <c r="A186" s="41" t="s">
        <v>178</v>
      </c>
      <c r="B186" s="41" t="s">
        <v>171</v>
      </c>
      <c r="C186" s="41" t="s">
        <v>179</v>
      </c>
      <c r="D186" s="41" t="s">
        <v>180</v>
      </c>
      <c r="E186" s="255" t="s">
        <v>447</v>
      </c>
      <c r="F186" s="260" t="s">
        <v>448</v>
      </c>
      <c r="G186" s="73">
        <f>H186+I186</f>
        <v>0</v>
      </c>
      <c r="H186" s="256">
        <v>0</v>
      </c>
      <c r="I186" s="73">
        <v>0</v>
      </c>
      <c r="J186" s="73">
        <v>0</v>
      </c>
      <c r="K186" s="137"/>
      <c r="L186" s="137"/>
      <c r="M186" s="137"/>
    </row>
    <row r="187" spans="1:13" ht="138.75" hidden="1" thickTop="1" thickBot="1" x14ac:dyDescent="0.25">
      <c r="A187" s="126" t="s">
        <v>1159</v>
      </c>
      <c r="B187" s="126" t="s">
        <v>1160</v>
      </c>
      <c r="C187" s="126" t="s">
        <v>1162</v>
      </c>
      <c r="D187" s="126" t="s">
        <v>1161</v>
      </c>
      <c r="E187" s="193" t="s">
        <v>853</v>
      </c>
      <c r="F187" s="193" t="s">
        <v>854</v>
      </c>
      <c r="G187" s="193">
        <f>H187+I187</f>
        <v>0</v>
      </c>
      <c r="H187" s="253">
        <f>'d3'!E196</f>
        <v>0</v>
      </c>
      <c r="I187" s="193">
        <f>'d3'!J196</f>
        <v>0</v>
      </c>
      <c r="J187" s="193">
        <f>'d3'!K196</f>
        <v>0</v>
      </c>
      <c r="K187" s="137"/>
      <c r="L187" s="137"/>
      <c r="M187" s="137"/>
    </row>
    <row r="188" spans="1:13" ht="138.75" thickTop="1" thickBot="1" x14ac:dyDescent="0.25">
      <c r="A188" s="101" t="s">
        <v>332</v>
      </c>
      <c r="B188" s="101" t="s">
        <v>333</v>
      </c>
      <c r="C188" s="101" t="s">
        <v>182</v>
      </c>
      <c r="D188" s="101" t="s">
        <v>462</v>
      </c>
      <c r="E188" s="311" t="s">
        <v>853</v>
      </c>
      <c r="F188" s="311" t="s">
        <v>854</v>
      </c>
      <c r="G188" s="311">
        <f>H188+I188</f>
        <v>27566789</v>
      </c>
      <c r="H188" s="311">
        <f>'d3'!E198-H189</f>
        <v>27382789</v>
      </c>
      <c r="I188" s="311">
        <f>'d3'!J198-I189</f>
        <v>184000</v>
      </c>
      <c r="J188" s="311">
        <f>'d3'!K198-J189</f>
        <v>0</v>
      </c>
      <c r="K188" s="137"/>
      <c r="L188" s="137"/>
      <c r="M188" s="137"/>
    </row>
    <row r="189" spans="1:13" ht="138.75" thickTop="1" thickBot="1" x14ac:dyDescent="0.25">
      <c r="A189" s="101" t="s">
        <v>332</v>
      </c>
      <c r="B189" s="101" t="s">
        <v>333</v>
      </c>
      <c r="C189" s="101" t="s">
        <v>182</v>
      </c>
      <c r="D189" s="101" t="s">
        <v>462</v>
      </c>
      <c r="E189" s="311" t="s">
        <v>1224</v>
      </c>
      <c r="F189" s="311" t="s">
        <v>405</v>
      </c>
      <c r="G189" s="311">
        <f t="shared" si="24"/>
        <v>1440000</v>
      </c>
      <c r="H189" s="311">
        <v>1440000</v>
      </c>
      <c r="I189" s="311">
        <v>0</v>
      </c>
      <c r="J189" s="311">
        <v>0</v>
      </c>
      <c r="K189" s="137"/>
      <c r="L189" s="137"/>
      <c r="M189" s="137"/>
    </row>
    <row r="190" spans="1:13" ht="138.75" thickTop="1" thickBot="1" x14ac:dyDescent="0.25">
      <c r="A190" s="101" t="s">
        <v>334</v>
      </c>
      <c r="B190" s="101" t="s">
        <v>335</v>
      </c>
      <c r="C190" s="101" t="s">
        <v>182</v>
      </c>
      <c r="D190" s="101" t="s">
        <v>463</v>
      </c>
      <c r="E190" s="311" t="s">
        <v>853</v>
      </c>
      <c r="F190" s="311" t="s">
        <v>854</v>
      </c>
      <c r="G190" s="311">
        <f t="shared" si="24"/>
        <v>3951591</v>
      </c>
      <c r="H190" s="311">
        <f>'d3'!E199-H191-H192</f>
        <v>3820000</v>
      </c>
      <c r="I190" s="311">
        <f>'d3'!J199-I191-I192</f>
        <v>131591</v>
      </c>
      <c r="J190" s="311">
        <f>'d3'!K199-J191-J192</f>
        <v>131591</v>
      </c>
      <c r="K190" s="137"/>
      <c r="L190" s="137"/>
      <c r="M190" s="137"/>
    </row>
    <row r="191" spans="1:13" ht="138.75" thickTop="1" thickBot="1" x14ac:dyDescent="0.25">
      <c r="A191" s="101" t="s">
        <v>334</v>
      </c>
      <c r="B191" s="101" t="s">
        <v>335</v>
      </c>
      <c r="C191" s="101" t="s">
        <v>182</v>
      </c>
      <c r="D191" s="101" t="s">
        <v>463</v>
      </c>
      <c r="E191" s="311" t="s">
        <v>1224</v>
      </c>
      <c r="F191" s="311" t="s">
        <v>405</v>
      </c>
      <c r="G191" s="311">
        <f t="shared" si="24"/>
        <v>672000</v>
      </c>
      <c r="H191" s="311">
        <v>672000</v>
      </c>
      <c r="I191" s="311">
        <v>0</v>
      </c>
      <c r="J191" s="311">
        <v>0</v>
      </c>
      <c r="K191" s="137"/>
      <c r="L191" s="137"/>
      <c r="M191" s="137"/>
    </row>
    <row r="192" spans="1:13" ht="184.5" thickTop="1" thickBot="1" x14ac:dyDescent="0.25">
      <c r="A192" s="101" t="s">
        <v>334</v>
      </c>
      <c r="B192" s="101" t="s">
        <v>335</v>
      </c>
      <c r="C192" s="101" t="s">
        <v>182</v>
      </c>
      <c r="D192" s="101" t="s">
        <v>463</v>
      </c>
      <c r="E192" s="311" t="s">
        <v>851</v>
      </c>
      <c r="F192" s="311" t="s">
        <v>852</v>
      </c>
      <c r="G192" s="311">
        <f t="shared" si="24"/>
        <v>280000</v>
      </c>
      <c r="H192" s="311">
        <v>280000</v>
      </c>
      <c r="I192" s="311">
        <v>0</v>
      </c>
      <c r="J192" s="311">
        <v>0</v>
      </c>
      <c r="K192" s="137"/>
      <c r="L192" s="137"/>
      <c r="M192" s="137"/>
    </row>
    <row r="193" spans="1:13" ht="138.75" thickTop="1" thickBot="1" x14ac:dyDescent="0.25">
      <c r="A193" s="101" t="s">
        <v>1009</v>
      </c>
      <c r="B193" s="101" t="s">
        <v>1010</v>
      </c>
      <c r="C193" s="101" t="s">
        <v>213</v>
      </c>
      <c r="D193" s="101" t="s">
        <v>1008</v>
      </c>
      <c r="E193" s="311" t="s">
        <v>1476</v>
      </c>
      <c r="F193" s="311" t="s">
        <v>1477</v>
      </c>
      <c r="G193" s="311">
        <f t="shared" si="24"/>
        <v>1026850</v>
      </c>
      <c r="H193" s="311">
        <f>'d3'!E203</f>
        <v>1026850</v>
      </c>
      <c r="I193" s="311">
        <f>'d3'!J203</f>
        <v>0</v>
      </c>
      <c r="J193" s="311">
        <f>'d3'!K203</f>
        <v>0</v>
      </c>
      <c r="K193" s="269"/>
      <c r="L193" s="269"/>
      <c r="M193" s="137"/>
    </row>
    <row r="194" spans="1:13" ht="138.75" hidden="1" thickTop="1" thickBot="1" x14ac:dyDescent="0.25">
      <c r="A194" s="126" t="s">
        <v>1229</v>
      </c>
      <c r="B194" s="126" t="s">
        <v>212</v>
      </c>
      <c r="C194" s="126" t="s">
        <v>213</v>
      </c>
      <c r="D194" s="126" t="s">
        <v>41</v>
      </c>
      <c r="E194" s="193" t="s">
        <v>853</v>
      </c>
      <c r="F194" s="193" t="s">
        <v>854</v>
      </c>
      <c r="G194" s="193">
        <f t="shared" si="24"/>
        <v>0</v>
      </c>
      <c r="H194" s="193">
        <f>'d3'!E204</f>
        <v>0</v>
      </c>
      <c r="I194" s="193">
        <f>'d3'!J204</f>
        <v>0</v>
      </c>
      <c r="J194" s="193">
        <f>'d3'!K204</f>
        <v>0</v>
      </c>
      <c r="K194" s="269"/>
      <c r="L194" s="269"/>
      <c r="M194" s="137"/>
    </row>
    <row r="195" spans="1:13" ht="138.75" hidden="1" thickTop="1" thickBot="1" x14ac:dyDescent="0.25">
      <c r="A195" s="126" t="s">
        <v>904</v>
      </c>
      <c r="B195" s="126" t="s">
        <v>197</v>
      </c>
      <c r="C195" s="126" t="s">
        <v>170</v>
      </c>
      <c r="D195" s="126" t="s">
        <v>34</v>
      </c>
      <c r="E195" s="193" t="s">
        <v>853</v>
      </c>
      <c r="F195" s="193" t="s">
        <v>854</v>
      </c>
      <c r="G195" s="193">
        <f t="shared" si="24"/>
        <v>0</v>
      </c>
      <c r="H195" s="193">
        <f>'d3'!E205</f>
        <v>0</v>
      </c>
      <c r="I195" s="193">
        <f>'d3'!J205</f>
        <v>0</v>
      </c>
      <c r="J195" s="193">
        <f>'d3'!K205</f>
        <v>0</v>
      </c>
      <c r="K195" s="269"/>
      <c r="L195" s="269"/>
      <c r="M195" s="137"/>
    </row>
    <row r="196" spans="1:13" ht="138.75" hidden="1" thickTop="1" thickBot="1" x14ac:dyDescent="0.25">
      <c r="A196" s="41" t="s">
        <v>581</v>
      </c>
      <c r="B196" s="41" t="s">
        <v>362</v>
      </c>
      <c r="C196" s="41" t="s">
        <v>43</v>
      </c>
      <c r="D196" s="41" t="s">
        <v>363</v>
      </c>
      <c r="E196" s="255" t="s">
        <v>848</v>
      </c>
      <c r="F196" s="73" t="s">
        <v>849</v>
      </c>
      <c r="G196" s="73">
        <f t="shared" si="24"/>
        <v>0</v>
      </c>
      <c r="H196" s="73">
        <f>'d3'!E208</f>
        <v>0</v>
      </c>
      <c r="I196" s="73">
        <f>'d3'!J208</f>
        <v>0</v>
      </c>
      <c r="J196" s="73">
        <f>'d3'!K208</f>
        <v>0</v>
      </c>
      <c r="K196" s="269"/>
      <c r="L196" s="269"/>
      <c r="M196" s="137"/>
    </row>
    <row r="197" spans="1:13" ht="170.25" customHeight="1" thickTop="1" thickBot="1" x14ac:dyDescent="0.25">
      <c r="A197" s="600" t="s">
        <v>22</v>
      </c>
      <c r="B197" s="600"/>
      <c r="C197" s="600"/>
      <c r="D197" s="601" t="s">
        <v>23</v>
      </c>
      <c r="E197" s="600"/>
      <c r="F197" s="600"/>
      <c r="G197" s="602">
        <f>G198</f>
        <v>140748056</v>
      </c>
      <c r="H197" s="602">
        <f t="shared" ref="H197:J197" si="25">H198</f>
        <v>138458341</v>
      </c>
      <c r="I197" s="602">
        <f t="shared" si="25"/>
        <v>2289715</v>
      </c>
      <c r="J197" s="602">
        <f t="shared" si="25"/>
        <v>0</v>
      </c>
      <c r="K197" s="95" t="b">
        <f>H197='d3'!E210+'d4'!F12</f>
        <v>1</v>
      </c>
      <c r="L197" s="436" t="b">
        <f>I197='d3'!J209+'d4'!G12</f>
        <v>1</v>
      </c>
      <c r="M197" s="436" t="b">
        <f>J197='d3'!K209+'d4'!H12</f>
        <v>1</v>
      </c>
    </row>
    <row r="198" spans="1:13" ht="170.25" customHeight="1" thickTop="1" thickBot="1" x14ac:dyDescent="0.25">
      <c r="A198" s="603" t="s">
        <v>21</v>
      </c>
      <c r="B198" s="603"/>
      <c r="C198" s="603"/>
      <c r="D198" s="604" t="s">
        <v>35</v>
      </c>
      <c r="E198" s="605"/>
      <c r="F198" s="605"/>
      <c r="G198" s="605">
        <f>SUM(G199:G218)</f>
        <v>140748056</v>
      </c>
      <c r="H198" s="605">
        <f>SUM(H199:H218)</f>
        <v>138458341</v>
      </c>
      <c r="I198" s="605">
        <f>SUM(I199:I218)</f>
        <v>2289715</v>
      </c>
      <c r="J198" s="605">
        <f>SUM(J199:J218)</f>
        <v>0</v>
      </c>
      <c r="K198" s="137"/>
      <c r="L198" s="137"/>
      <c r="M198" s="137"/>
    </row>
    <row r="199" spans="1:13" ht="184.5" hidden="1" thickTop="1" thickBot="1" x14ac:dyDescent="0.25">
      <c r="A199" s="126" t="s">
        <v>183</v>
      </c>
      <c r="B199" s="126" t="s">
        <v>184</v>
      </c>
      <c r="C199" s="126" t="s">
        <v>185</v>
      </c>
      <c r="D199" s="126" t="s">
        <v>632</v>
      </c>
      <c r="E199" s="252" t="s">
        <v>1131</v>
      </c>
      <c r="F199" s="193" t="s">
        <v>1132</v>
      </c>
      <c r="G199" s="193">
        <f t="shared" ref="G199:G201" si="26">H199+I199</f>
        <v>0</v>
      </c>
      <c r="H199" s="253">
        <f>'d3'!E213</f>
        <v>0</v>
      </c>
      <c r="I199" s="270">
        <f>'d3'!J213</f>
        <v>0</v>
      </c>
      <c r="J199" s="193">
        <f>'d3'!K213</f>
        <v>0</v>
      </c>
      <c r="K199" s="137"/>
      <c r="L199" s="137"/>
      <c r="M199" s="137"/>
    </row>
    <row r="200" spans="1:13" ht="184.5" thickTop="1" thickBot="1" x14ac:dyDescent="0.25">
      <c r="A200" s="101" t="s">
        <v>189</v>
      </c>
      <c r="B200" s="101" t="s">
        <v>190</v>
      </c>
      <c r="C200" s="101" t="s">
        <v>185</v>
      </c>
      <c r="D200" s="101" t="s">
        <v>10</v>
      </c>
      <c r="E200" s="314" t="s">
        <v>1217</v>
      </c>
      <c r="F200" s="311" t="s">
        <v>1132</v>
      </c>
      <c r="G200" s="311">
        <f t="shared" si="26"/>
        <v>6732270</v>
      </c>
      <c r="H200" s="315">
        <f>'d3'!E215-H201</f>
        <v>6076270</v>
      </c>
      <c r="I200" s="433">
        <f>'d3'!J215-I201</f>
        <v>656000</v>
      </c>
      <c r="J200" s="311">
        <f>'d3'!K215-J201</f>
        <v>0</v>
      </c>
      <c r="K200" s="137"/>
      <c r="L200" s="137"/>
      <c r="M200" s="137"/>
    </row>
    <row r="201" spans="1:13" ht="184.5" hidden="1" thickTop="1" thickBot="1" x14ac:dyDescent="0.25">
      <c r="A201" s="126" t="s">
        <v>189</v>
      </c>
      <c r="B201" s="126" t="s">
        <v>190</v>
      </c>
      <c r="C201" s="126" t="s">
        <v>185</v>
      </c>
      <c r="D201" s="126" t="s">
        <v>10</v>
      </c>
      <c r="E201" s="252" t="s">
        <v>1344</v>
      </c>
      <c r="F201" s="193" t="s">
        <v>448</v>
      </c>
      <c r="G201" s="193">
        <f t="shared" si="26"/>
        <v>0</v>
      </c>
      <c r="H201" s="253"/>
      <c r="I201" s="270"/>
      <c r="J201" s="193"/>
      <c r="K201" s="137"/>
      <c r="L201" s="137"/>
      <c r="M201" s="137"/>
    </row>
    <row r="202" spans="1:13" ht="184.5" thickTop="1" thickBot="1" x14ac:dyDescent="0.25">
      <c r="A202" s="101" t="s">
        <v>350</v>
      </c>
      <c r="B202" s="101" t="s">
        <v>351</v>
      </c>
      <c r="C202" s="101" t="s">
        <v>185</v>
      </c>
      <c r="D202" s="101" t="s">
        <v>352</v>
      </c>
      <c r="E202" s="314" t="s">
        <v>1217</v>
      </c>
      <c r="F202" s="311" t="s">
        <v>1132</v>
      </c>
      <c r="G202" s="311">
        <f t="shared" ref="G202:G206" si="27">H202+I202</f>
        <v>7054897</v>
      </c>
      <c r="H202" s="315">
        <f>'d3'!E216</f>
        <v>7047897</v>
      </c>
      <c r="I202" s="433">
        <f>'d3'!J216</f>
        <v>7000</v>
      </c>
      <c r="J202" s="311">
        <f>'d3'!K216</f>
        <v>0</v>
      </c>
      <c r="K202" s="137"/>
      <c r="L202" s="137"/>
      <c r="M202" s="137"/>
    </row>
    <row r="203" spans="1:13" ht="184.5" thickTop="1" thickBot="1" x14ac:dyDescent="0.25">
      <c r="A203" s="101" t="s">
        <v>44</v>
      </c>
      <c r="B203" s="101" t="s">
        <v>186</v>
      </c>
      <c r="C203" s="101" t="s">
        <v>195</v>
      </c>
      <c r="D203" s="101" t="s">
        <v>45</v>
      </c>
      <c r="E203" s="314" t="s">
        <v>1217</v>
      </c>
      <c r="F203" s="311" t="s">
        <v>1132</v>
      </c>
      <c r="G203" s="311">
        <f t="shared" si="27"/>
        <v>39000000</v>
      </c>
      <c r="H203" s="311">
        <f>'d3'!E219</f>
        <v>39000000</v>
      </c>
      <c r="I203" s="433">
        <f>'d3'!J219</f>
        <v>0</v>
      </c>
      <c r="J203" s="311">
        <f>'d3'!K219</f>
        <v>0</v>
      </c>
      <c r="K203" s="137"/>
      <c r="L203" s="137"/>
      <c r="M203" s="137"/>
    </row>
    <row r="204" spans="1:13" ht="184.5" thickTop="1" thickBot="1" x14ac:dyDescent="0.25">
      <c r="A204" s="101" t="s">
        <v>46</v>
      </c>
      <c r="B204" s="101" t="s">
        <v>187</v>
      </c>
      <c r="C204" s="101" t="s">
        <v>195</v>
      </c>
      <c r="D204" s="101" t="s">
        <v>4</v>
      </c>
      <c r="E204" s="314" t="s">
        <v>1217</v>
      </c>
      <c r="F204" s="311" t="s">
        <v>1132</v>
      </c>
      <c r="G204" s="311">
        <f t="shared" si="27"/>
        <v>4223256</v>
      </c>
      <c r="H204" s="311">
        <f>'d3'!E220</f>
        <v>4223256</v>
      </c>
      <c r="I204" s="433">
        <f>'d3'!J220</f>
        <v>0</v>
      </c>
      <c r="J204" s="311">
        <f>'d3'!K220</f>
        <v>0</v>
      </c>
      <c r="K204" s="137"/>
      <c r="L204" s="137"/>
      <c r="M204" s="137"/>
    </row>
    <row r="205" spans="1:13" ht="184.5" thickTop="1" thickBot="1" x14ac:dyDescent="0.25">
      <c r="A205" s="101" t="s">
        <v>47</v>
      </c>
      <c r="B205" s="101" t="s">
        <v>188</v>
      </c>
      <c r="C205" s="101" t="s">
        <v>195</v>
      </c>
      <c r="D205" s="101" t="s">
        <v>348</v>
      </c>
      <c r="E205" s="314" t="s">
        <v>1217</v>
      </c>
      <c r="F205" s="311" t="s">
        <v>1132</v>
      </c>
      <c r="G205" s="311">
        <f t="shared" si="27"/>
        <v>28500</v>
      </c>
      <c r="H205" s="311">
        <f>'d3'!E222</f>
        <v>28500</v>
      </c>
      <c r="I205" s="433">
        <f>'d3'!J222</f>
        <v>0</v>
      </c>
      <c r="J205" s="311">
        <f>'d3'!K222</f>
        <v>0</v>
      </c>
      <c r="K205" s="137"/>
      <c r="L205" s="137"/>
      <c r="M205" s="137"/>
    </row>
    <row r="206" spans="1:13" ht="184.5" thickTop="1" thickBot="1" x14ac:dyDescent="0.25">
      <c r="A206" s="101" t="s">
        <v>28</v>
      </c>
      <c r="B206" s="101" t="s">
        <v>192</v>
      </c>
      <c r="C206" s="101" t="s">
        <v>195</v>
      </c>
      <c r="D206" s="101" t="s">
        <v>48</v>
      </c>
      <c r="E206" s="314" t="s">
        <v>1217</v>
      </c>
      <c r="F206" s="311" t="s">
        <v>1132</v>
      </c>
      <c r="G206" s="311">
        <f t="shared" si="27"/>
        <v>68334447</v>
      </c>
      <c r="H206" s="311">
        <f>'d3'!E224-H207</f>
        <v>66836891</v>
      </c>
      <c r="I206" s="433">
        <f>'d3'!J224-I207</f>
        <v>1497556</v>
      </c>
      <c r="J206" s="311">
        <f>'d3'!K224-J207</f>
        <v>0</v>
      </c>
      <c r="K206" s="137"/>
      <c r="L206" s="137"/>
      <c r="M206" s="137"/>
    </row>
    <row r="207" spans="1:13" ht="184.5" hidden="1" thickTop="1" thickBot="1" x14ac:dyDescent="0.25">
      <c r="A207" s="126" t="s">
        <v>28</v>
      </c>
      <c r="B207" s="126" t="s">
        <v>192</v>
      </c>
      <c r="C207" s="126" t="s">
        <v>195</v>
      </c>
      <c r="D207" s="126" t="s">
        <v>48</v>
      </c>
      <c r="E207" s="252" t="s">
        <v>1528</v>
      </c>
      <c r="F207" s="193" t="s">
        <v>1529</v>
      </c>
      <c r="G207" s="193">
        <f>H207+I207</f>
        <v>0</v>
      </c>
      <c r="H207" s="253"/>
      <c r="I207" s="193"/>
      <c r="J207" s="193"/>
      <c r="K207" s="137"/>
      <c r="L207" s="137"/>
      <c r="M207" s="137"/>
    </row>
    <row r="208" spans="1:13" ht="184.5" thickTop="1" thickBot="1" x14ac:dyDescent="0.25">
      <c r="A208" s="101" t="s">
        <v>29</v>
      </c>
      <c r="B208" s="101" t="s">
        <v>193</v>
      </c>
      <c r="C208" s="101" t="s">
        <v>195</v>
      </c>
      <c r="D208" s="101" t="s">
        <v>49</v>
      </c>
      <c r="E208" s="314" t="s">
        <v>1217</v>
      </c>
      <c r="F208" s="311" t="s">
        <v>1132</v>
      </c>
      <c r="G208" s="311">
        <f t="shared" ref="G208:G218" si="28">H208+I208</f>
        <v>7323423</v>
      </c>
      <c r="H208" s="311">
        <f>'d3'!E225</f>
        <v>7323423</v>
      </c>
      <c r="I208" s="433">
        <f>'d3'!J225</f>
        <v>0</v>
      </c>
      <c r="J208" s="311">
        <f>'d3'!K225</f>
        <v>0</v>
      </c>
      <c r="K208" s="137"/>
      <c r="L208" s="137"/>
      <c r="M208" s="137"/>
    </row>
    <row r="209" spans="1:13" ht="184.5" hidden="1" thickTop="1" thickBot="1" x14ac:dyDescent="0.25">
      <c r="A209" s="126" t="s">
        <v>1337</v>
      </c>
      <c r="B209" s="126" t="s">
        <v>1338</v>
      </c>
      <c r="C209" s="126" t="s">
        <v>195</v>
      </c>
      <c r="D209" s="126" t="s">
        <v>1339</v>
      </c>
      <c r="E209" s="252" t="s">
        <v>1217</v>
      </c>
      <c r="F209" s="193" t="s">
        <v>1132</v>
      </c>
      <c r="G209" s="193">
        <f t="shared" si="28"/>
        <v>0</v>
      </c>
      <c r="H209" s="193">
        <f>'d3'!E227</f>
        <v>0</v>
      </c>
      <c r="I209" s="270">
        <f>'d3'!J227</f>
        <v>0</v>
      </c>
      <c r="J209" s="270">
        <f>'d3'!K227</f>
        <v>0</v>
      </c>
      <c r="K209" s="137"/>
      <c r="L209" s="137"/>
      <c r="M209" s="137"/>
    </row>
    <row r="210" spans="1:13" ht="184.5" thickTop="1" thickBot="1" x14ac:dyDescent="0.25">
      <c r="A210" s="658" t="s">
        <v>30</v>
      </c>
      <c r="B210" s="658" t="s">
        <v>194</v>
      </c>
      <c r="C210" s="658" t="s">
        <v>195</v>
      </c>
      <c r="D210" s="101" t="s">
        <v>31</v>
      </c>
      <c r="E210" s="314" t="s">
        <v>1217</v>
      </c>
      <c r="F210" s="311" t="s">
        <v>1132</v>
      </c>
      <c r="G210" s="311">
        <f t="shared" si="28"/>
        <v>850564</v>
      </c>
      <c r="H210" s="311">
        <f>'d3'!E229</f>
        <v>850564</v>
      </c>
      <c r="I210" s="433">
        <f>'d3'!J229</f>
        <v>0</v>
      </c>
      <c r="J210" s="311">
        <f>'d3'!K229</f>
        <v>0</v>
      </c>
      <c r="K210" s="137"/>
      <c r="L210" s="137"/>
      <c r="M210" s="137"/>
    </row>
    <row r="211" spans="1:13" ht="184.5" thickTop="1" thickBot="1" x14ac:dyDescent="0.25">
      <c r="A211" s="658" t="s">
        <v>510</v>
      </c>
      <c r="B211" s="658" t="s">
        <v>508</v>
      </c>
      <c r="C211" s="658" t="s">
        <v>195</v>
      </c>
      <c r="D211" s="101" t="s">
        <v>509</v>
      </c>
      <c r="E211" s="314" t="s">
        <v>1217</v>
      </c>
      <c r="F211" s="311" t="s">
        <v>1132</v>
      </c>
      <c r="G211" s="311">
        <f t="shared" si="28"/>
        <v>4892000</v>
      </c>
      <c r="H211" s="311">
        <f>'d3'!E230</f>
        <v>4892000</v>
      </c>
      <c r="I211" s="433">
        <f>'d3'!J230</f>
        <v>0</v>
      </c>
      <c r="J211" s="433">
        <f>'d3'!K230</f>
        <v>0</v>
      </c>
      <c r="K211" s="137"/>
      <c r="L211" s="137"/>
      <c r="M211" s="137"/>
    </row>
    <row r="212" spans="1:13" ht="184.5" thickTop="1" thickBot="1" x14ac:dyDescent="0.25">
      <c r="A212" s="658" t="s">
        <v>32</v>
      </c>
      <c r="B212" s="658" t="s">
        <v>196</v>
      </c>
      <c r="C212" s="658" t="s">
        <v>195</v>
      </c>
      <c r="D212" s="101" t="s">
        <v>33</v>
      </c>
      <c r="E212" s="314" t="s">
        <v>1217</v>
      </c>
      <c r="F212" s="311" t="s">
        <v>1132</v>
      </c>
      <c r="G212" s="311">
        <f t="shared" si="28"/>
        <v>2308699</v>
      </c>
      <c r="H212" s="311">
        <f>'d3'!E231</f>
        <v>2179540</v>
      </c>
      <c r="I212" s="433">
        <f>'d3'!J231</f>
        <v>129159</v>
      </c>
      <c r="J212" s="311">
        <f>'d3'!K231</f>
        <v>0</v>
      </c>
      <c r="K212" s="137"/>
      <c r="L212" s="137"/>
      <c r="M212" s="137"/>
    </row>
    <row r="213" spans="1:13" ht="184.5" hidden="1" thickTop="1" thickBot="1" x14ac:dyDescent="0.25">
      <c r="A213" s="384" t="s">
        <v>341</v>
      </c>
      <c r="B213" s="384" t="s">
        <v>340</v>
      </c>
      <c r="C213" s="384" t="s">
        <v>339</v>
      </c>
      <c r="D213" s="126" t="s">
        <v>633</v>
      </c>
      <c r="E213" s="252" t="s">
        <v>1217</v>
      </c>
      <c r="F213" s="193" t="s">
        <v>1132</v>
      </c>
      <c r="G213" s="193">
        <f t="shared" si="28"/>
        <v>0</v>
      </c>
      <c r="H213" s="193">
        <f>'d3'!E234</f>
        <v>0</v>
      </c>
      <c r="I213" s="270">
        <f>'d3'!J234</f>
        <v>0</v>
      </c>
      <c r="J213" s="270">
        <f>'d3'!K234</f>
        <v>0</v>
      </c>
      <c r="K213" s="137"/>
      <c r="L213" s="137"/>
      <c r="M213" s="137"/>
    </row>
    <row r="214" spans="1:13" ht="184.5" hidden="1" thickTop="1" thickBot="1" x14ac:dyDescent="0.25">
      <c r="A214" s="126" t="s">
        <v>1070</v>
      </c>
      <c r="B214" s="126" t="s">
        <v>312</v>
      </c>
      <c r="C214" s="126" t="s">
        <v>303</v>
      </c>
      <c r="D214" s="126" t="s">
        <v>1202</v>
      </c>
      <c r="E214" s="252" t="s">
        <v>1217</v>
      </c>
      <c r="F214" s="193" t="s">
        <v>1132</v>
      </c>
      <c r="G214" s="193">
        <f t="shared" si="28"/>
        <v>0</v>
      </c>
      <c r="H214" s="193">
        <f>'d3'!E238</f>
        <v>0</v>
      </c>
      <c r="I214" s="270">
        <f>'d3'!J238</f>
        <v>0</v>
      </c>
      <c r="J214" s="270">
        <f>'d3'!K238</f>
        <v>0</v>
      </c>
      <c r="K214" s="137"/>
      <c r="L214" s="137"/>
      <c r="M214" s="137"/>
    </row>
    <row r="215" spans="1:13" ht="184.5" hidden="1" thickTop="1" thickBot="1" x14ac:dyDescent="0.25">
      <c r="A215" s="126" t="s">
        <v>1294</v>
      </c>
      <c r="B215" s="126" t="s">
        <v>212</v>
      </c>
      <c r="C215" s="126" t="s">
        <v>213</v>
      </c>
      <c r="D215" s="126" t="s">
        <v>41</v>
      </c>
      <c r="E215" s="252" t="s">
        <v>1217</v>
      </c>
      <c r="F215" s="193" t="s">
        <v>1132</v>
      </c>
      <c r="G215" s="193">
        <f t="shared" si="28"/>
        <v>0</v>
      </c>
      <c r="H215" s="193">
        <f>'d3'!E240</f>
        <v>0</v>
      </c>
      <c r="I215" s="270">
        <f>'d3'!J240</f>
        <v>0</v>
      </c>
      <c r="J215" s="270">
        <f>'d3'!K240</f>
        <v>0</v>
      </c>
      <c r="K215" s="137"/>
      <c r="L215" s="137"/>
      <c r="M215" s="137"/>
    </row>
    <row r="216" spans="1:13" ht="184.5" hidden="1" thickTop="1" thickBot="1" x14ac:dyDescent="0.25">
      <c r="A216" s="126" t="s">
        <v>601</v>
      </c>
      <c r="B216" s="126" t="s">
        <v>197</v>
      </c>
      <c r="C216" s="126" t="s">
        <v>170</v>
      </c>
      <c r="D216" s="126" t="s">
        <v>34</v>
      </c>
      <c r="E216" s="252" t="s">
        <v>1217</v>
      </c>
      <c r="F216" s="193" t="s">
        <v>1132</v>
      </c>
      <c r="G216" s="193">
        <f t="shared" ref="G216" si="29">H216+I216</f>
        <v>0</v>
      </c>
      <c r="H216" s="193">
        <f>'d3'!E241</f>
        <v>0</v>
      </c>
      <c r="I216" s="270">
        <f>'d3'!J241</f>
        <v>0</v>
      </c>
      <c r="J216" s="270">
        <f>'d3'!K241</f>
        <v>0</v>
      </c>
      <c r="K216" s="137"/>
      <c r="L216" s="137"/>
      <c r="M216" s="137"/>
    </row>
    <row r="217" spans="1:13" ht="184.5" hidden="1" thickTop="1" thickBot="1" x14ac:dyDescent="0.25">
      <c r="A217" s="384" t="s">
        <v>455</v>
      </c>
      <c r="B217" s="384" t="s">
        <v>457</v>
      </c>
      <c r="C217" s="384" t="s">
        <v>50</v>
      </c>
      <c r="D217" s="126" t="s">
        <v>454</v>
      </c>
      <c r="E217" s="252" t="s">
        <v>1217</v>
      </c>
      <c r="F217" s="193" t="s">
        <v>1132</v>
      </c>
      <c r="G217" s="193">
        <f t="shared" si="28"/>
        <v>0</v>
      </c>
      <c r="H217" s="193">
        <f>'d4'!F17</f>
        <v>0</v>
      </c>
      <c r="I217" s="270">
        <f>'d4'!G17</f>
        <v>0</v>
      </c>
      <c r="J217" s="270">
        <f>'d4'!H17</f>
        <v>0</v>
      </c>
      <c r="K217" s="137"/>
      <c r="L217" s="137"/>
      <c r="M217" s="137"/>
    </row>
    <row r="218" spans="1:13" ht="184.5" hidden="1" thickTop="1" thickBot="1" x14ac:dyDescent="0.25">
      <c r="A218" s="126" t="s">
        <v>1078</v>
      </c>
      <c r="B218" s="126" t="s">
        <v>362</v>
      </c>
      <c r="C218" s="126" t="s">
        <v>43</v>
      </c>
      <c r="D218" s="126" t="s">
        <v>363</v>
      </c>
      <c r="E218" s="252" t="s">
        <v>1217</v>
      </c>
      <c r="F218" s="193" t="s">
        <v>1132</v>
      </c>
      <c r="G218" s="193">
        <f t="shared" si="28"/>
        <v>0</v>
      </c>
      <c r="H218" s="193">
        <f>'d3'!E244</f>
        <v>0</v>
      </c>
      <c r="I218" s="270">
        <f>'d3'!J244</f>
        <v>0</v>
      </c>
      <c r="J218" s="270">
        <f>'d3'!K244</f>
        <v>0</v>
      </c>
      <c r="K218" s="137"/>
      <c r="L218" s="137"/>
      <c r="M218" s="137"/>
    </row>
    <row r="219" spans="1:13" ht="170.25" customHeight="1" thickTop="1" thickBot="1" x14ac:dyDescent="0.25">
      <c r="A219" s="600" t="s">
        <v>158</v>
      </c>
      <c r="B219" s="600"/>
      <c r="C219" s="600"/>
      <c r="D219" s="601" t="s">
        <v>557</v>
      </c>
      <c r="E219" s="600"/>
      <c r="F219" s="600"/>
      <c r="G219" s="602">
        <f>G220</f>
        <v>28183604</v>
      </c>
      <c r="H219" s="602">
        <f t="shared" ref="H219:J219" si="30">H220</f>
        <v>11987576</v>
      </c>
      <c r="I219" s="602">
        <f t="shared" si="30"/>
        <v>16196028</v>
      </c>
      <c r="J219" s="602">
        <f t="shared" si="30"/>
        <v>16196028</v>
      </c>
      <c r="K219" s="95" t="b">
        <f>H219='d3'!E245-'d3'!E248+'d7'!H221</f>
        <v>1</v>
      </c>
      <c r="L219" s="95" t="b">
        <f>I219='d3'!J245-'d3'!J248+I221</f>
        <v>1</v>
      </c>
      <c r="M219" s="95" t="b">
        <f>J219='d3'!K245-'d3'!K248+J221</f>
        <v>1</v>
      </c>
    </row>
    <row r="220" spans="1:13" ht="136.5" thickTop="1" thickBot="1" x14ac:dyDescent="0.25">
      <c r="A220" s="603" t="s">
        <v>159</v>
      </c>
      <c r="B220" s="603"/>
      <c r="C220" s="603"/>
      <c r="D220" s="604" t="s">
        <v>558</v>
      </c>
      <c r="E220" s="605"/>
      <c r="F220" s="605"/>
      <c r="G220" s="605">
        <f>SUM(G221:G247)</f>
        <v>28183604</v>
      </c>
      <c r="H220" s="605">
        <f>SUM(H221:H247)</f>
        <v>11987576</v>
      </c>
      <c r="I220" s="605">
        <f>SUM(I221:I247)</f>
        <v>16196028</v>
      </c>
      <c r="J220" s="605">
        <f>SUM(J221:J247)</f>
        <v>16196028</v>
      </c>
      <c r="K220" s="137"/>
      <c r="L220" s="137"/>
      <c r="M220" s="137"/>
    </row>
    <row r="221" spans="1:13" ht="138.75" thickTop="1" thickBot="1" x14ac:dyDescent="0.25">
      <c r="A221" s="101" t="s">
        <v>419</v>
      </c>
      <c r="B221" s="101" t="s">
        <v>236</v>
      </c>
      <c r="C221" s="101" t="s">
        <v>234</v>
      </c>
      <c r="D221" s="101" t="s">
        <v>235</v>
      </c>
      <c r="E221" s="314" t="s">
        <v>1011</v>
      </c>
      <c r="F221" s="311" t="s">
        <v>845</v>
      </c>
      <c r="G221" s="311">
        <f t="shared" ref="G221:G287" si="31">H221+I221</f>
        <v>30000</v>
      </c>
      <c r="H221" s="315">
        <v>0</v>
      </c>
      <c r="I221" s="433">
        <v>30000</v>
      </c>
      <c r="J221" s="433">
        <v>30000</v>
      </c>
      <c r="K221" s="137"/>
      <c r="L221" s="137"/>
      <c r="M221" s="137"/>
    </row>
    <row r="222" spans="1:13" ht="321.75" hidden="1" thickTop="1" thickBot="1" x14ac:dyDescent="0.25">
      <c r="A222" s="126" t="s">
        <v>621</v>
      </c>
      <c r="B222" s="126" t="s">
        <v>361</v>
      </c>
      <c r="C222" s="126" t="s">
        <v>619</v>
      </c>
      <c r="D222" s="126" t="s">
        <v>620</v>
      </c>
      <c r="E222" s="252" t="s">
        <v>1256</v>
      </c>
      <c r="F222" s="193" t="s">
        <v>1257</v>
      </c>
      <c r="G222" s="193">
        <f t="shared" si="31"/>
        <v>0</v>
      </c>
      <c r="H222" s="253">
        <f>'d3'!E249</f>
        <v>0</v>
      </c>
      <c r="I222" s="270">
        <v>0</v>
      </c>
      <c r="J222" s="270">
        <v>0</v>
      </c>
      <c r="K222" s="137"/>
      <c r="L222" s="137"/>
      <c r="M222" s="137"/>
    </row>
    <row r="223" spans="1:13" ht="184.5" hidden="1" thickTop="1" thickBot="1" x14ac:dyDescent="0.25">
      <c r="A223" s="351" t="s">
        <v>279</v>
      </c>
      <c r="B223" s="351" t="s">
        <v>280</v>
      </c>
      <c r="C223" s="351" t="s">
        <v>339</v>
      </c>
      <c r="D223" s="351" t="s">
        <v>281</v>
      </c>
      <c r="E223" s="252" t="s">
        <v>1199</v>
      </c>
      <c r="F223" s="193" t="s">
        <v>1137</v>
      </c>
      <c r="G223" s="266">
        <f t="shared" si="31"/>
        <v>0</v>
      </c>
      <c r="H223" s="266">
        <v>0</v>
      </c>
      <c r="I223" s="266">
        <f>(200000)-200000</f>
        <v>0</v>
      </c>
      <c r="J223" s="266">
        <f>(200000)-200000</f>
        <v>0</v>
      </c>
      <c r="K223" s="95" t="b">
        <f>H223+H224+H225='d3'!E253</f>
        <v>1</v>
      </c>
      <c r="L223" s="434" t="b">
        <f>I223+I224+I225='d3'!J253</f>
        <v>1</v>
      </c>
      <c r="M223" s="434" t="b">
        <f>J223+J224+J225='d3'!K253</f>
        <v>1</v>
      </c>
    </row>
    <row r="224" spans="1:13" ht="184.5" thickTop="1" thickBot="1" x14ac:dyDescent="0.25">
      <c r="A224" s="327" t="s">
        <v>279</v>
      </c>
      <c r="B224" s="327" t="s">
        <v>280</v>
      </c>
      <c r="C224" s="327" t="s">
        <v>339</v>
      </c>
      <c r="D224" s="327" t="s">
        <v>281</v>
      </c>
      <c r="E224" s="320" t="s">
        <v>1599</v>
      </c>
      <c r="F224" s="320"/>
      <c r="G224" s="318">
        <f t="shared" si="31"/>
        <v>3411200</v>
      </c>
      <c r="H224" s="315">
        <v>1911200</v>
      </c>
      <c r="I224" s="433">
        <v>1500000</v>
      </c>
      <c r="J224" s="433">
        <v>1500000</v>
      </c>
      <c r="K224" s="137"/>
      <c r="L224" s="137"/>
      <c r="M224" s="137"/>
    </row>
    <row r="225" spans="1:13" ht="321.75" hidden="1" thickTop="1" thickBot="1" x14ac:dyDescent="0.25">
      <c r="A225" s="351" t="s">
        <v>279</v>
      </c>
      <c r="B225" s="351" t="s">
        <v>280</v>
      </c>
      <c r="C225" s="351" t="s">
        <v>339</v>
      </c>
      <c r="D225" s="351" t="s">
        <v>281</v>
      </c>
      <c r="E225" s="193" t="s">
        <v>1348</v>
      </c>
      <c r="F225" s="193" t="s">
        <v>847</v>
      </c>
      <c r="G225" s="193">
        <f t="shared" si="31"/>
        <v>0</v>
      </c>
      <c r="H225" s="253">
        <v>0</v>
      </c>
      <c r="I225" s="270">
        <v>0</v>
      </c>
      <c r="J225" s="270">
        <v>0</v>
      </c>
      <c r="K225" s="137"/>
      <c r="L225" s="137"/>
      <c r="M225" s="137"/>
    </row>
    <row r="226" spans="1:13" ht="184.5" hidden="1" thickTop="1" thickBot="1" x14ac:dyDescent="0.25">
      <c r="A226" s="126" t="s">
        <v>1552</v>
      </c>
      <c r="B226" s="126" t="s">
        <v>285</v>
      </c>
      <c r="C226" s="126" t="s">
        <v>282</v>
      </c>
      <c r="D226" s="126" t="s">
        <v>286</v>
      </c>
      <c r="E226" s="252" t="s">
        <v>1199</v>
      </c>
      <c r="F226" s="193" t="s">
        <v>1137</v>
      </c>
      <c r="G226" s="193">
        <f t="shared" si="31"/>
        <v>0</v>
      </c>
      <c r="H226" s="253">
        <f>'d3'!E254</f>
        <v>0</v>
      </c>
      <c r="I226" s="270">
        <f>'d3'!J254</f>
        <v>0</v>
      </c>
      <c r="J226" s="270">
        <f>'d3'!K254</f>
        <v>0</v>
      </c>
      <c r="K226" s="137"/>
      <c r="L226" s="137"/>
      <c r="M226" s="137"/>
    </row>
    <row r="227" spans="1:13" ht="184.5" thickTop="1" thickBot="1" x14ac:dyDescent="0.25">
      <c r="A227" s="101" t="s">
        <v>300</v>
      </c>
      <c r="B227" s="101" t="s">
        <v>301</v>
      </c>
      <c r="C227" s="101" t="s">
        <v>282</v>
      </c>
      <c r="D227" s="101" t="s">
        <v>302</v>
      </c>
      <c r="E227" s="314" t="s">
        <v>1199</v>
      </c>
      <c r="F227" s="311" t="s">
        <v>1137</v>
      </c>
      <c r="G227" s="311">
        <f t="shared" si="31"/>
        <v>3384000</v>
      </c>
      <c r="H227" s="315">
        <f>'d3'!E255</f>
        <v>0</v>
      </c>
      <c r="I227" s="433">
        <f>'d3'!J255</f>
        <v>3384000</v>
      </c>
      <c r="J227" s="433">
        <f>'d3'!K255</f>
        <v>3384000</v>
      </c>
      <c r="K227" s="137"/>
      <c r="L227" s="137"/>
      <c r="M227" s="137"/>
    </row>
    <row r="228" spans="1:13" ht="184.5" hidden="1" thickTop="1" thickBot="1" x14ac:dyDescent="0.25">
      <c r="A228" s="351" t="s">
        <v>283</v>
      </c>
      <c r="B228" s="351" t="s">
        <v>284</v>
      </c>
      <c r="C228" s="351" t="s">
        <v>282</v>
      </c>
      <c r="D228" s="351" t="s">
        <v>464</v>
      </c>
      <c r="E228" s="252" t="s">
        <v>1199</v>
      </c>
      <c r="F228" s="193" t="s">
        <v>1137</v>
      </c>
      <c r="G228" s="193">
        <f t="shared" si="31"/>
        <v>0</v>
      </c>
      <c r="H228" s="426">
        <f>2500000-2500000</f>
        <v>0</v>
      </c>
      <c r="I228" s="270">
        <f>2800000-2800000</f>
        <v>0</v>
      </c>
      <c r="J228" s="270">
        <f>2800000-2800000</f>
        <v>0</v>
      </c>
      <c r="K228" s="137"/>
      <c r="L228" s="137"/>
      <c r="M228" s="137"/>
    </row>
    <row r="229" spans="1:13" ht="138.75" thickTop="1" thickBot="1" x14ac:dyDescent="0.25">
      <c r="A229" s="327" t="s">
        <v>283</v>
      </c>
      <c r="B229" s="327" t="s">
        <v>284</v>
      </c>
      <c r="C229" s="327" t="s">
        <v>282</v>
      </c>
      <c r="D229" s="327" t="s">
        <v>464</v>
      </c>
      <c r="E229" s="314" t="s">
        <v>1521</v>
      </c>
      <c r="F229" s="311" t="s">
        <v>1522</v>
      </c>
      <c r="G229" s="311">
        <f t="shared" si="31"/>
        <v>51600</v>
      </c>
      <c r="H229" s="606">
        <f>'d3'!E256-H228</f>
        <v>51600</v>
      </c>
      <c r="I229" s="433">
        <f>'d3'!J256-I228</f>
        <v>0</v>
      </c>
      <c r="J229" s="433">
        <f>'d3'!K256-J228</f>
        <v>0</v>
      </c>
      <c r="K229" s="137"/>
      <c r="L229" s="137"/>
      <c r="M229" s="137"/>
    </row>
    <row r="230" spans="1:13" ht="184.5" hidden="1" thickTop="1" thickBot="1" x14ac:dyDescent="0.25">
      <c r="A230" s="126" t="s">
        <v>914</v>
      </c>
      <c r="B230" s="126" t="s">
        <v>296</v>
      </c>
      <c r="C230" s="126" t="s">
        <v>282</v>
      </c>
      <c r="D230" s="126" t="s">
        <v>297</v>
      </c>
      <c r="E230" s="252" t="s">
        <v>1366</v>
      </c>
      <c r="F230" s="193" t="s">
        <v>1308</v>
      </c>
      <c r="G230" s="193">
        <f t="shared" ref="G230:G237" si="32">H230+I230</f>
        <v>0</v>
      </c>
      <c r="H230" s="253">
        <f>'d3'!E257-H232-H231</f>
        <v>0</v>
      </c>
      <c r="I230" s="270">
        <f>'d3'!J257-I232-I231</f>
        <v>0</v>
      </c>
      <c r="J230" s="270">
        <f>'d3'!K257-J232-J231</f>
        <v>0</v>
      </c>
      <c r="K230" s="137"/>
      <c r="L230" s="137"/>
      <c r="M230" s="137"/>
    </row>
    <row r="231" spans="1:13" ht="184.5" hidden="1" thickTop="1" thickBot="1" x14ac:dyDescent="0.25">
      <c r="A231" s="126" t="s">
        <v>914</v>
      </c>
      <c r="B231" s="126" t="s">
        <v>296</v>
      </c>
      <c r="C231" s="126" t="s">
        <v>282</v>
      </c>
      <c r="D231" s="126" t="s">
        <v>297</v>
      </c>
      <c r="E231" s="252" t="s">
        <v>1521</v>
      </c>
      <c r="F231" s="193" t="s">
        <v>1522</v>
      </c>
      <c r="G231" s="193">
        <f t="shared" si="32"/>
        <v>0</v>
      </c>
      <c r="H231" s="253"/>
      <c r="I231" s="270"/>
      <c r="J231" s="270"/>
      <c r="K231" s="137"/>
      <c r="L231" s="137"/>
      <c r="M231" s="137"/>
    </row>
    <row r="232" spans="1:13" ht="321.75" hidden="1" thickTop="1" thickBot="1" x14ac:dyDescent="0.25">
      <c r="A232" s="126" t="s">
        <v>914</v>
      </c>
      <c r="B232" s="126" t="s">
        <v>296</v>
      </c>
      <c r="C232" s="126" t="s">
        <v>282</v>
      </c>
      <c r="D232" s="126" t="s">
        <v>297</v>
      </c>
      <c r="E232" s="193" t="s">
        <v>1348</v>
      </c>
      <c r="F232" s="193" t="s">
        <v>847</v>
      </c>
      <c r="G232" s="193">
        <f t="shared" si="32"/>
        <v>0</v>
      </c>
      <c r="H232" s="253"/>
      <c r="I232" s="270"/>
      <c r="J232" s="270"/>
      <c r="K232" s="137"/>
      <c r="L232" s="137"/>
      <c r="M232" s="137"/>
    </row>
    <row r="233" spans="1:13" ht="184.5" thickTop="1" thickBot="1" x14ac:dyDescent="0.25">
      <c r="A233" s="101" t="s">
        <v>287</v>
      </c>
      <c r="B233" s="101" t="s">
        <v>288</v>
      </c>
      <c r="C233" s="101" t="s">
        <v>282</v>
      </c>
      <c r="D233" s="101" t="s">
        <v>289</v>
      </c>
      <c r="E233" s="314" t="s">
        <v>1199</v>
      </c>
      <c r="F233" s="311" t="s">
        <v>1137</v>
      </c>
      <c r="G233" s="311">
        <f t="shared" si="31"/>
        <v>5000000</v>
      </c>
      <c r="H233" s="315">
        <f>'d3'!E258</f>
        <v>5000000</v>
      </c>
      <c r="I233" s="433">
        <f>'d3'!J258</f>
        <v>0</v>
      </c>
      <c r="J233" s="433">
        <f>'d3'!K258</f>
        <v>0</v>
      </c>
      <c r="K233" s="137"/>
      <c r="L233" s="137"/>
      <c r="M233" s="137"/>
    </row>
    <row r="234" spans="1:13" ht="184.5" thickTop="1" thickBot="1" x14ac:dyDescent="0.25">
      <c r="A234" s="101" t="s">
        <v>1226</v>
      </c>
      <c r="B234" s="101" t="s">
        <v>1116</v>
      </c>
      <c r="C234" s="101" t="s">
        <v>1117</v>
      </c>
      <c r="D234" s="101" t="s">
        <v>1114</v>
      </c>
      <c r="E234" s="314" t="s">
        <v>1199</v>
      </c>
      <c r="F234" s="311" t="s">
        <v>1137</v>
      </c>
      <c r="G234" s="311">
        <f t="shared" si="32"/>
        <v>1545300</v>
      </c>
      <c r="H234" s="331">
        <f>'d3'!E259-H237-H236-H235</f>
        <v>1545300</v>
      </c>
      <c r="I234" s="607">
        <f>'d3'!J259-I237-I236-I235</f>
        <v>0</v>
      </c>
      <c r="J234" s="607">
        <f>'d3'!K259-J237-J236-J235</f>
        <v>0</v>
      </c>
      <c r="K234" s="137"/>
      <c r="L234" s="137"/>
      <c r="M234" s="137"/>
    </row>
    <row r="235" spans="1:13" ht="93" hidden="1" thickTop="1" thickBot="1" x14ac:dyDescent="0.25">
      <c r="A235" s="101" t="s">
        <v>1226</v>
      </c>
      <c r="B235" s="101" t="s">
        <v>1116</v>
      </c>
      <c r="C235" s="101" t="s">
        <v>1117</v>
      </c>
      <c r="D235" s="101" t="s">
        <v>1114</v>
      </c>
      <c r="E235" s="314"/>
      <c r="F235" s="311"/>
      <c r="G235" s="311">
        <f t="shared" si="32"/>
        <v>0</v>
      </c>
      <c r="H235" s="331"/>
      <c r="I235" s="607"/>
      <c r="J235" s="607"/>
      <c r="K235" s="137"/>
      <c r="L235" s="137"/>
      <c r="M235" s="137"/>
    </row>
    <row r="236" spans="1:13" ht="230.25" hidden="1" thickTop="1" thickBot="1" x14ac:dyDescent="0.25">
      <c r="A236" s="126" t="s">
        <v>1226</v>
      </c>
      <c r="B236" s="126" t="s">
        <v>1116</v>
      </c>
      <c r="C236" s="126" t="s">
        <v>1117</v>
      </c>
      <c r="D236" s="126" t="s">
        <v>1114</v>
      </c>
      <c r="E236" s="252" t="s">
        <v>1553</v>
      </c>
      <c r="F236" s="193" t="s">
        <v>1247</v>
      </c>
      <c r="G236" s="193">
        <f t="shared" si="32"/>
        <v>0</v>
      </c>
      <c r="H236" s="272"/>
      <c r="I236" s="273">
        <v>0</v>
      </c>
      <c r="J236" s="273">
        <v>0</v>
      </c>
      <c r="K236" s="137"/>
      <c r="L236" s="137"/>
      <c r="M236" s="137"/>
    </row>
    <row r="237" spans="1:13" ht="230.25" hidden="1" thickTop="1" thickBot="1" x14ac:dyDescent="0.25">
      <c r="A237" s="126" t="s">
        <v>1226</v>
      </c>
      <c r="B237" s="126" t="s">
        <v>1116</v>
      </c>
      <c r="C237" s="126" t="s">
        <v>1117</v>
      </c>
      <c r="D237" s="126" t="s">
        <v>1114</v>
      </c>
      <c r="E237" s="252" t="s">
        <v>1407</v>
      </c>
      <c r="F237" s="193" t="s">
        <v>1408</v>
      </c>
      <c r="G237" s="193">
        <f t="shared" si="32"/>
        <v>0</v>
      </c>
      <c r="H237" s="272"/>
      <c r="I237" s="273">
        <v>0</v>
      </c>
      <c r="J237" s="273">
        <v>0</v>
      </c>
      <c r="K237" s="137"/>
      <c r="L237" s="137"/>
      <c r="M237" s="137"/>
    </row>
    <row r="238" spans="1:13" ht="321.75" thickTop="1" thickBot="1" x14ac:dyDescent="0.25">
      <c r="A238" s="101" t="s">
        <v>1600</v>
      </c>
      <c r="B238" s="101" t="s">
        <v>1601</v>
      </c>
      <c r="C238" s="101" t="s">
        <v>1117</v>
      </c>
      <c r="D238" s="101" t="s">
        <v>1602</v>
      </c>
      <c r="E238" s="311" t="s">
        <v>1348</v>
      </c>
      <c r="F238" s="311" t="s">
        <v>847</v>
      </c>
      <c r="G238" s="311">
        <f t="shared" ref="G238:G239" si="33">H238+I238</f>
        <v>321397</v>
      </c>
      <c r="H238" s="331">
        <v>0</v>
      </c>
      <c r="I238" s="607">
        <v>321397</v>
      </c>
      <c r="J238" s="607">
        <v>321397</v>
      </c>
      <c r="K238" s="95" t="b">
        <f>H238+H239='d3'!E260</f>
        <v>1</v>
      </c>
      <c r="L238" s="436" t="b">
        <f>I238+I239='d3'!J260</f>
        <v>1</v>
      </c>
      <c r="M238" s="436" t="b">
        <f>J238+J239='d3'!K260</f>
        <v>1</v>
      </c>
    </row>
    <row r="239" spans="1:13" ht="184.5" thickTop="1" thickBot="1" x14ac:dyDescent="0.25">
      <c r="A239" s="101" t="s">
        <v>1600</v>
      </c>
      <c r="B239" s="101" t="s">
        <v>1601</v>
      </c>
      <c r="C239" s="101" t="s">
        <v>1117</v>
      </c>
      <c r="D239" s="101" t="s">
        <v>1602</v>
      </c>
      <c r="E239" s="314" t="s">
        <v>1309</v>
      </c>
      <c r="F239" s="311" t="s">
        <v>1310</v>
      </c>
      <c r="G239" s="311">
        <f t="shared" si="33"/>
        <v>960631</v>
      </c>
      <c r="H239" s="331">
        <v>0</v>
      </c>
      <c r="I239" s="607">
        <v>960631</v>
      </c>
      <c r="J239" s="607">
        <v>960631</v>
      </c>
      <c r="K239" s="137"/>
      <c r="L239" s="137"/>
      <c r="M239" s="137"/>
    </row>
    <row r="240" spans="1:13" ht="184.5" hidden="1" thickTop="1" thickBot="1" x14ac:dyDescent="0.25">
      <c r="A240" s="126" t="s">
        <v>1113</v>
      </c>
      <c r="B240" s="126" t="s">
        <v>304</v>
      </c>
      <c r="C240" s="126" t="s">
        <v>303</v>
      </c>
      <c r="D240" s="126" t="s">
        <v>1444</v>
      </c>
      <c r="E240" s="252" t="s">
        <v>1199</v>
      </c>
      <c r="F240" s="193" t="s">
        <v>1137</v>
      </c>
      <c r="G240" s="193">
        <f t="shared" si="31"/>
        <v>0</v>
      </c>
      <c r="H240" s="272">
        <v>0</v>
      </c>
      <c r="I240" s="273">
        <v>0</v>
      </c>
      <c r="J240" s="273">
        <v>0</v>
      </c>
      <c r="K240" s="137"/>
      <c r="L240" s="137"/>
      <c r="M240" s="137"/>
    </row>
    <row r="241" spans="1:13" ht="138.75" thickTop="1" thickBot="1" x14ac:dyDescent="0.25">
      <c r="A241" s="101" t="s">
        <v>295</v>
      </c>
      <c r="B241" s="101" t="s">
        <v>212</v>
      </c>
      <c r="C241" s="101" t="s">
        <v>213</v>
      </c>
      <c r="D241" s="101" t="s">
        <v>41</v>
      </c>
      <c r="E241" s="314" t="s">
        <v>1544</v>
      </c>
      <c r="F241" s="311" t="s">
        <v>1440</v>
      </c>
      <c r="G241" s="318">
        <f>H241+I241</f>
        <v>1511400</v>
      </c>
      <c r="H241" s="318">
        <f>911400+600000</f>
        <v>1511400</v>
      </c>
      <c r="I241" s="318">
        <v>0</v>
      </c>
      <c r="J241" s="318">
        <v>0</v>
      </c>
      <c r="K241" s="95" t="b">
        <f>H241='d3'!E263</f>
        <v>1</v>
      </c>
      <c r="L241" s="436" t="b">
        <f>I241='d3'!J263</f>
        <v>1</v>
      </c>
      <c r="M241" s="436" t="b">
        <f>J241='d3'!K263</f>
        <v>1</v>
      </c>
    </row>
    <row r="242" spans="1:13" ht="184.5" thickTop="1" thickBot="1" x14ac:dyDescent="0.25">
      <c r="A242" s="101" t="s">
        <v>905</v>
      </c>
      <c r="B242" s="101" t="s">
        <v>197</v>
      </c>
      <c r="C242" s="101" t="s">
        <v>170</v>
      </c>
      <c r="D242" s="101" t="s">
        <v>34</v>
      </c>
      <c r="E242" s="314" t="s">
        <v>1199</v>
      </c>
      <c r="F242" s="311" t="s">
        <v>1137</v>
      </c>
      <c r="G242" s="311">
        <f t="shared" si="31"/>
        <v>10000000</v>
      </c>
      <c r="H242" s="315">
        <f>'d3'!E264-H243</f>
        <v>0</v>
      </c>
      <c r="I242" s="433">
        <f>'d3'!J264-I243</f>
        <v>10000000</v>
      </c>
      <c r="J242" s="433">
        <f>'d3'!K264-J243</f>
        <v>10000000</v>
      </c>
      <c r="K242" s="137"/>
      <c r="L242" s="137"/>
      <c r="M242" s="137"/>
    </row>
    <row r="243" spans="1:13" ht="138.75" hidden="1" thickTop="1" thickBot="1" x14ac:dyDescent="0.25">
      <c r="A243" s="126" t="s">
        <v>905</v>
      </c>
      <c r="B243" s="126" t="s">
        <v>197</v>
      </c>
      <c r="C243" s="126" t="s">
        <v>170</v>
      </c>
      <c r="D243" s="126" t="s">
        <v>34</v>
      </c>
      <c r="E243" s="427" t="s">
        <v>1366</v>
      </c>
      <c r="F243" s="193" t="s">
        <v>1308</v>
      </c>
      <c r="G243" s="193">
        <f t="shared" si="31"/>
        <v>0</v>
      </c>
      <c r="H243" s="272">
        <v>0</v>
      </c>
      <c r="I243" s="273">
        <v>0</v>
      </c>
      <c r="J243" s="273">
        <v>0</v>
      </c>
      <c r="K243" s="137"/>
      <c r="L243" s="137"/>
      <c r="M243" s="137"/>
    </row>
    <row r="244" spans="1:13" ht="321.75" hidden="1" customHeight="1" thickTop="1" thickBot="1" x14ac:dyDescent="0.7">
      <c r="A244" s="749" t="s">
        <v>422</v>
      </c>
      <c r="B244" s="749" t="s">
        <v>337</v>
      </c>
      <c r="C244" s="749" t="s">
        <v>170</v>
      </c>
      <c r="D244" s="377" t="s">
        <v>438</v>
      </c>
      <c r="E244" s="871" t="s">
        <v>1244</v>
      </c>
      <c r="F244" s="871" t="s">
        <v>1245</v>
      </c>
      <c r="G244" s="820">
        <f t="shared" si="31"/>
        <v>0</v>
      </c>
      <c r="H244" s="820">
        <f>'d3'!E266</f>
        <v>0</v>
      </c>
      <c r="I244" s="820">
        <f>'d3'!J266</f>
        <v>0</v>
      </c>
      <c r="J244" s="820">
        <f>'d3'!K266</f>
        <v>0</v>
      </c>
      <c r="K244" s="137"/>
      <c r="L244" s="137"/>
      <c r="M244" s="137"/>
    </row>
    <row r="245" spans="1:13" ht="138.75" hidden="1" thickTop="1" thickBot="1" x14ac:dyDescent="0.25">
      <c r="A245" s="752"/>
      <c r="B245" s="752"/>
      <c r="C245" s="752"/>
      <c r="D245" s="378" t="s">
        <v>439</v>
      </c>
      <c r="E245" s="747"/>
      <c r="F245" s="747"/>
      <c r="G245" s="872"/>
      <c r="H245" s="872"/>
      <c r="I245" s="872"/>
      <c r="J245" s="872"/>
      <c r="K245" s="137"/>
      <c r="L245" s="137"/>
      <c r="M245" s="137"/>
    </row>
    <row r="246" spans="1:13" ht="321.75" thickTop="1" thickBot="1" x14ac:dyDescent="0.25">
      <c r="A246" s="101" t="s">
        <v>1448</v>
      </c>
      <c r="B246" s="101" t="s">
        <v>514</v>
      </c>
      <c r="C246" s="101" t="s">
        <v>250</v>
      </c>
      <c r="D246" s="101" t="s">
        <v>515</v>
      </c>
      <c r="E246" s="311" t="s">
        <v>1348</v>
      </c>
      <c r="F246" s="311" t="s">
        <v>847</v>
      </c>
      <c r="G246" s="311">
        <f t="shared" si="31"/>
        <v>1968076</v>
      </c>
      <c r="H246" s="331">
        <f>'d3'!E270</f>
        <v>1968076</v>
      </c>
      <c r="I246" s="607">
        <f>'d3'!J270</f>
        <v>0</v>
      </c>
      <c r="J246" s="607">
        <f>'d3'!K270</f>
        <v>0</v>
      </c>
      <c r="K246" s="137"/>
      <c r="L246" s="137"/>
      <c r="M246" s="137"/>
    </row>
    <row r="247" spans="1:13" ht="321.75" hidden="1" thickTop="1" thickBot="1" x14ac:dyDescent="0.25">
      <c r="A247" s="126" t="s">
        <v>1197</v>
      </c>
      <c r="B247" s="126" t="s">
        <v>1178</v>
      </c>
      <c r="C247" s="126" t="s">
        <v>1153</v>
      </c>
      <c r="D247" s="126" t="s">
        <v>1179</v>
      </c>
      <c r="E247" s="193" t="s">
        <v>1176</v>
      </c>
      <c r="F247" s="193" t="s">
        <v>847</v>
      </c>
      <c r="G247" s="266">
        <f>H247+I247</f>
        <v>0</v>
      </c>
      <c r="H247" s="272">
        <f>'d3'!E272</f>
        <v>0</v>
      </c>
      <c r="I247" s="273">
        <f>'d3'!J272</f>
        <v>0</v>
      </c>
      <c r="J247" s="273">
        <f>'d3'!K272</f>
        <v>0</v>
      </c>
      <c r="K247" s="137"/>
      <c r="L247" s="137"/>
      <c r="M247" s="137"/>
    </row>
    <row r="248" spans="1:13" ht="170.25" customHeight="1" thickTop="1" thickBot="1" x14ac:dyDescent="0.25">
      <c r="A248" s="600" t="s">
        <v>536</v>
      </c>
      <c r="B248" s="600"/>
      <c r="C248" s="600"/>
      <c r="D248" s="601" t="s">
        <v>555</v>
      </c>
      <c r="E248" s="600"/>
      <c r="F248" s="600"/>
      <c r="G248" s="602">
        <f>H248+I248</f>
        <v>402621100</v>
      </c>
      <c r="H248" s="602">
        <f>H249</f>
        <v>385701031</v>
      </c>
      <c r="I248" s="602">
        <f>I249</f>
        <v>16920069</v>
      </c>
      <c r="J248" s="602">
        <f>J249</f>
        <v>15920069</v>
      </c>
      <c r="K248" s="95" t="b">
        <f>H248='d3'!E274-'d3'!E276+'d7'!H250</f>
        <v>1</v>
      </c>
      <c r="L248" s="95" t="b">
        <f>I248='d3'!J274-'d3'!J276+'d7'!I250</f>
        <v>1</v>
      </c>
      <c r="M248" s="95" t="b">
        <f>J248='d3'!K274-'d3'!K276+'d7'!J250</f>
        <v>1</v>
      </c>
    </row>
    <row r="249" spans="1:13" ht="170.25" customHeight="1" thickTop="1" thickBot="1" x14ac:dyDescent="0.25">
      <c r="A249" s="603" t="s">
        <v>537</v>
      </c>
      <c r="B249" s="603"/>
      <c r="C249" s="603"/>
      <c r="D249" s="604" t="s">
        <v>556</v>
      </c>
      <c r="E249" s="605"/>
      <c r="F249" s="605"/>
      <c r="G249" s="605">
        <f>SUM(G250:G288)</f>
        <v>402621100</v>
      </c>
      <c r="H249" s="605">
        <f>SUM(H250:H288)</f>
        <v>385701031</v>
      </c>
      <c r="I249" s="605">
        <f>SUM(I250:I288)</f>
        <v>16920069</v>
      </c>
      <c r="J249" s="605">
        <f>SUM(J250:J288)</f>
        <v>15920069</v>
      </c>
      <c r="K249" s="274"/>
      <c r="L249" s="137"/>
      <c r="M249" s="137"/>
    </row>
    <row r="250" spans="1:13" ht="138.75" thickTop="1" thickBot="1" x14ac:dyDescent="0.25">
      <c r="A250" s="101" t="s">
        <v>538</v>
      </c>
      <c r="B250" s="101" t="s">
        <v>236</v>
      </c>
      <c r="C250" s="101" t="s">
        <v>234</v>
      </c>
      <c r="D250" s="101" t="s">
        <v>235</v>
      </c>
      <c r="E250" s="314" t="s">
        <v>1011</v>
      </c>
      <c r="F250" s="311" t="s">
        <v>845</v>
      </c>
      <c r="G250" s="311">
        <f t="shared" si="31"/>
        <v>25000</v>
      </c>
      <c r="H250" s="311">
        <v>0</v>
      </c>
      <c r="I250" s="311">
        <v>25000</v>
      </c>
      <c r="J250" s="311">
        <v>25000</v>
      </c>
      <c r="K250" s="137"/>
      <c r="L250" s="137"/>
      <c r="M250" s="137"/>
    </row>
    <row r="251" spans="1:13" ht="321.75" hidden="1" thickTop="1" thickBot="1" x14ac:dyDescent="0.25">
      <c r="A251" s="126" t="s">
        <v>623</v>
      </c>
      <c r="B251" s="126" t="s">
        <v>361</v>
      </c>
      <c r="C251" s="126" t="s">
        <v>619</v>
      </c>
      <c r="D251" s="126" t="s">
        <v>620</v>
      </c>
      <c r="E251" s="252" t="s">
        <v>1142</v>
      </c>
      <c r="F251" s="193" t="s">
        <v>1143</v>
      </c>
      <c r="G251" s="193">
        <f t="shared" ref="G251" si="34">H251+I251</f>
        <v>0</v>
      </c>
      <c r="H251" s="253">
        <f>'d3'!E277</f>
        <v>0</v>
      </c>
      <c r="I251" s="270">
        <v>0</v>
      </c>
      <c r="J251" s="270">
        <v>0</v>
      </c>
      <c r="K251" s="137"/>
      <c r="L251" s="137"/>
      <c r="M251" s="137"/>
    </row>
    <row r="252" spans="1:13" ht="184.5" thickTop="1" thickBot="1" x14ac:dyDescent="0.25">
      <c r="A252" s="101" t="s">
        <v>539</v>
      </c>
      <c r="B252" s="101" t="s">
        <v>43</v>
      </c>
      <c r="C252" s="101" t="s">
        <v>42</v>
      </c>
      <c r="D252" s="101" t="s">
        <v>247</v>
      </c>
      <c r="E252" s="314" t="s">
        <v>1199</v>
      </c>
      <c r="F252" s="311" t="s">
        <v>1137</v>
      </c>
      <c r="G252" s="311">
        <f t="shared" si="31"/>
        <v>27858</v>
      </c>
      <c r="H252" s="311">
        <f>'d3'!E278</f>
        <v>27858</v>
      </c>
      <c r="I252" s="311">
        <f>'d3'!J278</f>
        <v>0</v>
      </c>
      <c r="J252" s="311">
        <f>'d3'!K278</f>
        <v>0</v>
      </c>
      <c r="K252" s="137"/>
      <c r="L252" s="137"/>
      <c r="M252" s="137"/>
    </row>
    <row r="253" spans="1:13" ht="205.5" customHeight="1" thickTop="1" thickBot="1" x14ac:dyDescent="0.25">
      <c r="A253" s="101" t="s">
        <v>540</v>
      </c>
      <c r="B253" s="101" t="s">
        <v>375</v>
      </c>
      <c r="C253" s="101" t="s">
        <v>282</v>
      </c>
      <c r="D253" s="101" t="s">
        <v>376</v>
      </c>
      <c r="E253" s="314" t="s">
        <v>1371</v>
      </c>
      <c r="F253" s="311" t="s">
        <v>1311</v>
      </c>
      <c r="G253" s="311">
        <f t="shared" si="31"/>
        <v>25000000</v>
      </c>
      <c r="H253" s="315">
        <f>'d3'!E281</f>
        <v>25000000</v>
      </c>
      <c r="I253" s="311">
        <f>'d3'!J281</f>
        <v>0</v>
      </c>
      <c r="J253" s="311">
        <f>'d3'!K281</f>
        <v>0</v>
      </c>
      <c r="K253" s="137"/>
      <c r="L253" s="137"/>
      <c r="M253" s="137"/>
    </row>
    <row r="254" spans="1:13" ht="184.5" hidden="1" thickTop="1" thickBot="1" x14ac:dyDescent="0.25">
      <c r="A254" s="126" t="s">
        <v>541</v>
      </c>
      <c r="B254" s="126" t="s">
        <v>285</v>
      </c>
      <c r="C254" s="126" t="s">
        <v>282</v>
      </c>
      <c r="D254" s="126" t="s">
        <v>286</v>
      </c>
      <c r="E254" s="252" t="s">
        <v>1199</v>
      </c>
      <c r="F254" s="193" t="s">
        <v>1137</v>
      </c>
      <c r="G254" s="193">
        <f t="shared" si="31"/>
        <v>0</v>
      </c>
      <c r="H254" s="253">
        <v>0</v>
      </c>
      <c r="I254" s="270">
        <f>'d3'!J282</f>
        <v>0</v>
      </c>
      <c r="J254" s="270">
        <f>'d3'!K282</f>
        <v>0</v>
      </c>
    </row>
    <row r="255" spans="1:13" ht="184.5" thickTop="1" thickBot="1" x14ac:dyDescent="0.25">
      <c r="A255" s="101" t="s">
        <v>541</v>
      </c>
      <c r="B255" s="101" t="s">
        <v>285</v>
      </c>
      <c r="C255" s="101" t="s">
        <v>282</v>
      </c>
      <c r="D255" s="101" t="s">
        <v>286</v>
      </c>
      <c r="E255" s="314" t="s">
        <v>1367</v>
      </c>
      <c r="F255" s="311" t="s">
        <v>1312</v>
      </c>
      <c r="G255" s="311">
        <f t="shared" si="31"/>
        <v>10600240</v>
      </c>
      <c r="H255" s="315">
        <v>10600240</v>
      </c>
      <c r="I255" s="433">
        <v>0</v>
      </c>
      <c r="J255" s="433">
        <v>0</v>
      </c>
      <c r="K255" s="95" t="b">
        <f>'d3'!E282='d7'!H254+'d7'!H255</f>
        <v>1</v>
      </c>
      <c r="L255" s="95" t="b">
        <f>'d3'!J282='d7'!I254+'d7'!I255</f>
        <v>1</v>
      </c>
      <c r="M255" s="95" t="b">
        <f>'d3'!K282='d7'!J254+'d7'!J255</f>
        <v>1</v>
      </c>
    </row>
    <row r="256" spans="1:13" ht="184.5" hidden="1" thickTop="1" thickBot="1" x14ac:dyDescent="0.25">
      <c r="A256" s="126" t="s">
        <v>1368</v>
      </c>
      <c r="B256" s="126" t="s">
        <v>1369</v>
      </c>
      <c r="C256" s="126" t="s">
        <v>282</v>
      </c>
      <c r="D256" s="126" t="s">
        <v>1370</v>
      </c>
      <c r="E256" s="252" t="s">
        <v>1367</v>
      </c>
      <c r="F256" s="193" t="s">
        <v>1312</v>
      </c>
      <c r="G256" s="193">
        <f t="shared" si="31"/>
        <v>0</v>
      </c>
      <c r="H256" s="253">
        <f>'d3'!E283</f>
        <v>0</v>
      </c>
      <c r="I256" s="270">
        <v>0</v>
      </c>
      <c r="J256" s="270">
        <v>0</v>
      </c>
      <c r="K256" s="137"/>
      <c r="L256" s="137"/>
      <c r="M256" s="137"/>
    </row>
    <row r="257" spans="1:13" ht="184.5" thickTop="1" thickBot="1" x14ac:dyDescent="0.25">
      <c r="A257" s="101" t="s">
        <v>542</v>
      </c>
      <c r="B257" s="101" t="s">
        <v>296</v>
      </c>
      <c r="C257" s="101" t="s">
        <v>282</v>
      </c>
      <c r="D257" s="101" t="s">
        <v>297</v>
      </c>
      <c r="E257" s="314" t="s">
        <v>1406</v>
      </c>
      <c r="F257" s="311" t="s">
        <v>1315</v>
      </c>
      <c r="G257" s="311">
        <f t="shared" si="31"/>
        <v>700000</v>
      </c>
      <c r="H257" s="315">
        <v>700000</v>
      </c>
      <c r="I257" s="433">
        <f>'d3'!J284</f>
        <v>0</v>
      </c>
      <c r="J257" s="433">
        <f>'d3'!K284</f>
        <v>0</v>
      </c>
      <c r="K257" s="95" t="b">
        <f>'d3'!E284='d7'!H257+'d7'!H258</f>
        <v>1</v>
      </c>
      <c r="L257" s="95" t="b">
        <f>'d3'!J284='d7'!I257+'d7'!I258</f>
        <v>1</v>
      </c>
      <c r="M257" s="95" t="b">
        <f>'d3'!K284='d7'!J257+'d7'!J258</f>
        <v>1</v>
      </c>
    </row>
    <row r="258" spans="1:13" ht="184.5" thickTop="1" thickBot="1" x14ac:dyDescent="0.25">
      <c r="A258" s="101" t="s">
        <v>542</v>
      </c>
      <c r="B258" s="101" t="s">
        <v>296</v>
      </c>
      <c r="C258" s="101" t="s">
        <v>282</v>
      </c>
      <c r="D258" s="101" t="s">
        <v>297</v>
      </c>
      <c r="E258" s="314" t="s">
        <v>1374</v>
      </c>
      <c r="F258" s="311" t="s">
        <v>1318</v>
      </c>
      <c r="G258" s="311">
        <f t="shared" si="31"/>
        <v>44809377</v>
      </c>
      <c r="H258" s="315">
        <v>44809377</v>
      </c>
      <c r="I258" s="433">
        <v>0</v>
      </c>
      <c r="J258" s="433">
        <v>0</v>
      </c>
      <c r="K258" s="137"/>
      <c r="L258" s="137"/>
      <c r="M258" s="137"/>
    </row>
    <row r="259" spans="1:13" ht="184.5" thickTop="1" thickBot="1" x14ac:dyDescent="0.25">
      <c r="A259" s="101" t="s">
        <v>543</v>
      </c>
      <c r="B259" s="101">
        <v>6030</v>
      </c>
      <c r="C259" s="101" t="s">
        <v>282</v>
      </c>
      <c r="D259" s="101" t="s">
        <v>289</v>
      </c>
      <c r="E259" s="314" t="s">
        <v>1199</v>
      </c>
      <c r="F259" s="311" t="s">
        <v>1137</v>
      </c>
      <c r="G259" s="311">
        <f t="shared" si="31"/>
        <v>291881901</v>
      </c>
      <c r="H259" s="315">
        <f>299868104-H260</f>
        <v>291881901</v>
      </c>
      <c r="I259" s="433">
        <v>0</v>
      </c>
      <c r="J259" s="433">
        <v>0</v>
      </c>
      <c r="K259" s="95" t="b">
        <f>H260+H259='d3'!E285</f>
        <v>1</v>
      </c>
      <c r="L259" s="95" t="b">
        <f>I260+I259='d3'!J285</f>
        <v>1</v>
      </c>
      <c r="M259" s="95" t="b">
        <f>J260+J259='d3'!K285</f>
        <v>1</v>
      </c>
    </row>
    <row r="260" spans="1:13" ht="184.5" thickTop="1" thickBot="1" x14ac:dyDescent="0.25">
      <c r="A260" s="101" t="s">
        <v>543</v>
      </c>
      <c r="B260" s="101">
        <v>6030</v>
      </c>
      <c r="C260" s="101" t="s">
        <v>282</v>
      </c>
      <c r="D260" s="101" t="s">
        <v>289</v>
      </c>
      <c r="E260" s="315" t="s">
        <v>1603</v>
      </c>
      <c r="F260" s="311"/>
      <c r="G260" s="311">
        <f>H260+I260</f>
        <v>7986203</v>
      </c>
      <c r="H260" s="433">
        <v>7986203</v>
      </c>
      <c r="I260" s="433">
        <v>0</v>
      </c>
      <c r="J260" s="433">
        <v>0</v>
      </c>
      <c r="K260" s="137"/>
      <c r="L260" s="137"/>
      <c r="M260" s="137"/>
    </row>
    <row r="261" spans="1:13" ht="184.5" hidden="1" thickTop="1" thickBot="1" x14ac:dyDescent="0.25">
      <c r="A261" s="126" t="s">
        <v>1115</v>
      </c>
      <c r="B261" s="126" t="s">
        <v>1116</v>
      </c>
      <c r="C261" s="126" t="s">
        <v>1117</v>
      </c>
      <c r="D261" s="126" t="s">
        <v>1114</v>
      </c>
      <c r="E261" s="252" t="s">
        <v>1199</v>
      </c>
      <c r="F261" s="193" t="s">
        <v>1137</v>
      </c>
      <c r="G261" s="193">
        <f>H261+I261</f>
        <v>0</v>
      </c>
      <c r="H261" s="270">
        <f>'d3'!E286</f>
        <v>0</v>
      </c>
      <c r="I261" s="270">
        <f>'d3'!J286</f>
        <v>0</v>
      </c>
      <c r="J261" s="270">
        <f>'d3'!K286</f>
        <v>0</v>
      </c>
      <c r="K261" s="137"/>
      <c r="L261" s="137"/>
      <c r="M261" s="137"/>
    </row>
    <row r="262" spans="1:13" ht="184.5" thickTop="1" thickBot="1" x14ac:dyDescent="0.25">
      <c r="A262" s="101" t="s">
        <v>1604</v>
      </c>
      <c r="B262" s="101" t="s">
        <v>1601</v>
      </c>
      <c r="C262" s="101" t="s">
        <v>1117</v>
      </c>
      <c r="D262" s="101" t="s">
        <v>1602</v>
      </c>
      <c r="E262" s="314" t="s">
        <v>1199</v>
      </c>
      <c r="F262" s="311" t="s">
        <v>1137</v>
      </c>
      <c r="G262" s="311">
        <f>H262+I262</f>
        <v>2357785</v>
      </c>
      <c r="H262" s="433">
        <f>'d3'!E287</f>
        <v>0</v>
      </c>
      <c r="I262" s="433">
        <f>'d3'!J287</f>
        <v>2357785</v>
      </c>
      <c r="J262" s="433">
        <f>'d3'!K287</f>
        <v>2357785</v>
      </c>
      <c r="K262" s="137"/>
      <c r="L262" s="137"/>
      <c r="M262" s="137"/>
    </row>
    <row r="263" spans="1:13" ht="184.5" thickTop="1" thickBot="1" x14ac:dyDescent="0.25">
      <c r="A263" s="101" t="s">
        <v>545</v>
      </c>
      <c r="B263" s="101" t="s">
        <v>292</v>
      </c>
      <c r="C263" s="101" t="s">
        <v>294</v>
      </c>
      <c r="D263" s="621" t="s">
        <v>293</v>
      </c>
      <c r="E263" s="314" t="s">
        <v>1199</v>
      </c>
      <c r="F263" s="311" t="s">
        <v>1137</v>
      </c>
      <c r="G263" s="311">
        <f>H263+I263</f>
        <v>2000000</v>
      </c>
      <c r="H263" s="315">
        <f>'d3'!E291-H264</f>
        <v>0</v>
      </c>
      <c r="I263" s="433">
        <f>'d3'!J291-I264</f>
        <v>2000000</v>
      </c>
      <c r="J263" s="433">
        <f>'d3'!K291-J264</f>
        <v>2000000</v>
      </c>
      <c r="K263" s="95" t="b">
        <f>H263+H264='d3'!E291</f>
        <v>1</v>
      </c>
      <c r="L263" s="95" t="b">
        <f>I263+I264='d3'!J291</f>
        <v>1</v>
      </c>
      <c r="M263" s="95" t="b">
        <f>J263+J264='d3'!K291</f>
        <v>1</v>
      </c>
    </row>
    <row r="264" spans="1:13" ht="138.75" hidden="1" thickTop="1" thickBot="1" x14ac:dyDescent="0.25">
      <c r="A264" s="548" t="s">
        <v>545</v>
      </c>
      <c r="B264" s="548" t="s">
        <v>292</v>
      </c>
      <c r="C264" s="548" t="s">
        <v>294</v>
      </c>
      <c r="D264" s="549" t="s">
        <v>293</v>
      </c>
      <c r="E264" s="252" t="s">
        <v>1357</v>
      </c>
      <c r="F264" s="149" t="s">
        <v>423</v>
      </c>
      <c r="G264" s="193">
        <f>H264+I264</f>
        <v>0</v>
      </c>
      <c r="H264" s="550">
        <v>0</v>
      </c>
      <c r="I264" s="551">
        <v>0</v>
      </c>
      <c r="J264" s="551">
        <v>0</v>
      </c>
      <c r="K264" s="137"/>
      <c r="L264" s="137"/>
      <c r="M264" s="137"/>
    </row>
    <row r="265" spans="1:13" ht="138.75" hidden="1" thickTop="1" thickBot="1" x14ac:dyDescent="0.25">
      <c r="A265" s="126" t="s">
        <v>545</v>
      </c>
      <c r="B265" s="126" t="s">
        <v>292</v>
      </c>
      <c r="C265" s="126" t="s">
        <v>294</v>
      </c>
      <c r="D265" s="547" t="s">
        <v>293</v>
      </c>
      <c r="E265" s="253" t="s">
        <v>862</v>
      </c>
      <c r="F265" s="253" t="s">
        <v>877</v>
      </c>
      <c r="G265" s="193">
        <f t="shared" si="31"/>
        <v>0</v>
      </c>
      <c r="H265" s="253"/>
      <c r="I265" s="270"/>
      <c r="J265" s="270"/>
      <c r="K265" s="137"/>
      <c r="L265" s="137"/>
      <c r="M265" s="137"/>
    </row>
    <row r="266" spans="1:13" ht="184.5" hidden="1" thickTop="1" thickBot="1" x14ac:dyDescent="0.25">
      <c r="A266" s="126" t="s">
        <v>546</v>
      </c>
      <c r="B266" s="126" t="s">
        <v>212</v>
      </c>
      <c r="C266" s="126" t="s">
        <v>213</v>
      </c>
      <c r="D266" s="126" t="s">
        <v>41</v>
      </c>
      <c r="E266" s="252" t="s">
        <v>1199</v>
      </c>
      <c r="F266" s="193" t="s">
        <v>1137</v>
      </c>
      <c r="G266" s="253">
        <f t="shared" si="31"/>
        <v>0</v>
      </c>
      <c r="H266" s="253">
        <f>'d3'!E293</f>
        <v>0</v>
      </c>
      <c r="I266" s="253">
        <f>'d3'!J293</f>
        <v>0</v>
      </c>
      <c r="J266" s="253">
        <f>'d3'!K293</f>
        <v>0</v>
      </c>
      <c r="K266" s="137"/>
      <c r="L266" s="137"/>
      <c r="M266" s="137"/>
    </row>
    <row r="267" spans="1:13" ht="184.5" hidden="1" thickTop="1" thickBot="1" x14ac:dyDescent="0.25">
      <c r="A267" s="126" t="s">
        <v>547</v>
      </c>
      <c r="B267" s="126" t="s">
        <v>197</v>
      </c>
      <c r="C267" s="126" t="s">
        <v>170</v>
      </c>
      <c r="D267" s="126" t="s">
        <v>34</v>
      </c>
      <c r="E267" s="252" t="s">
        <v>1136</v>
      </c>
      <c r="F267" s="193" t="s">
        <v>1137</v>
      </c>
      <c r="G267" s="253">
        <f t="shared" ref="G267:G269" si="35">H267+I267</f>
        <v>0</v>
      </c>
      <c r="H267" s="253">
        <v>0</v>
      </c>
      <c r="I267" s="253">
        <v>0</v>
      </c>
      <c r="J267" s="253">
        <v>0</v>
      </c>
      <c r="K267" s="251" t="s">
        <v>1320</v>
      </c>
      <c r="L267" s="251" t="s">
        <v>1319</v>
      </c>
      <c r="M267" s="137"/>
    </row>
    <row r="268" spans="1:13" ht="138.75" hidden="1" thickTop="1" thickBot="1" x14ac:dyDescent="0.25">
      <c r="A268" s="126" t="s">
        <v>547</v>
      </c>
      <c r="B268" s="126" t="s">
        <v>197</v>
      </c>
      <c r="C268" s="126" t="s">
        <v>170</v>
      </c>
      <c r="D268" s="126" t="s">
        <v>34</v>
      </c>
      <c r="E268" s="252" t="s">
        <v>1404</v>
      </c>
      <c r="F268" s="193" t="s">
        <v>1403</v>
      </c>
      <c r="G268" s="253">
        <f t="shared" si="35"/>
        <v>0</v>
      </c>
      <c r="H268" s="253">
        <v>0</v>
      </c>
      <c r="I268" s="253">
        <v>0</v>
      </c>
      <c r="J268" s="253">
        <v>0</v>
      </c>
      <c r="K268" s="251"/>
      <c r="L268" s="251"/>
      <c r="M268" s="137"/>
    </row>
    <row r="269" spans="1:13" ht="232.5" hidden="1" customHeight="1" thickTop="1" thickBot="1" x14ac:dyDescent="0.25">
      <c r="A269" s="126" t="s">
        <v>547</v>
      </c>
      <c r="B269" s="126" t="s">
        <v>197</v>
      </c>
      <c r="C269" s="126" t="s">
        <v>170</v>
      </c>
      <c r="D269" s="126" t="s">
        <v>34</v>
      </c>
      <c r="E269" s="252" t="s">
        <v>1498</v>
      </c>
      <c r="F269" s="193" t="s">
        <v>1405</v>
      </c>
      <c r="G269" s="253">
        <f t="shared" si="35"/>
        <v>0</v>
      </c>
      <c r="H269" s="253">
        <v>0</v>
      </c>
      <c r="I269" s="253">
        <v>0</v>
      </c>
      <c r="J269" s="253">
        <v>0</v>
      </c>
      <c r="K269" s="251"/>
      <c r="L269" s="251"/>
      <c r="M269" s="137"/>
    </row>
    <row r="270" spans="1:13" ht="184.5" hidden="1" thickTop="1" thickBot="1" x14ac:dyDescent="0.25">
      <c r="A270" s="126" t="s">
        <v>547</v>
      </c>
      <c r="B270" s="126" t="s">
        <v>197</v>
      </c>
      <c r="C270" s="126" t="s">
        <v>170</v>
      </c>
      <c r="D270" s="126" t="s">
        <v>34</v>
      </c>
      <c r="E270" s="252" t="s">
        <v>1371</v>
      </c>
      <c r="F270" s="193" t="s">
        <v>1311</v>
      </c>
      <c r="G270" s="253">
        <f t="shared" si="31"/>
        <v>0</v>
      </c>
      <c r="H270" s="253">
        <v>0</v>
      </c>
      <c r="I270" s="253">
        <v>0</v>
      </c>
      <c r="J270" s="253">
        <v>0</v>
      </c>
    </row>
    <row r="271" spans="1:13" ht="184.5" thickTop="1" thickBot="1" x14ac:dyDescent="0.25">
      <c r="A271" s="101" t="s">
        <v>547</v>
      </c>
      <c r="B271" s="101" t="s">
        <v>197</v>
      </c>
      <c r="C271" s="101" t="s">
        <v>170</v>
      </c>
      <c r="D271" s="101" t="s">
        <v>34</v>
      </c>
      <c r="E271" s="314" t="s">
        <v>1367</v>
      </c>
      <c r="F271" s="311" t="s">
        <v>1312</v>
      </c>
      <c r="G271" s="315">
        <f t="shared" si="31"/>
        <v>11422451</v>
      </c>
      <c r="H271" s="315">
        <v>0</v>
      </c>
      <c r="I271" s="315">
        <v>11422451</v>
      </c>
      <c r="J271" s="315">
        <v>11422451</v>
      </c>
      <c r="K271" s="137"/>
      <c r="L271" s="137"/>
      <c r="M271" s="137"/>
    </row>
    <row r="272" spans="1:13" ht="184.5" thickTop="1" thickBot="1" x14ac:dyDescent="0.25">
      <c r="A272" s="101" t="s">
        <v>547</v>
      </c>
      <c r="B272" s="101" t="s">
        <v>197</v>
      </c>
      <c r="C272" s="101" t="s">
        <v>170</v>
      </c>
      <c r="D272" s="101" t="s">
        <v>34</v>
      </c>
      <c r="E272" s="315" t="s">
        <v>1603</v>
      </c>
      <c r="F272" s="311"/>
      <c r="G272" s="315">
        <f t="shared" ref="G272" si="36">H272+I272</f>
        <v>50400</v>
      </c>
      <c r="H272" s="315">
        <v>0</v>
      </c>
      <c r="I272" s="315">
        <v>50400</v>
      </c>
      <c r="J272" s="315">
        <v>50400</v>
      </c>
      <c r="K272" s="137"/>
      <c r="L272" s="137"/>
      <c r="M272" s="137"/>
    </row>
    <row r="273" spans="1:13" ht="250.5" hidden="1" customHeight="1" thickTop="1" thickBot="1" x14ac:dyDescent="0.25">
      <c r="A273" s="126" t="s">
        <v>547</v>
      </c>
      <c r="B273" s="126" t="s">
        <v>197</v>
      </c>
      <c r="C273" s="126" t="s">
        <v>170</v>
      </c>
      <c r="D273" s="126" t="s">
        <v>34</v>
      </c>
      <c r="E273" s="252" t="s">
        <v>1561</v>
      </c>
      <c r="F273" s="193" t="s">
        <v>1314</v>
      </c>
      <c r="G273" s="253">
        <f t="shared" si="31"/>
        <v>0</v>
      </c>
      <c r="H273" s="253">
        <v>0</v>
      </c>
      <c r="I273" s="253">
        <v>0</v>
      </c>
      <c r="J273" s="253">
        <v>0</v>
      </c>
      <c r="K273" s="137"/>
      <c r="L273" s="137"/>
      <c r="M273" s="137"/>
    </row>
    <row r="274" spans="1:13" ht="230.25" hidden="1" thickTop="1" thickBot="1" x14ac:dyDescent="0.25">
      <c r="A274" s="126" t="s">
        <v>547</v>
      </c>
      <c r="B274" s="126" t="s">
        <v>197</v>
      </c>
      <c r="C274" s="126" t="s">
        <v>170</v>
      </c>
      <c r="D274" s="126" t="s">
        <v>34</v>
      </c>
      <c r="E274" s="252" t="s">
        <v>1372</v>
      </c>
      <c r="F274" s="193" t="s">
        <v>1313</v>
      </c>
      <c r="G274" s="253">
        <f t="shared" si="31"/>
        <v>0</v>
      </c>
      <c r="H274" s="253">
        <v>0</v>
      </c>
      <c r="I274" s="253">
        <v>0</v>
      </c>
      <c r="J274" s="253">
        <v>0</v>
      </c>
      <c r="K274" s="137"/>
      <c r="L274" s="137"/>
      <c r="M274" s="137"/>
    </row>
    <row r="275" spans="1:13" ht="184.5" hidden="1" thickTop="1" thickBot="1" x14ac:dyDescent="0.25">
      <c r="A275" s="126" t="s">
        <v>547</v>
      </c>
      <c r="B275" s="126" t="s">
        <v>197</v>
      </c>
      <c r="C275" s="126" t="s">
        <v>170</v>
      </c>
      <c r="D275" s="126" t="s">
        <v>34</v>
      </c>
      <c r="E275" s="428" t="s">
        <v>1288</v>
      </c>
      <c r="F275" s="429"/>
      <c r="G275" s="253">
        <f t="shared" si="31"/>
        <v>0</v>
      </c>
      <c r="H275" s="253">
        <v>0</v>
      </c>
      <c r="I275" s="253">
        <f>1888075-1888075</f>
        <v>0</v>
      </c>
      <c r="J275" s="253">
        <f>1258075+630000-1888075</f>
        <v>0</v>
      </c>
      <c r="K275" s="137"/>
      <c r="L275" s="137"/>
      <c r="M275" s="137"/>
    </row>
    <row r="276" spans="1:13" ht="138.75" hidden="1" thickTop="1" thickBot="1" x14ac:dyDescent="0.25">
      <c r="A276" s="126" t="s">
        <v>547</v>
      </c>
      <c r="B276" s="126" t="s">
        <v>197</v>
      </c>
      <c r="C276" s="126" t="s">
        <v>170</v>
      </c>
      <c r="D276" s="126" t="s">
        <v>34</v>
      </c>
      <c r="E276" s="252" t="s">
        <v>1373</v>
      </c>
      <c r="F276" s="193" t="s">
        <v>1315</v>
      </c>
      <c r="G276" s="253">
        <f t="shared" si="31"/>
        <v>0</v>
      </c>
      <c r="H276" s="253">
        <v>0</v>
      </c>
      <c r="I276" s="253">
        <v>0</v>
      </c>
      <c r="J276" s="253">
        <v>0</v>
      </c>
      <c r="K276" s="137"/>
      <c r="L276" s="137"/>
      <c r="M276" s="137"/>
    </row>
    <row r="277" spans="1:13" ht="138.75" hidden="1" thickTop="1" thickBot="1" x14ac:dyDescent="0.25">
      <c r="A277" s="126" t="s">
        <v>547</v>
      </c>
      <c r="B277" s="126" t="s">
        <v>197</v>
      </c>
      <c r="C277" s="126" t="s">
        <v>170</v>
      </c>
      <c r="D277" s="126" t="s">
        <v>34</v>
      </c>
      <c r="E277" s="252" t="s">
        <v>1316</v>
      </c>
      <c r="F277" s="193" t="s">
        <v>1317</v>
      </c>
      <c r="G277" s="253">
        <f t="shared" si="31"/>
        <v>0</v>
      </c>
      <c r="H277" s="253">
        <v>0</v>
      </c>
      <c r="I277" s="253">
        <v>0</v>
      </c>
      <c r="J277" s="253">
        <v>0</v>
      </c>
      <c r="K277" s="137"/>
      <c r="L277" s="137"/>
      <c r="M277" s="137"/>
    </row>
    <row r="278" spans="1:13" ht="138.75" hidden="1" thickTop="1" thickBot="1" x14ac:dyDescent="0.25">
      <c r="A278" s="126" t="s">
        <v>547</v>
      </c>
      <c r="B278" s="126" t="s">
        <v>197</v>
      </c>
      <c r="C278" s="126" t="s">
        <v>170</v>
      </c>
      <c r="D278" s="126" t="s">
        <v>34</v>
      </c>
      <c r="E278" s="427" t="s">
        <v>1366</v>
      </c>
      <c r="F278" s="193" t="s">
        <v>1308</v>
      </c>
      <c r="G278" s="253">
        <f t="shared" si="31"/>
        <v>0</v>
      </c>
      <c r="H278" s="253">
        <v>0</v>
      </c>
      <c r="I278" s="253">
        <v>0</v>
      </c>
      <c r="J278" s="253">
        <v>0</v>
      </c>
      <c r="K278" s="137"/>
      <c r="L278" s="137"/>
      <c r="M278" s="137"/>
    </row>
    <row r="279" spans="1:13" ht="184.5" hidden="1" thickTop="1" thickBot="1" x14ac:dyDescent="0.25">
      <c r="A279" s="126" t="s">
        <v>547</v>
      </c>
      <c r="B279" s="126" t="s">
        <v>197</v>
      </c>
      <c r="C279" s="126" t="s">
        <v>170</v>
      </c>
      <c r="D279" s="126" t="s">
        <v>34</v>
      </c>
      <c r="E279" s="252" t="s">
        <v>1374</v>
      </c>
      <c r="F279" s="193" t="s">
        <v>1318</v>
      </c>
      <c r="G279" s="253">
        <f t="shared" si="31"/>
        <v>0</v>
      </c>
      <c r="H279" s="253">
        <v>0</v>
      </c>
      <c r="I279" s="253">
        <v>0</v>
      </c>
      <c r="J279" s="253">
        <v>0</v>
      </c>
      <c r="K279" s="95" t="b">
        <f>'d3'!E294='d7'!H270+'d7'!H271+'d7'!H273+'d7'!H274+'d7'!H275+'d7'!H276+'d7'!H277+'d7'!H279+'d7'!H280+H267+H278+H268+H269+H272</f>
        <v>1</v>
      </c>
      <c r="L279" s="95" t="b">
        <f>'d3'!J294='d7'!I270+'d7'!I271+'d7'!I273+'d7'!I274+'d7'!I275+'d7'!I276+'d7'!I277+'d7'!I279+'d7'!I280+I267+I278+I268+I269+I272</f>
        <v>1</v>
      </c>
      <c r="M279" s="95" t="b">
        <f>'d3'!K294='d7'!J270+'d7'!J271+'d7'!J273+'d7'!J274+'d7'!J275+'d7'!J276+'d7'!J277+'d7'!J279+'d7'!J280+J267+J278+J268+J269+J272</f>
        <v>1</v>
      </c>
    </row>
    <row r="280" spans="1:13" ht="138.75" hidden="1" thickTop="1" thickBot="1" x14ac:dyDescent="0.25">
      <c r="A280" s="126" t="s">
        <v>547</v>
      </c>
      <c r="B280" s="126" t="s">
        <v>197</v>
      </c>
      <c r="C280" s="126" t="s">
        <v>170</v>
      </c>
      <c r="D280" s="126" t="s">
        <v>34</v>
      </c>
      <c r="E280" s="428" t="s">
        <v>1289</v>
      </c>
      <c r="F280" s="429"/>
      <c r="G280" s="253">
        <f t="shared" si="31"/>
        <v>0</v>
      </c>
      <c r="H280" s="253">
        <v>0</v>
      </c>
      <c r="I280" s="253">
        <f>6007800-6007800</f>
        <v>0</v>
      </c>
      <c r="J280" s="253">
        <f>6007800-6007800</f>
        <v>0</v>
      </c>
      <c r="K280" s="137"/>
      <c r="L280" s="137"/>
      <c r="M280" s="137"/>
    </row>
    <row r="281" spans="1:13" ht="138.75" hidden="1" thickTop="1" thickBot="1" x14ac:dyDescent="0.25">
      <c r="A281" s="126" t="s">
        <v>547</v>
      </c>
      <c r="B281" s="126" t="s">
        <v>197</v>
      </c>
      <c r="C281" s="126" t="s">
        <v>170</v>
      </c>
      <c r="D281" s="126" t="s">
        <v>34</v>
      </c>
      <c r="E281" s="253" t="s">
        <v>863</v>
      </c>
      <c r="F281" s="193" t="s">
        <v>861</v>
      </c>
      <c r="G281" s="270">
        <f t="shared" si="31"/>
        <v>0</v>
      </c>
      <c r="H281" s="253">
        <v>0</v>
      </c>
      <c r="I281" s="270"/>
      <c r="J281" s="270"/>
      <c r="K281" s="137"/>
      <c r="L281" s="137"/>
      <c r="M281" s="137"/>
    </row>
    <row r="282" spans="1:13" ht="276" thickTop="1" thickBot="1" x14ac:dyDescent="0.7">
      <c r="A282" s="737" t="s">
        <v>548</v>
      </c>
      <c r="B282" s="737" t="s">
        <v>337</v>
      </c>
      <c r="C282" s="737" t="s">
        <v>170</v>
      </c>
      <c r="D282" s="486" t="s">
        <v>438</v>
      </c>
      <c r="E282" s="737" t="s">
        <v>1609</v>
      </c>
      <c r="F282" s="737"/>
      <c r="G282" s="780">
        <f t="shared" si="31"/>
        <v>1000000</v>
      </c>
      <c r="H282" s="780">
        <f>'d3'!E296</f>
        <v>0</v>
      </c>
      <c r="I282" s="780">
        <f>'d3'!J296</f>
        <v>1000000</v>
      </c>
      <c r="J282" s="780">
        <f>'d3'!K296</f>
        <v>0</v>
      </c>
      <c r="K282" s="137"/>
      <c r="L282" s="137"/>
      <c r="M282" s="137"/>
    </row>
    <row r="283" spans="1:13" ht="138.75" thickTop="1" thickBot="1" x14ac:dyDescent="0.25">
      <c r="A283" s="748"/>
      <c r="B283" s="748"/>
      <c r="C283" s="748"/>
      <c r="D283" s="487" t="s">
        <v>439</v>
      </c>
      <c r="E283" s="748" t="s">
        <v>1128</v>
      </c>
      <c r="F283" s="748"/>
      <c r="G283" s="748">
        <f t="shared" si="31"/>
        <v>0</v>
      </c>
      <c r="H283" s="748"/>
      <c r="I283" s="748"/>
      <c r="J283" s="748"/>
      <c r="K283" s="137"/>
      <c r="L283" s="137"/>
      <c r="M283" s="137"/>
    </row>
    <row r="284" spans="1:13" ht="184.5" hidden="1" thickTop="1" thickBot="1" x14ac:dyDescent="0.25">
      <c r="A284" s="126" t="s">
        <v>1148</v>
      </c>
      <c r="B284" s="126" t="s">
        <v>256</v>
      </c>
      <c r="C284" s="126" t="s">
        <v>170</v>
      </c>
      <c r="D284" s="126" t="s">
        <v>254</v>
      </c>
      <c r="E284" s="252" t="s">
        <v>1199</v>
      </c>
      <c r="F284" s="193" t="s">
        <v>1137</v>
      </c>
      <c r="G284" s="270">
        <f t="shared" ref="G284" si="37">H284+I284</f>
        <v>0</v>
      </c>
      <c r="H284" s="253"/>
      <c r="I284" s="270"/>
      <c r="J284" s="270"/>
      <c r="K284" s="137"/>
      <c r="L284" s="137"/>
      <c r="M284" s="137"/>
    </row>
    <row r="285" spans="1:13" ht="321.75" thickTop="1" thickBot="1" x14ac:dyDescent="0.25">
      <c r="A285" s="101" t="s">
        <v>549</v>
      </c>
      <c r="B285" s="101" t="s">
        <v>514</v>
      </c>
      <c r="C285" s="101" t="s">
        <v>250</v>
      </c>
      <c r="D285" s="615" t="s">
        <v>515</v>
      </c>
      <c r="E285" s="315" t="s">
        <v>1181</v>
      </c>
      <c r="F285" s="311" t="s">
        <v>847</v>
      </c>
      <c r="G285" s="311">
        <f t="shared" si="31"/>
        <v>2000000</v>
      </c>
      <c r="H285" s="315">
        <f>'d3'!E301</f>
        <v>2000000</v>
      </c>
      <c r="I285" s="433">
        <f>'d3'!J301</f>
        <v>0</v>
      </c>
      <c r="J285" s="433">
        <f>'d3'!K301</f>
        <v>0</v>
      </c>
      <c r="K285" s="137"/>
      <c r="L285" s="137"/>
      <c r="M285" s="137"/>
    </row>
    <row r="286" spans="1:13" ht="321.75" thickTop="1" thickBot="1" x14ac:dyDescent="0.25">
      <c r="A286" s="101" t="s">
        <v>550</v>
      </c>
      <c r="B286" s="101" t="s">
        <v>249</v>
      </c>
      <c r="C286" s="101" t="s">
        <v>250</v>
      </c>
      <c r="D286" s="101" t="s">
        <v>248</v>
      </c>
      <c r="E286" s="315" t="s">
        <v>1181</v>
      </c>
      <c r="F286" s="311" t="s">
        <v>847</v>
      </c>
      <c r="G286" s="311">
        <f t="shared" si="31"/>
        <v>2759885</v>
      </c>
      <c r="H286" s="315">
        <f>'d3'!E302</f>
        <v>2695452</v>
      </c>
      <c r="I286" s="433">
        <f>'d3'!J302</f>
        <v>64433</v>
      </c>
      <c r="J286" s="433">
        <f>'d3'!K302</f>
        <v>64433</v>
      </c>
      <c r="K286" s="137"/>
      <c r="L286" s="137"/>
      <c r="M286" s="137"/>
    </row>
    <row r="287" spans="1:13" ht="321.75" hidden="1" thickTop="1" thickBot="1" x14ac:dyDescent="0.25">
      <c r="A287" s="41" t="s">
        <v>551</v>
      </c>
      <c r="B287" s="41" t="s">
        <v>552</v>
      </c>
      <c r="C287" s="41" t="s">
        <v>250</v>
      </c>
      <c r="D287" s="41" t="s">
        <v>553</v>
      </c>
      <c r="E287" s="256" t="s">
        <v>846</v>
      </c>
      <c r="F287" s="73" t="s">
        <v>847</v>
      </c>
      <c r="G287" s="73">
        <f t="shared" si="31"/>
        <v>0</v>
      </c>
      <c r="H287" s="256">
        <f>'d3'!E303</f>
        <v>0</v>
      </c>
      <c r="I287" s="271">
        <f>'d3'!J303</f>
        <v>0</v>
      </c>
      <c r="J287" s="271">
        <f>'d3'!K303</f>
        <v>0</v>
      </c>
      <c r="K287" s="137"/>
      <c r="L287" s="137"/>
      <c r="M287" s="137"/>
    </row>
    <row r="288" spans="1:13" ht="138.75" hidden="1" customHeight="1" thickTop="1" thickBot="1" x14ac:dyDescent="0.25">
      <c r="A288" s="126" t="s">
        <v>1437</v>
      </c>
      <c r="B288" s="126" t="s">
        <v>362</v>
      </c>
      <c r="C288" s="126" t="s">
        <v>43</v>
      </c>
      <c r="D288" s="126" t="s">
        <v>363</v>
      </c>
      <c r="E288" s="252" t="s">
        <v>1453</v>
      </c>
      <c r="F288" s="193" t="s">
        <v>1470</v>
      </c>
      <c r="G288" s="193">
        <f>H288+I288</f>
        <v>0</v>
      </c>
      <c r="H288" s="253">
        <f>'d3'!E306</f>
        <v>0</v>
      </c>
      <c r="I288" s="270">
        <f>'d3'!J306</f>
        <v>0</v>
      </c>
      <c r="J288" s="270">
        <f>'d3'!K306</f>
        <v>0</v>
      </c>
      <c r="K288" s="137"/>
      <c r="L288" s="137"/>
      <c r="M288" s="137"/>
    </row>
    <row r="289" spans="1:13" ht="170.25" customHeight="1" thickTop="1" thickBot="1" x14ac:dyDescent="0.25">
      <c r="A289" s="600" t="s">
        <v>25</v>
      </c>
      <c r="B289" s="600"/>
      <c r="C289" s="600"/>
      <c r="D289" s="601" t="s">
        <v>878</v>
      </c>
      <c r="E289" s="600"/>
      <c r="F289" s="600"/>
      <c r="G289" s="602">
        <f>G290</f>
        <v>24832009</v>
      </c>
      <c r="H289" s="602">
        <f>H290</f>
        <v>0</v>
      </c>
      <c r="I289" s="602">
        <f>I290</f>
        <v>24832009</v>
      </c>
      <c r="J289" s="602">
        <f>J290</f>
        <v>24832009</v>
      </c>
      <c r="K289" s="137"/>
      <c r="L289" s="137"/>
      <c r="M289" s="137"/>
    </row>
    <row r="290" spans="1:13" ht="136.5" thickTop="1" thickBot="1" x14ac:dyDescent="0.25">
      <c r="A290" s="603" t="s">
        <v>26</v>
      </c>
      <c r="B290" s="603"/>
      <c r="C290" s="603"/>
      <c r="D290" s="604" t="s">
        <v>879</v>
      </c>
      <c r="E290" s="605"/>
      <c r="F290" s="605"/>
      <c r="G290" s="605">
        <f>SUM(G291:G308)</f>
        <v>24832009</v>
      </c>
      <c r="H290" s="605">
        <f>SUM(H291:H308)</f>
        <v>0</v>
      </c>
      <c r="I290" s="605">
        <f>SUM(I291:I308)</f>
        <v>24832009</v>
      </c>
      <c r="J290" s="605">
        <f>SUM(J291:J308)</f>
        <v>24832009</v>
      </c>
      <c r="K290" s="95" t="b">
        <f>H290='d3'!E308-'d3'!E310+H291</f>
        <v>1</v>
      </c>
      <c r="L290" s="436" t="b">
        <f>I290='d3'!J308+I291</f>
        <v>1</v>
      </c>
      <c r="M290" s="436" t="b">
        <f>J290='d3'!K308+J291</f>
        <v>1</v>
      </c>
    </row>
    <row r="291" spans="1:13" ht="138.75" hidden="1" thickTop="1" thickBot="1" x14ac:dyDescent="0.25">
      <c r="A291" s="126" t="s">
        <v>415</v>
      </c>
      <c r="B291" s="126" t="s">
        <v>236</v>
      </c>
      <c r="C291" s="126" t="s">
        <v>234</v>
      </c>
      <c r="D291" s="126" t="s">
        <v>235</v>
      </c>
      <c r="E291" s="252" t="s">
        <v>1011</v>
      </c>
      <c r="F291" s="193" t="s">
        <v>845</v>
      </c>
      <c r="G291" s="193">
        <f t="shared" ref="G291" si="38">H291+I291</f>
        <v>0</v>
      </c>
      <c r="H291" s="193">
        <v>0</v>
      </c>
      <c r="I291" s="193">
        <v>0</v>
      </c>
      <c r="J291" s="193">
        <v>0</v>
      </c>
      <c r="K291" s="254"/>
      <c r="L291" s="254"/>
      <c r="M291" s="254"/>
    </row>
    <row r="292" spans="1:13" ht="321.75" hidden="1" thickTop="1" thickBot="1" x14ac:dyDescent="0.25">
      <c r="A292" s="126" t="s">
        <v>624</v>
      </c>
      <c r="B292" s="126" t="s">
        <v>361</v>
      </c>
      <c r="C292" s="126" t="s">
        <v>619</v>
      </c>
      <c r="D292" s="126" t="s">
        <v>620</v>
      </c>
      <c r="E292" s="252" t="s">
        <v>1256</v>
      </c>
      <c r="F292" s="193" t="s">
        <v>1257</v>
      </c>
      <c r="G292" s="193">
        <f t="shared" ref="G292:G296" si="39">H292+I292</f>
        <v>0</v>
      </c>
      <c r="H292" s="253">
        <f>'d3'!E311</f>
        <v>0</v>
      </c>
      <c r="I292" s="270">
        <v>0</v>
      </c>
      <c r="J292" s="270">
        <v>0</v>
      </c>
      <c r="K292" s="254"/>
      <c r="L292" s="254"/>
      <c r="M292" s="254"/>
    </row>
    <row r="293" spans="1:13" ht="138.75" hidden="1" thickTop="1" thickBot="1" x14ac:dyDescent="0.25">
      <c r="A293" s="126" t="s">
        <v>913</v>
      </c>
      <c r="B293" s="126" t="s">
        <v>43</v>
      </c>
      <c r="C293" s="126" t="s">
        <v>42</v>
      </c>
      <c r="D293" s="126" t="s">
        <v>247</v>
      </c>
      <c r="E293" s="252" t="s">
        <v>1112</v>
      </c>
      <c r="F293" s="193"/>
      <c r="G293" s="193">
        <f t="shared" si="39"/>
        <v>0</v>
      </c>
      <c r="H293" s="253">
        <f>'d3'!E312</f>
        <v>0</v>
      </c>
      <c r="I293" s="270">
        <f>'d3'!J312</f>
        <v>0</v>
      </c>
      <c r="J293" s="270">
        <f>'d3'!K312</f>
        <v>0</v>
      </c>
      <c r="K293" s="254"/>
      <c r="L293" s="254"/>
      <c r="M293" s="254"/>
    </row>
    <row r="294" spans="1:13" ht="321.75" thickTop="1" thickBot="1" x14ac:dyDescent="0.25">
      <c r="A294" s="101" t="s">
        <v>1611</v>
      </c>
      <c r="B294" s="101" t="s">
        <v>1612</v>
      </c>
      <c r="C294" s="101" t="s">
        <v>210</v>
      </c>
      <c r="D294" s="101" t="s">
        <v>1613</v>
      </c>
      <c r="E294" s="315" t="s">
        <v>1181</v>
      </c>
      <c r="F294" s="311" t="s">
        <v>847</v>
      </c>
      <c r="G294" s="311">
        <f t="shared" ref="G294:G295" si="40">H294+I294</f>
        <v>17000000</v>
      </c>
      <c r="H294" s="315">
        <v>0</v>
      </c>
      <c r="I294" s="433">
        <f>10000000+7000000</f>
        <v>17000000</v>
      </c>
      <c r="J294" s="433">
        <f>10000000+7000000</f>
        <v>17000000</v>
      </c>
      <c r="K294" s="95" t="b">
        <f>H294+H295='d3'!E314</f>
        <v>1</v>
      </c>
      <c r="L294" s="436" t="b">
        <f>I294+I295='d3'!J314</f>
        <v>1</v>
      </c>
      <c r="M294" s="436" t="b">
        <f>J294+J295='d3'!K314</f>
        <v>1</v>
      </c>
    </row>
    <row r="295" spans="1:13" ht="138.75" thickTop="1" thickBot="1" x14ac:dyDescent="0.25">
      <c r="A295" s="101" t="s">
        <v>1611</v>
      </c>
      <c r="B295" s="101" t="s">
        <v>1612</v>
      </c>
      <c r="C295" s="101" t="s">
        <v>210</v>
      </c>
      <c r="D295" s="101" t="s">
        <v>1613</v>
      </c>
      <c r="E295" s="314" t="s">
        <v>1609</v>
      </c>
      <c r="F295" s="311"/>
      <c r="G295" s="311">
        <f t="shared" si="40"/>
        <v>1532009</v>
      </c>
      <c r="H295" s="315">
        <v>0</v>
      </c>
      <c r="I295" s="433">
        <v>1532009</v>
      </c>
      <c r="J295" s="433">
        <v>1532009</v>
      </c>
      <c r="K295" s="254"/>
      <c r="L295" s="254"/>
      <c r="M295" s="254"/>
    </row>
    <row r="296" spans="1:13" ht="138.75" hidden="1" thickTop="1" thickBot="1" x14ac:dyDescent="0.25">
      <c r="A296" s="126" t="s">
        <v>1201</v>
      </c>
      <c r="B296" s="126" t="s">
        <v>1165</v>
      </c>
      <c r="C296" s="126" t="s">
        <v>206</v>
      </c>
      <c r="D296" s="379" t="s">
        <v>1166</v>
      </c>
      <c r="E296" s="252" t="s">
        <v>1453</v>
      </c>
      <c r="F296" s="193" t="s">
        <v>1470</v>
      </c>
      <c r="G296" s="193">
        <f t="shared" si="39"/>
        <v>0</v>
      </c>
      <c r="H296" s="253">
        <f>'d3'!E316</f>
        <v>0</v>
      </c>
      <c r="I296" s="270">
        <f>'d3'!J316</f>
        <v>0</v>
      </c>
      <c r="J296" s="270">
        <f>'d3'!K316</f>
        <v>0</v>
      </c>
      <c r="K296" s="254"/>
      <c r="L296" s="254"/>
      <c r="M296" s="254"/>
    </row>
    <row r="297" spans="1:13" ht="138.75" thickTop="1" thickBot="1" x14ac:dyDescent="0.25">
      <c r="A297" s="101" t="s">
        <v>1619</v>
      </c>
      <c r="B297" s="101" t="s">
        <v>1620</v>
      </c>
      <c r="C297" s="101" t="s">
        <v>182</v>
      </c>
      <c r="D297" s="615" t="s">
        <v>1618</v>
      </c>
      <c r="E297" s="314" t="s">
        <v>1609</v>
      </c>
      <c r="F297" s="311"/>
      <c r="G297" s="311">
        <f t="shared" ref="G297" si="41">H297+I297</f>
        <v>200000</v>
      </c>
      <c r="H297" s="315">
        <f>'d3'!E319</f>
        <v>0</v>
      </c>
      <c r="I297" s="433">
        <f>'d3'!J319</f>
        <v>200000</v>
      </c>
      <c r="J297" s="433">
        <f>'d3'!K319</f>
        <v>200000</v>
      </c>
      <c r="K297" s="254"/>
      <c r="L297" s="254"/>
      <c r="M297" s="254"/>
    </row>
    <row r="298" spans="1:13" ht="230.25" hidden="1" thickTop="1" thickBot="1" x14ac:dyDescent="0.25">
      <c r="A298" s="126" t="s">
        <v>431</v>
      </c>
      <c r="B298" s="126" t="s">
        <v>432</v>
      </c>
      <c r="C298" s="126" t="s">
        <v>195</v>
      </c>
      <c r="D298" s="126" t="s">
        <v>1144</v>
      </c>
      <c r="E298" s="252" t="s">
        <v>1244</v>
      </c>
      <c r="F298" s="193" t="s">
        <v>1245</v>
      </c>
      <c r="G298" s="193">
        <f>H298+I298</f>
        <v>0</v>
      </c>
      <c r="H298" s="193">
        <f>'d3'!E323</f>
        <v>0</v>
      </c>
      <c r="I298" s="193">
        <f>'d3'!J323</f>
        <v>0</v>
      </c>
      <c r="J298" s="193">
        <f>'d3'!K323</f>
        <v>0</v>
      </c>
      <c r="K298" s="137"/>
      <c r="L298" s="137"/>
      <c r="M298" s="137"/>
    </row>
    <row r="299" spans="1:13" ht="138.75" hidden="1" thickTop="1" thickBot="1" x14ac:dyDescent="0.25">
      <c r="A299" s="126" t="s">
        <v>309</v>
      </c>
      <c r="B299" s="126" t="s">
        <v>310</v>
      </c>
      <c r="C299" s="126" t="s">
        <v>303</v>
      </c>
      <c r="D299" s="126" t="s">
        <v>1443</v>
      </c>
      <c r="E299" s="252" t="s">
        <v>1356</v>
      </c>
      <c r="F299" s="193" t="s">
        <v>1135</v>
      </c>
      <c r="G299" s="193">
        <f t="shared" ref="G299:G308" si="42">H299+I299</f>
        <v>0</v>
      </c>
      <c r="H299" s="193">
        <v>0</v>
      </c>
      <c r="I299" s="193">
        <v>0</v>
      </c>
      <c r="J299" s="193">
        <v>0</v>
      </c>
      <c r="K299" s="137"/>
      <c r="L299" s="137"/>
      <c r="M299" s="137"/>
    </row>
    <row r="300" spans="1:13" ht="138.75" hidden="1" thickTop="1" thickBot="1" x14ac:dyDescent="0.25">
      <c r="A300" s="126" t="s">
        <v>311</v>
      </c>
      <c r="B300" s="126" t="s">
        <v>312</v>
      </c>
      <c r="C300" s="126" t="s">
        <v>303</v>
      </c>
      <c r="D300" s="126" t="s">
        <v>1202</v>
      </c>
      <c r="E300" s="252" t="s">
        <v>1128</v>
      </c>
      <c r="F300" s="193" t="s">
        <v>1129</v>
      </c>
      <c r="G300" s="193">
        <f t="shared" si="42"/>
        <v>0</v>
      </c>
      <c r="H300" s="193"/>
      <c r="I300" s="193"/>
      <c r="J300" s="193">
        <f>I300</f>
        <v>0</v>
      </c>
      <c r="K300" s="137"/>
      <c r="L300" s="137"/>
      <c r="M300" s="137"/>
    </row>
    <row r="301" spans="1:13" ht="138.75" hidden="1" thickTop="1" thickBot="1" x14ac:dyDescent="0.25">
      <c r="A301" s="126" t="s">
        <v>313</v>
      </c>
      <c r="B301" s="126" t="s">
        <v>314</v>
      </c>
      <c r="C301" s="126" t="s">
        <v>303</v>
      </c>
      <c r="D301" s="126" t="s">
        <v>1445</v>
      </c>
      <c r="E301" s="252" t="s">
        <v>1244</v>
      </c>
      <c r="F301" s="193" t="s">
        <v>1245</v>
      </c>
      <c r="G301" s="193">
        <f t="shared" si="42"/>
        <v>0</v>
      </c>
      <c r="H301" s="193">
        <v>0</v>
      </c>
      <c r="I301" s="193">
        <v>0</v>
      </c>
      <c r="J301" s="193">
        <v>0</v>
      </c>
      <c r="K301" s="137"/>
      <c r="L301" s="137"/>
      <c r="M301" s="137"/>
    </row>
    <row r="302" spans="1:13" ht="184.5" hidden="1" thickTop="1" thickBot="1" x14ac:dyDescent="0.25">
      <c r="A302" s="126" t="s">
        <v>313</v>
      </c>
      <c r="B302" s="126" t="s">
        <v>314</v>
      </c>
      <c r="C302" s="126" t="s">
        <v>303</v>
      </c>
      <c r="D302" s="126" t="s">
        <v>1445</v>
      </c>
      <c r="E302" s="252" t="s">
        <v>1396</v>
      </c>
      <c r="F302" s="193" t="s">
        <v>1397</v>
      </c>
      <c r="G302" s="193">
        <f t="shared" si="42"/>
        <v>0</v>
      </c>
      <c r="H302" s="193">
        <v>0</v>
      </c>
      <c r="I302" s="193">
        <v>0</v>
      </c>
      <c r="J302" s="193">
        <v>0</v>
      </c>
      <c r="K302" s="137"/>
      <c r="L302" s="137"/>
      <c r="M302" s="137"/>
    </row>
    <row r="303" spans="1:13" ht="321.75" hidden="1" thickTop="1" thickBot="1" x14ac:dyDescent="0.25">
      <c r="A303" s="126" t="s">
        <v>313</v>
      </c>
      <c r="B303" s="126" t="s">
        <v>314</v>
      </c>
      <c r="C303" s="126" t="s">
        <v>303</v>
      </c>
      <c r="D303" s="126" t="s">
        <v>1445</v>
      </c>
      <c r="E303" s="253" t="s">
        <v>1181</v>
      </c>
      <c r="F303" s="193" t="s">
        <v>847</v>
      </c>
      <c r="G303" s="193">
        <f t="shared" si="42"/>
        <v>0</v>
      </c>
      <c r="H303" s="193">
        <v>0</v>
      </c>
      <c r="I303" s="193">
        <v>0</v>
      </c>
      <c r="J303" s="193">
        <v>0</v>
      </c>
      <c r="K303" s="137"/>
      <c r="L303" s="137"/>
      <c r="M303" s="137"/>
    </row>
    <row r="304" spans="1:13" ht="138.75" thickTop="1" thickBot="1" x14ac:dyDescent="0.25">
      <c r="A304" s="101" t="s">
        <v>313</v>
      </c>
      <c r="B304" s="101" t="s">
        <v>314</v>
      </c>
      <c r="C304" s="101" t="s">
        <v>303</v>
      </c>
      <c r="D304" s="101" t="s">
        <v>1615</v>
      </c>
      <c r="E304" s="314" t="s">
        <v>1357</v>
      </c>
      <c r="F304" s="320" t="s">
        <v>423</v>
      </c>
      <c r="G304" s="311">
        <f t="shared" si="42"/>
        <v>6100000</v>
      </c>
      <c r="H304" s="311">
        <v>0</v>
      </c>
      <c r="I304" s="311">
        <v>6100000</v>
      </c>
      <c r="J304" s="311">
        <v>6100000</v>
      </c>
      <c r="K304" s="137"/>
      <c r="L304" s="137"/>
      <c r="M304" s="137"/>
    </row>
    <row r="305" spans="1:13" ht="138.75" hidden="1" thickTop="1" thickBot="1" x14ac:dyDescent="0.25">
      <c r="A305" s="126" t="s">
        <v>435</v>
      </c>
      <c r="B305" s="126" t="s">
        <v>349</v>
      </c>
      <c r="C305" s="126" t="s">
        <v>170</v>
      </c>
      <c r="D305" s="126" t="s">
        <v>261</v>
      </c>
      <c r="E305" s="252" t="s">
        <v>1112</v>
      </c>
      <c r="F305" s="193"/>
      <c r="G305" s="193">
        <f t="shared" si="42"/>
        <v>0</v>
      </c>
      <c r="H305" s="193">
        <f>'d3'!E327</f>
        <v>0</v>
      </c>
      <c r="I305" s="193">
        <f>'d3'!J327</f>
        <v>0</v>
      </c>
      <c r="J305" s="193">
        <f>'d3'!K327</f>
        <v>0</v>
      </c>
      <c r="K305" s="137"/>
      <c r="L305" s="137"/>
      <c r="M305" s="137"/>
    </row>
    <row r="306" spans="1:13" ht="276" hidden="1" thickTop="1" thickBot="1" x14ac:dyDescent="0.7">
      <c r="A306" s="749" t="s">
        <v>973</v>
      </c>
      <c r="B306" s="749" t="s">
        <v>337</v>
      </c>
      <c r="C306" s="749" t="s">
        <v>170</v>
      </c>
      <c r="D306" s="152" t="s">
        <v>438</v>
      </c>
      <c r="E306" s="749" t="s">
        <v>1112</v>
      </c>
      <c r="F306" s="749"/>
      <c r="G306" s="193">
        <f t="shared" si="42"/>
        <v>0</v>
      </c>
      <c r="H306" s="744">
        <f>'d3'!E330</f>
        <v>0</v>
      </c>
      <c r="I306" s="744">
        <f>'d3'!J330</f>
        <v>0</v>
      </c>
      <c r="J306" s="744">
        <f>'d3'!K330</f>
        <v>0</v>
      </c>
      <c r="K306" s="137"/>
      <c r="L306" s="137"/>
      <c r="M306" s="137"/>
    </row>
    <row r="307" spans="1:13" ht="138.75" hidden="1" thickTop="1" thickBot="1" x14ac:dyDescent="0.25">
      <c r="A307" s="749"/>
      <c r="B307" s="749"/>
      <c r="C307" s="749"/>
      <c r="D307" s="153" t="s">
        <v>439</v>
      </c>
      <c r="E307" s="749"/>
      <c r="F307" s="749"/>
      <c r="G307" s="193">
        <f t="shared" si="42"/>
        <v>0</v>
      </c>
      <c r="H307" s="752"/>
      <c r="I307" s="752"/>
      <c r="J307" s="752"/>
      <c r="K307" s="137"/>
      <c r="L307" s="137"/>
      <c r="M307" s="137"/>
    </row>
    <row r="308" spans="1:13" ht="138.75" hidden="1" thickTop="1" thickBot="1" x14ac:dyDescent="0.25">
      <c r="A308" s="126" t="s">
        <v>1158</v>
      </c>
      <c r="B308" s="126" t="s">
        <v>256</v>
      </c>
      <c r="C308" s="126" t="s">
        <v>170</v>
      </c>
      <c r="D308" s="153" t="s">
        <v>254</v>
      </c>
      <c r="E308" s="252" t="s">
        <v>1128</v>
      </c>
      <c r="F308" s="193" t="s">
        <v>1129</v>
      </c>
      <c r="G308" s="193">
        <f t="shared" si="42"/>
        <v>0</v>
      </c>
      <c r="H308" s="193"/>
      <c r="I308" s="193">
        <v>0</v>
      </c>
      <c r="J308" s="193">
        <v>0</v>
      </c>
      <c r="K308" s="137"/>
      <c r="L308" s="137"/>
      <c r="M308" s="137"/>
    </row>
    <row r="309" spans="1:13" ht="136.5" thickTop="1" thickBot="1" x14ac:dyDescent="0.25">
      <c r="A309" s="600" t="s">
        <v>160</v>
      </c>
      <c r="B309" s="600"/>
      <c r="C309" s="600"/>
      <c r="D309" s="601" t="s">
        <v>880</v>
      </c>
      <c r="E309" s="600"/>
      <c r="F309" s="600"/>
      <c r="G309" s="602">
        <f>G310</f>
        <v>800000</v>
      </c>
      <c r="H309" s="602">
        <f t="shared" ref="H309:J309" si="43">H310</f>
        <v>0</v>
      </c>
      <c r="I309" s="602">
        <f t="shared" si="43"/>
        <v>800000</v>
      </c>
      <c r="J309" s="602">
        <f t="shared" si="43"/>
        <v>800000</v>
      </c>
      <c r="K309" s="436" t="b">
        <f>H309='d3'!E334-'d3'!E336+H311</f>
        <v>1</v>
      </c>
      <c r="L309" s="436" t="b">
        <f>I309='d3'!J334-'d3'!J336+'d7'!I311</f>
        <v>1</v>
      </c>
      <c r="M309" s="436" t="b">
        <f>J309='d3'!K334-'d3'!K336+'d7'!J311</f>
        <v>1</v>
      </c>
    </row>
    <row r="310" spans="1:13" ht="170.25" customHeight="1" thickTop="1" thickBot="1" x14ac:dyDescent="0.25">
      <c r="A310" s="603" t="s">
        <v>161</v>
      </c>
      <c r="B310" s="603"/>
      <c r="C310" s="603"/>
      <c r="D310" s="604" t="s">
        <v>885</v>
      </c>
      <c r="E310" s="605"/>
      <c r="F310" s="605"/>
      <c r="G310" s="605">
        <f>SUM(G311:G315)</f>
        <v>800000</v>
      </c>
      <c r="H310" s="605">
        <f t="shared" ref="H310:J310" si="44">SUM(H311:H315)</f>
        <v>0</v>
      </c>
      <c r="I310" s="605">
        <f t="shared" si="44"/>
        <v>800000</v>
      </c>
      <c r="J310" s="605">
        <f t="shared" si="44"/>
        <v>800000</v>
      </c>
      <c r="K310" s="137"/>
      <c r="L310" s="137"/>
      <c r="M310" s="137"/>
    </row>
    <row r="311" spans="1:13" ht="138.75" hidden="1" thickTop="1" thickBot="1" x14ac:dyDescent="0.25">
      <c r="A311" s="126" t="s">
        <v>417</v>
      </c>
      <c r="B311" s="126" t="s">
        <v>236</v>
      </c>
      <c r="C311" s="126" t="s">
        <v>234</v>
      </c>
      <c r="D311" s="126" t="s">
        <v>235</v>
      </c>
      <c r="E311" s="252" t="s">
        <v>1011</v>
      </c>
      <c r="F311" s="193" t="s">
        <v>845</v>
      </c>
      <c r="G311" s="193">
        <f>H311+I311</f>
        <v>0</v>
      </c>
      <c r="H311" s="193">
        <v>0</v>
      </c>
      <c r="I311" s="193">
        <v>0</v>
      </c>
      <c r="J311" s="193">
        <v>0</v>
      </c>
      <c r="K311" s="137"/>
      <c r="L311" s="137"/>
      <c r="M311" s="137"/>
    </row>
    <row r="312" spans="1:13" ht="321.75" hidden="1" thickTop="1" thickBot="1" x14ac:dyDescent="0.25">
      <c r="A312" s="126" t="s">
        <v>625</v>
      </c>
      <c r="B312" s="126" t="s">
        <v>361</v>
      </c>
      <c r="C312" s="126" t="s">
        <v>619</v>
      </c>
      <c r="D312" s="126" t="s">
        <v>620</v>
      </c>
      <c r="E312" s="252" t="s">
        <v>1256</v>
      </c>
      <c r="F312" s="193" t="s">
        <v>1257</v>
      </c>
      <c r="G312" s="193">
        <f t="shared" ref="G312:G315" si="45">H312+I312</f>
        <v>0</v>
      </c>
      <c r="H312" s="253">
        <f>'d3'!E337</f>
        <v>0</v>
      </c>
      <c r="I312" s="270">
        <v>0</v>
      </c>
      <c r="J312" s="270">
        <v>0</v>
      </c>
      <c r="K312" s="137"/>
      <c r="L312" s="137"/>
      <c r="M312" s="137"/>
    </row>
    <row r="313" spans="1:13" ht="138.75" hidden="1" thickTop="1" thickBot="1" x14ac:dyDescent="0.25">
      <c r="A313" s="126" t="s">
        <v>1225</v>
      </c>
      <c r="B313" s="126" t="s">
        <v>43</v>
      </c>
      <c r="C313" s="126" t="s">
        <v>42</v>
      </c>
      <c r="D313" s="126" t="s">
        <v>247</v>
      </c>
      <c r="E313" s="252" t="s">
        <v>1453</v>
      </c>
      <c r="F313" s="193" t="s">
        <v>1470</v>
      </c>
      <c r="G313" s="193">
        <f t="shared" si="45"/>
        <v>0</v>
      </c>
      <c r="H313" s="253">
        <f>'d3'!E338</f>
        <v>0</v>
      </c>
      <c r="I313" s="270">
        <f>'d3'!J338</f>
        <v>0</v>
      </c>
      <c r="J313" s="270">
        <f>'d3'!K338</f>
        <v>0</v>
      </c>
      <c r="K313" s="137"/>
      <c r="L313" s="137"/>
      <c r="M313" s="137"/>
    </row>
    <row r="314" spans="1:13" ht="138.75" hidden="1" thickTop="1" thickBot="1" x14ac:dyDescent="0.25">
      <c r="A314" s="126" t="s">
        <v>898</v>
      </c>
      <c r="B314" s="126" t="s">
        <v>899</v>
      </c>
      <c r="C314" s="126" t="s">
        <v>303</v>
      </c>
      <c r="D314" s="126" t="s">
        <v>900</v>
      </c>
      <c r="E314" s="252" t="s">
        <v>1244</v>
      </c>
      <c r="F314" s="193" t="s">
        <v>1245</v>
      </c>
      <c r="G314" s="193">
        <f t="shared" si="45"/>
        <v>0</v>
      </c>
      <c r="H314" s="253">
        <f>'d3'!E341</f>
        <v>0</v>
      </c>
      <c r="I314" s="270">
        <f>'d3'!J341</f>
        <v>0</v>
      </c>
      <c r="J314" s="270">
        <f>'d3'!K341</f>
        <v>0</v>
      </c>
      <c r="K314" s="137"/>
      <c r="L314" s="137"/>
      <c r="M314" s="137"/>
    </row>
    <row r="315" spans="1:13" ht="138.75" thickTop="1" thickBot="1" x14ac:dyDescent="0.25">
      <c r="A315" s="101" t="s">
        <v>1626</v>
      </c>
      <c r="B315" s="101" t="s">
        <v>1628</v>
      </c>
      <c r="C315" s="101" t="s">
        <v>303</v>
      </c>
      <c r="D315" s="101" t="s">
        <v>1627</v>
      </c>
      <c r="E315" s="314" t="s">
        <v>1609</v>
      </c>
      <c r="F315" s="311"/>
      <c r="G315" s="311">
        <f t="shared" si="45"/>
        <v>800000</v>
      </c>
      <c r="H315" s="315">
        <f>'d3'!E342</f>
        <v>0</v>
      </c>
      <c r="I315" s="433">
        <f>'d3'!J342</f>
        <v>800000</v>
      </c>
      <c r="J315" s="433">
        <f>'d3'!K342</f>
        <v>800000</v>
      </c>
      <c r="K315" s="137"/>
      <c r="L315" s="137"/>
      <c r="M315" s="137"/>
    </row>
    <row r="316" spans="1:13" ht="170.25" customHeight="1" thickTop="1" thickBot="1" x14ac:dyDescent="0.25">
      <c r="A316" s="600" t="s">
        <v>442</v>
      </c>
      <c r="B316" s="600"/>
      <c r="C316" s="600"/>
      <c r="D316" s="601" t="s">
        <v>444</v>
      </c>
      <c r="E316" s="600"/>
      <c r="F316" s="600"/>
      <c r="G316" s="602">
        <f>G317</f>
        <v>196582112</v>
      </c>
      <c r="H316" s="602">
        <f t="shared" ref="H316:J316" si="46">H317</f>
        <v>196492158</v>
      </c>
      <c r="I316" s="602">
        <f t="shared" si="46"/>
        <v>89954</v>
      </c>
      <c r="J316" s="602">
        <f t="shared" si="46"/>
        <v>89954</v>
      </c>
      <c r="K316" s="137"/>
      <c r="L316" s="137"/>
      <c r="M316" s="137"/>
    </row>
    <row r="317" spans="1:13" ht="170.25" customHeight="1" thickTop="1" thickBot="1" x14ac:dyDescent="0.25">
      <c r="A317" s="603" t="s">
        <v>443</v>
      </c>
      <c r="B317" s="603"/>
      <c r="C317" s="603"/>
      <c r="D317" s="604" t="s">
        <v>445</v>
      </c>
      <c r="E317" s="605"/>
      <c r="F317" s="605"/>
      <c r="G317" s="605">
        <f>SUM(G318:G328)</f>
        <v>196582112</v>
      </c>
      <c r="H317" s="605">
        <f t="shared" ref="H317" si="47">SUM(H318:H328)</f>
        <v>196492158</v>
      </c>
      <c r="I317" s="605">
        <f>SUM(I318:I328)</f>
        <v>89954</v>
      </c>
      <c r="J317" s="605">
        <f>SUM(J318:J328)</f>
        <v>89954</v>
      </c>
      <c r="K317" s="95" t="b">
        <f>H317='d3'!E344-'d3'!E346+'d7'!H318</f>
        <v>1</v>
      </c>
      <c r="L317" s="436" t="b">
        <f>I317='d3'!J344-'d3'!J346+'d7'!I318</f>
        <v>1</v>
      </c>
      <c r="M317" s="436" t="b">
        <f>J317='d3'!K344-'d3'!K346+'d7'!J318</f>
        <v>1</v>
      </c>
    </row>
    <row r="318" spans="1:13" ht="138.75" thickTop="1" thickBot="1" x14ac:dyDescent="0.25">
      <c r="A318" s="101" t="s">
        <v>446</v>
      </c>
      <c r="B318" s="101" t="s">
        <v>236</v>
      </c>
      <c r="C318" s="101" t="s">
        <v>234</v>
      </c>
      <c r="D318" s="101" t="s">
        <v>235</v>
      </c>
      <c r="E318" s="314" t="s">
        <v>1011</v>
      </c>
      <c r="F318" s="311" t="s">
        <v>845</v>
      </c>
      <c r="G318" s="311">
        <f>H318+I318</f>
        <v>89954</v>
      </c>
      <c r="H318" s="315">
        <v>0</v>
      </c>
      <c r="I318" s="311">
        <v>89954</v>
      </c>
      <c r="J318" s="311">
        <v>89954</v>
      </c>
      <c r="K318" s="137"/>
      <c r="L318" s="137"/>
      <c r="M318" s="137"/>
    </row>
    <row r="319" spans="1:13" ht="321.75" hidden="1" thickTop="1" thickBot="1" x14ac:dyDescent="0.25">
      <c r="A319" s="126" t="s">
        <v>626</v>
      </c>
      <c r="B319" s="126" t="s">
        <v>361</v>
      </c>
      <c r="C319" s="126" t="s">
        <v>619</v>
      </c>
      <c r="D319" s="126" t="s">
        <v>620</v>
      </c>
      <c r="E319" s="252" t="s">
        <v>1256</v>
      </c>
      <c r="F319" s="193" t="s">
        <v>1257</v>
      </c>
      <c r="G319" s="193">
        <f t="shared" ref="G319:G322" si="48">H319+I319</f>
        <v>0</v>
      </c>
      <c r="H319" s="253">
        <f>'d3'!E347</f>
        <v>0</v>
      </c>
      <c r="I319" s="270">
        <f>'d3'!J347</f>
        <v>0</v>
      </c>
      <c r="J319" s="270">
        <f>'d3'!K347</f>
        <v>0</v>
      </c>
      <c r="K319" s="137"/>
      <c r="L319" s="137"/>
      <c r="M319" s="137"/>
    </row>
    <row r="320" spans="1:13" ht="138.75" thickTop="1" thickBot="1" x14ac:dyDescent="0.25">
      <c r="A320" s="101" t="s">
        <v>465</v>
      </c>
      <c r="B320" s="101" t="s">
        <v>410</v>
      </c>
      <c r="C320" s="101" t="s">
        <v>411</v>
      </c>
      <c r="D320" s="101" t="s">
        <v>412</v>
      </c>
      <c r="E320" s="101" t="s">
        <v>1643</v>
      </c>
      <c r="F320" s="311"/>
      <c r="G320" s="311">
        <f t="shared" si="48"/>
        <v>950000</v>
      </c>
      <c r="H320" s="315">
        <v>950000</v>
      </c>
      <c r="I320" s="433">
        <f>'d3'!J351</f>
        <v>0</v>
      </c>
      <c r="J320" s="433">
        <f>'d3'!K351</f>
        <v>0</v>
      </c>
      <c r="K320" s="95" t="b">
        <f>H320+H321='d3'!E351</f>
        <v>1</v>
      </c>
      <c r="L320" s="436" t="b">
        <f>I320+I321='d3'!J351</f>
        <v>1</v>
      </c>
      <c r="M320" s="436" t="b">
        <f>J320+J321='d3'!K351</f>
        <v>1</v>
      </c>
    </row>
    <row r="321" spans="1:13" ht="184.5" hidden="1" thickTop="1" thickBot="1" x14ac:dyDescent="0.25">
      <c r="A321" s="126" t="s">
        <v>465</v>
      </c>
      <c r="B321" s="126" t="s">
        <v>410</v>
      </c>
      <c r="C321" s="126" t="s">
        <v>411</v>
      </c>
      <c r="D321" s="126" t="s">
        <v>412</v>
      </c>
      <c r="E321" s="126" t="s">
        <v>1562</v>
      </c>
      <c r="F321" s="193" t="s">
        <v>1563</v>
      </c>
      <c r="G321" s="193">
        <f t="shared" si="48"/>
        <v>0</v>
      </c>
      <c r="H321" s="253">
        <f>662000-662000</f>
        <v>0</v>
      </c>
      <c r="I321" s="270">
        <v>0</v>
      </c>
      <c r="J321" s="270">
        <v>0</v>
      </c>
      <c r="K321" s="137"/>
      <c r="L321" s="137"/>
      <c r="M321" s="137"/>
    </row>
    <row r="322" spans="1:13" ht="138.75" thickTop="1" thickBot="1" x14ac:dyDescent="0.25">
      <c r="A322" s="101" t="s">
        <v>466</v>
      </c>
      <c r="B322" s="101" t="s">
        <v>290</v>
      </c>
      <c r="C322" s="101" t="s">
        <v>1325</v>
      </c>
      <c r="D322" s="101" t="s">
        <v>291</v>
      </c>
      <c r="E322" s="314" t="s">
        <v>1230</v>
      </c>
      <c r="F322" s="311" t="s">
        <v>920</v>
      </c>
      <c r="G322" s="311">
        <f t="shared" si="48"/>
        <v>194066858</v>
      </c>
      <c r="H322" s="315">
        <f>'d3'!E353</f>
        <v>194066858</v>
      </c>
      <c r="I322" s="433">
        <f>'d3'!J353</f>
        <v>0</v>
      </c>
      <c r="J322" s="433">
        <f>'d3'!K353</f>
        <v>0</v>
      </c>
      <c r="K322" s="137"/>
      <c r="L322" s="137"/>
      <c r="M322" s="137"/>
    </row>
    <row r="323" spans="1:13" ht="184.5" hidden="1" thickTop="1" thickBot="1" x14ac:dyDescent="0.25">
      <c r="A323" s="745" t="s">
        <v>1066</v>
      </c>
      <c r="B323" s="745" t="s">
        <v>1067</v>
      </c>
      <c r="C323" s="745" t="s">
        <v>294</v>
      </c>
      <c r="D323" s="745" t="s">
        <v>1065</v>
      </c>
      <c r="E323" s="252" t="s">
        <v>993</v>
      </c>
      <c r="F323" s="193" t="s">
        <v>487</v>
      </c>
      <c r="G323" s="820">
        <f>H323+I323</f>
        <v>0</v>
      </c>
      <c r="H323" s="867"/>
      <c r="I323" s="868">
        <v>0</v>
      </c>
      <c r="J323" s="868">
        <v>0</v>
      </c>
      <c r="K323" s="137"/>
      <c r="L323" s="137"/>
      <c r="M323" s="137"/>
    </row>
    <row r="324" spans="1:13" ht="138.75" hidden="1" thickTop="1" thickBot="1" x14ac:dyDescent="0.25">
      <c r="A324" s="747"/>
      <c r="B324" s="747" t="s">
        <v>1067</v>
      </c>
      <c r="C324" s="747"/>
      <c r="D324" s="747"/>
      <c r="E324" s="252" t="s">
        <v>1128</v>
      </c>
      <c r="F324" s="193" t="s">
        <v>1129</v>
      </c>
      <c r="G324" s="747"/>
      <c r="H324" s="747"/>
      <c r="I324" s="747"/>
      <c r="J324" s="747"/>
      <c r="K324" s="137"/>
      <c r="L324" s="137"/>
      <c r="M324" s="137"/>
    </row>
    <row r="325" spans="1:13" ht="184.5" hidden="1" thickTop="1" thickBot="1" x14ac:dyDescent="0.25">
      <c r="A325" s="126" t="s">
        <v>1140</v>
      </c>
      <c r="B325" s="126" t="s">
        <v>197</v>
      </c>
      <c r="C325" s="126" t="s">
        <v>170</v>
      </c>
      <c r="D325" s="126" t="s">
        <v>1141</v>
      </c>
      <c r="E325" s="252" t="s">
        <v>1378</v>
      </c>
      <c r="F325" s="193" t="s">
        <v>487</v>
      </c>
      <c r="G325" s="193">
        <f t="shared" ref="G325:G326" si="49">H325+I325</f>
        <v>0</v>
      </c>
      <c r="H325" s="253">
        <f>'d3'!E356-H326</f>
        <v>0</v>
      </c>
      <c r="I325" s="270">
        <v>0</v>
      </c>
      <c r="J325" s="270">
        <v>0</v>
      </c>
      <c r="K325" s="251" t="b">
        <f>H325+H326='d3'!E356</f>
        <v>1</v>
      </c>
      <c r="L325" s="258" t="b">
        <f>I325+I326='d3'!J356</f>
        <v>1</v>
      </c>
      <c r="M325" s="258" t="b">
        <f>J325+J326='d3'!K356</f>
        <v>1</v>
      </c>
    </row>
    <row r="326" spans="1:13" ht="138.75" hidden="1" thickTop="1" thickBot="1" x14ac:dyDescent="0.25">
      <c r="A326" s="126" t="s">
        <v>1140</v>
      </c>
      <c r="B326" s="126" t="s">
        <v>197</v>
      </c>
      <c r="C326" s="126" t="s">
        <v>170</v>
      </c>
      <c r="D326" s="126" t="s">
        <v>1141</v>
      </c>
      <c r="E326" s="252" t="s">
        <v>1525</v>
      </c>
      <c r="F326" s="193" t="s">
        <v>920</v>
      </c>
      <c r="G326" s="193">
        <f t="shared" si="49"/>
        <v>0</v>
      </c>
      <c r="H326" s="253"/>
      <c r="I326" s="270"/>
      <c r="J326" s="270"/>
      <c r="K326" s="137"/>
      <c r="L326" s="137"/>
      <c r="M326" s="137"/>
    </row>
    <row r="327" spans="1:13" ht="138.75" thickTop="1" thickBot="1" x14ac:dyDescent="0.25">
      <c r="A327" s="101" t="s">
        <v>1186</v>
      </c>
      <c r="B327" s="101" t="s">
        <v>1187</v>
      </c>
      <c r="C327" s="101" t="s">
        <v>1153</v>
      </c>
      <c r="D327" s="101" t="s">
        <v>1188</v>
      </c>
      <c r="E327" s="101" t="s">
        <v>1643</v>
      </c>
      <c r="F327" s="311"/>
      <c r="G327" s="311">
        <f>H327+I327</f>
        <v>1475300</v>
      </c>
      <c r="H327" s="315">
        <f>'d3'!E359</f>
        <v>1475300</v>
      </c>
      <c r="I327" s="433">
        <f>'d3'!J359</f>
        <v>0</v>
      </c>
      <c r="J327" s="433">
        <f>'d3'!K359</f>
        <v>0</v>
      </c>
      <c r="K327" s="137"/>
      <c r="L327" s="137"/>
      <c r="M327" s="137"/>
    </row>
    <row r="328" spans="1:13" ht="184.5" hidden="1" thickTop="1" thickBot="1" x14ac:dyDescent="0.25">
      <c r="A328" s="126" t="s">
        <v>1293</v>
      </c>
      <c r="B328" s="126" t="s">
        <v>512</v>
      </c>
      <c r="C328" s="126" t="s">
        <v>43</v>
      </c>
      <c r="D328" s="126" t="s">
        <v>513</v>
      </c>
      <c r="E328" s="126" t="s">
        <v>1321</v>
      </c>
      <c r="F328" s="193" t="s">
        <v>1322</v>
      </c>
      <c r="G328" s="193">
        <f>H328+I328</f>
        <v>0</v>
      </c>
      <c r="H328" s="253">
        <v>0</v>
      </c>
      <c r="I328" s="270">
        <v>0</v>
      </c>
      <c r="J328" s="270">
        <v>0</v>
      </c>
      <c r="K328" s="137"/>
      <c r="L328" s="137"/>
      <c r="M328" s="137"/>
    </row>
    <row r="329" spans="1:13" ht="170.25" customHeight="1" thickTop="1" thickBot="1" x14ac:dyDescent="0.25">
      <c r="A329" s="600" t="s">
        <v>166</v>
      </c>
      <c r="B329" s="600"/>
      <c r="C329" s="600"/>
      <c r="D329" s="601" t="s">
        <v>353</v>
      </c>
      <c r="E329" s="600"/>
      <c r="F329" s="600"/>
      <c r="G329" s="602">
        <f>G330</f>
        <v>7285000</v>
      </c>
      <c r="H329" s="602">
        <f t="shared" ref="H329:J329" si="50">H330</f>
        <v>6960000</v>
      </c>
      <c r="I329" s="602">
        <f t="shared" si="50"/>
        <v>325000</v>
      </c>
      <c r="J329" s="602">
        <f t="shared" si="50"/>
        <v>325000</v>
      </c>
      <c r="K329" s="95" t="b">
        <f>H329='d3'!E362</f>
        <v>1</v>
      </c>
      <c r="L329" s="436" t="b">
        <f>I329='d3'!J362</f>
        <v>1</v>
      </c>
      <c r="M329" s="436" t="b">
        <f>J329='d3'!K362</f>
        <v>1</v>
      </c>
    </row>
    <row r="330" spans="1:13" ht="170.25" customHeight="1" thickTop="1" thickBot="1" x14ac:dyDescent="0.25">
      <c r="A330" s="603" t="s">
        <v>167</v>
      </c>
      <c r="B330" s="603"/>
      <c r="C330" s="603"/>
      <c r="D330" s="604" t="s">
        <v>354</v>
      </c>
      <c r="E330" s="605"/>
      <c r="F330" s="605"/>
      <c r="G330" s="605">
        <f>SUM(G331:G344)</f>
        <v>7285000</v>
      </c>
      <c r="H330" s="605">
        <f>SUM(H331:H344)</f>
        <v>6960000</v>
      </c>
      <c r="I330" s="605">
        <f>SUM(I331:I344)</f>
        <v>325000</v>
      </c>
      <c r="J330" s="605">
        <f>SUM(J331:J344)</f>
        <v>325000</v>
      </c>
      <c r="K330" s="137"/>
      <c r="L330" s="137"/>
      <c r="M330" s="137"/>
    </row>
    <row r="331" spans="1:13" ht="138.75" thickTop="1" thickBot="1" x14ac:dyDescent="0.25">
      <c r="A331" s="101" t="s">
        <v>1267</v>
      </c>
      <c r="B331" s="101" t="s">
        <v>1165</v>
      </c>
      <c r="C331" s="101" t="s">
        <v>206</v>
      </c>
      <c r="D331" s="615" t="s">
        <v>1166</v>
      </c>
      <c r="E331" s="311" t="s">
        <v>1123</v>
      </c>
      <c r="F331" s="311" t="s">
        <v>1262</v>
      </c>
      <c r="G331" s="315">
        <f t="shared" ref="G331:G336" si="51">H331+I331</f>
        <v>275000</v>
      </c>
      <c r="H331" s="311">
        <f>'d3'!E365</f>
        <v>175000</v>
      </c>
      <c r="I331" s="311">
        <f>'d3'!J365</f>
        <v>100000</v>
      </c>
      <c r="J331" s="311">
        <f>'d3'!K365</f>
        <v>100000</v>
      </c>
      <c r="K331" s="137"/>
      <c r="L331" s="137"/>
      <c r="M331" s="137"/>
    </row>
    <row r="332" spans="1:13" ht="138.75" thickTop="1" thickBot="1" x14ac:dyDescent="0.25">
      <c r="A332" s="101" t="s">
        <v>1530</v>
      </c>
      <c r="B332" s="101" t="s">
        <v>329</v>
      </c>
      <c r="C332" s="101" t="s">
        <v>191</v>
      </c>
      <c r="D332" s="615" t="s">
        <v>331</v>
      </c>
      <c r="E332" s="311" t="s">
        <v>1123</v>
      </c>
      <c r="F332" s="311" t="s">
        <v>1262</v>
      </c>
      <c r="G332" s="315">
        <f t="shared" si="51"/>
        <v>425000</v>
      </c>
      <c r="H332" s="311">
        <f>'d3'!F366</f>
        <v>300000</v>
      </c>
      <c r="I332" s="311">
        <f>'d3'!J366</f>
        <v>125000</v>
      </c>
      <c r="J332" s="311">
        <f>'d3'!K366</f>
        <v>125000</v>
      </c>
      <c r="K332" s="137"/>
      <c r="L332" s="137"/>
      <c r="M332" s="137"/>
    </row>
    <row r="333" spans="1:13" ht="138.75" thickTop="1" thickBot="1" x14ac:dyDescent="0.25">
      <c r="A333" s="101" t="s">
        <v>989</v>
      </c>
      <c r="B333" s="101" t="s">
        <v>349</v>
      </c>
      <c r="C333" s="101" t="s">
        <v>170</v>
      </c>
      <c r="D333" s="101" t="s">
        <v>261</v>
      </c>
      <c r="E333" s="314" t="s">
        <v>1609</v>
      </c>
      <c r="F333" s="311" t="s">
        <v>1470</v>
      </c>
      <c r="G333" s="315">
        <f t="shared" si="51"/>
        <v>260000</v>
      </c>
      <c r="H333" s="311">
        <v>260000</v>
      </c>
      <c r="I333" s="311">
        <v>0</v>
      </c>
      <c r="J333" s="311">
        <v>0</v>
      </c>
      <c r="K333" s="95" t="b">
        <f>H333+H334='d3'!E369</f>
        <v>1</v>
      </c>
      <c r="L333" s="436" t="b">
        <f>I333+I334='d3'!J369</f>
        <v>1</v>
      </c>
      <c r="M333" s="436" t="b">
        <f>J333+J334='d3'!K369</f>
        <v>1</v>
      </c>
    </row>
    <row r="334" spans="1:13" ht="184.5" thickTop="1" thickBot="1" x14ac:dyDescent="0.25">
      <c r="A334" s="101" t="s">
        <v>989</v>
      </c>
      <c r="B334" s="101" t="s">
        <v>349</v>
      </c>
      <c r="C334" s="101" t="s">
        <v>170</v>
      </c>
      <c r="D334" s="101" t="s">
        <v>261</v>
      </c>
      <c r="E334" s="314" t="s">
        <v>1528</v>
      </c>
      <c r="F334" s="311" t="s">
        <v>1529</v>
      </c>
      <c r="G334" s="315">
        <f t="shared" si="51"/>
        <v>1000000</v>
      </c>
      <c r="H334" s="311">
        <v>1000000</v>
      </c>
      <c r="I334" s="311">
        <f>((0)+5000000-1000000)-4000000</f>
        <v>0</v>
      </c>
      <c r="J334" s="311">
        <f>((0)+5000000-1000000)-4000000</f>
        <v>0</v>
      </c>
      <c r="K334" s="95"/>
      <c r="L334" s="436"/>
      <c r="M334" s="436"/>
    </row>
    <row r="335" spans="1:13" ht="138.75" thickTop="1" thickBot="1" x14ac:dyDescent="0.25">
      <c r="A335" s="101" t="s">
        <v>259</v>
      </c>
      <c r="B335" s="101" t="s">
        <v>260</v>
      </c>
      <c r="C335" s="101" t="s">
        <v>258</v>
      </c>
      <c r="D335" s="101" t="s">
        <v>257</v>
      </c>
      <c r="E335" s="314" t="s">
        <v>1541</v>
      </c>
      <c r="F335" s="311" t="s">
        <v>1505</v>
      </c>
      <c r="G335" s="315">
        <f t="shared" si="51"/>
        <v>2000000</v>
      </c>
      <c r="H335" s="311">
        <v>2000000</v>
      </c>
      <c r="I335" s="311">
        <v>0</v>
      </c>
      <c r="J335" s="311">
        <v>0</v>
      </c>
      <c r="K335" s="95"/>
      <c r="L335" s="436"/>
      <c r="M335" s="436"/>
    </row>
    <row r="336" spans="1:13" ht="138.75" thickTop="1" thickBot="1" x14ac:dyDescent="0.25">
      <c r="A336" s="101" t="s">
        <v>259</v>
      </c>
      <c r="B336" s="101" t="s">
        <v>260</v>
      </c>
      <c r="C336" s="101" t="s">
        <v>258</v>
      </c>
      <c r="D336" s="101" t="s">
        <v>257</v>
      </c>
      <c r="E336" s="314" t="s">
        <v>1258</v>
      </c>
      <c r="F336" s="311" t="s">
        <v>1130</v>
      </c>
      <c r="G336" s="315">
        <f t="shared" si="51"/>
        <v>2040000</v>
      </c>
      <c r="H336" s="311">
        <v>2040000</v>
      </c>
      <c r="I336" s="311">
        <v>0</v>
      </c>
      <c r="J336" s="311">
        <v>0</v>
      </c>
      <c r="K336" s="95" t="b">
        <f>H336+H337+H335='d3'!E371</f>
        <v>1</v>
      </c>
      <c r="L336" s="436" t="b">
        <f>I336+I337+I335='d3'!J371</f>
        <v>1</v>
      </c>
      <c r="M336" s="436" t="b">
        <f>J336+J337+J335='d3'!K371</f>
        <v>1</v>
      </c>
    </row>
    <row r="337" spans="1:13" ht="138.75" hidden="1" thickTop="1" thickBot="1" x14ac:dyDescent="0.25">
      <c r="A337" s="126" t="s">
        <v>259</v>
      </c>
      <c r="B337" s="126" t="s">
        <v>260</v>
      </c>
      <c r="C337" s="126" t="s">
        <v>258</v>
      </c>
      <c r="D337" s="126" t="s">
        <v>257</v>
      </c>
      <c r="E337" s="252" t="s">
        <v>1357</v>
      </c>
      <c r="F337" s="149" t="s">
        <v>423</v>
      </c>
      <c r="G337" s="253">
        <f t="shared" ref="G337:G344" si="52">H337+I337</f>
        <v>0</v>
      </c>
      <c r="H337" s="193">
        <v>0</v>
      </c>
      <c r="I337" s="193">
        <v>0</v>
      </c>
      <c r="J337" s="193">
        <v>0</v>
      </c>
      <c r="K337" s="137"/>
      <c r="L337" s="137"/>
      <c r="M337" s="258"/>
    </row>
    <row r="338" spans="1:13" ht="184.5" thickTop="1" thickBot="1" x14ac:dyDescent="0.25">
      <c r="A338" s="101" t="s">
        <v>251</v>
      </c>
      <c r="B338" s="101" t="s">
        <v>253</v>
      </c>
      <c r="C338" s="101" t="s">
        <v>213</v>
      </c>
      <c r="D338" s="101" t="s">
        <v>252</v>
      </c>
      <c r="E338" s="311" t="s">
        <v>1235</v>
      </c>
      <c r="F338" s="311" t="s">
        <v>850</v>
      </c>
      <c r="G338" s="315">
        <f t="shared" si="52"/>
        <v>985000</v>
      </c>
      <c r="H338" s="311">
        <v>985000</v>
      </c>
      <c r="I338" s="311">
        <v>0</v>
      </c>
      <c r="J338" s="311">
        <v>0</v>
      </c>
      <c r="K338" s="95" t="b">
        <f>H338='d3'!E372</f>
        <v>1</v>
      </c>
      <c r="L338" s="436" t="b">
        <f>I338='d3'!J372</f>
        <v>1</v>
      </c>
      <c r="M338" s="436" t="b">
        <f>J338='d3'!K372</f>
        <v>1</v>
      </c>
    </row>
    <row r="339" spans="1:13" ht="138.75" hidden="1" thickTop="1" thickBot="1" x14ac:dyDescent="0.25">
      <c r="A339" s="126" t="s">
        <v>1261</v>
      </c>
      <c r="B339" s="126" t="s">
        <v>212</v>
      </c>
      <c r="C339" s="126" t="s">
        <v>213</v>
      </c>
      <c r="D339" s="126" t="s">
        <v>41</v>
      </c>
      <c r="E339" s="193" t="s">
        <v>1123</v>
      </c>
      <c r="F339" s="193" t="s">
        <v>1262</v>
      </c>
      <c r="G339" s="253">
        <f t="shared" si="52"/>
        <v>0</v>
      </c>
      <c r="H339" s="193">
        <f>'d3'!E373</f>
        <v>0</v>
      </c>
      <c r="I339" s="193">
        <f>'d3'!J373</f>
        <v>0</v>
      </c>
      <c r="J339" s="193">
        <f>'d3'!K373</f>
        <v>0</v>
      </c>
      <c r="K339" s="251"/>
      <c r="L339" s="258"/>
      <c r="M339" s="258"/>
    </row>
    <row r="340" spans="1:13" ht="138.75" hidden="1" thickTop="1" thickBot="1" x14ac:dyDescent="0.25">
      <c r="A340" s="126" t="s">
        <v>255</v>
      </c>
      <c r="B340" s="126" t="s">
        <v>256</v>
      </c>
      <c r="C340" s="126" t="s">
        <v>170</v>
      </c>
      <c r="D340" s="126" t="s">
        <v>254</v>
      </c>
      <c r="E340" s="193" t="s">
        <v>1123</v>
      </c>
      <c r="F340" s="193" t="s">
        <v>582</v>
      </c>
      <c r="G340" s="253">
        <f t="shared" si="52"/>
        <v>0</v>
      </c>
      <c r="H340" s="193"/>
      <c r="I340" s="193"/>
      <c r="J340" s="193"/>
    </row>
    <row r="341" spans="1:13" ht="138.75" hidden="1" thickTop="1" thickBot="1" x14ac:dyDescent="0.25">
      <c r="A341" s="41" t="s">
        <v>255</v>
      </c>
      <c r="B341" s="41" t="s">
        <v>256</v>
      </c>
      <c r="C341" s="41" t="s">
        <v>170</v>
      </c>
      <c r="D341" s="41" t="s">
        <v>254</v>
      </c>
      <c r="E341" s="255" t="s">
        <v>939</v>
      </c>
      <c r="F341" s="73" t="s">
        <v>940</v>
      </c>
      <c r="G341" s="256">
        <f t="shared" si="52"/>
        <v>0</v>
      </c>
      <c r="H341" s="73">
        <v>0</v>
      </c>
      <c r="I341" s="73">
        <v>0</v>
      </c>
      <c r="J341" s="73">
        <v>0</v>
      </c>
      <c r="K341" s="251"/>
      <c r="L341" s="258"/>
      <c r="M341" s="259"/>
    </row>
    <row r="342" spans="1:13" ht="138.75" hidden="1" thickTop="1" thickBot="1" x14ac:dyDescent="0.25">
      <c r="A342" s="126" t="s">
        <v>255</v>
      </c>
      <c r="B342" s="126" t="s">
        <v>256</v>
      </c>
      <c r="C342" s="126" t="s">
        <v>170</v>
      </c>
      <c r="D342" s="126" t="s">
        <v>254</v>
      </c>
      <c r="E342" s="252" t="s">
        <v>1323</v>
      </c>
      <c r="F342" s="149" t="s">
        <v>1324</v>
      </c>
      <c r="G342" s="253">
        <f t="shared" si="52"/>
        <v>0</v>
      </c>
      <c r="H342" s="193">
        <v>0</v>
      </c>
      <c r="I342" s="193">
        <v>0</v>
      </c>
      <c r="J342" s="193">
        <v>0</v>
      </c>
      <c r="K342" s="251" t="b">
        <f>'d3'!E375=H340+H341+H342</f>
        <v>1</v>
      </c>
      <c r="L342" s="258" t="b">
        <f>'d3'!J375=I340+I341+I342</f>
        <v>1</v>
      </c>
      <c r="M342" s="258" t="b">
        <f>'d3'!K375=J340+J341+J342</f>
        <v>1</v>
      </c>
    </row>
    <row r="343" spans="1:13" ht="138.75" thickTop="1" thickBot="1" x14ac:dyDescent="0.25">
      <c r="A343" s="101" t="s">
        <v>1265</v>
      </c>
      <c r="B343" s="101" t="s">
        <v>1155</v>
      </c>
      <c r="C343" s="101" t="s">
        <v>1153</v>
      </c>
      <c r="D343" s="101" t="s">
        <v>1152</v>
      </c>
      <c r="E343" s="311" t="s">
        <v>1123</v>
      </c>
      <c r="F343" s="311" t="s">
        <v>1262</v>
      </c>
      <c r="G343" s="315">
        <f t="shared" ref="G343" si="53">H343+I343</f>
        <v>300000</v>
      </c>
      <c r="H343" s="311">
        <f>'d3'!E378</f>
        <v>200000</v>
      </c>
      <c r="I343" s="311">
        <f>'d3'!J378</f>
        <v>100000</v>
      </c>
      <c r="J343" s="311">
        <f>'d3'!K378</f>
        <v>100000</v>
      </c>
      <c r="K343" s="251"/>
      <c r="L343" s="258"/>
      <c r="M343" s="259"/>
    </row>
    <row r="344" spans="1:13" ht="138.75" hidden="1" thickTop="1" thickBot="1" x14ac:dyDescent="0.25">
      <c r="A344" s="126" t="s">
        <v>895</v>
      </c>
      <c r="B344" s="126" t="s">
        <v>362</v>
      </c>
      <c r="C344" s="126" t="s">
        <v>43</v>
      </c>
      <c r="D344" s="126" t="s">
        <v>363</v>
      </c>
      <c r="E344" s="252" t="s">
        <v>1244</v>
      </c>
      <c r="F344" s="193" t="s">
        <v>1245</v>
      </c>
      <c r="G344" s="253">
        <f t="shared" si="52"/>
        <v>0</v>
      </c>
      <c r="H344" s="193">
        <f>'d3'!E381</f>
        <v>0</v>
      </c>
      <c r="I344" s="193">
        <f>'d3'!J381</f>
        <v>0</v>
      </c>
      <c r="J344" s="193">
        <f>'d3'!K381</f>
        <v>0</v>
      </c>
      <c r="K344" s="251"/>
      <c r="L344" s="258"/>
      <c r="M344" s="259"/>
    </row>
    <row r="345" spans="1:13" ht="200.1" customHeight="1" thickTop="1" thickBot="1" x14ac:dyDescent="0.25">
      <c r="A345" s="600" t="s">
        <v>164</v>
      </c>
      <c r="B345" s="600"/>
      <c r="C345" s="600"/>
      <c r="D345" s="601" t="s">
        <v>875</v>
      </c>
      <c r="E345" s="600"/>
      <c r="F345" s="600"/>
      <c r="G345" s="602">
        <f>G346</f>
        <v>2000000</v>
      </c>
      <c r="H345" s="602">
        <f t="shared" ref="H345:J345" si="54">H346</f>
        <v>0</v>
      </c>
      <c r="I345" s="602">
        <f t="shared" si="54"/>
        <v>2000000</v>
      </c>
      <c r="J345" s="602">
        <f t="shared" si="54"/>
        <v>0</v>
      </c>
      <c r="K345" s="95" t="b">
        <f>H345='d3'!E383-'d3'!E385+H347</f>
        <v>1</v>
      </c>
      <c r="L345" s="436" t="b">
        <f>I345='d3'!J383-'d3'!J385+'d7'!I347</f>
        <v>1</v>
      </c>
      <c r="M345" s="436" t="b">
        <f>J345='d3'!K383-'d3'!K385+'d7'!J347</f>
        <v>1</v>
      </c>
    </row>
    <row r="346" spans="1:13" ht="200.1" customHeight="1" thickTop="1" thickBot="1" x14ac:dyDescent="0.25">
      <c r="A346" s="603" t="s">
        <v>165</v>
      </c>
      <c r="B346" s="603"/>
      <c r="C346" s="603"/>
      <c r="D346" s="604" t="s">
        <v>876</v>
      </c>
      <c r="E346" s="605"/>
      <c r="F346" s="605"/>
      <c r="G346" s="605">
        <f>SUM(G347:G351)</f>
        <v>2000000</v>
      </c>
      <c r="H346" s="605">
        <f>SUM(H347:H351)</f>
        <v>0</v>
      </c>
      <c r="I346" s="605">
        <f>SUM(I347:I351)</f>
        <v>2000000</v>
      </c>
      <c r="J346" s="605">
        <f>SUM(J347:J351)</f>
        <v>0</v>
      </c>
      <c r="K346" s="137"/>
      <c r="L346" s="137"/>
      <c r="M346" s="137"/>
    </row>
    <row r="347" spans="1:13" ht="138.75" hidden="1" thickTop="1" thickBot="1" x14ac:dyDescent="0.25">
      <c r="A347" s="126" t="s">
        <v>420</v>
      </c>
      <c r="B347" s="126" t="s">
        <v>236</v>
      </c>
      <c r="C347" s="126" t="s">
        <v>234</v>
      </c>
      <c r="D347" s="126" t="s">
        <v>235</v>
      </c>
      <c r="E347" s="252" t="s">
        <v>1011</v>
      </c>
      <c r="F347" s="193" t="s">
        <v>845</v>
      </c>
      <c r="G347" s="193">
        <f>H347+I347</f>
        <v>0</v>
      </c>
      <c r="H347" s="253"/>
      <c r="I347" s="193"/>
      <c r="J347" s="193"/>
      <c r="K347" s="137"/>
      <c r="L347" s="137"/>
      <c r="M347" s="137"/>
    </row>
    <row r="348" spans="1:13" ht="391.7" hidden="1" customHeight="1" thickTop="1" thickBot="1" x14ac:dyDescent="0.25">
      <c r="A348" s="126" t="s">
        <v>627</v>
      </c>
      <c r="B348" s="126" t="s">
        <v>361</v>
      </c>
      <c r="C348" s="126" t="s">
        <v>619</v>
      </c>
      <c r="D348" s="126" t="s">
        <v>620</v>
      </c>
      <c r="E348" s="262" t="s">
        <v>871</v>
      </c>
      <c r="F348" s="263" t="s">
        <v>872</v>
      </c>
      <c r="G348" s="193">
        <f t="shared" ref="G348" si="55">H348+I348</f>
        <v>0</v>
      </c>
      <c r="H348" s="253">
        <f>'d3'!E386</f>
        <v>0</v>
      </c>
      <c r="I348" s="270"/>
      <c r="J348" s="270"/>
      <c r="K348" s="137"/>
      <c r="L348" s="137"/>
      <c r="M348" s="137"/>
    </row>
    <row r="349" spans="1:13" ht="138.75" thickTop="1" thickBot="1" x14ac:dyDescent="0.25">
      <c r="A349" s="101" t="s">
        <v>1095</v>
      </c>
      <c r="B349" s="101" t="s">
        <v>1096</v>
      </c>
      <c r="C349" s="101" t="s">
        <v>51</v>
      </c>
      <c r="D349" s="101" t="s">
        <v>1097</v>
      </c>
      <c r="E349" s="314" t="s">
        <v>1172</v>
      </c>
      <c r="F349" s="311" t="s">
        <v>938</v>
      </c>
      <c r="G349" s="315">
        <f t="shared" ref="G349:G351" si="56">H349+I349</f>
        <v>2000000</v>
      </c>
      <c r="H349" s="311">
        <f>'d3'!E389</f>
        <v>0</v>
      </c>
      <c r="I349" s="311">
        <v>2000000</v>
      </c>
      <c r="J349" s="311">
        <f>'d3'!K389</f>
        <v>0</v>
      </c>
      <c r="K349" s="95" t="b">
        <f>H349+H350='d3'!E389</f>
        <v>1</v>
      </c>
      <c r="L349" s="95" t="b">
        <f>I349+I350='d3'!J389</f>
        <v>1</v>
      </c>
      <c r="M349" s="95" t="b">
        <f>J349+J350='d3'!K389</f>
        <v>1</v>
      </c>
    </row>
    <row r="350" spans="1:13" ht="138.75" hidden="1" thickTop="1" thickBot="1" x14ac:dyDescent="0.25">
      <c r="A350" s="126" t="s">
        <v>1095</v>
      </c>
      <c r="B350" s="126" t="s">
        <v>1096</v>
      </c>
      <c r="C350" s="126" t="s">
        <v>51</v>
      </c>
      <c r="D350" s="126" t="s">
        <v>1097</v>
      </c>
      <c r="E350" s="252" t="s">
        <v>1238</v>
      </c>
      <c r="F350" s="193" t="s">
        <v>1215</v>
      </c>
      <c r="G350" s="253">
        <f t="shared" si="56"/>
        <v>0</v>
      </c>
      <c r="H350" s="193">
        <v>0</v>
      </c>
      <c r="I350" s="193">
        <v>0</v>
      </c>
      <c r="J350" s="193">
        <v>0</v>
      </c>
      <c r="K350" s="137"/>
      <c r="L350" s="137"/>
      <c r="M350" s="137"/>
    </row>
    <row r="351" spans="1:13" ht="138.75" hidden="1" thickTop="1" thickBot="1" x14ac:dyDescent="0.25">
      <c r="A351" s="126" t="s">
        <v>1213</v>
      </c>
      <c r="B351" s="126" t="s">
        <v>512</v>
      </c>
      <c r="C351" s="126" t="s">
        <v>43</v>
      </c>
      <c r="D351" s="126" t="s">
        <v>513</v>
      </c>
      <c r="E351" s="252" t="s">
        <v>1238</v>
      </c>
      <c r="F351" s="193" t="s">
        <v>1215</v>
      </c>
      <c r="G351" s="253">
        <f t="shared" si="56"/>
        <v>0</v>
      </c>
      <c r="H351" s="193">
        <f>'d3'!E391</f>
        <v>0</v>
      </c>
      <c r="I351" s="193">
        <f>'d3'!J391</f>
        <v>0</v>
      </c>
      <c r="J351" s="193">
        <f>'d3'!K391</f>
        <v>0</v>
      </c>
      <c r="K351" s="137"/>
      <c r="L351" s="137"/>
      <c r="M351" s="137"/>
    </row>
    <row r="352" spans="1:13" ht="200.1" customHeight="1" thickTop="1" thickBot="1" x14ac:dyDescent="0.25">
      <c r="A352" s="600" t="s">
        <v>162</v>
      </c>
      <c r="B352" s="600"/>
      <c r="C352" s="600"/>
      <c r="D352" s="601" t="s">
        <v>886</v>
      </c>
      <c r="E352" s="600"/>
      <c r="F352" s="600"/>
      <c r="G352" s="602">
        <f>G353</f>
        <v>100000</v>
      </c>
      <c r="H352" s="602">
        <f t="shared" ref="H352:J352" si="57">H353</f>
        <v>90000</v>
      </c>
      <c r="I352" s="602">
        <f t="shared" si="57"/>
        <v>10000</v>
      </c>
      <c r="J352" s="602">
        <f t="shared" si="57"/>
        <v>10000</v>
      </c>
      <c r="K352" s="95" t="b">
        <f>H352='d3'!E393-'d3'!E395+H354</f>
        <v>1</v>
      </c>
      <c r="L352" s="436" t="b">
        <f>I352='d3'!J393-'d3'!J395+I354</f>
        <v>1</v>
      </c>
      <c r="M352" s="436" t="b">
        <f>J352='d3'!K393-'d3'!K395+J354</f>
        <v>1</v>
      </c>
    </row>
    <row r="353" spans="1:17" ht="199.5" customHeight="1" thickTop="1" thickBot="1" x14ac:dyDescent="0.25">
      <c r="A353" s="603" t="s">
        <v>163</v>
      </c>
      <c r="B353" s="603"/>
      <c r="C353" s="603"/>
      <c r="D353" s="604" t="s">
        <v>887</v>
      </c>
      <c r="E353" s="605"/>
      <c r="F353" s="605"/>
      <c r="G353" s="605">
        <f>SUM(G354:G357)</f>
        <v>100000</v>
      </c>
      <c r="H353" s="605">
        <f>SUM(H354:H357)</f>
        <v>90000</v>
      </c>
      <c r="I353" s="605">
        <f>SUM(I354:I357)</f>
        <v>10000</v>
      </c>
      <c r="J353" s="605">
        <f>SUM(J354:J357)</f>
        <v>10000</v>
      </c>
      <c r="K353" s="137"/>
      <c r="L353" s="137"/>
      <c r="M353" s="137"/>
    </row>
    <row r="354" spans="1:17" ht="138.75" hidden="1" thickTop="1" thickBot="1" x14ac:dyDescent="0.25">
      <c r="A354" s="126" t="s">
        <v>416</v>
      </c>
      <c r="B354" s="126" t="s">
        <v>236</v>
      </c>
      <c r="C354" s="126" t="s">
        <v>234</v>
      </c>
      <c r="D354" s="126" t="s">
        <v>235</v>
      </c>
      <c r="E354" s="252" t="s">
        <v>1011</v>
      </c>
      <c r="F354" s="193" t="s">
        <v>845</v>
      </c>
      <c r="G354" s="193">
        <f>H354+I354</f>
        <v>0</v>
      </c>
      <c r="H354" s="253"/>
      <c r="I354" s="193"/>
      <c r="J354" s="193"/>
      <c r="K354" s="137"/>
      <c r="L354" s="137"/>
      <c r="M354" s="137"/>
    </row>
    <row r="355" spans="1:17" ht="138.75" thickTop="1" thickBot="1" x14ac:dyDescent="0.25">
      <c r="A355" s="101" t="s">
        <v>305</v>
      </c>
      <c r="B355" s="101" t="s">
        <v>306</v>
      </c>
      <c r="C355" s="101" t="s">
        <v>307</v>
      </c>
      <c r="D355" s="101" t="s">
        <v>459</v>
      </c>
      <c r="E355" s="314" t="s">
        <v>1609</v>
      </c>
      <c r="F355" s="311"/>
      <c r="G355" s="315">
        <f t="shared" ref="G355:G357" si="58">H355+I355</f>
        <v>90000</v>
      </c>
      <c r="H355" s="311">
        <v>90000</v>
      </c>
      <c r="I355" s="311">
        <f>'d3'!J398</f>
        <v>0</v>
      </c>
      <c r="J355" s="311">
        <f>'d3'!K398</f>
        <v>0</v>
      </c>
      <c r="K355" s="311"/>
      <c r="L355" s="137"/>
      <c r="M355" s="137"/>
    </row>
    <row r="356" spans="1:17" ht="138.75" hidden="1" thickTop="1" thickBot="1" x14ac:dyDescent="0.25">
      <c r="A356" s="126" t="s">
        <v>305</v>
      </c>
      <c r="B356" s="126" t="s">
        <v>306</v>
      </c>
      <c r="C356" s="126" t="s">
        <v>307</v>
      </c>
      <c r="D356" s="126" t="s">
        <v>459</v>
      </c>
      <c r="E356" s="252" t="s">
        <v>1172</v>
      </c>
      <c r="F356" s="193" t="s">
        <v>938</v>
      </c>
      <c r="G356" s="253">
        <f t="shared" si="58"/>
        <v>0</v>
      </c>
      <c r="H356" s="708"/>
      <c r="I356" s="193">
        <v>0</v>
      </c>
      <c r="J356" s="193">
        <v>0</v>
      </c>
      <c r="K356" s="137"/>
      <c r="L356" s="137"/>
      <c r="M356" s="137"/>
    </row>
    <row r="357" spans="1:17" ht="138.75" thickTop="1" thickBot="1" x14ac:dyDescent="1.2">
      <c r="A357" s="101" t="s">
        <v>367</v>
      </c>
      <c r="B357" s="101" t="s">
        <v>368</v>
      </c>
      <c r="C357" s="101" t="s">
        <v>170</v>
      </c>
      <c r="D357" s="101" t="s">
        <v>369</v>
      </c>
      <c r="E357" s="314" t="s">
        <v>1609</v>
      </c>
      <c r="F357" s="311"/>
      <c r="G357" s="315">
        <f t="shared" si="58"/>
        <v>10000</v>
      </c>
      <c r="H357" s="311">
        <f>'d3'!E400</f>
        <v>0</v>
      </c>
      <c r="I357" s="311">
        <f>'d3'!J400</f>
        <v>10000</v>
      </c>
      <c r="J357" s="311">
        <f>'d3'!K400</f>
        <v>10000</v>
      </c>
      <c r="K357" s="537" t="b">
        <f>G364=G363+G362+G357+G356+G355+G349+G343+G338+G336+G335+G334+G333+G332+G331+G327+G322+G320+G318+G315+G304+G297+G295+G294+G286+G285+G282+G272+G271+G263+G262+G260+G259+G258+G257+G255+G253+G252+G250+G246+G242+G241+G239+G238+G234+G233+G229+G227+G224+G221+G212+G211+G210+G208+G206+G205+G204+G203+G202+G200+G193+G192+G191+G190+G189+G188+G185+G183+G180+G178+G171+G170+G169+G168+G167+G166+G165+G164+G162+G161+G160+G158+G157+G156+G155+G154+G153+G152+G150+G148+G146+G145+G144+G143+G142+G141+G140+G139+G138+G137+G124+G122+G121+G120+G118+G114+G113+G112+G110+G102+G100+G98+G92+G85+G83+G81+G80+G79+G76+G73+G71+G70+G69+G67+G63+G60+G46+G45+G44+G43+G42+G41+G37+G36+G34+G33+G30+G29+G26+G24+G22+G17+G159</f>
        <v>1</v>
      </c>
      <c r="L357" s="537" t="b">
        <f>H364=H363+H362+H357+H356+H355+H349+H343+H338+H336+H335+H334+H333+H332+H331+H327+H322+H320+H318+H315+H304+H297+H295+H294+H286+H285+H282+H272+H271+H263+H262+H260+H259+H258+H257+H255+H253+H252+H250+H246+H242+H241+H239+H238+H234+H233+H229+H227+H224+H221+H212+H211+H210+H208+H206+H205+H204+H203+H202+H200+H193+H192+H191+H190+H189+H188+H185+H183+H180+H178+H171+H170+H169+H168+H167+H166+H165+H164+H162+H161+H160+H158+H157+H156+H155+H154+H153+H152+H150+H148+H146+H145+H144+H143+H142+H141+H140+H139+H138+H137+H124+H122+H121+H120+H118+H114+H113+H112+H110+H102+H100+H98+H92+H85+H83+H81+H80+H79+H76+H73+H71+H70+H69+H67+H63+H60+H46+H45+H44+H43+H42+H41+H37+H36+H34+H33+H30+H29+H26+H24+H22+H17+H159</f>
        <v>1</v>
      </c>
      <c r="M357" s="537" t="b">
        <f>I364=I363+I362+I357+I356+I355+I349+I343+I338+I336+I335+I334+I333+I332+I331+I327+I322+I320+I318+I315+I304+I297+I295+I294+I286+I285+I282+I272+I271+I263+I262+I260+I259+I258+I257+I255+I253+I252+I250+I246+I242+I241+I239+I238+I234+I233+I229+I227+I224+I221+I212+I211+I210+I208+I206+I205+I204+I203+I202+I200+I193+I192+I191+I190+I189+I188+I185+I183+I180+I178+I171+I170+I169+I168+I167+I166+I165+I164+I162+I161+I160+I158+I157+I156+I155+I154+I153+I152+I150+I148+I146+I145+I144+I143+I142+I141+I140+I139+I138+I137+I124+I122+I121+I120+I118+I114+I113+I112+I110+I102+I100+I98+I92+I85+I83+I81+I80+I79+I76+I73+I71+I70+I69+I67+I63+I60+I46+I45+I44+I43+I42+I41+I37+I36+I34+I33+I30+I29+I26+I24+I22+I17+I159</f>
        <v>1</v>
      </c>
      <c r="N357" s="537" t="b">
        <f>J364=J363+J362+J357+J356+J355+J349+J343+J338+J336+J335+J334+J333+J332+J331+J327+J322+J320+J318+J315+J304+J297+J295+J294+J286+J285+J282+J272+J271+J263+J262+J260+J259+J258+J257+J255+J253+J252+J250+J246+J242+J241+J239+J238+J234+J233+J229+J227+J224+J221+J212+J211+J210+J208+J206+J205+J204+J203+J202+J200+J193+J192+J191+J190+J189+J188+J185+J183+J180+J178+J171+J170+J169+J168+J167+J166+J165+J164+J162+J161+J160+J158+J157+J156+J155+J154+J153+J152+J150+J148+J146+J145+J144+J143+J142+J141+J140+J139+J138+J137+J124+J122+J121+J120+J118+J114+J113+J112+J110+J102+J100+J98+J92+J85+J83+J81+J80+J79+J76+J73+J71+J70+J69+J67+J63+J60+J46+J45+J44+J43+J42+J41+J37+J36+J34+J33+J30+J29+J26+J24+J22+J17+J159</f>
        <v>1</v>
      </c>
    </row>
    <row r="358" spans="1:17" ht="170.25" customHeight="1" thickTop="1" thickBot="1" x14ac:dyDescent="0.25">
      <c r="A358" s="600" t="s">
        <v>168</v>
      </c>
      <c r="B358" s="600"/>
      <c r="C358" s="600"/>
      <c r="D358" s="601" t="s">
        <v>27</v>
      </c>
      <c r="E358" s="600"/>
      <c r="F358" s="600"/>
      <c r="G358" s="602">
        <f>G359</f>
        <v>69649583.5</v>
      </c>
      <c r="H358" s="602">
        <f t="shared" ref="H358:J358" si="59">H359</f>
        <v>773346</v>
      </c>
      <c r="I358" s="602">
        <f t="shared" si="59"/>
        <v>68876237.5</v>
      </c>
      <c r="J358" s="602">
        <f t="shared" si="59"/>
        <v>68876237.5</v>
      </c>
      <c r="K358" s="137"/>
      <c r="L358" s="137"/>
      <c r="M358" s="137"/>
    </row>
    <row r="359" spans="1:17" ht="170.25" customHeight="1" thickTop="1" thickBot="1" x14ac:dyDescent="0.25">
      <c r="A359" s="603" t="s">
        <v>169</v>
      </c>
      <c r="B359" s="603"/>
      <c r="C359" s="603"/>
      <c r="D359" s="604" t="s">
        <v>40</v>
      </c>
      <c r="E359" s="605"/>
      <c r="F359" s="605"/>
      <c r="G359" s="605">
        <f>SUM(G360:G363)</f>
        <v>69649583.5</v>
      </c>
      <c r="H359" s="605">
        <f t="shared" ref="H359:J359" si="60">SUM(H360:H363)</f>
        <v>773346</v>
      </c>
      <c r="I359" s="605">
        <f>SUM(I360:I363)</f>
        <v>68876237.5</v>
      </c>
      <c r="J359" s="605">
        <f t="shared" si="60"/>
        <v>68876237.5</v>
      </c>
      <c r="K359" s="137"/>
      <c r="L359" s="137"/>
      <c r="M359" s="137"/>
    </row>
    <row r="360" spans="1:17" ht="138.75" hidden="1" thickTop="1" thickBot="1" x14ac:dyDescent="0.25">
      <c r="A360" s="126" t="s">
        <v>418</v>
      </c>
      <c r="B360" s="126" t="s">
        <v>236</v>
      </c>
      <c r="C360" s="126" t="s">
        <v>234</v>
      </c>
      <c r="D360" s="126" t="s">
        <v>235</v>
      </c>
      <c r="E360" s="252" t="s">
        <v>1011</v>
      </c>
      <c r="F360" s="193" t="s">
        <v>845</v>
      </c>
      <c r="G360" s="193">
        <f t="shared" ref="G360:G363" si="61">H360+I360</f>
        <v>0</v>
      </c>
      <c r="H360" s="253">
        <f>0</f>
        <v>0</v>
      </c>
      <c r="I360" s="270"/>
      <c r="J360" s="270"/>
      <c r="K360" s="137"/>
      <c r="L360" s="137"/>
      <c r="M360" s="137"/>
    </row>
    <row r="361" spans="1:17" ht="321.75" hidden="1" thickTop="1" thickBot="1" x14ac:dyDescent="1.2">
      <c r="A361" s="126" t="s">
        <v>628</v>
      </c>
      <c r="B361" s="126" t="s">
        <v>361</v>
      </c>
      <c r="C361" s="126" t="s">
        <v>619</v>
      </c>
      <c r="D361" s="126" t="s">
        <v>620</v>
      </c>
      <c r="E361" s="252" t="s">
        <v>1142</v>
      </c>
      <c r="F361" s="193" t="s">
        <v>1143</v>
      </c>
      <c r="G361" s="193">
        <f t="shared" si="61"/>
        <v>0</v>
      </c>
      <c r="H361" s="253">
        <f>'d3'!E405</f>
        <v>0</v>
      </c>
      <c r="I361" s="270">
        <v>0</v>
      </c>
      <c r="J361" s="270">
        <v>0</v>
      </c>
      <c r="O361" s="275"/>
    </row>
    <row r="362" spans="1:17" ht="138.75" thickTop="1" thickBot="1" x14ac:dyDescent="1.2">
      <c r="A362" s="101">
        <v>3718600</v>
      </c>
      <c r="B362" s="101">
        <v>8600</v>
      </c>
      <c r="C362" s="101" t="s">
        <v>361</v>
      </c>
      <c r="D362" s="101" t="s">
        <v>450</v>
      </c>
      <c r="E362" s="314" t="s">
        <v>1609</v>
      </c>
      <c r="F362" s="311"/>
      <c r="G362" s="311">
        <f t="shared" si="61"/>
        <v>773346</v>
      </c>
      <c r="H362" s="315">
        <f>'d3'!E410</f>
        <v>773346</v>
      </c>
      <c r="I362" s="433">
        <f>'d3'!J410</f>
        <v>0</v>
      </c>
      <c r="J362" s="433">
        <f>'d3'!K410</f>
        <v>0</v>
      </c>
      <c r="O362" s="275"/>
    </row>
    <row r="363" spans="1:17" ht="138.75" thickTop="1" thickBot="1" x14ac:dyDescent="1.2">
      <c r="A363" s="101" t="s">
        <v>1328</v>
      </c>
      <c r="B363" s="101" t="s">
        <v>1329</v>
      </c>
      <c r="C363" s="101" t="s">
        <v>170</v>
      </c>
      <c r="D363" s="101" t="s">
        <v>1122</v>
      </c>
      <c r="E363" s="314" t="s">
        <v>1609</v>
      </c>
      <c r="F363" s="311"/>
      <c r="G363" s="311">
        <f t="shared" si="61"/>
        <v>68876237.5</v>
      </c>
      <c r="H363" s="315">
        <f>'d4'!F25</f>
        <v>0</v>
      </c>
      <c r="I363" s="433">
        <f>'d4'!G26</f>
        <v>68876237.5</v>
      </c>
      <c r="J363" s="433">
        <f>'d4'!H26</f>
        <v>68876237.5</v>
      </c>
      <c r="O363" s="275"/>
    </row>
    <row r="364" spans="1:17" ht="91.5" thickTop="1" thickBot="1" x14ac:dyDescent="1.2">
      <c r="A364" s="700" t="s">
        <v>380</v>
      </c>
      <c r="B364" s="700" t="s">
        <v>380</v>
      </c>
      <c r="C364" s="700" t="s">
        <v>380</v>
      </c>
      <c r="D364" s="699" t="s">
        <v>390</v>
      </c>
      <c r="E364" s="700" t="s">
        <v>380</v>
      </c>
      <c r="F364" s="700" t="s">
        <v>380</v>
      </c>
      <c r="G364" s="701">
        <f>G16+G59+G198+G106+G132+G177+G290+G330+G346+G353+G317+G310+G249+G220+G359</f>
        <v>3359583865.5</v>
      </c>
      <c r="H364" s="701">
        <f>H16+H59+H198+H106+H132+H177+H290+H330+H346+H353+H317+H310+H249+H220+H359</f>
        <v>2818215549</v>
      </c>
      <c r="I364" s="701">
        <f>I16+I59+I198+I106+I132+I177+I290+I330+I346+I353+I317+I310+I249+I220+I359</f>
        <v>541368316.5</v>
      </c>
      <c r="J364" s="701">
        <f>J16+J59+J198+J106+J132+J177+J290+J330+J346+J353+J317+J310+J249+J220+J359</f>
        <v>265455841.5</v>
      </c>
      <c r="K364" s="535" t="b">
        <f>G364=H364+I364</f>
        <v>1</v>
      </c>
      <c r="L364" s="536" t="b">
        <f>'d3'!K419-'d3'!K161-'d3'!J165-'d3'!J167+'d4'!P25=J364+50000</f>
        <v>1</v>
      </c>
      <c r="M364" s="137"/>
    </row>
    <row r="365" spans="1:17" ht="31.7" customHeight="1" thickTop="1" x14ac:dyDescent="0.2">
      <c r="A365" s="783" t="s">
        <v>1455</v>
      </c>
      <c r="B365" s="784"/>
      <c r="C365" s="784"/>
      <c r="D365" s="784"/>
      <c r="E365" s="784"/>
      <c r="F365" s="784"/>
      <c r="G365" s="784"/>
      <c r="H365" s="784"/>
      <c r="I365" s="784"/>
      <c r="J365" s="784"/>
      <c r="L365" s="863" t="s">
        <v>1621</v>
      </c>
      <c r="M365" s="863"/>
    </row>
    <row r="366" spans="1:17" ht="4.7" customHeight="1" x14ac:dyDescent="0.2">
      <c r="A366" s="15"/>
      <c r="B366" s="16"/>
      <c r="C366" s="16"/>
      <c r="D366" s="16"/>
      <c r="E366" s="16"/>
      <c r="F366" s="16"/>
      <c r="G366" s="16"/>
      <c r="H366" s="16"/>
      <c r="I366" s="16"/>
      <c r="J366" s="16"/>
      <c r="L366" s="863"/>
      <c r="M366" s="863"/>
    </row>
    <row r="367" spans="1:17" ht="45.75" customHeight="1" x14ac:dyDescent="0.65">
      <c r="A367" s="15"/>
      <c r="B367" s="16"/>
      <c r="C367" s="16"/>
      <c r="D367" s="870"/>
      <c r="E367" s="794"/>
      <c r="F367" s="342"/>
      <c r="G367" s="342"/>
      <c r="H367" s="17"/>
      <c r="I367" s="17"/>
      <c r="J367" s="17"/>
      <c r="K367" s="276"/>
      <c r="L367" s="863"/>
      <c r="M367" s="863"/>
      <c r="N367" s="277"/>
      <c r="O367" s="198"/>
      <c r="P367" s="198"/>
      <c r="Q367" s="278"/>
    </row>
    <row r="368" spans="1:17" ht="45.75" x14ac:dyDescent="0.65">
      <c r="A368" s="76"/>
      <c r="B368" s="76"/>
      <c r="C368" s="76"/>
      <c r="D368" s="870" t="s">
        <v>1432</v>
      </c>
      <c r="E368" s="794"/>
      <c r="F368" s="342"/>
      <c r="G368" s="342" t="s">
        <v>1433</v>
      </c>
      <c r="H368" s="2"/>
      <c r="I368" s="2"/>
      <c r="J368" s="2"/>
      <c r="K368" s="199"/>
      <c r="L368" s="863"/>
      <c r="M368" s="863"/>
      <c r="N368" s="277"/>
      <c r="O368" s="198"/>
      <c r="P368" s="198"/>
      <c r="Q368" s="278"/>
    </row>
    <row r="369" spans="1:17" ht="45.75" hidden="1" customHeight="1" x14ac:dyDescent="0.65">
      <c r="A369" s="76"/>
      <c r="B369" s="76"/>
      <c r="C369" s="76"/>
      <c r="D369" s="3" t="s">
        <v>1434</v>
      </c>
      <c r="E369" s="312"/>
      <c r="F369" s="3"/>
      <c r="G369" s="3" t="s">
        <v>1399</v>
      </c>
      <c r="H369" s="2"/>
      <c r="I369" s="2"/>
      <c r="J369" s="2"/>
      <c r="K369" s="199"/>
      <c r="L369" s="863"/>
      <c r="M369" s="863"/>
      <c r="N369" s="277"/>
      <c r="O369" s="198"/>
      <c r="P369" s="198"/>
      <c r="Q369" s="278"/>
    </row>
    <row r="370" spans="1:17" ht="120.75" customHeight="1" x14ac:dyDescent="0.65">
      <c r="A370" s="75"/>
      <c r="B370" s="75"/>
      <c r="C370" s="75"/>
      <c r="D370" s="869" t="s">
        <v>519</v>
      </c>
      <c r="E370" s="794"/>
      <c r="F370" s="3"/>
      <c r="G370" s="3" t="s">
        <v>1304</v>
      </c>
      <c r="H370" s="336"/>
      <c r="I370" s="337"/>
      <c r="J370" s="338"/>
      <c r="K370" s="122"/>
      <c r="L370" s="863"/>
      <c r="M370" s="863"/>
      <c r="N370" s="6"/>
      <c r="O370" s="6"/>
      <c r="P370" s="6"/>
      <c r="Q370" s="6"/>
    </row>
    <row r="371" spans="1:17" ht="45.75" customHeight="1" x14ac:dyDescent="0.65">
      <c r="D371" s="853"/>
      <c r="E371" s="853"/>
      <c r="F371" s="853"/>
      <c r="G371" s="853"/>
      <c r="H371" s="853"/>
      <c r="I371" s="853"/>
      <c r="J371" s="853"/>
      <c r="K371" s="122"/>
      <c r="L371" s="863"/>
      <c r="M371" s="863"/>
      <c r="N371" s="6"/>
      <c r="O371" s="6"/>
      <c r="P371" s="6"/>
      <c r="Q371" s="6"/>
    </row>
    <row r="372" spans="1:17" ht="12.75" customHeight="1" x14ac:dyDescent="0.2">
      <c r="E372" s="280"/>
      <c r="F372" s="281"/>
      <c r="L372" s="863"/>
      <c r="M372" s="863"/>
    </row>
    <row r="373" spans="1:17" ht="12.75" customHeight="1" x14ac:dyDescent="0.2">
      <c r="E373" s="280"/>
      <c r="F373" s="281"/>
      <c r="L373" s="863"/>
      <c r="M373" s="863"/>
    </row>
    <row r="374" spans="1:17" ht="62.25" customHeight="1" x14ac:dyDescent="0.8">
      <c r="A374" s="13"/>
      <c r="B374" s="13"/>
      <c r="C374" s="13"/>
      <c r="D374" s="13"/>
      <c r="E374" s="278"/>
      <c r="F374" s="277"/>
      <c r="I374" s="13"/>
      <c r="J374" s="283"/>
      <c r="L374" s="863"/>
      <c r="M374" s="863"/>
    </row>
    <row r="375" spans="1:17" ht="45.75" customHeight="1" x14ac:dyDescent="0.2">
      <c r="E375" s="284"/>
      <c r="F375" s="279"/>
      <c r="L375" s="863"/>
      <c r="M375" s="863"/>
    </row>
    <row r="376" spans="1:17" ht="45.75" x14ac:dyDescent="0.2">
      <c r="A376" s="13"/>
      <c r="B376" s="13"/>
      <c r="C376" s="13"/>
      <c r="D376" s="13"/>
      <c r="E376" s="278"/>
      <c r="F376" s="277"/>
      <c r="I376" s="13"/>
      <c r="J376" s="13"/>
      <c r="L376" s="863"/>
      <c r="M376" s="863"/>
    </row>
    <row r="377" spans="1:17" ht="45.75" x14ac:dyDescent="0.2">
      <c r="E377" s="284"/>
      <c r="F377" s="279"/>
      <c r="L377" s="863"/>
      <c r="M377" s="863"/>
    </row>
    <row r="378" spans="1:17" ht="45.75" x14ac:dyDescent="0.2">
      <c r="E378" s="284"/>
      <c r="F378" s="279"/>
      <c r="L378" s="863"/>
      <c r="M378" s="863"/>
    </row>
    <row r="379" spans="1:17" ht="45.75" x14ac:dyDescent="0.2">
      <c r="E379" s="284"/>
      <c r="F379" s="279"/>
      <c r="L379" s="863"/>
      <c r="M379" s="863"/>
    </row>
    <row r="380" spans="1:17" ht="45.75" x14ac:dyDescent="0.2">
      <c r="A380" s="13"/>
      <c r="B380" s="13"/>
      <c r="C380" s="13"/>
      <c r="D380" s="13"/>
      <c r="E380" s="284"/>
      <c r="F380" s="279"/>
      <c r="G380" s="13"/>
      <c r="H380" s="13"/>
      <c r="I380" s="13"/>
      <c r="J380" s="13"/>
      <c r="L380" s="863"/>
      <c r="M380" s="863"/>
    </row>
    <row r="381" spans="1:17" ht="45.75" x14ac:dyDescent="0.2">
      <c r="A381" s="13"/>
      <c r="B381" s="13"/>
      <c r="C381" s="13"/>
      <c r="D381" s="13"/>
      <c r="E381" s="284"/>
      <c r="F381" s="279"/>
      <c r="G381" s="13"/>
      <c r="H381" s="13"/>
      <c r="I381" s="13"/>
      <c r="J381" s="13"/>
      <c r="L381" s="863"/>
      <c r="M381" s="863"/>
    </row>
    <row r="382" spans="1:17" ht="45.75" x14ac:dyDescent="0.2">
      <c r="A382" s="13"/>
      <c r="B382" s="13"/>
      <c r="C382" s="13"/>
      <c r="D382" s="13"/>
      <c r="E382" s="284"/>
      <c r="F382" s="279"/>
      <c r="G382" s="13"/>
      <c r="H382" s="13"/>
      <c r="I382" s="13"/>
      <c r="J382" s="13"/>
      <c r="L382" s="863"/>
      <c r="M382" s="863"/>
    </row>
    <row r="383" spans="1:17" ht="45.75" x14ac:dyDescent="0.2">
      <c r="A383" s="13"/>
      <c r="B383" s="13"/>
      <c r="C383" s="13"/>
      <c r="D383" s="13"/>
      <c r="E383" s="284"/>
      <c r="F383" s="279"/>
      <c r="G383" s="13"/>
      <c r="H383" s="13"/>
      <c r="I383" s="13"/>
      <c r="J383" s="13"/>
      <c r="L383" s="863"/>
      <c r="M383" s="863"/>
    </row>
    <row r="384" spans="1:17" x14ac:dyDescent="0.2">
      <c r="L384" s="863"/>
      <c r="M384" s="863"/>
    </row>
    <row r="385" spans="12:13" x14ac:dyDescent="0.2">
      <c r="L385" s="863"/>
      <c r="M385" s="863"/>
    </row>
    <row r="386" spans="12:13" x14ac:dyDescent="0.2">
      <c r="L386" s="863"/>
      <c r="M386" s="863"/>
    </row>
    <row r="387" spans="12:13" x14ac:dyDescent="0.2">
      <c r="L387" s="863"/>
      <c r="M387" s="863"/>
    </row>
    <row r="388" spans="12:13" x14ac:dyDescent="0.2">
      <c r="L388" s="863"/>
      <c r="M388" s="863"/>
    </row>
    <row r="389" spans="12:13" x14ac:dyDescent="0.2">
      <c r="L389" s="863"/>
      <c r="M389" s="863"/>
    </row>
    <row r="390" spans="12:13" x14ac:dyDescent="0.2">
      <c r="L390" s="863"/>
      <c r="M390" s="863"/>
    </row>
    <row r="391" spans="12:13" x14ac:dyDescent="0.2">
      <c r="L391" s="863"/>
      <c r="M391" s="863"/>
    </row>
    <row r="392" spans="12:13" x14ac:dyDescent="0.2">
      <c r="L392" s="863"/>
      <c r="M392" s="863"/>
    </row>
    <row r="393" spans="12:13" x14ac:dyDescent="0.2">
      <c r="L393" s="863"/>
      <c r="M393" s="863"/>
    </row>
    <row r="394" spans="12:13" x14ac:dyDescent="0.2">
      <c r="L394" s="863"/>
      <c r="M394" s="863"/>
    </row>
    <row r="395" spans="12:13" x14ac:dyDescent="0.2">
      <c r="L395" s="863"/>
      <c r="M395" s="863"/>
    </row>
    <row r="396" spans="12:13" x14ac:dyDescent="0.2">
      <c r="L396" s="863"/>
      <c r="M396" s="863"/>
    </row>
    <row r="397" spans="12:13" x14ac:dyDescent="0.2">
      <c r="L397" s="863"/>
      <c r="M397" s="863"/>
    </row>
    <row r="398" spans="12:13" x14ac:dyDescent="0.2">
      <c r="L398" s="863"/>
      <c r="M398" s="863"/>
    </row>
    <row r="399" spans="12:13" x14ac:dyDescent="0.2">
      <c r="L399" s="863"/>
      <c r="M399" s="863"/>
    </row>
    <row r="400" spans="12:13" x14ac:dyDescent="0.2">
      <c r="L400" s="863"/>
      <c r="M400" s="863"/>
    </row>
    <row r="401" spans="12:13" x14ac:dyDescent="0.2">
      <c r="L401" s="863"/>
      <c r="M401" s="863"/>
    </row>
    <row r="402" spans="12:13" x14ac:dyDescent="0.2">
      <c r="L402" s="863"/>
      <c r="M402" s="863"/>
    </row>
    <row r="403" spans="12:13" x14ac:dyDescent="0.2">
      <c r="L403" s="863"/>
      <c r="M403" s="863"/>
    </row>
    <row r="404" spans="12:13" x14ac:dyDescent="0.2">
      <c r="L404" s="863"/>
      <c r="M404" s="863"/>
    </row>
    <row r="405" spans="12:13" x14ac:dyDescent="0.2">
      <c r="L405" s="863"/>
      <c r="M405" s="863"/>
    </row>
    <row r="406" spans="12:13" x14ac:dyDescent="0.2">
      <c r="L406" s="863"/>
      <c r="M406" s="863"/>
    </row>
    <row r="407" spans="12:13" x14ac:dyDescent="0.2">
      <c r="L407" s="863"/>
      <c r="M407" s="863"/>
    </row>
    <row r="408" spans="12:13" x14ac:dyDescent="0.2">
      <c r="L408" s="863"/>
      <c r="M408" s="863"/>
    </row>
    <row r="409" spans="12:13" x14ac:dyDescent="0.2">
      <c r="L409" s="863"/>
      <c r="M409" s="863"/>
    </row>
    <row r="410" spans="12:13" x14ac:dyDescent="0.2">
      <c r="L410" s="863"/>
      <c r="M410" s="863"/>
    </row>
    <row r="411" spans="12:13" x14ac:dyDescent="0.2">
      <c r="L411" s="863"/>
      <c r="M411" s="863"/>
    </row>
    <row r="412" spans="12:13" x14ac:dyDescent="0.2">
      <c r="L412" s="863"/>
      <c r="M412" s="863"/>
    </row>
    <row r="413" spans="12:13" x14ac:dyDescent="0.2">
      <c r="L413" s="863"/>
      <c r="M413" s="863"/>
    </row>
    <row r="414" spans="12:13" x14ac:dyDescent="0.2">
      <c r="L414" s="863"/>
      <c r="M414" s="863"/>
    </row>
    <row r="415" spans="12:13" x14ac:dyDescent="0.2">
      <c r="L415" s="863"/>
      <c r="M415" s="863"/>
    </row>
    <row r="416" spans="12:13" x14ac:dyDescent="0.2">
      <c r="L416" s="863"/>
      <c r="M416" s="863"/>
    </row>
    <row r="417" spans="12:13" x14ac:dyDescent="0.2">
      <c r="L417" s="863"/>
      <c r="M417" s="863"/>
    </row>
  </sheetData>
  <mergeCells count="86">
    <mergeCell ref="M164:M167"/>
    <mergeCell ref="I306:I307"/>
    <mergeCell ref="J306:J307"/>
    <mergeCell ref="H282:H283"/>
    <mergeCell ref="I282:I283"/>
    <mergeCell ref="J282:J283"/>
    <mergeCell ref="H306:H307"/>
    <mergeCell ref="G282:G283"/>
    <mergeCell ref="K164:K167"/>
    <mergeCell ref="J34:J35"/>
    <mergeCell ref="G34:G35"/>
    <mergeCell ref="L164:L167"/>
    <mergeCell ref="I174:I175"/>
    <mergeCell ref="J174:J175"/>
    <mergeCell ref="I244:I245"/>
    <mergeCell ref="J244:J245"/>
    <mergeCell ref="H34:H35"/>
    <mergeCell ref="I34:I35"/>
    <mergeCell ref="A282:A283"/>
    <mergeCell ref="B282:B283"/>
    <mergeCell ref="C282:C283"/>
    <mergeCell ref="E282:E283"/>
    <mergeCell ref="F282:F283"/>
    <mergeCell ref="A306:A307"/>
    <mergeCell ref="B306:B307"/>
    <mergeCell ref="C306:C307"/>
    <mergeCell ref="E306:E307"/>
    <mergeCell ref="F306:F307"/>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I1:J1"/>
    <mergeCell ref="I2:J2"/>
    <mergeCell ref="I3:J3"/>
    <mergeCell ref="A5:J5"/>
    <mergeCell ref="A8:J8"/>
    <mergeCell ref="A34:A35"/>
    <mergeCell ref="B34:B35"/>
    <mergeCell ref="C34:C35"/>
    <mergeCell ref="E34:E35"/>
    <mergeCell ref="F34:F35"/>
    <mergeCell ref="F244:F245"/>
    <mergeCell ref="G244:G245"/>
    <mergeCell ref="H244:H245"/>
    <mergeCell ref="A174:A175"/>
    <mergeCell ref="B174:B175"/>
    <mergeCell ref="C174:C175"/>
    <mergeCell ref="E174:E175"/>
    <mergeCell ref="F174:F175"/>
    <mergeCell ref="H174:H175"/>
    <mergeCell ref="C244:C245"/>
    <mergeCell ref="E244:E245"/>
    <mergeCell ref="C323:C324"/>
    <mergeCell ref="G323:G324"/>
    <mergeCell ref="D370:E370"/>
    <mergeCell ref="D367:E367"/>
    <mergeCell ref="D368:E368"/>
    <mergeCell ref="L365:M417"/>
    <mergeCell ref="A244:A245"/>
    <mergeCell ref="B244:B245"/>
    <mergeCell ref="G127:G128"/>
    <mergeCell ref="H127:H128"/>
    <mergeCell ref="I127:I128"/>
    <mergeCell ref="J127:J128"/>
    <mergeCell ref="G174:G175"/>
    <mergeCell ref="D371:J371"/>
    <mergeCell ref="A365:J365"/>
    <mergeCell ref="H323:H324"/>
    <mergeCell ref="I323:I324"/>
    <mergeCell ref="J323:J324"/>
    <mergeCell ref="D323:D324"/>
    <mergeCell ref="A323:A324"/>
    <mergeCell ref="B323:B324"/>
  </mergeCells>
  <pageMargins left="0.23622047244094491" right="0.27559055118110237" top="0.27559055118110237" bottom="0.15748031496062992" header="0.23622047244094491" footer="0.27559055118110237"/>
  <pageSetup paperSize="9" scale="17" fitToHeight="0" orientation="landscape" r:id="rId1"/>
  <headerFooter alignWithMargins="0">
    <oddFooter>&amp;C&amp;"Times New Roman Cyr,курсив"Сторінка &amp;P з &amp;N</oddFooter>
  </headerFooter>
  <rowBreaks count="2" manualBreakCount="2">
    <brk id="343" max="8" man="1"/>
    <brk id="370"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8"/>
  <sheetViews>
    <sheetView view="pageBreakPreview" topLeftCell="A6" zoomScale="85" zoomScaleNormal="85" zoomScaleSheetLayoutView="85" workbookViewId="0">
      <selection activeCell="F35" sqref="F35"/>
    </sheetView>
  </sheetViews>
  <sheetFormatPr defaultColWidth="9.140625" defaultRowHeight="12.75" x14ac:dyDescent="0.2"/>
  <cols>
    <col min="1" max="1" width="18.140625" style="97" customWidth="1"/>
    <col min="2" max="2" width="108.42578125" style="97" customWidth="1"/>
    <col min="3" max="3" width="4" style="97" hidden="1" customWidth="1"/>
    <col min="4" max="4" width="22.85546875"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302"/>
      <c r="B1" s="302"/>
      <c r="C1" s="713" t="s">
        <v>586</v>
      </c>
      <c r="D1" s="713"/>
      <c r="E1" s="303"/>
      <c r="F1" s="303"/>
      <c r="G1" s="302"/>
      <c r="H1" s="302"/>
      <c r="I1" s="302"/>
    </row>
    <row r="2" spans="1:9" ht="16.5" customHeight="1" x14ac:dyDescent="0.2">
      <c r="A2" s="302"/>
      <c r="B2" s="302"/>
      <c r="C2" s="904" t="s">
        <v>1570</v>
      </c>
      <c r="D2" s="905"/>
      <c r="E2" s="905"/>
      <c r="F2" s="905"/>
      <c r="G2" s="302"/>
      <c r="H2" s="302"/>
      <c r="I2" s="302"/>
    </row>
    <row r="3" spans="1:9" ht="17.45" customHeight="1" x14ac:dyDescent="0.2">
      <c r="A3" s="302"/>
      <c r="B3" s="302"/>
      <c r="C3" s="713" t="s">
        <v>1569</v>
      </c>
      <c r="D3" s="901"/>
      <c r="E3" s="302"/>
      <c r="F3" s="302"/>
      <c r="G3" s="302"/>
      <c r="H3" s="302"/>
      <c r="I3" s="302"/>
    </row>
    <row r="4" spans="1:9" ht="12.75" customHeight="1" x14ac:dyDescent="0.2">
      <c r="A4" s="302"/>
      <c r="B4" s="302"/>
      <c r="C4" s="713"/>
      <c r="D4" s="716"/>
      <c r="E4" s="302"/>
      <c r="F4" s="302"/>
      <c r="G4" s="302"/>
      <c r="H4" s="302"/>
      <c r="I4" s="302"/>
    </row>
    <row r="5" spans="1:9" ht="16.5" x14ac:dyDescent="0.25">
      <c r="A5" s="890" t="s">
        <v>564</v>
      </c>
      <c r="B5" s="890"/>
      <c r="C5" s="890"/>
      <c r="D5" s="716"/>
      <c r="E5" s="906"/>
      <c r="F5" s="907"/>
      <c r="G5" s="907"/>
      <c r="H5" s="907"/>
      <c r="I5" s="718"/>
    </row>
    <row r="6" spans="1:9" ht="16.5" x14ac:dyDescent="0.25">
      <c r="A6" s="890" t="s">
        <v>563</v>
      </c>
      <c r="B6" s="890"/>
      <c r="C6" s="890"/>
      <c r="D6" s="716"/>
      <c r="E6" s="98"/>
      <c r="F6" s="99"/>
      <c r="G6" s="99"/>
      <c r="H6" s="99"/>
      <c r="I6" s="304"/>
    </row>
    <row r="7" spans="1:9" ht="16.5" x14ac:dyDescent="0.25">
      <c r="A7" s="891" t="s">
        <v>126</v>
      </c>
      <c r="B7" s="891"/>
      <c r="C7" s="891"/>
      <c r="D7" s="892"/>
      <c r="E7" s="906"/>
      <c r="F7" s="906"/>
      <c r="G7" s="906"/>
      <c r="H7" s="906"/>
      <c r="I7" s="714"/>
    </row>
    <row r="8" spans="1:9" ht="16.5" x14ac:dyDescent="0.2">
      <c r="A8" s="891" t="s">
        <v>1577</v>
      </c>
      <c r="B8" s="891"/>
      <c r="C8" s="891"/>
      <c r="D8" s="892"/>
      <c r="E8" s="908"/>
      <c r="F8" s="908"/>
      <c r="G8" s="908"/>
      <c r="H8" s="908"/>
      <c r="I8" s="909"/>
    </row>
    <row r="9" spans="1:9" ht="16.5" x14ac:dyDescent="0.2">
      <c r="A9" s="96"/>
      <c r="B9" s="96"/>
      <c r="C9" s="96"/>
      <c r="D9" s="305"/>
      <c r="E9" s="100"/>
      <c r="F9" s="100"/>
      <c r="G9" s="100"/>
      <c r="H9" s="100"/>
      <c r="I9" s="306"/>
    </row>
    <row r="10" spans="1:9" ht="16.5" x14ac:dyDescent="0.2">
      <c r="A10" s="442">
        <v>2256400000</v>
      </c>
      <c r="B10" s="488"/>
      <c r="C10" s="489"/>
      <c r="D10" s="305"/>
      <c r="E10" s="490"/>
      <c r="F10" s="490"/>
      <c r="G10" s="490"/>
      <c r="H10" s="100"/>
      <c r="I10" s="306"/>
    </row>
    <row r="11" spans="1:9" ht="16.5" x14ac:dyDescent="0.2">
      <c r="A11" s="437" t="s">
        <v>488</v>
      </c>
      <c r="B11" s="438"/>
      <c r="C11" s="489"/>
      <c r="D11" s="305"/>
      <c r="E11" s="490"/>
      <c r="F11" s="490"/>
      <c r="G11" s="490"/>
      <c r="H11" s="100"/>
      <c r="I11" s="306"/>
    </row>
    <row r="12" spans="1:9" ht="17.25" thickBot="1" x14ac:dyDescent="0.25">
      <c r="A12" s="491"/>
      <c r="B12" s="491"/>
      <c r="C12" s="492"/>
      <c r="D12" s="492" t="s">
        <v>403</v>
      </c>
      <c r="E12" s="490"/>
      <c r="F12" s="490"/>
      <c r="G12" s="493"/>
      <c r="H12" s="302"/>
      <c r="I12" s="302"/>
    </row>
    <row r="13" spans="1:9" s="285" customFormat="1" ht="50.25" customHeight="1" thickTop="1" thickBot="1" x14ac:dyDescent="0.25">
      <c r="A13" s="710" t="s">
        <v>127</v>
      </c>
      <c r="B13" s="902" t="s">
        <v>128</v>
      </c>
      <c r="C13" s="903"/>
      <c r="D13" s="903"/>
      <c r="E13" s="494"/>
      <c r="F13" s="494"/>
      <c r="G13" s="494"/>
      <c r="H13" s="495"/>
      <c r="I13" s="495"/>
    </row>
    <row r="14" spans="1:9" s="285" customFormat="1" ht="39.75" customHeight="1" thickTop="1" thickBot="1" x14ac:dyDescent="0.25">
      <c r="A14" s="702" t="s">
        <v>129</v>
      </c>
      <c r="B14" s="886" t="s">
        <v>130</v>
      </c>
      <c r="C14" s="887"/>
      <c r="D14" s="705">
        <v>100</v>
      </c>
      <c r="E14" s="74"/>
      <c r="F14" s="74"/>
      <c r="G14" s="74"/>
    </row>
    <row r="15" spans="1:9" s="285" customFormat="1" ht="40.700000000000003" customHeight="1" thickTop="1" thickBot="1" x14ac:dyDescent="0.25">
      <c r="A15" s="702" t="s">
        <v>131</v>
      </c>
      <c r="B15" s="886" t="s">
        <v>132</v>
      </c>
      <c r="C15" s="887"/>
      <c r="D15" s="705">
        <v>3000000</v>
      </c>
      <c r="E15" s="74"/>
      <c r="F15" s="74"/>
      <c r="G15" s="74"/>
    </row>
    <row r="16" spans="1:9" s="285" customFormat="1" ht="66" customHeight="1" thickTop="1" thickBot="1" x14ac:dyDescent="0.25">
      <c r="A16" s="702" t="s">
        <v>133</v>
      </c>
      <c r="B16" s="886" t="s">
        <v>1207</v>
      </c>
      <c r="C16" s="887"/>
      <c r="D16" s="705">
        <v>368000</v>
      </c>
      <c r="E16" s="74"/>
      <c r="F16" s="74"/>
      <c r="G16" s="74"/>
    </row>
    <row r="17" spans="1:7" s="285" customFormat="1" ht="41.25" customHeight="1" thickTop="1" thickBot="1" x14ac:dyDescent="0.25">
      <c r="A17" s="702" t="s">
        <v>986</v>
      </c>
      <c r="B17" s="886" t="s">
        <v>987</v>
      </c>
      <c r="C17" s="887"/>
      <c r="D17" s="705">
        <v>981300</v>
      </c>
      <c r="E17" s="74"/>
      <c r="F17" s="74"/>
      <c r="G17" s="74"/>
    </row>
    <row r="18" spans="1:7" s="285" customFormat="1" ht="41.25" customHeight="1" thickTop="1" thickBot="1" x14ac:dyDescent="0.25">
      <c r="A18" s="702" t="s">
        <v>134</v>
      </c>
      <c r="B18" s="886" t="s">
        <v>135</v>
      </c>
      <c r="C18" s="887"/>
      <c r="D18" s="705">
        <v>600</v>
      </c>
      <c r="E18" s="74"/>
      <c r="F18" s="74"/>
      <c r="G18" s="74"/>
    </row>
    <row r="19" spans="1:7" s="285" customFormat="1" ht="41.25" customHeight="1" thickTop="1" thickBot="1" x14ac:dyDescent="0.25">
      <c r="A19" s="702" t="s">
        <v>1208</v>
      </c>
      <c r="B19" s="886" t="s">
        <v>1209</v>
      </c>
      <c r="C19" s="887"/>
      <c r="D19" s="705">
        <v>700000</v>
      </c>
      <c r="E19" s="74"/>
      <c r="F19" s="74"/>
      <c r="G19" s="74"/>
    </row>
    <row r="20" spans="1:7" s="285" customFormat="1" ht="41.25" customHeight="1" thickTop="1" thickBot="1" x14ac:dyDescent="0.25">
      <c r="A20" s="702" t="s">
        <v>1210</v>
      </c>
      <c r="B20" s="886" t="s">
        <v>1211</v>
      </c>
      <c r="C20" s="887"/>
      <c r="D20" s="705">
        <v>450000</v>
      </c>
      <c r="E20" s="884" t="s">
        <v>1249</v>
      </c>
      <c r="F20" s="885"/>
      <c r="G20" s="74"/>
    </row>
    <row r="21" spans="1:7" s="285" customFormat="1" ht="18.75" thickTop="1" thickBot="1" x14ac:dyDescent="0.25">
      <c r="A21" s="702"/>
      <c r="B21" s="897" t="s">
        <v>136</v>
      </c>
      <c r="C21" s="887"/>
      <c r="D21" s="709">
        <f>SUM(D14:D20)</f>
        <v>5500000</v>
      </c>
      <c r="E21" s="74"/>
      <c r="F21" s="74"/>
      <c r="G21" s="74"/>
    </row>
    <row r="22" spans="1:7" s="285" customFormat="1" ht="18.75" hidden="1" thickTop="1" thickBot="1" x14ac:dyDescent="0.25">
      <c r="A22" s="286"/>
      <c r="B22" s="896" t="s">
        <v>437</v>
      </c>
      <c r="C22" s="889"/>
      <c r="D22" s="430"/>
      <c r="E22" s="74"/>
      <c r="F22" s="74"/>
      <c r="G22" s="74"/>
    </row>
    <row r="23" spans="1:7" s="285" customFormat="1" ht="18.75" hidden="1" thickTop="1" thickBot="1" x14ac:dyDescent="0.25">
      <c r="A23" s="286"/>
      <c r="B23" s="896" t="s">
        <v>1206</v>
      </c>
      <c r="C23" s="889"/>
      <c r="D23" s="430">
        <v>0</v>
      </c>
      <c r="E23" s="74"/>
      <c r="F23" s="74"/>
      <c r="G23" s="74"/>
    </row>
    <row r="24" spans="1:7" s="285" customFormat="1" ht="26.45" customHeight="1" thickTop="1" thickBot="1" x14ac:dyDescent="0.25">
      <c r="A24" s="706" t="s">
        <v>380</v>
      </c>
      <c r="B24" s="898" t="s">
        <v>492</v>
      </c>
      <c r="C24" s="899"/>
      <c r="D24" s="707">
        <f>D21+D23</f>
        <v>5500000</v>
      </c>
      <c r="E24" s="534" t="b">
        <f>D24='d1'!E111+D23</f>
        <v>1</v>
      </c>
      <c r="G24" s="74"/>
    </row>
    <row r="25" spans="1:7" s="285" customFormat="1" ht="47.25" customHeight="1" thickTop="1" thickBot="1" x14ac:dyDescent="0.25">
      <c r="A25" s="710" t="s">
        <v>127</v>
      </c>
      <c r="B25" s="902" t="s">
        <v>137</v>
      </c>
      <c r="C25" s="903"/>
      <c r="D25" s="903"/>
      <c r="E25" s="74"/>
      <c r="F25" s="74"/>
      <c r="G25" s="74"/>
    </row>
    <row r="26" spans="1:7" s="285" customFormat="1" ht="43.5" customHeight="1" thickTop="1" thickBot="1" x14ac:dyDescent="0.25">
      <c r="A26" s="702" t="s">
        <v>138</v>
      </c>
      <c r="B26" s="886" t="s">
        <v>139</v>
      </c>
      <c r="C26" s="887"/>
      <c r="D26" s="705">
        <v>120600</v>
      </c>
      <c r="E26" s="74"/>
      <c r="F26" s="74"/>
      <c r="G26" s="74"/>
    </row>
    <row r="27" spans="1:7" s="285" customFormat="1" ht="44.45" customHeight="1" thickTop="1" thickBot="1" x14ac:dyDescent="0.25">
      <c r="A27" s="702" t="s">
        <v>140</v>
      </c>
      <c r="B27" s="886" t="s">
        <v>141</v>
      </c>
      <c r="C27" s="887"/>
      <c r="D27" s="705">
        <v>45000</v>
      </c>
      <c r="E27" s="74"/>
      <c r="F27" s="74"/>
      <c r="G27" s="74"/>
    </row>
    <row r="28" spans="1:7" s="285" customFormat="1" ht="44.45" hidden="1" customHeight="1" thickTop="1" thickBot="1" x14ac:dyDescent="0.25">
      <c r="A28" s="286" t="s">
        <v>468</v>
      </c>
      <c r="B28" s="888" t="s">
        <v>407</v>
      </c>
      <c r="C28" s="889"/>
      <c r="D28" s="545">
        <v>0</v>
      </c>
      <c r="E28" s="74"/>
      <c r="F28" s="74"/>
      <c r="G28" s="74"/>
    </row>
    <row r="29" spans="1:7" s="285" customFormat="1" ht="32.25" customHeight="1" thickTop="1" thickBot="1" x14ac:dyDescent="0.25">
      <c r="A29" s="702" t="s">
        <v>142</v>
      </c>
      <c r="B29" s="886" t="s">
        <v>144</v>
      </c>
      <c r="C29" s="887"/>
      <c r="D29" s="705">
        <v>280000</v>
      </c>
      <c r="E29" s="74"/>
      <c r="F29" s="74"/>
      <c r="G29" s="74"/>
    </row>
    <row r="30" spans="1:7" s="285" customFormat="1" ht="39" customHeight="1" thickTop="1" thickBot="1" x14ac:dyDescent="0.25">
      <c r="A30" s="702" t="s">
        <v>143</v>
      </c>
      <c r="B30" s="886" t="s">
        <v>1439</v>
      </c>
      <c r="C30" s="887"/>
      <c r="D30" s="705">
        <v>1410800</v>
      </c>
      <c r="E30" s="74"/>
      <c r="F30" s="74"/>
      <c r="G30" s="74"/>
    </row>
    <row r="31" spans="1:7" s="285" customFormat="1" ht="17.25" hidden="1" thickTop="1" thickBot="1" x14ac:dyDescent="0.25">
      <c r="A31" s="286" t="s">
        <v>145</v>
      </c>
      <c r="B31" s="888" t="s">
        <v>1175</v>
      </c>
      <c r="C31" s="889"/>
      <c r="D31" s="545">
        <v>0</v>
      </c>
      <c r="E31" s="74"/>
      <c r="F31" s="74"/>
      <c r="G31" s="74"/>
    </row>
    <row r="32" spans="1:7" s="285" customFormat="1" ht="51" thickTop="1" thickBot="1" x14ac:dyDescent="0.25">
      <c r="A32" s="702" t="s">
        <v>974</v>
      </c>
      <c r="B32" s="703" t="s">
        <v>975</v>
      </c>
      <c r="C32" s="704"/>
      <c r="D32" s="705">
        <v>1000000</v>
      </c>
      <c r="E32" s="74"/>
      <c r="F32" s="74"/>
      <c r="G32" s="74"/>
    </row>
    <row r="33" spans="1:7" s="285" customFormat="1" ht="17.25" hidden="1" thickTop="1" thickBot="1" x14ac:dyDescent="0.25">
      <c r="A33" s="286" t="s">
        <v>469</v>
      </c>
      <c r="B33" s="888" t="s">
        <v>146</v>
      </c>
      <c r="C33" s="889"/>
      <c r="D33" s="545">
        <f>(20000)-20000</f>
        <v>0</v>
      </c>
      <c r="E33" s="74"/>
      <c r="F33" s="74"/>
      <c r="G33" s="74"/>
    </row>
    <row r="34" spans="1:7" s="285" customFormat="1" ht="17.25" hidden="1" thickTop="1" thickBot="1" x14ac:dyDescent="0.25">
      <c r="A34" s="286" t="s">
        <v>469</v>
      </c>
      <c r="B34" s="888" t="s">
        <v>146</v>
      </c>
      <c r="C34" s="889"/>
      <c r="D34" s="545"/>
      <c r="E34" s="74"/>
      <c r="F34" s="74"/>
      <c r="G34" s="74"/>
    </row>
    <row r="35" spans="1:7" s="285" customFormat="1" ht="157.69999999999999" customHeight="1" thickTop="1" thickBot="1" x14ac:dyDescent="0.25">
      <c r="A35" s="702" t="s">
        <v>470</v>
      </c>
      <c r="B35" s="900" t="s">
        <v>1212</v>
      </c>
      <c r="C35" s="716"/>
      <c r="D35" s="711">
        <v>2643600</v>
      </c>
      <c r="E35" s="74"/>
      <c r="F35" s="74"/>
      <c r="G35" s="74"/>
    </row>
    <row r="36" spans="1:7" s="285" customFormat="1" ht="27.75" customHeight="1" thickTop="1" thickBot="1" x14ac:dyDescent="0.25">
      <c r="A36" s="706" t="s">
        <v>380</v>
      </c>
      <c r="B36" s="898" t="s">
        <v>492</v>
      </c>
      <c r="C36" s="899"/>
      <c r="D36" s="707">
        <f>SUM(D26:D35)</f>
        <v>5500000</v>
      </c>
      <c r="E36" s="534" t="b">
        <f>D24=D36</f>
        <v>1</v>
      </c>
      <c r="F36" s="534" t="b">
        <f>D36='d3'!J33+'d3'!J186+'d3'!J266+'d3'!J296+'d3'!J330</f>
        <v>1</v>
      </c>
      <c r="G36" s="534" t="b">
        <f>D36='d7'!G282+'d7'!G244+'d7'!G174+'d7'!G34+'d7'!G306</f>
        <v>1</v>
      </c>
    </row>
    <row r="37" spans="1:7" s="291" customFormat="1" ht="27.75" customHeight="1" thickTop="1" x14ac:dyDescent="0.2">
      <c r="A37" s="287"/>
      <c r="B37" s="288"/>
      <c r="C37" s="289"/>
      <c r="D37" s="290"/>
      <c r="E37" s="10"/>
      <c r="F37" s="10"/>
    </row>
    <row r="38" spans="1:7" ht="15.75" x14ac:dyDescent="0.25">
      <c r="B38" s="861" t="s">
        <v>1432</v>
      </c>
      <c r="C38" s="857"/>
      <c r="D38" s="350" t="s">
        <v>1433</v>
      </c>
      <c r="E38" s="1"/>
      <c r="F38" s="350"/>
    </row>
    <row r="39" spans="1:7" ht="15.75" hidden="1" x14ac:dyDescent="0.25">
      <c r="B39" s="328" t="s">
        <v>1398</v>
      </c>
      <c r="C39" s="329"/>
      <c r="D39" s="328" t="s">
        <v>1399</v>
      </c>
      <c r="E39" s="1"/>
      <c r="F39" s="350"/>
    </row>
    <row r="40" spans="1:7" ht="15" x14ac:dyDescent="0.25">
      <c r="B40" s="328"/>
      <c r="C40" s="328"/>
      <c r="D40" s="328"/>
      <c r="E40" s="11"/>
    </row>
    <row r="41" spans="1:7" ht="22.7" customHeight="1" x14ac:dyDescent="0.65">
      <c r="A41" s="292" t="s">
        <v>521</v>
      </c>
      <c r="B41" s="861" t="s">
        <v>519</v>
      </c>
      <c r="C41" s="857"/>
      <c r="D41" s="328" t="s">
        <v>1304</v>
      </c>
      <c r="E41" s="3"/>
    </row>
    <row r="42" spans="1:7" ht="18.75" x14ac:dyDescent="0.2">
      <c r="A42" s="292"/>
      <c r="B42" s="292"/>
      <c r="C42" s="292"/>
    </row>
    <row r="43" spans="1:7" ht="18.75" x14ac:dyDescent="0.2">
      <c r="A43" s="895"/>
      <c r="B43" s="895"/>
      <c r="C43" s="293"/>
    </row>
    <row r="49" spans="1:4" ht="16.5" x14ac:dyDescent="0.2">
      <c r="A49" s="894"/>
      <c r="B49" s="294"/>
      <c r="C49" s="295"/>
      <c r="D49" s="296"/>
    </row>
    <row r="50" spans="1:4" ht="16.5" x14ac:dyDescent="0.2">
      <c r="A50" s="894"/>
      <c r="B50" s="297"/>
      <c r="C50" s="295"/>
      <c r="D50" s="296"/>
    </row>
    <row r="51" spans="1:4" ht="16.5" x14ac:dyDescent="0.2">
      <c r="A51" s="894"/>
      <c r="B51" s="298"/>
      <c r="C51" s="295"/>
      <c r="D51" s="296"/>
    </row>
    <row r="52" spans="1:4" ht="16.5" x14ac:dyDescent="0.2">
      <c r="A52" s="894"/>
      <c r="B52" s="294"/>
      <c r="C52" s="295"/>
      <c r="D52" s="296"/>
    </row>
    <row r="53" spans="1:4" ht="16.5" x14ac:dyDescent="0.2">
      <c r="A53" s="894"/>
      <c r="B53" s="294" t="s">
        <v>1534</v>
      </c>
      <c r="C53" s="295"/>
      <c r="D53" s="296"/>
    </row>
    <row r="84" spans="6:6" x14ac:dyDescent="0.2">
      <c r="F84" s="893"/>
    </row>
    <row r="85" spans="6:6" x14ac:dyDescent="0.2">
      <c r="F85" s="806"/>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1335</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299" t="b">
        <f>F168=G168+H168</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4:F85"/>
    <mergeCell ref="A49:A53"/>
    <mergeCell ref="A43:B43"/>
    <mergeCell ref="B22:C22"/>
    <mergeCell ref="B21:C21"/>
    <mergeCell ref="B36:C36"/>
    <mergeCell ref="B35:C35"/>
    <mergeCell ref="B33:C33"/>
    <mergeCell ref="B31:C31"/>
    <mergeCell ref="B30:C30"/>
    <mergeCell ref="B23:C23"/>
    <mergeCell ref="B41:C41"/>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5"/>
  <sheetViews>
    <sheetView view="pageBreakPreview" topLeftCell="A10" zoomScaleNormal="85" zoomScaleSheetLayoutView="100" workbookViewId="0">
      <selection activeCell="H23" sqref="H23"/>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45"/>
      <c r="B1" s="445"/>
      <c r="C1" s="445"/>
      <c r="D1" s="445"/>
      <c r="E1" s="445"/>
      <c r="F1" s="445" t="s">
        <v>587</v>
      </c>
      <c r="G1"/>
      <c r="H1"/>
      <c r="I1"/>
    </row>
    <row r="2" spans="1:10" x14ac:dyDescent="0.2">
      <c r="A2" s="445"/>
      <c r="B2" s="445"/>
      <c r="C2" s="445"/>
      <c r="D2" s="445"/>
      <c r="E2" s="445"/>
      <c r="F2" s="445" t="s">
        <v>946</v>
      </c>
      <c r="G2"/>
      <c r="H2"/>
      <c r="I2"/>
    </row>
    <row r="3" spans="1:10" x14ac:dyDescent="0.2">
      <c r="A3" s="445"/>
      <c r="B3" s="445"/>
      <c r="C3" s="445"/>
      <c r="D3" s="445"/>
      <c r="E3" s="445"/>
      <c r="F3" s="912" t="s">
        <v>1568</v>
      </c>
      <c r="G3" s="826"/>
      <c r="H3" s="826"/>
      <c r="I3" s="826"/>
    </row>
    <row r="4" spans="1:10" ht="15.75" x14ac:dyDescent="0.25">
      <c r="A4" s="913" t="s">
        <v>566</v>
      </c>
      <c r="B4" s="730"/>
      <c r="C4" s="730"/>
      <c r="D4" s="730"/>
      <c r="E4" s="730"/>
      <c r="F4" s="730"/>
      <c r="G4"/>
      <c r="H4"/>
      <c r="I4"/>
    </row>
    <row r="5" spans="1:10" ht="15.75" x14ac:dyDescent="0.25">
      <c r="A5" s="913" t="s">
        <v>565</v>
      </c>
      <c r="B5" s="730"/>
      <c r="C5" s="730"/>
      <c r="D5" s="730"/>
      <c r="E5" s="730"/>
      <c r="F5" s="730"/>
      <c r="G5"/>
      <c r="H5"/>
      <c r="I5"/>
    </row>
    <row r="6" spans="1:10" ht="15.75" x14ac:dyDescent="0.25">
      <c r="A6" s="913" t="s">
        <v>884</v>
      </c>
      <c r="B6" s="730"/>
      <c r="C6" s="730"/>
      <c r="D6" s="730"/>
      <c r="E6" s="730"/>
      <c r="F6" s="730"/>
      <c r="G6"/>
      <c r="H6"/>
      <c r="I6"/>
    </row>
    <row r="7" spans="1:10" ht="15.75" x14ac:dyDescent="0.25">
      <c r="A7"/>
      <c r="B7"/>
      <c r="C7" s="913" t="s">
        <v>1576</v>
      </c>
      <c r="D7" s="730"/>
      <c r="E7" s="730"/>
      <c r="F7"/>
      <c r="G7"/>
      <c r="H7"/>
      <c r="I7"/>
    </row>
    <row r="8" spans="1:10" ht="12.75" customHeight="1" x14ac:dyDescent="0.25">
      <c r="A8" s="446"/>
      <c r="B8" s="446"/>
      <c r="C8" s="446"/>
      <c r="D8" s="446"/>
      <c r="E8" s="446"/>
      <c r="F8" s="446"/>
      <c r="G8" s="446"/>
      <c r="H8" s="446"/>
      <c r="I8" s="446"/>
      <c r="J8" s="300"/>
    </row>
    <row r="9" spans="1:10" x14ac:dyDescent="0.2">
      <c r="A9" s="801">
        <v>2256400000</v>
      </c>
      <c r="B9" s="730"/>
      <c r="C9" s="443"/>
      <c r="D9" s="443"/>
      <c r="E9" s="443"/>
      <c r="F9" s="443"/>
      <c r="G9"/>
      <c r="H9"/>
      <c r="I9"/>
    </row>
    <row r="10" spans="1:10" x14ac:dyDescent="0.2">
      <c r="A10" s="803" t="s">
        <v>488</v>
      </c>
      <c r="B10" s="910"/>
      <c r="C10" s="443"/>
      <c r="D10" s="443"/>
      <c r="E10" s="443"/>
      <c r="F10" s="443"/>
      <c r="G10"/>
      <c r="H10"/>
      <c r="I10"/>
    </row>
    <row r="11" spans="1:10" ht="13.5" thickBot="1" x14ac:dyDescent="0.25">
      <c r="A11" s="437"/>
      <c r="B11" s="437"/>
      <c r="C11" s="443"/>
      <c r="D11" s="443"/>
      <c r="E11" s="443"/>
      <c r="F11" s="443"/>
      <c r="G11"/>
      <c r="H11"/>
      <c r="I11"/>
    </row>
    <row r="12" spans="1:10" ht="48" customHeight="1" thickTop="1" thickBot="1" x14ac:dyDescent="0.25">
      <c r="A12" s="449" t="s">
        <v>315</v>
      </c>
      <c r="B12" s="450" t="s">
        <v>316</v>
      </c>
      <c r="C12" s="450" t="s">
        <v>20</v>
      </c>
      <c r="D12" s="450" t="s">
        <v>16</v>
      </c>
      <c r="E12" s="449" t="s">
        <v>317</v>
      </c>
      <c r="F12" s="451" t="s">
        <v>404</v>
      </c>
      <c r="G12" s="20"/>
    </row>
    <row r="13" spans="1:10" ht="17.25" thickTop="1" thickBot="1" x14ac:dyDescent="0.25">
      <c r="A13" s="452">
        <v>1</v>
      </c>
      <c r="B13" s="453" t="s">
        <v>1095</v>
      </c>
      <c r="C13" s="453" t="s">
        <v>1096</v>
      </c>
      <c r="D13" s="453" t="s">
        <v>51</v>
      </c>
      <c r="E13" s="454" t="s">
        <v>1452</v>
      </c>
      <c r="F13" s="447">
        <v>95000</v>
      </c>
      <c r="G13" s="20"/>
    </row>
    <row r="14" spans="1:10" ht="17.25" thickTop="1" thickBot="1" x14ac:dyDescent="0.25">
      <c r="A14" s="452">
        <v>2</v>
      </c>
      <c r="B14" s="453" t="s">
        <v>1095</v>
      </c>
      <c r="C14" s="453" t="s">
        <v>1096</v>
      </c>
      <c r="D14" s="453" t="s">
        <v>51</v>
      </c>
      <c r="E14" s="454" t="s">
        <v>1589</v>
      </c>
      <c r="F14" s="447">
        <v>450000</v>
      </c>
      <c r="G14" s="20"/>
    </row>
    <row r="15" spans="1:10" ht="53.45" customHeight="1" thickTop="1" thickBot="1" x14ac:dyDescent="0.25">
      <c r="A15" s="452">
        <v>3</v>
      </c>
      <c r="B15" s="453" t="s">
        <v>1095</v>
      </c>
      <c r="C15" s="453" t="s">
        <v>1096</v>
      </c>
      <c r="D15" s="453" t="s">
        <v>51</v>
      </c>
      <c r="E15" s="454" t="s">
        <v>1590</v>
      </c>
      <c r="F15" s="448">
        <v>140000</v>
      </c>
      <c r="G15" s="20"/>
    </row>
    <row r="16" spans="1:10" ht="48.75" thickTop="1" thickBot="1" x14ac:dyDescent="0.25">
      <c r="A16" s="452">
        <v>4</v>
      </c>
      <c r="B16" s="453" t="s">
        <v>1095</v>
      </c>
      <c r="C16" s="453" t="s">
        <v>1096</v>
      </c>
      <c r="D16" s="453" t="s">
        <v>51</v>
      </c>
      <c r="E16" s="454" t="s">
        <v>1591</v>
      </c>
      <c r="F16" s="448">
        <v>100000</v>
      </c>
      <c r="G16" s="20"/>
    </row>
    <row r="17" spans="1:7" ht="48.75" thickTop="1" thickBot="1" x14ac:dyDescent="0.25">
      <c r="A17" s="452">
        <v>5</v>
      </c>
      <c r="B17" s="453" t="s">
        <v>1095</v>
      </c>
      <c r="C17" s="453" t="s">
        <v>1096</v>
      </c>
      <c r="D17" s="453" t="s">
        <v>51</v>
      </c>
      <c r="E17" s="454" t="s">
        <v>1592</v>
      </c>
      <c r="F17" s="448">
        <v>170000</v>
      </c>
      <c r="G17" s="20"/>
    </row>
    <row r="18" spans="1:7" ht="17.25" thickTop="1" thickBot="1" x14ac:dyDescent="0.25">
      <c r="A18" s="452">
        <v>6</v>
      </c>
      <c r="B18" s="453" t="s">
        <v>1095</v>
      </c>
      <c r="C18" s="453" t="s">
        <v>1096</v>
      </c>
      <c r="D18" s="453" t="s">
        <v>51</v>
      </c>
      <c r="E18" s="454" t="s">
        <v>1593</v>
      </c>
      <c r="F18" s="448">
        <v>625000</v>
      </c>
      <c r="G18" s="20"/>
    </row>
    <row r="19" spans="1:7" ht="33" thickTop="1" thickBot="1" x14ac:dyDescent="0.25">
      <c r="A19" s="452">
        <v>7</v>
      </c>
      <c r="B19" s="453" t="s">
        <v>1095</v>
      </c>
      <c r="C19" s="453" t="s">
        <v>1096</v>
      </c>
      <c r="D19" s="453" t="s">
        <v>51</v>
      </c>
      <c r="E19" s="454" t="s">
        <v>1594</v>
      </c>
      <c r="F19" s="448">
        <v>90000</v>
      </c>
      <c r="G19" s="20"/>
    </row>
    <row r="20" spans="1:7" ht="48.75" thickTop="1" thickBot="1" x14ac:dyDescent="0.25">
      <c r="A20" s="452">
        <v>8</v>
      </c>
      <c r="B20" s="453" t="s">
        <v>1095</v>
      </c>
      <c r="C20" s="453" t="s">
        <v>1096</v>
      </c>
      <c r="D20" s="453" t="s">
        <v>51</v>
      </c>
      <c r="E20" s="454" t="s">
        <v>1595</v>
      </c>
      <c r="F20" s="448">
        <v>60000</v>
      </c>
      <c r="G20" s="20"/>
    </row>
    <row r="21" spans="1:7" ht="48.75" thickTop="1" thickBot="1" x14ac:dyDescent="0.25">
      <c r="A21" s="452">
        <v>9</v>
      </c>
      <c r="B21" s="453" t="s">
        <v>1095</v>
      </c>
      <c r="C21" s="453" t="s">
        <v>1096</v>
      </c>
      <c r="D21" s="453" t="s">
        <v>51</v>
      </c>
      <c r="E21" s="454" t="s">
        <v>1598</v>
      </c>
      <c r="F21" s="448">
        <v>140000</v>
      </c>
      <c r="G21" s="20"/>
    </row>
    <row r="22" spans="1:7" ht="33" thickTop="1" thickBot="1" x14ac:dyDescent="0.25">
      <c r="A22" s="452">
        <v>10</v>
      </c>
      <c r="B22" s="453" t="s">
        <v>1095</v>
      </c>
      <c r="C22" s="453" t="s">
        <v>1096</v>
      </c>
      <c r="D22" s="453" t="s">
        <v>51</v>
      </c>
      <c r="E22" s="454" t="s">
        <v>1596</v>
      </c>
      <c r="F22" s="448">
        <v>30000</v>
      </c>
      <c r="G22" s="20"/>
    </row>
    <row r="23" spans="1:7" ht="80.25" thickTop="1" thickBot="1" x14ac:dyDescent="0.25">
      <c r="A23" s="452">
        <v>11</v>
      </c>
      <c r="B23" s="453" t="s">
        <v>1095</v>
      </c>
      <c r="C23" s="453" t="s">
        <v>1096</v>
      </c>
      <c r="D23" s="453" t="s">
        <v>51</v>
      </c>
      <c r="E23" s="454" t="s">
        <v>1597</v>
      </c>
      <c r="F23" s="448">
        <v>100000</v>
      </c>
      <c r="G23" s="20"/>
    </row>
    <row r="24" spans="1:7" ht="32.25" customHeight="1" thickTop="1" thickBot="1" x14ac:dyDescent="0.25">
      <c r="A24" s="598" t="s">
        <v>380</v>
      </c>
      <c r="B24" s="598" t="s">
        <v>380</v>
      </c>
      <c r="C24" s="598" t="s">
        <v>380</v>
      </c>
      <c r="D24" s="598" t="s">
        <v>380</v>
      </c>
      <c r="E24" s="598" t="s">
        <v>390</v>
      </c>
      <c r="F24" s="599">
        <f>SUM(F13:F23)</f>
        <v>2000000</v>
      </c>
      <c r="G24" s="533" t="b">
        <f>F24='d3'!P389</f>
        <v>1</v>
      </c>
    </row>
    <row r="25" spans="1:7" ht="15" customHeight="1" thickTop="1" x14ac:dyDescent="0.2">
      <c r="A25" s="455"/>
      <c r="B25" s="455"/>
      <c r="C25" s="455"/>
      <c r="D25" s="455"/>
      <c r="E25" s="455"/>
      <c r="F25" s="456"/>
    </row>
    <row r="26" spans="1:7" ht="15.75" hidden="1" customHeight="1" x14ac:dyDescent="0.25">
      <c r="A26" s="439"/>
      <c r="B26" s="1"/>
      <c r="C26" s="457"/>
      <c r="D26" s="1"/>
      <c r="E26" s="1"/>
      <c r="F26" s="1"/>
    </row>
    <row r="27" spans="1:7" ht="27" hidden="1" customHeight="1" x14ac:dyDescent="0.2">
      <c r="A27" s="911" t="s">
        <v>519</v>
      </c>
      <c r="B27" s="911"/>
      <c r="C27" s="911"/>
      <c r="D27" s="911"/>
      <c r="E27" s="439"/>
      <c r="F27" s="459" t="s">
        <v>520</v>
      </c>
    </row>
    <row r="28" spans="1:7" ht="15.75" hidden="1" x14ac:dyDescent="0.2">
      <c r="A28" s="458"/>
      <c r="B28" s="458"/>
      <c r="C28" s="458"/>
      <c r="D28" s="458"/>
      <c r="E28" s="439"/>
      <c r="F28" s="460"/>
    </row>
    <row r="29" spans="1:7" ht="15.75" x14ac:dyDescent="0.25">
      <c r="A29" s="439"/>
      <c r="B29" s="813" t="s">
        <v>1432</v>
      </c>
      <c r="C29" s="857"/>
      <c r="D29" s="330"/>
      <c r="E29" s="1"/>
      <c r="F29" s="330" t="s">
        <v>1433</v>
      </c>
    </row>
    <row r="30" spans="1:7" ht="15.75" hidden="1" x14ac:dyDescent="0.25">
      <c r="A30" s="439"/>
      <c r="B30" s="328" t="s">
        <v>1434</v>
      </c>
      <c r="C30" s="334"/>
      <c r="D30" s="328"/>
      <c r="E30" s="328"/>
      <c r="F30" s="328" t="s">
        <v>1399</v>
      </c>
    </row>
    <row r="31" spans="1:7" ht="15.75" x14ac:dyDescent="0.25">
      <c r="A31" s="458"/>
      <c r="B31" s="328"/>
      <c r="C31" s="328"/>
      <c r="D31" s="328"/>
      <c r="E31" s="328"/>
      <c r="F31" s="328"/>
    </row>
    <row r="32" spans="1:7" ht="15.75" x14ac:dyDescent="0.25">
      <c r="A32" s="458"/>
      <c r="B32" s="813" t="s">
        <v>519</v>
      </c>
      <c r="C32" s="857"/>
      <c r="D32" s="328"/>
      <c r="E32" s="328"/>
      <c r="F32" s="328" t="s">
        <v>1304</v>
      </c>
    </row>
    <row r="81" spans="7:7" x14ac:dyDescent="0.2">
      <c r="G81" s="806"/>
    </row>
    <row r="82" spans="7:7" x14ac:dyDescent="0.2">
      <c r="G82" s="806"/>
    </row>
    <row r="116" spans="4:4" x14ac:dyDescent="0.2">
      <c r="D116" s="13">
        <f>SUM(D117:D129)+D136</f>
        <v>88281</v>
      </c>
    </row>
    <row r="136" spans="1:10" x14ac:dyDescent="0.2">
      <c r="A136" s="13">
        <v>41057700</v>
      </c>
      <c r="B136" s="13" t="s">
        <v>1335</v>
      </c>
      <c r="D136" s="13">
        <v>88281</v>
      </c>
    </row>
    <row r="137" spans="1:10" x14ac:dyDescent="0.2">
      <c r="G137" s="13" t="e">
        <f>C137=C133+C132+C131+C111+C105+C99+C93+C92+C88+C87+C86+C85+C82+C81+C80+C79+C77+C76+C74+C72+C71+C70+C67+C66+C65+C63+C62+C58+C57+C56+C53+C52+C51+C49+C48+C44+C43+C42+C41+C40+C39+C38+C37+C36+C35+C31+C28+C25+#REF!+#REF!+#REF!+#REF!+#REF!+#REF!+#REF!+C97+C96+C32+C46+C122+C121+C103+C136</f>
        <v>#REF!</v>
      </c>
      <c r="H137" s="13" t="e">
        <f>D137=D133+D132+D131+D111+D105+D99+D93+D92+D88+D87+D86+D85+D82+D81+D80+D79+D77+D76+D74+D72+D71+D70+D67+D66+D65+D63+D62+D58+D57+D56+D53+D52+D51+D49+D48+D44+D43+D42+D41+D40+D39+D38+D37+D36+D35+D31+D28+D25+#REF!+#REF!+#REF!+#REF!+#REF!+#REF!+#REF!+D97+D96+D32+D46+D122+D121+D103+D136</f>
        <v>#REF!</v>
      </c>
      <c r="I137" s="13" t="e">
        <f>E137=E133+E132+E131+E111+E105+E99+E93+E92+E88+E87+E86+E85+E82+E81+E80+E79+E77+E76+E74+E72+E71+E70+E67+E66+E65+E63+E62+E58+E57+E56+E53+E52+E51+E49+E48+E44+E43+E42+E41+E40+E39+E38+E37+E36+E35+E31+E28+E25+#REF!+#REF!+#REF!+#REF!+#REF!+#REF!+#REF!+E97+E96+E32+E46+E122+E121+E103+E136</f>
        <v>#REF!</v>
      </c>
      <c r="J137" s="13" t="e">
        <f>F137=F133+F132+F131+F111+F105+F99+F93+F92+F88+F87+F86+F85+F82+F81+F80+F79+F77+F76+F74+F72+F71+F70+F67+F66+F65+F63+F62+F58+F57+F56+F53+F52+F51+F49+F48+F44+F43+F42+F41+F40+F39+F38+F37+F36+F35+F31+F28+F25+#REF!+#REF!+#REF!+#REF!+#REF!+#REF!+#REF!+F97+F96+F32+F46+F122+F121+F103+F136</f>
        <v>#REF!</v>
      </c>
    </row>
    <row r="138" spans="1:10" x14ac:dyDescent="0.2">
      <c r="G138" s="13" t="b">
        <f>(3453807039-'d2'!C37+7423154+961639+622418100+3715400+4544686)+16400+4309689+6350319+16579700+88281=C137</f>
        <v>0</v>
      </c>
    </row>
    <row r="143" spans="1:10" ht="46.5" x14ac:dyDescent="0.65">
      <c r="J143" s="9"/>
    </row>
    <row r="146" spans="7:10" ht="46.5" x14ac:dyDescent="0.65">
      <c r="G146" s="9"/>
      <c r="J146" s="9"/>
    </row>
    <row r="165" spans="11:11" ht="90" x14ac:dyDescent="1.1499999999999999">
      <c r="K165" s="301" t="b">
        <f>G165=H165+I165</f>
        <v>1</v>
      </c>
    </row>
  </sheetData>
  <mergeCells count="11">
    <mergeCell ref="A10:B10"/>
    <mergeCell ref="A27:D27"/>
    <mergeCell ref="G81:G82"/>
    <mergeCell ref="F3:I3"/>
    <mergeCell ref="A4:F4"/>
    <mergeCell ref="A5:F5"/>
    <mergeCell ref="A6:F6"/>
    <mergeCell ref="C7:E7"/>
    <mergeCell ref="A9:B9"/>
    <mergeCell ref="B32:C32"/>
    <mergeCell ref="B29:C29"/>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12</vt:i4>
      </vt:variant>
    </vt:vector>
  </HeadingPairs>
  <TitlesOfParts>
    <vt:vector size="21" baseType="lpstr">
      <vt:lpstr>d1</vt:lpstr>
      <vt:lpstr>d2</vt:lpstr>
      <vt:lpstr>d3</vt:lpstr>
      <vt:lpstr>d4</vt:lpstr>
      <vt:lpstr>d5</vt:lpstr>
      <vt:lpstr>d6</vt:lpstr>
      <vt:lpstr>d7</vt:lpstr>
      <vt:lpstr>d8</vt:lpstr>
      <vt:lpstr>d9</vt:lpstr>
      <vt:lpstr>'d3'!Заголовки_для_друку</vt:lpstr>
      <vt:lpstr>'d6'!Заголовки_для_друку</vt:lpstr>
      <vt:lpstr>'d7'!Заголовки_для_друку</vt:lpstr>
      <vt:lpstr>'d1'!Область_друку</vt:lpstr>
      <vt:lpstr>'d2'!Область_друку</vt:lpstr>
      <vt:lpstr>'d3'!Область_друку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2024-12-03T08:08:17Z</cp:lastPrinted>
  <dcterms:created xsi:type="dcterms:W3CDTF">2001-12-03T09:30:42Z</dcterms:created>
  <dcterms:modified xsi:type="dcterms:W3CDTF">2024-12-04T13:41:06Z</dcterms:modified>
</cp:coreProperties>
</file>