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O:\BUDJET\2024\Звіт за 2024 рік\"/>
    </mc:Choice>
  </mc:AlternateContent>
  <xr:revisionPtr revIDLastSave="0" documentId="13_ncr:1_{FCA2D12C-0CB9-41EC-ABF3-F5CB889F18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'd2'!$B$2:$N$249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5" i="1" l="1"/>
  <c r="I218" i="1"/>
  <c r="J218" i="1"/>
  <c r="J205" i="1" l="1"/>
  <c r="J203" i="1"/>
  <c r="I203" i="1"/>
  <c r="I205" i="1"/>
  <c r="J177" i="1"/>
  <c r="I177" i="1"/>
  <c r="J175" i="1" l="1"/>
  <c r="I175" i="1"/>
  <c r="O156" i="1"/>
  <c r="I130" i="1" l="1"/>
  <c r="J130" i="1"/>
  <c r="I129" i="1"/>
  <c r="J129" i="1"/>
  <c r="J127" i="1"/>
  <c r="I127" i="1"/>
  <c r="K90" i="1"/>
  <c r="K66" i="1"/>
  <c r="K63" i="1"/>
  <c r="K39" i="1"/>
  <c r="K40" i="1"/>
  <c r="J18" i="1"/>
  <c r="I18" i="1"/>
  <c r="J16" i="1"/>
  <c r="I16" i="1"/>
  <c r="G231" i="1"/>
  <c r="F231" i="1"/>
  <c r="F229" i="1"/>
  <c r="H224" i="1"/>
  <c r="H225" i="1"/>
  <c r="F218" i="1"/>
  <c r="G218" i="1"/>
  <c r="G213" i="1"/>
  <c r="F213" i="1"/>
  <c r="F212" i="1"/>
  <c r="F172" i="1"/>
  <c r="F187" i="1"/>
  <c r="F174" i="1"/>
  <c r="G193" i="1"/>
  <c r="F193" i="1"/>
  <c r="H191" i="1"/>
  <c r="F190" i="1"/>
  <c r="G188" i="1"/>
  <c r="F188" i="1"/>
  <c r="G170" i="1"/>
  <c r="F170" i="1"/>
  <c r="G165" i="1"/>
  <c r="F165" i="1"/>
  <c r="G164" i="1"/>
  <c r="F164" i="1"/>
  <c r="G160" i="1"/>
  <c r="F160" i="1"/>
  <c r="F157" i="1" s="1"/>
  <c r="F152" i="1"/>
  <c r="F149" i="1"/>
  <c r="F146" i="1"/>
  <c r="F144" i="1"/>
  <c r="F141" i="1"/>
  <c r="G137" i="1"/>
  <c r="F137" i="1"/>
  <c r="G130" i="1"/>
  <c r="F130" i="1"/>
  <c r="F128" i="1" s="1"/>
  <c r="G129" i="1"/>
  <c r="F129" i="1"/>
  <c r="G128" i="1"/>
  <c r="F127" i="1"/>
  <c r="G127" i="1"/>
  <c r="G102" i="1"/>
  <c r="F102" i="1"/>
  <c r="N101" i="1"/>
  <c r="H101" i="1"/>
  <c r="G99" i="1"/>
  <c r="F99" i="1"/>
  <c r="G96" i="1"/>
  <c r="F96" i="1"/>
  <c r="G91" i="1"/>
  <c r="F91" i="1"/>
  <c r="G84" i="1"/>
  <c r="F84" i="1"/>
  <c r="H79" i="1"/>
  <c r="G75" i="1"/>
  <c r="F75" i="1"/>
  <c r="J72" i="1"/>
  <c r="I72" i="1"/>
  <c r="G69" i="1"/>
  <c r="F69" i="1"/>
  <c r="G65" i="1"/>
  <c r="F65" i="1"/>
  <c r="J57" i="1"/>
  <c r="I57" i="1"/>
  <c r="G57" i="1"/>
  <c r="F57" i="1"/>
  <c r="N58" i="1"/>
  <c r="K58" i="1"/>
  <c r="H58" i="1"/>
  <c r="G54" i="1"/>
  <c r="G39" i="1"/>
  <c r="F39" i="1"/>
  <c r="G36" i="1"/>
  <c r="F36" i="1"/>
  <c r="G33" i="1"/>
  <c r="F33" i="1"/>
  <c r="G28" i="1"/>
  <c r="F28" i="1"/>
  <c r="G25" i="1"/>
  <c r="F25" i="1"/>
  <c r="G21" i="1"/>
  <c r="F21" i="1"/>
  <c r="G18" i="1"/>
  <c r="F18" i="1"/>
  <c r="G16" i="1"/>
  <c r="F16" i="1"/>
  <c r="H186" i="1"/>
  <c r="H94" i="1"/>
  <c r="K139" i="1"/>
  <c r="K232" i="1"/>
  <c r="J207" i="1"/>
  <c r="I207" i="1"/>
  <c r="G207" i="1"/>
  <c r="F207" i="1"/>
  <c r="J200" i="1"/>
  <c r="I200" i="1"/>
  <c r="G200" i="1"/>
  <c r="F200" i="1"/>
  <c r="G118" i="1"/>
  <c r="F118" i="1"/>
  <c r="E118" i="1"/>
  <c r="J87" i="1"/>
  <c r="I87" i="1"/>
  <c r="F87" i="1"/>
  <c r="N90" i="1"/>
  <c r="N210" i="1"/>
  <c r="N208" i="1"/>
  <c r="N214" i="1"/>
  <c r="N217" i="1"/>
  <c r="N218" i="1"/>
  <c r="I118" i="1"/>
  <c r="J118" i="1"/>
  <c r="K125" i="1"/>
  <c r="K122" i="1"/>
  <c r="K119" i="1"/>
  <c r="N125" i="1"/>
  <c r="N122" i="1"/>
  <c r="N119" i="1"/>
  <c r="K57" i="1" l="1"/>
  <c r="N57" i="1"/>
  <c r="H57" i="1"/>
  <c r="N118" i="1"/>
  <c r="K118" i="1"/>
  <c r="J240" i="1"/>
  <c r="J237" i="1"/>
  <c r="G87" i="1"/>
  <c r="E87" i="1"/>
  <c r="H90" i="1" l="1"/>
  <c r="I202" i="1" l="1"/>
  <c r="K202" i="1" s="1"/>
  <c r="K182" i="1"/>
  <c r="K180" i="1"/>
  <c r="K179" i="1"/>
  <c r="J149" i="1"/>
  <c r="I149" i="1"/>
  <c r="E149" i="1"/>
  <c r="G149" i="1"/>
  <c r="H149" i="1" s="1"/>
  <c r="G72" i="1"/>
  <c r="N72" i="1" s="1"/>
  <c r="F72" i="1"/>
  <c r="E72" i="1"/>
  <c r="N73" i="1"/>
  <c r="N52" i="1"/>
  <c r="K50" i="1"/>
  <c r="K49" i="1"/>
  <c r="H223" i="1"/>
  <c r="H55" i="1"/>
  <c r="I54" i="1"/>
  <c r="K55" i="1"/>
  <c r="H47" i="1"/>
  <c r="N202" i="1"/>
  <c r="G242" i="1"/>
  <c r="F242" i="1"/>
  <c r="E242" i="1"/>
  <c r="J242" i="1"/>
  <c r="I242" i="1"/>
  <c r="N244" i="1"/>
  <c r="K244" i="1"/>
  <c r="H231" i="1"/>
  <c r="H230" i="1"/>
  <c r="E188" i="1"/>
  <c r="N55" i="1"/>
  <c r="N56" i="1"/>
  <c r="K56" i="1"/>
  <c r="J54" i="1"/>
  <c r="F54" i="1"/>
  <c r="E54" i="1"/>
  <c r="H54" i="1" l="1"/>
  <c r="K54" i="1"/>
  <c r="N54" i="1"/>
  <c r="K60" i="1"/>
  <c r="K62" i="1"/>
  <c r="K70" i="1"/>
  <c r="J65" i="1"/>
  <c r="I65" i="1"/>
  <c r="K65" i="1" l="1"/>
  <c r="J51" i="1"/>
  <c r="I51" i="1"/>
  <c r="G51" i="1"/>
  <c r="F51" i="1"/>
  <c r="E51" i="1"/>
  <c r="K52" i="1"/>
  <c r="N42" i="1"/>
  <c r="K51" i="1" l="1"/>
  <c r="N51" i="1"/>
  <c r="E190" i="1" l="1"/>
  <c r="H162" i="1" l="1"/>
  <c r="N162" i="1"/>
  <c r="N94" i="1" l="1"/>
  <c r="N241" i="1" l="1"/>
  <c r="I240" i="1"/>
  <c r="G240" i="1"/>
  <c r="F240" i="1"/>
  <c r="E240" i="1"/>
  <c r="N240" i="1" l="1"/>
  <c r="K243" i="1"/>
  <c r="N243" i="1"/>
  <c r="N242" i="1" l="1"/>
  <c r="K217" i="1" l="1"/>
  <c r="K88" i="1"/>
  <c r="N53" i="1"/>
  <c r="K53" i="1"/>
  <c r="N233" i="1" l="1"/>
  <c r="H233" i="1"/>
  <c r="H189" i="1" l="1"/>
  <c r="H151" i="1"/>
  <c r="N151" i="1"/>
  <c r="H132" i="1" l="1"/>
  <c r="H82" i="1"/>
  <c r="K238" i="1" l="1"/>
  <c r="H232" i="1"/>
  <c r="H228" i="1"/>
  <c r="H222" i="1"/>
  <c r="H218" i="1"/>
  <c r="H217" i="1"/>
  <c r="H216" i="1"/>
  <c r="H214" i="1"/>
  <c r="H213" i="1"/>
  <c r="I176" i="1" l="1"/>
  <c r="H210" i="1"/>
  <c r="H206" i="1"/>
  <c r="H203" i="1"/>
  <c r="H202" i="1"/>
  <c r="H201" i="1"/>
  <c r="H199" i="1"/>
  <c r="H197" i="1"/>
  <c r="H196" i="1"/>
  <c r="H192" i="1"/>
  <c r="H173" i="1"/>
  <c r="H170" i="1" l="1"/>
  <c r="H165" i="1"/>
  <c r="H164" i="1"/>
  <c r="H160" i="1"/>
  <c r="H159" i="1"/>
  <c r="H158" i="1"/>
  <c r="H155" i="1"/>
  <c r="H154" i="1"/>
  <c r="H153" i="1"/>
  <c r="H148" i="1"/>
  <c r="H147" i="1"/>
  <c r="H145" i="1"/>
  <c r="H143" i="1"/>
  <c r="H142" i="1"/>
  <c r="H139" i="1"/>
  <c r="H138" i="1"/>
  <c r="H136" i="1"/>
  <c r="H135" i="1"/>
  <c r="H134" i="1"/>
  <c r="H133" i="1"/>
  <c r="H130" i="1" l="1"/>
  <c r="H129" i="1"/>
  <c r="H127" i="1"/>
  <c r="H103" i="1"/>
  <c r="H100" i="1"/>
  <c r="H98" i="1"/>
  <c r="H97" i="1"/>
  <c r="H95" i="1"/>
  <c r="H93" i="1"/>
  <c r="H92" i="1"/>
  <c r="H89" i="1"/>
  <c r="H88" i="1"/>
  <c r="H86" i="1"/>
  <c r="H85" i="1"/>
  <c r="H83" i="1"/>
  <c r="H81" i="1"/>
  <c r="H80" i="1"/>
  <c r="H78" i="1"/>
  <c r="H77" i="1"/>
  <c r="H76" i="1"/>
  <c r="K127" i="1" l="1"/>
  <c r="H71" i="1"/>
  <c r="H70" i="1"/>
  <c r="H66" i="1"/>
  <c r="H63" i="1"/>
  <c r="H62" i="1"/>
  <c r="H61" i="1"/>
  <c r="E69" i="1"/>
  <c r="H60" i="1"/>
  <c r="H46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7" i="1"/>
  <c r="H26" i="1"/>
  <c r="H24" i="1"/>
  <c r="H23" i="1"/>
  <c r="H22" i="1"/>
  <c r="G48" i="1"/>
  <c r="H20" i="1"/>
  <c r="H18" i="1"/>
  <c r="H17" i="1"/>
  <c r="H16" i="1"/>
  <c r="K14" i="1" l="1"/>
  <c r="H14" i="1"/>
  <c r="K15" i="1"/>
  <c r="H15" i="1" l="1"/>
  <c r="I102" i="1" l="1"/>
  <c r="J102" i="1"/>
  <c r="N24" i="1"/>
  <c r="K24" i="1"/>
  <c r="F237" i="1" l="1"/>
  <c r="F236" i="1" s="1"/>
  <c r="F235" i="1" s="1"/>
  <c r="F227" i="1"/>
  <c r="F224" i="1"/>
  <c r="F221" i="1"/>
  <c r="F219" i="1"/>
  <c r="F215" i="1"/>
  <c r="F195" i="1"/>
  <c r="F184" i="1"/>
  <c r="F166" i="1"/>
  <c r="F131" i="1"/>
  <c r="F104" i="1"/>
  <c r="F67" i="1"/>
  <c r="F59" i="1" s="1"/>
  <c r="F48" i="1"/>
  <c r="F43" i="1"/>
  <c r="F19" i="1" s="1"/>
  <c r="F74" i="1" l="1"/>
  <c r="F198" i="1"/>
  <c r="F156" i="1"/>
  <c r="F226" i="1"/>
  <c r="F211" i="1"/>
  <c r="F140" i="1"/>
  <c r="F171" i="1" l="1"/>
  <c r="F234" i="1" s="1"/>
  <c r="F267" i="1" s="1"/>
  <c r="N238" i="1"/>
  <c r="K155" i="1"/>
  <c r="N103" i="1"/>
  <c r="K102" i="1"/>
  <c r="K103" i="1"/>
  <c r="F245" i="1" l="1"/>
  <c r="K18" i="1"/>
  <c r="G215" i="1" l="1"/>
  <c r="J215" i="1"/>
  <c r="I215" i="1"/>
  <c r="E215" i="1"/>
  <c r="H215" i="1" l="1"/>
  <c r="N215" i="1"/>
  <c r="N216" i="1"/>
  <c r="N186" i="1" l="1"/>
  <c r="G172" i="1"/>
  <c r="H172" i="1" s="1"/>
  <c r="E172" i="1"/>
  <c r="I172" i="1"/>
  <c r="N136" i="1" l="1"/>
  <c r="N127" i="1"/>
  <c r="N82" i="1"/>
  <c r="K218" i="1" l="1"/>
  <c r="J193" i="1"/>
  <c r="N155" i="1"/>
  <c r="H65" i="1" l="1"/>
  <c r="N15" i="1" l="1"/>
  <c r="N16" i="1"/>
  <c r="N17" i="1"/>
  <c r="N18" i="1"/>
  <c r="K20" i="1"/>
  <c r="N20" i="1"/>
  <c r="I21" i="1"/>
  <c r="J21" i="1"/>
  <c r="K22" i="1"/>
  <c r="N22" i="1"/>
  <c r="K23" i="1"/>
  <c r="N23" i="1"/>
  <c r="I25" i="1"/>
  <c r="J25" i="1"/>
  <c r="N26" i="1"/>
  <c r="N27" i="1"/>
  <c r="E28" i="1"/>
  <c r="H28" i="1"/>
  <c r="I28" i="1"/>
  <c r="J28" i="1"/>
  <c r="N30" i="1"/>
  <c r="K31" i="1"/>
  <c r="N31" i="1"/>
  <c r="K32" i="1"/>
  <c r="N32" i="1"/>
  <c r="E33" i="1"/>
  <c r="H33" i="1"/>
  <c r="I33" i="1"/>
  <c r="J33" i="1"/>
  <c r="K34" i="1"/>
  <c r="N34" i="1"/>
  <c r="N35" i="1"/>
  <c r="E36" i="1"/>
  <c r="H36" i="1"/>
  <c r="I36" i="1"/>
  <c r="J36" i="1"/>
  <c r="K37" i="1"/>
  <c r="N37" i="1"/>
  <c r="N38" i="1"/>
  <c r="E39" i="1"/>
  <c r="H39" i="1"/>
  <c r="I39" i="1"/>
  <c r="J39" i="1"/>
  <c r="N40" i="1"/>
  <c r="N41" i="1"/>
  <c r="E43" i="1"/>
  <c r="G43" i="1"/>
  <c r="I43" i="1"/>
  <c r="J43" i="1"/>
  <c r="K44" i="1"/>
  <c r="N44" i="1"/>
  <c r="K45" i="1"/>
  <c r="N45" i="1"/>
  <c r="N46" i="1"/>
  <c r="N47" i="1"/>
  <c r="E48" i="1"/>
  <c r="I48" i="1"/>
  <c r="J48" i="1"/>
  <c r="N49" i="1"/>
  <c r="N50" i="1"/>
  <c r="N60" i="1"/>
  <c r="N61" i="1"/>
  <c r="N62" i="1"/>
  <c r="N63" i="1"/>
  <c r="K64" i="1"/>
  <c r="N64" i="1"/>
  <c r="N65" i="1"/>
  <c r="N66" i="1"/>
  <c r="E67" i="1"/>
  <c r="E59" i="1" s="1"/>
  <c r="G67" i="1"/>
  <c r="N68" i="1"/>
  <c r="I69" i="1"/>
  <c r="I59" i="1" s="1"/>
  <c r="J69" i="1"/>
  <c r="J59" i="1" s="1"/>
  <c r="N70" i="1"/>
  <c r="N71" i="1"/>
  <c r="E75" i="1"/>
  <c r="I75" i="1"/>
  <c r="J75" i="1"/>
  <c r="K76" i="1"/>
  <c r="N76" i="1"/>
  <c r="N77" i="1"/>
  <c r="N78" i="1"/>
  <c r="N79" i="1"/>
  <c r="N80" i="1"/>
  <c r="N81" i="1"/>
  <c r="N83" i="1"/>
  <c r="E84" i="1"/>
  <c r="H84" i="1"/>
  <c r="I84" i="1"/>
  <c r="J84" i="1"/>
  <c r="K85" i="1"/>
  <c r="N85" i="1"/>
  <c r="K86" i="1"/>
  <c r="N86" i="1"/>
  <c r="H87" i="1"/>
  <c r="N88" i="1"/>
  <c r="K89" i="1"/>
  <c r="N89" i="1"/>
  <c r="E91" i="1"/>
  <c r="H91" i="1"/>
  <c r="I91" i="1"/>
  <c r="J91" i="1"/>
  <c r="K92" i="1"/>
  <c r="N92" i="1"/>
  <c r="K93" i="1"/>
  <c r="N93" i="1"/>
  <c r="N95" i="1"/>
  <c r="E96" i="1"/>
  <c r="N97" i="1"/>
  <c r="N98" i="1"/>
  <c r="E99" i="1"/>
  <c r="H99" i="1"/>
  <c r="N100" i="1"/>
  <c r="E102" i="1"/>
  <c r="E104" i="1"/>
  <c r="G104" i="1"/>
  <c r="I104" i="1"/>
  <c r="J104" i="1"/>
  <c r="K105" i="1"/>
  <c r="N105" i="1"/>
  <c r="K108" i="1"/>
  <c r="N108" i="1"/>
  <c r="K112" i="1"/>
  <c r="N112" i="1"/>
  <c r="K115" i="1"/>
  <c r="N115" i="1"/>
  <c r="E128" i="1"/>
  <c r="H128" i="1"/>
  <c r="I128" i="1"/>
  <c r="J128" i="1"/>
  <c r="K129" i="1"/>
  <c r="N129" i="1"/>
  <c r="K130" i="1"/>
  <c r="N130" i="1"/>
  <c r="N132" i="1"/>
  <c r="K133" i="1"/>
  <c r="N133" i="1"/>
  <c r="K134" i="1"/>
  <c r="N134" i="1"/>
  <c r="K135" i="1"/>
  <c r="N135" i="1"/>
  <c r="E137" i="1"/>
  <c r="E131" i="1" s="1"/>
  <c r="I137" i="1"/>
  <c r="I131" i="1" s="1"/>
  <c r="J137" i="1"/>
  <c r="K138" i="1"/>
  <c r="N138" i="1"/>
  <c r="N139" i="1"/>
  <c r="E141" i="1"/>
  <c r="G141" i="1"/>
  <c r="N142" i="1"/>
  <c r="N143" i="1"/>
  <c r="E144" i="1"/>
  <c r="G144" i="1"/>
  <c r="H144" i="1" s="1"/>
  <c r="N145" i="1"/>
  <c r="E146" i="1"/>
  <c r="G146" i="1"/>
  <c r="H146" i="1" s="1"/>
  <c r="I146" i="1"/>
  <c r="J146" i="1"/>
  <c r="K147" i="1"/>
  <c r="N147" i="1"/>
  <c r="N148" i="1"/>
  <c r="K150" i="1"/>
  <c r="N150" i="1"/>
  <c r="E152" i="1"/>
  <c r="G152" i="1"/>
  <c r="H152" i="1" s="1"/>
  <c r="I152" i="1"/>
  <c r="J152" i="1"/>
  <c r="N153" i="1"/>
  <c r="N154" i="1"/>
  <c r="E157" i="1"/>
  <c r="G157" i="1"/>
  <c r="H157" i="1" s="1"/>
  <c r="I157" i="1"/>
  <c r="J157" i="1"/>
  <c r="K158" i="1"/>
  <c r="N158" i="1"/>
  <c r="N159" i="1"/>
  <c r="K160" i="1"/>
  <c r="N160" i="1"/>
  <c r="K161" i="1"/>
  <c r="N161" i="1"/>
  <c r="K163" i="1"/>
  <c r="N163" i="1"/>
  <c r="K165" i="1"/>
  <c r="N165" i="1"/>
  <c r="E166" i="1"/>
  <c r="G166" i="1"/>
  <c r="I166" i="1"/>
  <c r="J166" i="1"/>
  <c r="K167" i="1"/>
  <c r="N167" i="1"/>
  <c r="K168" i="1"/>
  <c r="N168" i="1"/>
  <c r="N169" i="1"/>
  <c r="N170" i="1"/>
  <c r="J172" i="1"/>
  <c r="N173" i="1"/>
  <c r="K175" i="1"/>
  <c r="N175" i="1"/>
  <c r="J176" i="1"/>
  <c r="N177" i="1"/>
  <c r="K178" i="1"/>
  <c r="N178" i="1"/>
  <c r="N179" i="1"/>
  <c r="N180" i="1"/>
  <c r="K181" i="1"/>
  <c r="N181" i="1"/>
  <c r="N182" i="1"/>
  <c r="K183" i="1"/>
  <c r="N183" i="1"/>
  <c r="E184" i="1"/>
  <c r="E174" i="1" s="1"/>
  <c r="G184" i="1"/>
  <c r="G174" i="1" s="1"/>
  <c r="I184" i="1"/>
  <c r="J184" i="1"/>
  <c r="K185" i="1"/>
  <c r="N185" i="1"/>
  <c r="H188" i="1"/>
  <c r="I188" i="1"/>
  <c r="J188" i="1"/>
  <c r="N189" i="1"/>
  <c r="G190" i="1"/>
  <c r="N191" i="1"/>
  <c r="N192" i="1"/>
  <c r="E193" i="1"/>
  <c r="I193" i="1"/>
  <c r="I187" i="1" s="1"/>
  <c r="K194" i="1"/>
  <c r="N194" i="1"/>
  <c r="E195" i="1"/>
  <c r="G195" i="1"/>
  <c r="H195" i="1" s="1"/>
  <c r="I195" i="1"/>
  <c r="J195" i="1"/>
  <c r="N196" i="1"/>
  <c r="N197" i="1"/>
  <c r="N199" i="1"/>
  <c r="E200" i="1"/>
  <c r="H200" i="1"/>
  <c r="N201" i="1"/>
  <c r="K203" i="1"/>
  <c r="N203" i="1"/>
  <c r="K204" i="1"/>
  <c r="N204" i="1"/>
  <c r="N205" i="1"/>
  <c r="N206" i="1"/>
  <c r="E207" i="1"/>
  <c r="E212" i="1"/>
  <c r="G212" i="1"/>
  <c r="H212" i="1" s="1"/>
  <c r="I212" i="1"/>
  <c r="J212" i="1"/>
  <c r="N213" i="1"/>
  <c r="K215" i="1"/>
  <c r="E219" i="1"/>
  <c r="G219" i="1"/>
  <c r="I219" i="1"/>
  <c r="J219" i="1"/>
  <c r="K220" i="1"/>
  <c r="N220" i="1"/>
  <c r="E221" i="1"/>
  <c r="G221" i="1"/>
  <c r="H221" i="1" s="1"/>
  <c r="I221" i="1"/>
  <c r="J221" i="1"/>
  <c r="N222" i="1"/>
  <c r="N223" i="1"/>
  <c r="E224" i="1"/>
  <c r="G224" i="1"/>
  <c r="I224" i="1"/>
  <c r="J224" i="1"/>
  <c r="N225" i="1"/>
  <c r="E227" i="1"/>
  <c r="G227" i="1"/>
  <c r="I227" i="1"/>
  <c r="J227" i="1"/>
  <c r="N228" i="1"/>
  <c r="E229" i="1"/>
  <c r="G229" i="1"/>
  <c r="H229" i="1" s="1"/>
  <c r="I229" i="1"/>
  <c r="J229" i="1"/>
  <c r="N230" i="1"/>
  <c r="N231" i="1"/>
  <c r="N232" i="1"/>
  <c r="L234" i="1"/>
  <c r="M234" i="1"/>
  <c r="E237" i="1"/>
  <c r="E236" i="1" s="1"/>
  <c r="E235" i="1" s="1"/>
  <c r="G237" i="1"/>
  <c r="G236" i="1" s="1"/>
  <c r="I237" i="1"/>
  <c r="I236" i="1" s="1"/>
  <c r="I235" i="1" s="1"/>
  <c r="J236" i="1"/>
  <c r="N239" i="1"/>
  <c r="L245" i="1"/>
  <c r="M245" i="1"/>
  <c r="J19" i="1" l="1"/>
  <c r="G19" i="1"/>
  <c r="H19" i="1" s="1"/>
  <c r="I19" i="1"/>
  <c r="J74" i="1"/>
  <c r="I74" i="1"/>
  <c r="H75" i="1"/>
  <c r="G74" i="1"/>
  <c r="H74" i="1" s="1"/>
  <c r="E74" i="1"/>
  <c r="H69" i="1"/>
  <c r="G59" i="1"/>
  <c r="H59" i="1" s="1"/>
  <c r="N48" i="1"/>
  <c r="K48" i="1"/>
  <c r="E19" i="1"/>
  <c r="K69" i="1"/>
  <c r="K152" i="1"/>
  <c r="I226" i="1"/>
  <c r="E226" i="1"/>
  <c r="H21" i="1"/>
  <c r="H227" i="1"/>
  <c r="G226" i="1"/>
  <c r="H226" i="1" s="1"/>
  <c r="K87" i="1"/>
  <c r="N224" i="1"/>
  <c r="J226" i="1"/>
  <c r="N102" i="1"/>
  <c r="H102" i="1"/>
  <c r="N96" i="1"/>
  <c r="H96" i="1"/>
  <c r="N25" i="1"/>
  <c r="H25" i="1"/>
  <c r="N193" i="1"/>
  <c r="N190" i="1"/>
  <c r="H190" i="1"/>
  <c r="N141" i="1"/>
  <c r="H141" i="1"/>
  <c r="G131" i="1"/>
  <c r="H131" i="1" s="1"/>
  <c r="H137" i="1"/>
  <c r="N28" i="1"/>
  <c r="K91" i="1"/>
  <c r="N157" i="1"/>
  <c r="K104" i="1"/>
  <c r="N128" i="1"/>
  <c r="N69" i="1"/>
  <c r="K219" i="1"/>
  <c r="N212" i="1"/>
  <c r="I140" i="1"/>
  <c r="N104" i="1"/>
  <c r="N67" i="1"/>
  <c r="N237" i="1"/>
  <c r="J156" i="1"/>
  <c r="K157" i="1"/>
  <c r="K36" i="1"/>
  <c r="K21" i="1"/>
  <c r="N152" i="1"/>
  <c r="N33" i="1"/>
  <c r="K193" i="1"/>
  <c r="E211" i="1"/>
  <c r="K184" i="1"/>
  <c r="E140" i="1"/>
  <c r="K128" i="1"/>
  <c r="N91" i="1"/>
  <c r="N87" i="1"/>
  <c r="N36" i="1"/>
  <c r="J140" i="1"/>
  <c r="N227" i="1"/>
  <c r="N219" i="1"/>
  <c r="I211" i="1"/>
  <c r="E198" i="1"/>
  <c r="G187" i="1"/>
  <c r="H187" i="1" s="1"/>
  <c r="K177" i="1"/>
  <c r="I156" i="1"/>
  <c r="K16" i="1"/>
  <c r="N229" i="1"/>
  <c r="N221" i="1"/>
  <c r="H207" i="1"/>
  <c r="N200" i="1"/>
  <c r="E156" i="1"/>
  <c r="N164" i="1"/>
  <c r="G156" i="1"/>
  <c r="H156" i="1" s="1"/>
  <c r="N149" i="1"/>
  <c r="N146" i="1"/>
  <c r="K137" i="1"/>
  <c r="K84" i="1"/>
  <c r="G235" i="1"/>
  <c r="I198" i="1"/>
  <c r="J187" i="1"/>
  <c r="E187" i="1"/>
  <c r="J174" i="1"/>
  <c r="N174" i="1" s="1"/>
  <c r="K146" i="1"/>
  <c r="K75" i="1"/>
  <c r="K43" i="1"/>
  <c r="K33" i="1"/>
  <c r="K207" i="1"/>
  <c r="J235" i="1"/>
  <c r="N184" i="1"/>
  <c r="N39" i="1"/>
  <c r="J211" i="1"/>
  <c r="K208" i="1"/>
  <c r="N195" i="1"/>
  <c r="K59" i="1"/>
  <c r="G211" i="1"/>
  <c r="H211" i="1" s="1"/>
  <c r="I174" i="1"/>
  <c r="J198" i="1"/>
  <c r="N188" i="1"/>
  <c r="N176" i="1"/>
  <c r="N172" i="1"/>
  <c r="N166" i="1"/>
  <c r="N144" i="1"/>
  <c r="G140" i="1"/>
  <c r="H140" i="1" s="1"/>
  <c r="N137" i="1"/>
  <c r="N99" i="1"/>
  <c r="N84" i="1"/>
  <c r="N75" i="1"/>
  <c r="N43" i="1"/>
  <c r="J131" i="1"/>
  <c r="K205" i="1"/>
  <c r="K176" i="1"/>
  <c r="K166" i="1"/>
  <c r="N21" i="1"/>
  <c r="K226" i="1" l="1"/>
  <c r="E171" i="1"/>
  <c r="E234" i="1" s="1"/>
  <c r="K211" i="1"/>
  <c r="G198" i="1"/>
  <c r="H198" i="1" s="1"/>
  <c r="N207" i="1"/>
  <c r="K198" i="1"/>
  <c r="K140" i="1"/>
  <c r="K156" i="1"/>
  <c r="N235" i="1"/>
  <c r="K187" i="1"/>
  <c r="K19" i="1"/>
  <c r="N156" i="1"/>
  <c r="N187" i="1"/>
  <c r="N236" i="1"/>
  <c r="I171" i="1"/>
  <c r="I234" i="1" s="1"/>
  <c r="K131" i="1"/>
  <c r="N131" i="1"/>
  <c r="O131" i="1" s="1"/>
  <c r="N226" i="1"/>
  <c r="O226" i="1" s="1"/>
  <c r="N140" i="1"/>
  <c r="O140" i="1" s="1"/>
  <c r="N14" i="1"/>
  <c r="O14" i="1" s="1"/>
  <c r="N74" i="1"/>
  <c r="O74" i="1" s="1"/>
  <c r="K74" i="1"/>
  <c r="N19" i="1"/>
  <c r="O19" i="1" s="1"/>
  <c r="K174" i="1"/>
  <c r="J171" i="1"/>
  <c r="J234" i="1" s="1"/>
  <c r="N59" i="1"/>
  <c r="O59" i="1" s="1"/>
  <c r="N211" i="1"/>
  <c r="O211" i="1" s="1"/>
  <c r="I267" i="1" l="1"/>
  <c r="I245" i="1"/>
  <c r="E245" i="1"/>
  <c r="E267" i="1"/>
  <c r="N198" i="1"/>
  <c r="G171" i="1"/>
  <c r="H171" i="1" s="1"/>
  <c r="K171" i="1"/>
  <c r="K234" i="1"/>
  <c r="J245" i="1"/>
  <c r="N171" i="1" l="1"/>
  <c r="O171" i="1" s="1"/>
  <c r="G234" i="1"/>
  <c r="H234" i="1" s="1"/>
  <c r="K245" i="1"/>
  <c r="N234" i="1" l="1"/>
  <c r="N245" i="1" s="1"/>
  <c r="G245" i="1"/>
  <c r="H245" i="1" l="1"/>
  <c r="T245" i="1"/>
  <c r="O234" i="1"/>
  <c r="O245" i="1"/>
</calcChain>
</file>

<file path=xl/sharedStrings.xml><?xml version="1.0" encoding="utf-8"?>
<sst xmlns="http://schemas.openxmlformats.org/spreadsheetml/2006/main" count="758" uniqueCount="598">
  <si>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</si>
  <si>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</si>
  <si>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</si>
  <si>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</si>
  <si>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</si>
  <si>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</si>
  <si>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</si>
  <si>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</si>
  <si>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</si>
  <si>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</si>
  <si>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</si>
  <si>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</si>
  <si>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</si>
  <si>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</si>
  <si>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</si>
  <si>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</si>
  <si>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</si>
  <si>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</si>
  <si>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</si>
  <si>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</si>
  <si>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</si>
  <si>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</si>
  <si>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</si>
  <si>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</si>
  <si>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</si>
  <si>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</si>
  <si>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</si>
  <si>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</si>
  <si>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</si>
  <si>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</si>
  <si>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</si>
  <si>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</si>
  <si>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</si>
  <si>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</si>
  <si>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</si>
  <si>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</si>
  <si>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</si>
  <si>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</si>
  <si>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</si>
  <si>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</si>
  <si>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</si>
  <si>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</si>
  <si>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</si>
  <si>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</si>
  <si>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</si>
  <si>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</si>
  <si>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</si>
  <si>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</si>
  <si>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</si>
  <si>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</si>
  <si>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</si>
  <si>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</si>
  <si>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</si>
  <si>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</si>
  <si>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</si>
  <si>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</si>
  <si>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</si>
  <si>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</si>
  <si>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</si>
  <si>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</si>
  <si>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</si>
  <si>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</si>
  <si>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</si>
  <si>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</si>
  <si>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</si>
  <si>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</si>
  <si>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</si>
  <si>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</si>
  <si>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</si>
  <si>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</si>
  <si>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</si>
  <si>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</si>
  <si>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</si>
  <si>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</si>
  <si>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</si>
  <si>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</si>
  <si>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</si>
  <si>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</si>
  <si>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</si>
  <si>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</si>
  <si>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</si>
  <si>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</si>
  <si>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</si>
  <si>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</si>
  <si>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</si>
  <si>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</si>
  <si>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</si>
  <si>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</si>
  <si>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</si>
  <si>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</si>
  <si>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</si>
  <si>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</si>
  <si>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</si>
  <si>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</si>
  <si>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</si>
  <si>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</si>
  <si>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</si>
  <si>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</si>
  <si>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</si>
  <si>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</si>
  <si>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</si>
  <si>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</si>
  <si>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</si>
  <si>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</si>
  <si>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</si>
  <si>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</si>
  <si>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</si>
  <si>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</si>
  <si>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</si>
  <si>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</si>
  <si>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</si>
  <si>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</si>
  <si>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</si>
  <si>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</si>
  <si>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</si>
  <si>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</si>
  <si>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</si>
  <si>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</si>
  <si>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</si>
  <si>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</si>
  <si>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</si>
  <si>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</si>
  <si>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</si>
  <si>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</si>
  <si>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</si>
  <si>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</si>
  <si>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</si>
  <si>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</si>
  <si>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</si>
  <si>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</si>
  <si>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</si>
  <si>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</si>
  <si>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</si>
  <si>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</si>
  <si>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</si>
  <si>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</si>
  <si>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</si>
  <si>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</si>
  <si>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</si>
  <si>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</si>
  <si>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</si>
  <si>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</si>
  <si>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</si>
  <si>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</si>
  <si>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</si>
  <si>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</si>
  <si>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</si>
  <si>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</si>
  <si>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</si>
  <si>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</si>
  <si>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</si>
  <si>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</si>
  <si>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</si>
  <si>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</si>
  <si>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</si>
  <si>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</si>
  <si>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</si>
  <si>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</si>
  <si>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</si>
  <si>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</si>
  <si>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</si>
  <si>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</si>
  <si>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</si>
  <si>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</si>
  <si>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</si>
  <si>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</si>
  <si>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</si>
  <si>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</si>
  <si>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</si>
  <si>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</si>
  <si>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</si>
  <si>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</si>
  <si>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</si>
  <si>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</si>
  <si>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</si>
  <si>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</si>
  <si>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</si>
  <si>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</si>
  <si>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</si>
  <si>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</si>
  <si>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</si>
  <si>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</si>
  <si>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</si>
  <si>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</si>
  <si>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</si>
  <si>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</si>
  <si>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</si>
  <si>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</si>
  <si>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</si>
  <si>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</si>
  <si>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</si>
  <si>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</si>
  <si>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</si>
  <si>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</si>
  <si>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</si>
  <si>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</si>
  <si>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</si>
  <si>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</si>
  <si>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</si>
  <si>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</si>
  <si>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</si>
  <si>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</si>
  <si>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</si>
  <si>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</si>
  <si>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</si>
  <si>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</si>
  <si>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</si>
  <si>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</si>
  <si>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</si>
  <si>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</si>
  <si>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</si>
  <si>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</si>
  <si>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</si>
  <si>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</si>
  <si>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</si>
  <si>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</si>
  <si>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</si>
  <si>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</si>
  <si>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</si>
  <si>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</si>
  <si>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</si>
  <si>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</si>
  <si>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</si>
  <si>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</si>
  <si>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</si>
  <si>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</si>
  <si>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</si>
  <si>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</si>
  <si>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</si>
  <si>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</si>
  <si>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</si>
  <si>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</si>
  <si>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</si>
  <si>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</si>
  <si>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</si>
  <si>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</si>
  <si>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</si>
  <si>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</si>
  <si>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</si>
  <si>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</si>
  <si>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</si>
  <si>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</si>
  <si>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</si>
  <si>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</si>
  <si>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</si>
  <si>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</si>
  <si>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</si>
  <si>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</si>
  <si>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</si>
  <si>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</si>
  <si>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</si>
  <si>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</si>
  <si>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</si>
  <si>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</si>
  <si>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</si>
  <si>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</si>
  <si>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</si>
  <si>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</si>
  <si>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</si>
  <si>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</si>
  <si>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</si>
  <si>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</si>
  <si>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</si>
  <si>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</si>
  <si>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</si>
  <si>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</si>
  <si>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</si>
  <si>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</si>
  <si>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</si>
  <si>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</si>
  <si>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</si>
  <si>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</si>
  <si>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</si>
  <si>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</si>
  <si>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</si>
  <si>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</si>
  <si>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</si>
  <si>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</si>
  <si>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</si>
  <si>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</si>
  <si>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</si>
  <si>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</si>
  <si>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</si>
  <si>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</si>
  <si>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</si>
  <si>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</si>
  <si>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</si>
  <si>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</si>
  <si>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</si>
  <si>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</si>
  <si>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</si>
  <si>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</si>
  <si>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</si>
  <si>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</si>
  <si>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</si>
  <si>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</si>
  <si>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</si>
  <si>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</si>
  <si>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</si>
  <si>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</si>
  <si>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</si>
  <si>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</si>
  <si>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</si>
  <si>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</si>
  <si>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</si>
  <si>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</si>
  <si>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</si>
  <si>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</si>
  <si>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</si>
  <si>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</si>
  <si>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</si>
  <si>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</si>
  <si>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</si>
  <si>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</si>
  <si>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</si>
  <si>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</si>
  <si>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</si>
  <si>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</si>
  <si>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</si>
  <si>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</si>
  <si>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</si>
  <si>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</si>
  <si>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</si>
  <si>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</si>
  <si>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</si>
  <si>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</si>
  <si>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</si>
  <si>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</si>
  <si>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</si>
  <si>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</si>
  <si>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</si>
  <si>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</si>
  <si>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</si>
  <si>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</si>
  <si>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</si>
  <si>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</si>
  <si>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</si>
  <si>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</si>
  <si>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</si>
  <si>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</si>
  <si>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</si>
  <si>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</si>
  <si>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</si>
  <si>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</si>
  <si>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</si>
  <si>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</si>
  <si>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</si>
  <si>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</si>
  <si>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</si>
  <si>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</si>
  <si>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</si>
  <si>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</si>
  <si>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</si>
  <si>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</si>
  <si>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</si>
  <si>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</si>
  <si>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</si>
  <si>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</si>
  <si>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</si>
  <si>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</si>
  <si>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</si>
  <si>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</si>
  <si>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</si>
  <si>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</si>
  <si>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</si>
  <si>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</si>
  <si>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</si>
  <si>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</si>
  <si>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</si>
  <si>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</si>
  <si>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</si>
  <si>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</si>
  <si>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</si>
  <si>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</si>
  <si>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</si>
  <si>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</si>
  <si>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</si>
  <si>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</si>
  <si>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</si>
  <si>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</si>
  <si>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</si>
  <si>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</si>
  <si>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</si>
  <si>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</si>
  <si>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</si>
  <si>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</si>
  <si>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</si>
  <si>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</si>
  <si>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</si>
  <si>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</si>
  <si>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</si>
  <si>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</si>
  <si>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</si>
  <si>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</si>
  <si>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</si>
  <si>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</si>
  <si>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</si>
  <si>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</si>
  <si>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</si>
  <si>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</si>
  <si>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</si>
  <si>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</si>
  <si>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</si>
  <si>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</si>
  <si>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</si>
  <si>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</si>
  <si>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</si>
  <si>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</si>
  <si>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</si>
  <si>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</si>
  <si>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</si>
  <si>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</si>
  <si>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</si>
  <si>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</si>
  <si>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</si>
  <si>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</si>
  <si>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</si>
  <si>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</si>
  <si>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</si>
  <si>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</si>
  <si>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</si>
  <si>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</si>
  <si>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</si>
  <si>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</si>
  <si>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</si>
  <si>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</si>
  <si>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</si>
  <si>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</si>
  <si>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</si>
  <si>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</si>
  <si>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</si>
  <si>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</si>
  <si>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</si>
  <si>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</si>
  <si>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</si>
  <si>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</si>
  <si>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</si>
  <si>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</si>
  <si>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</si>
  <si>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</si>
  <si>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</si>
  <si>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</si>
  <si>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</si>
  <si>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</si>
  <si>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</si>
  <si>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</si>
  <si>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</si>
  <si>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</si>
  <si>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</si>
  <si>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</si>
  <si>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</si>
  <si>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</si>
  <si>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</si>
  <si>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</si>
  <si>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</si>
  <si>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</si>
  <si>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</si>
  <si>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</si>
  <si>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</si>
  <si>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</si>
  <si>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</si>
  <si>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</si>
  <si>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</si>
  <si>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</si>
  <si>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</si>
  <si>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</si>
  <si>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</si>
  <si>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</si>
  <si>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</si>
  <si>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</si>
  <si>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</si>
  <si>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</si>
  <si>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</si>
  <si>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</si>
  <si>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</si>
  <si>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</si>
  <si>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</si>
  <si>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</si>
  <si>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</si>
  <si>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</si>
  <si>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</si>
  <si>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</si>
  <si>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</si>
  <si>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</si>
  <si>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</si>
  <si>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</si>
  <si>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</si>
  <si>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</si>
  <si>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</si>
  <si>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</si>
  <si>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</si>
  <si>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</si>
  <si>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</si>
  <si>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</si>
  <si>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</si>
  <si>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</si>
  <si>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</si>
  <si>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</si>
  <si>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</si>
  <si>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</si>
  <si>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</si>
  <si>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</si>
  <si>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</si>
  <si>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</si>
  <si>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</si>
  <si>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</si>
  <si>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</si>
  <si>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</si>
  <si>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</si>
  <si>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</si>
  <si>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</si>
  <si>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</si>
  <si>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</si>
  <si>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</si>
  <si>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</si>
  <si>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</si>
  <si>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</si>
  <si>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</si>
  <si>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</si>
  <si>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</si>
  <si>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</si>
  <si>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</si>
  <si>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</si>
  <si>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</si>
  <si>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</si>
  <si>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</si>
  <si>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</si>
  <si>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</si>
  <si>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</si>
  <si>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</si>
  <si>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</si>
  <si>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</si>
  <si>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</si>
  <si>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</si>
  <si>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</si>
  <si>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</si>
  <si>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</si>
  <si>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</si>
  <si>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</si>
  <si>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</si>
  <si>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</si>
  <si>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</si>
  <si>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</si>
  <si>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</si>
  <si>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</si>
  <si>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</si>
  <si>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</si>
  <si>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</si>
  <si>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</si>
  <si>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</si>
  <si>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</si>
  <si>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</si>
  <si>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</si>
  <si>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</si>
  <si>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</si>
  <si>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</si>
  <si>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</si>
  <si>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</si>
  <si>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</si>
  <si>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</si>
  <si>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</si>
  <si>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</si>
  <si>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</si>
  <si>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</si>
  <si>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</si>
  <si>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>Затверджено на 2024 рік з урахуванням змін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</si>
  <si>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</si>
  <si>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</si>
  <si>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</si>
  <si>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</si>
  <si>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</si>
  <si>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</si>
  <si>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</si>
  <si>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</si>
  <si>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Виконання заходів щодо облаштування безпечних умов у закладах охорони здоров'я</t>
  </si>
  <si>
    <t>2160</t>
  </si>
  <si>
    <t>2161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</si>
  <si>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</t>
  </si>
  <si>
    <t xml:space="preserve"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</t>
  </si>
  <si>
    <t>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</t>
  </si>
  <si>
    <t xml:space="preserve"> поліпшення житлових умов</t>
  </si>
  <si>
    <t xml:space="preserve"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</t>
  </si>
  <si>
    <t>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</t>
  </si>
  <si>
    <t>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</si>
  <si>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</t>
  </si>
  <si>
    <t>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</si>
  <si>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за 2024 рік</t>
  </si>
  <si>
    <t xml:space="preserve">до рішення  №    від        .2025 року </t>
  </si>
  <si>
    <t>Виконано за 2024 рік</t>
  </si>
  <si>
    <t>Виконано за 2024 рік разом по загальному та спеціальному фондах</t>
  </si>
  <si>
    <t>Виконання заходів із задоволення потреб у
забезпеченні безпечного освітнього середовища</t>
  </si>
  <si>
    <t>1400</t>
  </si>
  <si>
    <t>1403</t>
  </si>
  <si>
    <t>Забезпечення харчуванням учнів початкових класів
закладів загальної середньої освіти за рахунок
субвенції з державного бюджету місцевим бюджетам</t>
  </si>
  <si>
    <t>3193</t>
  </si>
  <si>
    <t>Забезпечення діяльності фахівців із супроводу
ветеранів війни та демобілізованих осіб та окремі
заходи з підтримки осіб, які захищали незалежність,
суверенітет та територіальну цілісність України</t>
  </si>
  <si>
    <t>Виконання заходів, спрямованих на забезпечення
якісної, сучасної та доступної загальної середньої
освіти «Нова українська школа»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</si>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</sst>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9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7" fillId="4" borderId="0" xfId="0" applyNumberFormat="1" applyFont="1" applyFill="1" applyAlignment="1">
      <alignment horizontal="center" vertical="center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7" borderId="3" xfId="0" applyNumberFormat="1" applyFont="1" applyFill="1" applyBorder="1" applyAlignment="1">
      <alignment horizontal="center" vertical="center" wrapText="1"/>
    </xf>
    <xf numFmtId="49" fontId="39" fillId="7" borderId="1" xfId="0" applyNumberFormat="1" applyFont="1" applyFill="1" applyBorder="1" applyAlignment="1">
      <alignment horizontal="center" vertical="center" wrapText="1"/>
    </xf>
    <xf numFmtId="164" fontId="3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wrapText="1"/>
    </xf>
    <xf numFmtId="49" fontId="45" fillId="0" borderId="3" xfId="0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7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3" xfId="1" applyNumberFormat="1" applyFont="1" applyFill="1" applyBorder="1" applyAlignment="1" applyProtection="1">
      <alignment horizontal="center" vertical="center" wrapText="1"/>
      <protection locked="0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3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82"/>
  <sheetViews>
    <sheetView tabSelected="1" view="pageBreakPreview" topLeftCell="B1" zoomScale="25" zoomScaleNormal="25" zoomScaleSheetLayoutView="25" zoomScalePageLayoutView="10" workbookViewId="0">
      <pane ySplit="13" topLeftCell="A203" activePane="bottomLeft" state="frozen"/>
      <selection activeCell="B1" sqref="B1"/>
      <selection pane="bottomLeft" activeCell="D225" sqref="D225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255.42578125" style="1" customWidth="1"/>
    <col min="5" max="5" width="82.42578125" style="1" hidden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42.28515625" style="5" hidden="1" customWidth="1"/>
    <col min="16" max="16" width="53.7109375" style="5" hidden="1" customWidth="1"/>
    <col min="17" max="17" width="44" hidden="1" customWidth="1"/>
    <col min="18" max="18" width="34.85546875" customWidth="1"/>
    <col min="19" max="19" width="20" customWidth="1"/>
    <col min="20" max="20" width="74.28515625" customWidth="1"/>
    <col min="21" max="21" width="78.85546875" customWidth="1"/>
    <col min="22" max="22" width="73.140625" customWidth="1"/>
    <col min="23" max="23" width="71.425781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78" t="s">
        <v>428</v>
      </c>
      <c r="L2" s="178"/>
      <c r="M2" s="178"/>
      <c r="N2" s="178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79" t="s">
        <v>587</v>
      </c>
      <c r="K3" s="179"/>
      <c r="L3" s="179"/>
      <c r="M3" s="179"/>
      <c r="N3" s="179"/>
      <c r="O3" s="49"/>
    </row>
    <row r="4" spans="1:16" ht="45" x14ac:dyDescent="0.2">
      <c r="A4" s="181" t="s">
        <v>429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6" ht="45" x14ac:dyDescent="0.2">
      <c r="A5" s="181" t="s">
        <v>586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88">
        <v>2256400000</v>
      </c>
      <c r="B7" s="18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80" t="s">
        <v>0</v>
      </c>
      <c r="B8" s="18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82" t="s">
        <v>2</v>
      </c>
      <c r="B10" s="182" t="s">
        <v>3</v>
      </c>
      <c r="C10" s="182" t="s">
        <v>4</v>
      </c>
      <c r="D10" s="182" t="s">
        <v>430</v>
      </c>
      <c r="E10" s="185" t="s">
        <v>5</v>
      </c>
      <c r="F10" s="186"/>
      <c r="G10" s="186"/>
      <c r="H10" s="187"/>
      <c r="I10" s="185" t="s">
        <v>6</v>
      </c>
      <c r="J10" s="186"/>
      <c r="K10" s="186"/>
      <c r="L10" s="186"/>
      <c r="M10" s="187"/>
      <c r="N10" s="182" t="s">
        <v>589</v>
      </c>
    </row>
    <row r="11" spans="1:16" ht="96" customHeight="1" thickTop="1" thickBot="1" x14ac:dyDescent="0.25">
      <c r="A11" s="183"/>
      <c r="B11" s="183"/>
      <c r="C11" s="183"/>
      <c r="D11" s="183"/>
      <c r="E11" s="182" t="s">
        <v>565</v>
      </c>
      <c r="F11" s="182" t="s">
        <v>565</v>
      </c>
      <c r="G11" s="182" t="s">
        <v>588</v>
      </c>
      <c r="H11" s="182" t="s">
        <v>431</v>
      </c>
      <c r="I11" s="182" t="s">
        <v>565</v>
      </c>
      <c r="J11" s="182" t="s">
        <v>588</v>
      </c>
      <c r="K11" s="182" t="s">
        <v>431</v>
      </c>
      <c r="L11" s="7"/>
      <c r="M11" s="182"/>
      <c r="N11" s="183"/>
    </row>
    <row r="12" spans="1:16" ht="208.5" customHeight="1" thickTop="1" thickBot="1" x14ac:dyDescent="0.2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7"/>
      <c r="M12" s="184"/>
      <c r="N12" s="184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502</v>
      </c>
      <c r="J13" s="8" t="s">
        <v>503</v>
      </c>
      <c r="K13" s="8" t="s">
        <v>504</v>
      </c>
      <c r="L13" s="8"/>
      <c r="M13" s="8"/>
      <c r="N13" s="8" t="s">
        <v>505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297936641</v>
      </c>
      <c r="F14" s="70">
        <f>SUM(F15:F18)</f>
        <v>302864675.28999996</v>
      </c>
      <c r="G14" s="70">
        <f>SUM(G15:G18)</f>
        <v>294165952.40000004</v>
      </c>
      <c r="H14" s="80">
        <f>G14/F14</f>
        <v>0.97127851611723715</v>
      </c>
      <c r="I14" s="70">
        <f>SUM(I15:I18)</f>
        <v>2971373</v>
      </c>
      <c r="J14" s="70">
        <f>SUM(J15:J18)</f>
        <v>2946868.37</v>
      </c>
      <c r="K14" s="71">
        <f>J14/I14</f>
        <v>0.99175309528625322</v>
      </c>
      <c r="L14" s="70"/>
      <c r="M14" s="70"/>
      <c r="N14" s="74">
        <f t="shared" ref="N14:N27" si="0">G14+J14</f>
        <v>297112820.77000004</v>
      </c>
      <c r="O14" s="53" t="b">
        <f>N14=N15+N16+N17+N18</f>
        <v>1</v>
      </c>
      <c r="P14" s="13"/>
    </row>
    <row r="15" spans="1:16" ht="138.7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113">
        <v>133291386</v>
      </c>
      <c r="F15" s="113">
        <v>141365646</v>
      </c>
      <c r="G15" s="113">
        <v>137982626.38</v>
      </c>
      <c r="H15" s="114">
        <f>G15/F15</f>
        <v>0.97606901170316862</v>
      </c>
      <c r="I15" s="113">
        <v>495000</v>
      </c>
      <c r="J15" s="144">
        <v>482882.9</v>
      </c>
      <c r="K15" s="145">
        <f>J15/I15</f>
        <v>0.97552101010101011</v>
      </c>
      <c r="L15" s="146"/>
      <c r="M15" s="147"/>
      <c r="N15" s="124">
        <f t="shared" si="0"/>
        <v>138465509.28</v>
      </c>
      <c r="O15" s="15"/>
      <c r="P15" s="16"/>
    </row>
    <row r="16" spans="1:16" ht="93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113">
        <v>130523635</v>
      </c>
      <c r="F16" s="113">
        <f>3607111+58431592+9648153+9076158+3960365+8434936+8761540+7583188+9993624+11266342.29</f>
        <v>130763009.28999999</v>
      </c>
      <c r="G16" s="113">
        <f>3433730.89+56180165.36+9075010.73+8787705.65+3745365.68+8117328.98+7593889.95+7553916.78+9842292.65+11135247.27</f>
        <v>125464653.94000003</v>
      </c>
      <c r="H16" s="114">
        <f t="shared" ref="H16:H18" si="1">G16/F16</f>
        <v>0.95948123724921686</v>
      </c>
      <c r="I16" s="113">
        <f>658000+39000+60000+60000</f>
        <v>817000</v>
      </c>
      <c r="J16" s="144">
        <f>657883.47+35499+59800+59992</f>
        <v>813174.47</v>
      </c>
      <c r="K16" s="145">
        <f t="shared" ref="K16:K18" si="2">J16/I16</f>
        <v>0.9953175887392901</v>
      </c>
      <c r="L16" s="146"/>
      <c r="M16" s="147"/>
      <c r="N16" s="124">
        <f t="shared" si="0"/>
        <v>126277828.41000003</v>
      </c>
      <c r="O16" s="15"/>
      <c r="P16" s="16"/>
    </row>
    <row r="17" spans="1:18" ht="93" hidden="1" thickTop="1" thickBot="1" x14ac:dyDescent="0.25">
      <c r="A17" s="69" t="s">
        <v>23</v>
      </c>
      <c r="B17" s="69" t="s">
        <v>24</v>
      </c>
      <c r="C17" s="69" t="s">
        <v>25</v>
      </c>
      <c r="D17" s="69" t="s">
        <v>26</v>
      </c>
      <c r="E17" s="113">
        <v>0</v>
      </c>
      <c r="F17" s="113">
        <v>0</v>
      </c>
      <c r="G17" s="113">
        <v>0</v>
      </c>
      <c r="H17" s="114" t="e">
        <f t="shared" si="1"/>
        <v>#DIV/0!</v>
      </c>
      <c r="I17" s="113"/>
      <c r="J17" s="144"/>
      <c r="K17" s="146"/>
      <c r="L17" s="146"/>
      <c r="M17" s="147"/>
      <c r="N17" s="124">
        <f t="shared" si="0"/>
        <v>0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4">
        <v>34121620</v>
      </c>
      <c r="F18" s="124">
        <f>30606120+30000+99900</f>
        <v>30736020</v>
      </c>
      <c r="G18" s="124">
        <f>30588772.51+30000+99899.57</f>
        <v>30718672.080000002</v>
      </c>
      <c r="H18" s="114">
        <f t="shared" si="1"/>
        <v>0.9994355833969395</v>
      </c>
      <c r="I18" s="113">
        <f>1633711+25662</f>
        <v>1659373</v>
      </c>
      <c r="J18" s="144">
        <f>1633711+17100</f>
        <v>1650811</v>
      </c>
      <c r="K18" s="145">
        <f t="shared" si="2"/>
        <v>0.99484021976975645</v>
      </c>
      <c r="L18" s="124"/>
      <c r="M18" s="147"/>
      <c r="N18" s="124">
        <f t="shared" si="0"/>
        <v>32369483.080000002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SUM(E20:E56)-E21-E25-E33-E36-E39-E43-E48-E28-E51-E54</f>
        <v>2269288010.1799998</v>
      </c>
      <c r="F19" s="79">
        <f>SUM(F20:F58)-F21-F25-F33-F36-F39-F43-F48-F28-F51-F54-F57</f>
        <v>2252325272.4499998</v>
      </c>
      <c r="G19" s="79">
        <f>SUM(G20:G58)-G21-G25-G33-G36-G39-G43-G48-G28-G51-G54-G57</f>
        <v>2207473063.6199999</v>
      </c>
      <c r="H19" s="80">
        <f>G19/F19</f>
        <v>0.98008626490204442</v>
      </c>
      <c r="I19" s="79">
        <f>SUM(I20:I58)-I21-I25-I33-I36-I39-I43-I48-I28-I51-I54-I57</f>
        <v>359652386.4799999</v>
      </c>
      <c r="J19" s="79">
        <f>SUM(J20:J58)-J21-J25-J33-J36-J39-J43-J48-J28-J51-J54-J57</f>
        <v>297670684.31</v>
      </c>
      <c r="K19" s="80">
        <f>J19/I19</f>
        <v>0.82766219688786447</v>
      </c>
      <c r="L19" s="79"/>
      <c r="M19" s="79"/>
      <c r="N19" s="81">
        <f>G19+J19</f>
        <v>2505143747.9299998</v>
      </c>
      <c r="O19" s="53" t="b">
        <f>N19=N20+N22+N23+N24+N26+N27+N31+N32+N34+N35+N37+N38+N40+N41+N42+N46+N49+N53+N52+N30+N47+N50+N55+N56+N58+N44+N45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15">
        <v>598708927</v>
      </c>
      <c r="F20" s="115">
        <v>594374194.45000005</v>
      </c>
      <c r="G20" s="115">
        <v>584216037.38</v>
      </c>
      <c r="H20" s="114">
        <f>G20/F20</f>
        <v>0.98290949175645181</v>
      </c>
      <c r="I20" s="115">
        <v>78699345.609999999</v>
      </c>
      <c r="J20" s="115">
        <v>74904529.010000005</v>
      </c>
      <c r="K20" s="114">
        <f t="shared" ref="K20:K24" si="3">J20/I20</f>
        <v>0.95178083666914504</v>
      </c>
      <c r="L20" s="115"/>
      <c r="M20" s="119"/>
      <c r="N20" s="115">
        <f t="shared" si="0"/>
        <v>659120566.38999999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5">
        <v>566699955.10000002</v>
      </c>
      <c r="F21" s="125">
        <f t="shared" ref="F21:G21" si="4">F22+F23+F24</f>
        <v>521127554.72000003</v>
      </c>
      <c r="G21" s="125">
        <f t="shared" si="4"/>
        <v>509547045.89000005</v>
      </c>
      <c r="H21" s="116">
        <f t="shared" ref="H21:H47" si="5">G21/F21</f>
        <v>0.97777797638003972</v>
      </c>
      <c r="I21" s="125">
        <f>I22+I23+I24</f>
        <v>113758842.63000001</v>
      </c>
      <c r="J21" s="125">
        <f>J22+J23+J24</f>
        <v>109241386.92</v>
      </c>
      <c r="K21" s="116">
        <f t="shared" si="3"/>
        <v>0.96028919066368312</v>
      </c>
      <c r="L21" s="125"/>
      <c r="M21" s="148"/>
      <c r="N21" s="125">
        <f>G21+J21</f>
        <v>618788432.81000006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15">
        <v>513809913.10000002</v>
      </c>
      <c r="F22" s="115">
        <v>473029875.72000003</v>
      </c>
      <c r="G22" s="115">
        <v>463491858.48000002</v>
      </c>
      <c r="H22" s="114">
        <f t="shared" si="5"/>
        <v>0.97983633227080602</v>
      </c>
      <c r="I22" s="115">
        <v>112767960.2</v>
      </c>
      <c r="J22" s="115">
        <v>108271416.55</v>
      </c>
      <c r="K22" s="114">
        <f t="shared" si="3"/>
        <v>0.96012569845171314</v>
      </c>
      <c r="L22" s="115"/>
      <c r="M22" s="119"/>
      <c r="N22" s="115">
        <f t="shared" si="0"/>
        <v>571763275.02999997</v>
      </c>
      <c r="O22" s="21"/>
      <c r="P22" s="13"/>
      <c r="R22" s="23"/>
    </row>
    <row r="23" spans="1:18" ht="138.7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15">
        <v>32241551</v>
      </c>
      <c r="F23" s="115">
        <v>29318388</v>
      </c>
      <c r="G23" s="115">
        <v>28659948.539999999</v>
      </c>
      <c r="H23" s="114">
        <f t="shared" si="5"/>
        <v>0.9775417577528478</v>
      </c>
      <c r="I23" s="115">
        <v>240882.43</v>
      </c>
      <c r="J23" s="115">
        <v>224996.37</v>
      </c>
      <c r="K23" s="114">
        <f t="shared" si="3"/>
        <v>0.93405056566392164</v>
      </c>
      <c r="L23" s="115"/>
      <c r="M23" s="119"/>
      <c r="N23" s="115">
        <f t="shared" si="0"/>
        <v>28884944.91</v>
      </c>
      <c r="P23" s="13"/>
    </row>
    <row r="24" spans="1:18" ht="93" thickTop="1" thickBot="1" x14ac:dyDescent="0.25">
      <c r="A24" s="75"/>
      <c r="B24" s="75" t="s">
        <v>454</v>
      </c>
      <c r="C24" s="75" t="s">
        <v>80</v>
      </c>
      <c r="D24" s="75" t="s">
        <v>455</v>
      </c>
      <c r="E24" s="115">
        <v>20648491</v>
      </c>
      <c r="F24" s="115">
        <v>18779291</v>
      </c>
      <c r="G24" s="115">
        <v>17395238.870000001</v>
      </c>
      <c r="H24" s="114">
        <f t="shared" si="5"/>
        <v>0.92629902108657891</v>
      </c>
      <c r="I24" s="115">
        <v>750000</v>
      </c>
      <c r="J24" s="115">
        <v>744974</v>
      </c>
      <c r="K24" s="114">
        <f t="shared" si="3"/>
        <v>0.99329866666666666</v>
      </c>
      <c r="L24" s="115"/>
      <c r="M24" s="119"/>
      <c r="N24" s="115">
        <f>G24+J24</f>
        <v>18140212.870000001</v>
      </c>
      <c r="P24" s="13"/>
    </row>
    <row r="25" spans="1:18" ht="183.75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5">
        <v>734225903</v>
      </c>
      <c r="F25" s="125">
        <f>F26+F27</f>
        <v>736020903</v>
      </c>
      <c r="G25" s="125">
        <f>G26+G27</f>
        <v>736013510.32000005</v>
      </c>
      <c r="H25" s="116">
        <f t="shared" si="5"/>
        <v>0.99998995588308726</v>
      </c>
      <c r="I25" s="125">
        <f>I26+I27</f>
        <v>0</v>
      </c>
      <c r="J25" s="125">
        <f>J26+J27</f>
        <v>0</v>
      </c>
      <c r="K25" s="116">
        <v>0</v>
      </c>
      <c r="L25" s="125"/>
      <c r="M25" s="125"/>
      <c r="N25" s="125">
        <f>G25+J25</f>
        <v>736013510.32000005</v>
      </c>
      <c r="O25" s="50" t="s">
        <v>432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15">
        <v>723235253</v>
      </c>
      <c r="F26" s="115">
        <v>726545553</v>
      </c>
      <c r="G26" s="115">
        <v>726545553</v>
      </c>
      <c r="H26" s="114">
        <f t="shared" si="5"/>
        <v>1</v>
      </c>
      <c r="I26" s="115"/>
      <c r="J26" s="115"/>
      <c r="K26" s="115"/>
      <c r="L26" s="115"/>
      <c r="M26" s="119"/>
      <c r="N26" s="115">
        <f t="shared" si="0"/>
        <v>726545553</v>
      </c>
      <c r="P26" s="17"/>
    </row>
    <row r="27" spans="1:18" ht="93" thickTop="1" thickBot="1" x14ac:dyDescent="0.25">
      <c r="A27" s="88"/>
      <c r="B27" s="126" t="s">
        <v>501</v>
      </c>
      <c r="C27" s="75" t="s">
        <v>80</v>
      </c>
      <c r="D27" s="75" t="s">
        <v>455</v>
      </c>
      <c r="E27" s="127">
        <v>10990650</v>
      </c>
      <c r="F27" s="127">
        <v>9475350</v>
      </c>
      <c r="G27" s="127">
        <v>9467957.3200000003</v>
      </c>
      <c r="H27" s="114">
        <f t="shared" si="5"/>
        <v>0.99921979874094369</v>
      </c>
      <c r="I27" s="127"/>
      <c r="J27" s="127"/>
      <c r="K27" s="127"/>
      <c r="L27" s="127"/>
      <c r="M27" s="149"/>
      <c r="N27" s="115">
        <f t="shared" si="0"/>
        <v>9467957.3200000003</v>
      </c>
      <c r="P27" s="17"/>
    </row>
    <row r="28" spans="1:18" ht="183.75" thickTop="1" x14ac:dyDescent="0.65">
      <c r="A28" s="200" t="s">
        <v>87</v>
      </c>
      <c r="B28" s="211" t="s">
        <v>88</v>
      </c>
      <c r="C28" s="211"/>
      <c r="D28" s="128" t="s">
        <v>460</v>
      </c>
      <c r="E28" s="194">
        <f t="shared" ref="E28:J28" si="6">E30</f>
        <v>128512.77</v>
      </c>
      <c r="F28" s="194">
        <f>F30</f>
        <v>128512.77</v>
      </c>
      <c r="G28" s="194">
        <f>G30</f>
        <v>128512.77</v>
      </c>
      <c r="H28" s="215">
        <f>G28/F28</f>
        <v>1</v>
      </c>
      <c r="I28" s="194">
        <f t="shared" si="6"/>
        <v>0</v>
      </c>
      <c r="J28" s="194">
        <f t="shared" si="6"/>
        <v>0</v>
      </c>
      <c r="K28" s="196">
        <v>0</v>
      </c>
      <c r="L28" s="194"/>
      <c r="M28" s="194"/>
      <c r="N28" s="194">
        <f>J28+G28</f>
        <v>128512.77</v>
      </c>
      <c r="O28" s="217" t="s">
        <v>432</v>
      </c>
      <c r="P28" s="17"/>
    </row>
    <row r="29" spans="1:18" ht="92.25" thickBot="1" x14ac:dyDescent="0.25">
      <c r="A29" s="201"/>
      <c r="B29" s="212"/>
      <c r="C29" s="212"/>
      <c r="D29" s="129" t="s">
        <v>461</v>
      </c>
      <c r="E29" s="195"/>
      <c r="F29" s="195"/>
      <c r="G29" s="195"/>
      <c r="H29" s="216"/>
      <c r="I29" s="195"/>
      <c r="J29" s="195"/>
      <c r="K29" s="197"/>
      <c r="L29" s="195"/>
      <c r="M29" s="195"/>
      <c r="N29" s="195"/>
      <c r="O29" s="213"/>
      <c r="P29" s="17"/>
    </row>
    <row r="30" spans="1:18" ht="93" thickTop="1" thickBot="1" x14ac:dyDescent="0.25">
      <c r="A30" s="58" t="s">
        <v>89</v>
      </c>
      <c r="B30" s="75" t="s">
        <v>90</v>
      </c>
      <c r="C30" s="75" t="s">
        <v>76</v>
      </c>
      <c r="D30" s="75" t="s">
        <v>91</v>
      </c>
      <c r="E30" s="115">
        <v>128512.77</v>
      </c>
      <c r="F30" s="115">
        <v>128512.77</v>
      </c>
      <c r="G30" s="115">
        <v>128512.77</v>
      </c>
      <c r="H30" s="114">
        <f t="shared" si="5"/>
        <v>1</v>
      </c>
      <c r="I30" s="115"/>
      <c r="J30" s="115"/>
      <c r="K30" s="114"/>
      <c r="L30" s="115"/>
      <c r="M30" s="119"/>
      <c r="N30" s="115">
        <f t="shared" ref="N30:N36" si="7">G30+J30</f>
        <v>128512.77</v>
      </c>
      <c r="P30" s="12"/>
    </row>
    <row r="31" spans="1:18" ht="93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15">
        <v>38868684</v>
      </c>
      <c r="F31" s="115">
        <v>34679196</v>
      </c>
      <c r="G31" s="115">
        <v>34312432.090000004</v>
      </c>
      <c r="H31" s="114">
        <f t="shared" si="5"/>
        <v>0.98942409420333743</v>
      </c>
      <c r="I31" s="115">
        <v>5107319.88</v>
      </c>
      <c r="J31" s="115">
        <v>4773266.42</v>
      </c>
      <c r="K31" s="114">
        <f t="shared" ref="K31:K37" si="8">J31/I31</f>
        <v>0.93459319802776875</v>
      </c>
      <c r="L31" s="115"/>
      <c r="M31" s="119"/>
      <c r="N31" s="115">
        <f t="shared" si="7"/>
        <v>39085698.510000005</v>
      </c>
      <c r="P31" s="12"/>
    </row>
    <row r="32" spans="1:18" ht="48" thickTop="1" thickBot="1" x14ac:dyDescent="0.25">
      <c r="A32" s="58"/>
      <c r="B32" s="75" t="s">
        <v>268</v>
      </c>
      <c r="C32" s="75" t="s">
        <v>94</v>
      </c>
      <c r="D32" s="75" t="s">
        <v>506</v>
      </c>
      <c r="E32" s="115">
        <v>96162228</v>
      </c>
      <c r="F32" s="115">
        <v>93962228</v>
      </c>
      <c r="G32" s="115">
        <v>92690105.930000007</v>
      </c>
      <c r="H32" s="114">
        <f t="shared" si="5"/>
        <v>0.98646134625500803</v>
      </c>
      <c r="I32" s="115">
        <v>12031822.33</v>
      </c>
      <c r="J32" s="115">
        <v>9843066.7699999996</v>
      </c>
      <c r="K32" s="114">
        <f t="shared" si="8"/>
        <v>0.81808611364360129</v>
      </c>
      <c r="L32" s="115"/>
      <c r="M32" s="119"/>
      <c r="N32" s="115">
        <f t="shared" si="7"/>
        <v>102533172.7</v>
      </c>
      <c r="P32" s="12"/>
    </row>
    <row r="33" spans="1:16" ht="93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5">
        <f>E34+E35</f>
        <v>191701110.46000001</v>
      </c>
      <c r="F33" s="125">
        <f t="shared" ref="F33" si="9">F34+F35</f>
        <v>190028062.06</v>
      </c>
      <c r="G33" s="125">
        <f t="shared" ref="G33:J33" si="10">G34+G35</f>
        <v>180304216.94</v>
      </c>
      <c r="H33" s="116">
        <f t="shared" si="5"/>
        <v>0.9488294254301779</v>
      </c>
      <c r="I33" s="125">
        <f t="shared" si="10"/>
        <v>36300894.390000001</v>
      </c>
      <c r="J33" s="125">
        <f t="shared" si="10"/>
        <v>33735902.299999997</v>
      </c>
      <c r="K33" s="116">
        <f t="shared" si="8"/>
        <v>0.92934080184243073</v>
      </c>
      <c r="L33" s="125"/>
      <c r="M33" s="125"/>
      <c r="N33" s="125">
        <f t="shared" si="7"/>
        <v>214040119.24000001</v>
      </c>
      <c r="P33" s="19"/>
    </row>
    <row r="34" spans="1:16" ht="93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15">
        <v>165970710.46000001</v>
      </c>
      <c r="F34" s="115">
        <v>166092662.06</v>
      </c>
      <c r="G34" s="115">
        <v>156368816.94</v>
      </c>
      <c r="H34" s="114">
        <f t="shared" si="5"/>
        <v>0.94145529971403963</v>
      </c>
      <c r="I34" s="115">
        <v>36300894.390000001</v>
      </c>
      <c r="J34" s="115">
        <v>33735902.299999997</v>
      </c>
      <c r="K34" s="114">
        <f t="shared" si="8"/>
        <v>0.92934080184243073</v>
      </c>
      <c r="L34" s="115"/>
      <c r="M34" s="119"/>
      <c r="N34" s="115">
        <f t="shared" si="7"/>
        <v>190104719.24000001</v>
      </c>
      <c r="P34" s="12"/>
    </row>
    <row r="35" spans="1:16" ht="93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15">
        <v>25730400</v>
      </c>
      <c r="F35" s="115">
        <v>23935400</v>
      </c>
      <c r="G35" s="115">
        <v>23935400</v>
      </c>
      <c r="H35" s="114">
        <f t="shared" si="5"/>
        <v>1</v>
      </c>
      <c r="I35" s="115"/>
      <c r="J35" s="115"/>
      <c r="K35" s="115"/>
      <c r="L35" s="115"/>
      <c r="M35" s="119"/>
      <c r="N35" s="115">
        <f t="shared" si="7"/>
        <v>23935400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5">
        <f t="shared" ref="E36:J36" si="11">E37+E38</f>
        <v>28310424</v>
      </c>
      <c r="F36" s="125">
        <f t="shared" si="11"/>
        <v>28210334</v>
      </c>
      <c r="G36" s="125">
        <f t="shared" si="11"/>
        <v>27465399.550000001</v>
      </c>
      <c r="H36" s="116">
        <f t="shared" si="5"/>
        <v>0.97359356149416743</v>
      </c>
      <c r="I36" s="125">
        <f t="shared" si="11"/>
        <v>1811069.09</v>
      </c>
      <c r="J36" s="125">
        <f t="shared" si="11"/>
        <v>1491776.72</v>
      </c>
      <c r="K36" s="116">
        <f t="shared" si="8"/>
        <v>0.82369950889062982</v>
      </c>
      <c r="L36" s="125"/>
      <c r="M36" s="125"/>
      <c r="N36" s="125">
        <f t="shared" si="7"/>
        <v>28957176.27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15">
        <v>27658124</v>
      </c>
      <c r="F37" s="115">
        <v>27558034</v>
      </c>
      <c r="G37" s="115">
        <v>26832046.600000001</v>
      </c>
      <c r="H37" s="114">
        <f t="shared" si="5"/>
        <v>0.97365605253262988</v>
      </c>
      <c r="I37" s="115">
        <v>1811069.09</v>
      </c>
      <c r="J37" s="115">
        <v>1491776.72</v>
      </c>
      <c r="K37" s="114">
        <f t="shared" si="8"/>
        <v>0.82369950889062982</v>
      </c>
      <c r="L37" s="115"/>
      <c r="M37" s="119"/>
      <c r="N37" s="115">
        <f t="shared" ref="N37:N46" si="12">G37+J37</f>
        <v>28323823.32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15">
        <v>652300</v>
      </c>
      <c r="F38" s="115">
        <v>652300</v>
      </c>
      <c r="G38" s="115">
        <v>633352.94999999995</v>
      </c>
      <c r="H38" s="114">
        <f t="shared" si="5"/>
        <v>0.97095347232868301</v>
      </c>
      <c r="I38" s="115"/>
      <c r="J38" s="115"/>
      <c r="K38" s="115"/>
      <c r="L38" s="115"/>
      <c r="M38" s="119"/>
      <c r="N38" s="115">
        <f t="shared" si="12"/>
        <v>633352.94999999995</v>
      </c>
      <c r="P38" s="17"/>
    </row>
    <row r="39" spans="1:16" ht="9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5">
        <f>E40+E41</f>
        <v>6257423</v>
      </c>
      <c r="F39" s="125">
        <f t="shared" ref="F39:J39" si="13">F40+F41</f>
        <v>6293123</v>
      </c>
      <c r="G39" s="125">
        <f t="shared" si="13"/>
        <v>5459361.8900000006</v>
      </c>
      <c r="H39" s="116">
        <f t="shared" si="5"/>
        <v>0.86751234482466033</v>
      </c>
      <c r="I39" s="125">
        <f t="shared" si="13"/>
        <v>124580</v>
      </c>
      <c r="J39" s="125">
        <f t="shared" si="13"/>
        <v>124579</v>
      </c>
      <c r="K39" s="116">
        <f t="shared" ref="K39:K40" si="14">J39/I39</f>
        <v>0.9999919730293787</v>
      </c>
      <c r="L39" s="125"/>
      <c r="M39" s="125"/>
      <c r="N39" s="125">
        <f t="shared" si="12"/>
        <v>5583940.8900000006</v>
      </c>
      <c r="O39" s="50"/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15">
        <v>1330123</v>
      </c>
      <c r="F40" s="115">
        <v>1365823</v>
      </c>
      <c r="G40" s="115">
        <v>1268579.25</v>
      </c>
      <c r="H40" s="114">
        <f t="shared" si="5"/>
        <v>0.9288020848967985</v>
      </c>
      <c r="I40" s="115">
        <v>124580</v>
      </c>
      <c r="J40" s="115">
        <v>124579</v>
      </c>
      <c r="K40" s="114">
        <f t="shared" si="14"/>
        <v>0.9999919730293787</v>
      </c>
      <c r="L40" s="115"/>
      <c r="M40" s="119"/>
      <c r="N40" s="115">
        <f>G40+J40</f>
        <v>1393158.25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15">
        <v>4927300</v>
      </c>
      <c r="F41" s="115">
        <v>4927300</v>
      </c>
      <c r="G41" s="115">
        <v>4190782.64</v>
      </c>
      <c r="H41" s="114">
        <f t="shared" si="5"/>
        <v>0.85052313437379501</v>
      </c>
      <c r="I41" s="115"/>
      <c r="J41" s="115"/>
      <c r="K41" s="115"/>
      <c r="L41" s="115"/>
      <c r="M41" s="119"/>
      <c r="N41" s="115">
        <f t="shared" si="12"/>
        <v>4190782.64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15">
        <v>4021213</v>
      </c>
      <c r="F42" s="115">
        <v>3159813</v>
      </c>
      <c r="G42" s="115">
        <v>3139656.29</v>
      </c>
      <c r="H42" s="114">
        <f t="shared" si="5"/>
        <v>0.99362091680741871</v>
      </c>
      <c r="I42" s="115"/>
      <c r="J42" s="115"/>
      <c r="K42" s="114"/>
      <c r="L42" s="115"/>
      <c r="M42" s="119"/>
      <c r="N42" s="115">
        <f>G42+J42</f>
        <v>3139656.29</v>
      </c>
      <c r="O42" s="50"/>
      <c r="P42" s="12"/>
    </row>
    <row r="43" spans="1:16" s="18" customFormat="1" ht="183.75" thickTop="1" thickBot="1" x14ac:dyDescent="0.25">
      <c r="A43" s="59" t="s">
        <v>128</v>
      </c>
      <c r="B43" s="76" t="s">
        <v>129</v>
      </c>
      <c r="C43" s="76"/>
      <c r="D43" s="76" t="s">
        <v>596</v>
      </c>
      <c r="E43" s="125">
        <f>E44+E45</f>
        <v>0</v>
      </c>
      <c r="F43" s="125">
        <f>F44+F45</f>
        <v>0</v>
      </c>
      <c r="G43" s="125">
        <f>G44+G45</f>
        <v>0</v>
      </c>
      <c r="H43" s="114">
        <v>0</v>
      </c>
      <c r="I43" s="125">
        <f>I44+I45</f>
        <v>13879648</v>
      </c>
      <c r="J43" s="125">
        <f>J44+J45</f>
        <v>13528522.379999999</v>
      </c>
      <c r="K43" s="116">
        <f t="shared" ref="K43:K45" si="15">J43/I43</f>
        <v>0.97470212356970432</v>
      </c>
      <c r="L43" s="125"/>
      <c r="M43" s="125"/>
      <c r="N43" s="125">
        <f t="shared" si="12"/>
        <v>13528522.379999999</v>
      </c>
      <c r="O43" s="50" t="s">
        <v>432</v>
      </c>
      <c r="P43" s="22"/>
    </row>
    <row r="44" spans="1:16" s="18" customFormat="1" ht="138.75" thickTop="1" thickBot="1" x14ac:dyDescent="0.25">
      <c r="A44" s="58" t="s">
        <v>130</v>
      </c>
      <c r="B44" s="75" t="s">
        <v>131</v>
      </c>
      <c r="C44" s="75" t="s">
        <v>111</v>
      </c>
      <c r="D44" s="75" t="s">
        <v>132</v>
      </c>
      <c r="E44" s="115"/>
      <c r="F44" s="115"/>
      <c r="G44" s="115"/>
      <c r="H44" s="114"/>
      <c r="I44" s="115">
        <v>4409682</v>
      </c>
      <c r="J44" s="115">
        <v>4058556.71</v>
      </c>
      <c r="K44" s="114">
        <f t="shared" si="15"/>
        <v>0.92037401109649175</v>
      </c>
      <c r="L44" s="115"/>
      <c r="M44" s="119"/>
      <c r="N44" s="115">
        <f t="shared" si="12"/>
        <v>4058556.71</v>
      </c>
      <c r="O44" s="50"/>
      <c r="P44" s="12"/>
    </row>
    <row r="45" spans="1:16" s="18" customFormat="1" ht="138.75" thickTop="1" thickBot="1" x14ac:dyDescent="0.25">
      <c r="A45" s="58"/>
      <c r="B45" s="75" t="s">
        <v>452</v>
      </c>
      <c r="C45" s="75" t="s">
        <v>111</v>
      </c>
      <c r="D45" s="75" t="s">
        <v>453</v>
      </c>
      <c r="E45" s="115"/>
      <c r="F45" s="115"/>
      <c r="G45" s="115"/>
      <c r="H45" s="114"/>
      <c r="I45" s="115">
        <v>9469966</v>
      </c>
      <c r="J45" s="115">
        <v>9469965.6699999999</v>
      </c>
      <c r="K45" s="114">
        <f t="shared" si="15"/>
        <v>0.99999996515298994</v>
      </c>
      <c r="L45" s="115"/>
      <c r="M45" s="119"/>
      <c r="N45" s="115">
        <f t="shared" si="12"/>
        <v>9469965.6699999999</v>
      </c>
      <c r="O45" s="52"/>
      <c r="P45" s="12"/>
    </row>
    <row r="46" spans="1:16" s="18" customFormat="1" ht="138.75" thickTop="1" thickBot="1" x14ac:dyDescent="0.25">
      <c r="A46" s="58" t="s">
        <v>133</v>
      </c>
      <c r="B46" s="75" t="s">
        <v>134</v>
      </c>
      <c r="C46" s="75" t="s">
        <v>111</v>
      </c>
      <c r="D46" s="75" t="s">
        <v>135</v>
      </c>
      <c r="E46" s="115">
        <v>3668858</v>
      </c>
      <c r="F46" s="115">
        <v>7005709</v>
      </c>
      <c r="G46" s="115">
        <v>7005709</v>
      </c>
      <c r="H46" s="114">
        <f t="shared" si="5"/>
        <v>1</v>
      </c>
      <c r="I46" s="115"/>
      <c r="J46" s="115"/>
      <c r="K46" s="114"/>
      <c r="L46" s="115"/>
      <c r="M46" s="119"/>
      <c r="N46" s="115">
        <f t="shared" si="12"/>
        <v>7005709</v>
      </c>
      <c r="O46" s="20"/>
      <c r="P46" s="12"/>
    </row>
    <row r="47" spans="1:16" s="18" customFormat="1" ht="138.75" thickTop="1" thickBot="1" x14ac:dyDescent="0.25">
      <c r="A47" s="57"/>
      <c r="B47" s="75" t="s">
        <v>136</v>
      </c>
      <c r="C47" s="75" t="s">
        <v>111</v>
      </c>
      <c r="D47" s="75" t="s">
        <v>137</v>
      </c>
      <c r="E47" s="115">
        <v>532739</v>
      </c>
      <c r="F47" s="115">
        <v>532739</v>
      </c>
      <c r="G47" s="115">
        <v>532298.64</v>
      </c>
      <c r="H47" s="114">
        <f t="shared" si="5"/>
        <v>0.99917340386192866</v>
      </c>
      <c r="I47" s="151"/>
      <c r="J47" s="151"/>
      <c r="K47" s="152"/>
      <c r="L47" s="153"/>
      <c r="M47" s="153"/>
      <c r="N47" s="115">
        <f t="shared" ref="N47:N50" si="16">G47+J47</f>
        <v>532298.64</v>
      </c>
      <c r="O47" s="20"/>
      <c r="P47" s="12"/>
    </row>
    <row r="48" spans="1:16" s="18" customFormat="1" ht="183.75" thickTop="1" thickBot="1" x14ac:dyDescent="0.25">
      <c r="A48" s="8"/>
      <c r="B48" s="76" t="s">
        <v>456</v>
      </c>
      <c r="C48" s="76"/>
      <c r="D48" s="76" t="s">
        <v>457</v>
      </c>
      <c r="E48" s="125">
        <f>E50+E49</f>
        <v>0</v>
      </c>
      <c r="F48" s="125">
        <f>F50+F49</f>
        <v>0</v>
      </c>
      <c r="G48" s="125">
        <f>G50+G49</f>
        <v>0</v>
      </c>
      <c r="H48" s="116">
        <v>0</v>
      </c>
      <c r="I48" s="125">
        <f>I50+I49</f>
        <v>14416500</v>
      </c>
      <c r="J48" s="125">
        <f>J50+J49</f>
        <v>14400541.41</v>
      </c>
      <c r="K48" s="116">
        <f>J48/I48</f>
        <v>0.99889303298304033</v>
      </c>
      <c r="L48" s="137"/>
      <c r="M48" s="137"/>
      <c r="N48" s="125">
        <f>G48+J48</f>
        <v>14400541.41</v>
      </c>
      <c r="O48" s="50" t="s">
        <v>432</v>
      </c>
      <c r="P48" s="12"/>
    </row>
    <row r="49" spans="1:16" s="18" customFormat="1" ht="138.75" thickTop="1" thickBot="1" x14ac:dyDescent="0.25">
      <c r="A49" s="8"/>
      <c r="B49" s="75" t="s">
        <v>473</v>
      </c>
      <c r="C49" s="75" t="s">
        <v>111</v>
      </c>
      <c r="D49" s="75" t="s">
        <v>474</v>
      </c>
      <c r="E49" s="115"/>
      <c r="F49" s="115"/>
      <c r="G49" s="115"/>
      <c r="H49" s="114"/>
      <c r="I49" s="115">
        <v>5766600</v>
      </c>
      <c r="J49" s="115">
        <v>5766594.4000000004</v>
      </c>
      <c r="K49" s="114">
        <f>J49/I49</f>
        <v>0.99999902889050751</v>
      </c>
      <c r="L49" s="143"/>
      <c r="M49" s="143"/>
      <c r="N49" s="115">
        <f>G49+J49</f>
        <v>5766594.4000000004</v>
      </c>
      <c r="O49" s="50"/>
      <c r="P49" s="12"/>
    </row>
    <row r="50" spans="1:16" s="18" customFormat="1" ht="138.75" thickTop="1" thickBot="1" x14ac:dyDescent="0.25">
      <c r="A50" s="8"/>
      <c r="B50" s="75" t="s">
        <v>458</v>
      </c>
      <c r="C50" s="75" t="s">
        <v>111</v>
      </c>
      <c r="D50" s="75" t="s">
        <v>459</v>
      </c>
      <c r="E50" s="115"/>
      <c r="F50" s="115"/>
      <c r="G50" s="115"/>
      <c r="H50" s="114"/>
      <c r="I50" s="115">
        <v>8649900</v>
      </c>
      <c r="J50" s="115">
        <v>8633947.0099999998</v>
      </c>
      <c r="K50" s="114">
        <f>J50/I50</f>
        <v>0.99815570237806217</v>
      </c>
      <c r="L50" s="143"/>
      <c r="M50" s="143"/>
      <c r="N50" s="115">
        <f t="shared" si="16"/>
        <v>8633947.0099999998</v>
      </c>
      <c r="O50" s="50"/>
      <c r="P50" s="12"/>
    </row>
    <row r="51" spans="1:16" s="18" customFormat="1" ht="183.75" thickTop="1" thickBot="1" x14ac:dyDescent="0.25">
      <c r="A51" s="57"/>
      <c r="B51" s="76" t="s">
        <v>549</v>
      </c>
      <c r="C51" s="76"/>
      <c r="D51" s="76" t="s">
        <v>546</v>
      </c>
      <c r="E51" s="125">
        <f>SUM(E52:E53)</f>
        <v>0</v>
      </c>
      <c r="F51" s="125">
        <f>SUM(F52:F53)</f>
        <v>0</v>
      </c>
      <c r="G51" s="125">
        <f>SUM(G52:G53)</f>
        <v>0</v>
      </c>
      <c r="H51" s="116">
        <v>0</v>
      </c>
      <c r="I51" s="125">
        <f>SUM(I52:I53)</f>
        <v>19000000</v>
      </c>
      <c r="J51" s="125">
        <f>SUM(J52:J53)</f>
        <v>18996574</v>
      </c>
      <c r="K51" s="116">
        <f>J51/I51</f>
        <v>0.99981968421052636</v>
      </c>
      <c r="L51" s="137"/>
      <c r="M51" s="137"/>
      <c r="N51" s="125">
        <f t="shared" ref="N51:N57" si="17">G51+J51</f>
        <v>18996574</v>
      </c>
      <c r="O51" s="50" t="s">
        <v>432</v>
      </c>
      <c r="P51" s="12"/>
    </row>
    <row r="52" spans="1:16" s="18" customFormat="1" ht="138.75" thickTop="1" thickBot="1" x14ac:dyDescent="0.25">
      <c r="A52" s="57"/>
      <c r="B52" s="75" t="s">
        <v>560</v>
      </c>
      <c r="C52" s="75" t="s">
        <v>111</v>
      </c>
      <c r="D52" s="75" t="s">
        <v>597</v>
      </c>
      <c r="E52" s="115"/>
      <c r="F52" s="115"/>
      <c r="G52" s="115"/>
      <c r="H52" s="114"/>
      <c r="I52" s="115">
        <v>19000000</v>
      </c>
      <c r="J52" s="115">
        <v>18996574</v>
      </c>
      <c r="K52" s="114">
        <f t="shared" ref="K52" si="18">J52/I52</f>
        <v>0.99981968421052636</v>
      </c>
      <c r="L52" s="143"/>
      <c r="M52" s="143"/>
      <c r="N52" s="115">
        <f t="shared" si="17"/>
        <v>18996574</v>
      </c>
      <c r="O52" s="52"/>
      <c r="P52" s="12"/>
    </row>
    <row r="53" spans="1:16" s="18" customFormat="1" ht="138.75" hidden="1" thickTop="1" thickBot="1" x14ac:dyDescent="0.25">
      <c r="A53" s="57"/>
      <c r="B53" s="90" t="s">
        <v>548</v>
      </c>
      <c r="C53" s="90" t="s">
        <v>111</v>
      </c>
      <c r="D53" s="90" t="s">
        <v>547</v>
      </c>
      <c r="E53" s="91"/>
      <c r="F53" s="91"/>
      <c r="G53" s="91"/>
      <c r="H53" s="89"/>
      <c r="I53" s="91"/>
      <c r="J53" s="91"/>
      <c r="K53" s="89" t="e">
        <f t="shared" ref="K53" si="19">J53/I53</f>
        <v>#DIV/0!</v>
      </c>
      <c r="L53" s="101"/>
      <c r="M53" s="101"/>
      <c r="N53" s="91">
        <f t="shared" si="17"/>
        <v>0</v>
      </c>
      <c r="O53" s="52"/>
      <c r="P53" s="12"/>
    </row>
    <row r="54" spans="1:16" s="18" customFormat="1" ht="184.5" thickTop="1" thickBot="1" x14ac:dyDescent="0.25">
      <c r="A54" s="57"/>
      <c r="B54" s="76" t="s">
        <v>567</v>
      </c>
      <c r="C54" s="76"/>
      <c r="D54" s="76" t="s">
        <v>566</v>
      </c>
      <c r="E54" s="125">
        <f>SUM(E55:E56)</f>
        <v>2032.85</v>
      </c>
      <c r="F54" s="125">
        <f>SUM(F55:F56)</f>
        <v>1385303.45</v>
      </c>
      <c r="G54" s="125">
        <f>SUM(G55:G56)</f>
        <v>450794.17</v>
      </c>
      <c r="H54" s="116">
        <f>G54/F54</f>
        <v>0.32541185831883984</v>
      </c>
      <c r="I54" s="125">
        <f>SUM(I55:I56)</f>
        <v>22459364.549999997</v>
      </c>
      <c r="J54" s="125">
        <f>SUM(J55:J56)</f>
        <v>16630539.380000001</v>
      </c>
      <c r="K54" s="116">
        <f>J54/I54</f>
        <v>0.74047239150405986</v>
      </c>
      <c r="L54" s="125"/>
      <c r="M54" s="125"/>
      <c r="N54" s="125">
        <f t="shared" si="17"/>
        <v>17081333.550000001</v>
      </c>
      <c r="O54" s="50"/>
      <c r="P54" s="12"/>
    </row>
    <row r="55" spans="1:16" s="18" customFormat="1" ht="230.25" thickTop="1" thickBot="1" x14ac:dyDescent="0.25">
      <c r="A55" s="57"/>
      <c r="B55" s="75" t="s">
        <v>568</v>
      </c>
      <c r="C55" s="75" t="s">
        <v>111</v>
      </c>
      <c r="D55" s="75" t="s">
        <v>570</v>
      </c>
      <c r="E55" s="115">
        <v>2032.85</v>
      </c>
      <c r="F55" s="115">
        <v>1385303.45</v>
      </c>
      <c r="G55" s="115">
        <v>450794.17</v>
      </c>
      <c r="H55" s="114">
        <f>G55/F55</f>
        <v>0.32541185831883984</v>
      </c>
      <c r="I55" s="115">
        <v>5674410.4000000004</v>
      </c>
      <c r="J55" s="115">
        <v>4673619.74</v>
      </c>
      <c r="K55" s="114">
        <f>J55/I55</f>
        <v>0.82363089916795584</v>
      </c>
      <c r="L55" s="143"/>
      <c r="M55" s="143"/>
      <c r="N55" s="115">
        <f t="shared" si="17"/>
        <v>5124413.91</v>
      </c>
      <c r="O55" s="50"/>
      <c r="P55" s="12"/>
    </row>
    <row r="56" spans="1:16" s="18" customFormat="1" ht="184.5" thickTop="1" thickBot="1" x14ac:dyDescent="0.25">
      <c r="A56" s="57"/>
      <c r="B56" s="75" t="s">
        <v>569</v>
      </c>
      <c r="C56" s="75" t="s">
        <v>111</v>
      </c>
      <c r="D56" s="75" t="s">
        <v>571</v>
      </c>
      <c r="E56" s="115"/>
      <c r="F56" s="115"/>
      <c r="G56" s="115"/>
      <c r="H56" s="116"/>
      <c r="I56" s="115">
        <v>16784954.149999999</v>
      </c>
      <c r="J56" s="115">
        <v>11956919.640000001</v>
      </c>
      <c r="K56" s="114">
        <f t="shared" ref="K56" si="20">J56/I56</f>
        <v>0.71235938645682872</v>
      </c>
      <c r="L56" s="143"/>
      <c r="M56" s="143"/>
      <c r="N56" s="115">
        <f t="shared" si="17"/>
        <v>11956919.640000001</v>
      </c>
      <c r="O56" s="50"/>
      <c r="P56" s="12"/>
    </row>
    <row r="57" spans="1:16" s="18" customFormat="1" ht="93" thickTop="1" thickBot="1" x14ac:dyDescent="0.25">
      <c r="A57" s="57"/>
      <c r="B57" s="76" t="s">
        <v>591</v>
      </c>
      <c r="C57" s="76"/>
      <c r="D57" s="76" t="s">
        <v>590</v>
      </c>
      <c r="E57" s="125"/>
      <c r="F57" s="125">
        <f>F58</f>
        <v>35417600</v>
      </c>
      <c r="G57" s="125">
        <f>G58</f>
        <v>26207982.760000002</v>
      </c>
      <c r="H57" s="116">
        <f>G57/F57</f>
        <v>0.73997060105710155</v>
      </c>
      <c r="I57" s="125">
        <f t="shared" ref="I57:J57" si="21">I58</f>
        <v>42063000</v>
      </c>
      <c r="J57" s="125">
        <f t="shared" si="21"/>
        <v>0</v>
      </c>
      <c r="K57" s="116">
        <f>J57/I57</f>
        <v>0</v>
      </c>
      <c r="L57" s="125"/>
      <c r="M57" s="125"/>
      <c r="N57" s="125">
        <f t="shared" si="17"/>
        <v>26207982.760000002</v>
      </c>
      <c r="O57" s="52"/>
      <c r="P57" s="12"/>
    </row>
    <row r="58" spans="1:16" s="18" customFormat="1" ht="138.75" thickTop="1" thickBot="1" x14ac:dyDescent="0.25">
      <c r="A58" s="57"/>
      <c r="B58" s="75" t="s">
        <v>592</v>
      </c>
      <c r="C58" s="75" t="s">
        <v>111</v>
      </c>
      <c r="D58" s="75" t="s">
        <v>593</v>
      </c>
      <c r="E58" s="91"/>
      <c r="F58" s="115">
        <v>35417600</v>
      </c>
      <c r="G58" s="115">
        <v>26207982.760000002</v>
      </c>
      <c r="H58" s="114">
        <f>G58/F58</f>
        <v>0.73997060105710155</v>
      </c>
      <c r="I58" s="115">
        <v>42063000</v>
      </c>
      <c r="J58" s="115">
        <v>0</v>
      </c>
      <c r="K58" s="114">
        <f>J58/I58</f>
        <v>0</v>
      </c>
      <c r="L58" s="143"/>
      <c r="M58" s="143"/>
      <c r="N58" s="115">
        <f t="shared" ref="N58" si="22">G58+J58</f>
        <v>26207982.760000002</v>
      </c>
      <c r="O58" s="52"/>
      <c r="P58" s="12"/>
    </row>
    <row r="59" spans="1:16" ht="91.5" thickTop="1" thickBot="1" x14ac:dyDescent="0.25">
      <c r="A59" s="57" t="s">
        <v>141</v>
      </c>
      <c r="B59" s="77" t="s">
        <v>142</v>
      </c>
      <c r="C59" s="77"/>
      <c r="D59" s="78" t="s">
        <v>143</v>
      </c>
      <c r="E59" s="79">
        <f>SUM(E60:E73)-E65-E67-E69-E72</f>
        <v>101783281</v>
      </c>
      <c r="F59" s="79">
        <f t="shared" ref="F59:G59" si="23">SUM(F60:F73)-F65-F67-F69-F72</f>
        <v>107863536</v>
      </c>
      <c r="G59" s="79">
        <f t="shared" si="23"/>
        <v>104897761.49000001</v>
      </c>
      <c r="H59" s="80">
        <f>G59/F59</f>
        <v>0.97250438266737338</v>
      </c>
      <c r="I59" s="79">
        <f>SUM(I60:I73)-I65-I67-I69-I72</f>
        <v>35593852.68</v>
      </c>
      <c r="J59" s="79">
        <f t="shared" ref="J59" si="24">SUM(J60:J73)-J65-J67-J69-J72</f>
        <v>33704315.280000001</v>
      </c>
      <c r="K59" s="80">
        <f>J59/I59</f>
        <v>0.94691393997195139</v>
      </c>
      <c r="L59" s="79"/>
      <c r="M59" s="79"/>
      <c r="N59" s="81">
        <f>J59+G59</f>
        <v>138602076.77000001</v>
      </c>
      <c r="O59" s="53" t="b">
        <f>N59=N60+N61+N62+N63+N66+N70+N71+N73</f>
        <v>1</v>
      </c>
      <c r="P59" s="24"/>
    </row>
    <row r="60" spans="1:16" ht="93" thickTop="1" thickBot="1" x14ac:dyDescent="0.25">
      <c r="A60" s="58" t="s">
        <v>144</v>
      </c>
      <c r="B60" s="75" t="s">
        <v>145</v>
      </c>
      <c r="C60" s="75" t="s">
        <v>146</v>
      </c>
      <c r="D60" s="75" t="s">
        <v>147</v>
      </c>
      <c r="E60" s="115">
        <v>24035580</v>
      </c>
      <c r="F60" s="115">
        <v>26228835</v>
      </c>
      <c r="G60" s="115">
        <v>25945047.75</v>
      </c>
      <c r="H60" s="114">
        <f>G60/F60</f>
        <v>0.98918033340024447</v>
      </c>
      <c r="I60" s="115">
        <v>21870800</v>
      </c>
      <c r="J60" s="115">
        <v>21870765</v>
      </c>
      <c r="K60" s="114">
        <f>J60/I60</f>
        <v>0.99999839969274096</v>
      </c>
      <c r="L60" s="115"/>
      <c r="M60" s="119"/>
      <c r="N60" s="115">
        <f>G60+J60</f>
        <v>47815812.75</v>
      </c>
      <c r="P60" s="17"/>
    </row>
    <row r="61" spans="1:16" ht="93" thickTop="1" thickBot="1" x14ac:dyDescent="0.25">
      <c r="A61" s="58" t="s">
        <v>148</v>
      </c>
      <c r="B61" s="75" t="s">
        <v>149</v>
      </c>
      <c r="C61" s="75" t="s">
        <v>150</v>
      </c>
      <c r="D61" s="75" t="s">
        <v>151</v>
      </c>
      <c r="E61" s="115">
        <v>12536600</v>
      </c>
      <c r="F61" s="115">
        <v>14036600</v>
      </c>
      <c r="G61" s="115">
        <v>13854235.9</v>
      </c>
      <c r="H61" s="114">
        <f t="shared" ref="H61:H63" si="25">G61/F61</f>
        <v>0.98700795776755057</v>
      </c>
      <c r="I61" s="115"/>
      <c r="J61" s="115"/>
      <c r="K61" s="114"/>
      <c r="L61" s="115"/>
      <c r="M61" s="119"/>
      <c r="N61" s="115">
        <f t="shared" ref="N61:N130" si="26">G61+J61</f>
        <v>13854235.9</v>
      </c>
      <c r="P61" s="24"/>
    </row>
    <row r="62" spans="1:16" ht="93" thickTop="1" thickBot="1" x14ac:dyDescent="0.25">
      <c r="A62" s="75" t="s">
        <v>152</v>
      </c>
      <c r="B62" s="75" t="s">
        <v>153</v>
      </c>
      <c r="C62" s="75" t="s">
        <v>154</v>
      </c>
      <c r="D62" s="75" t="s">
        <v>155</v>
      </c>
      <c r="E62" s="115">
        <v>10381900</v>
      </c>
      <c r="F62" s="115">
        <v>14721900</v>
      </c>
      <c r="G62" s="115">
        <v>14700655.27</v>
      </c>
      <c r="H62" s="114">
        <f t="shared" si="25"/>
        <v>0.99855693015167879</v>
      </c>
      <c r="I62" s="115">
        <v>11788875.380000001</v>
      </c>
      <c r="J62" s="115">
        <v>10055508.65</v>
      </c>
      <c r="K62" s="114">
        <f>J62/I62</f>
        <v>0.85296589588683902</v>
      </c>
      <c r="L62" s="115"/>
      <c r="M62" s="119"/>
      <c r="N62" s="115">
        <f t="shared" si="26"/>
        <v>24756163.920000002</v>
      </c>
      <c r="P62" s="24"/>
    </row>
    <row r="63" spans="1:16" ht="93" thickTop="1" thickBot="1" x14ac:dyDescent="0.25">
      <c r="A63" s="58" t="s">
        <v>156</v>
      </c>
      <c r="B63" s="75" t="s">
        <v>157</v>
      </c>
      <c r="C63" s="75" t="s">
        <v>158</v>
      </c>
      <c r="D63" s="75" t="s">
        <v>159</v>
      </c>
      <c r="E63" s="115">
        <v>25552146</v>
      </c>
      <c r="F63" s="115">
        <v>24519146</v>
      </c>
      <c r="G63" s="115">
        <v>23580232.98</v>
      </c>
      <c r="H63" s="114">
        <f t="shared" si="25"/>
        <v>0.96170694444251859</v>
      </c>
      <c r="I63" s="115">
        <v>892859</v>
      </c>
      <c r="J63" s="115">
        <v>749971</v>
      </c>
      <c r="K63" s="114">
        <f>J63/I63</f>
        <v>0.83996577287119245</v>
      </c>
      <c r="L63" s="115"/>
      <c r="M63" s="119"/>
      <c r="N63" s="115">
        <f t="shared" si="26"/>
        <v>24330203.98</v>
      </c>
      <c r="O63" s="50"/>
      <c r="P63" s="24"/>
    </row>
    <row r="64" spans="1:16" ht="93" hidden="1" thickTop="1" thickBot="1" x14ac:dyDescent="0.25">
      <c r="A64" s="58" t="s">
        <v>160</v>
      </c>
      <c r="B64" s="96" t="s">
        <v>161</v>
      </c>
      <c r="C64" s="96" t="s">
        <v>162</v>
      </c>
      <c r="D64" s="96" t="s">
        <v>163</v>
      </c>
      <c r="E64" s="97"/>
      <c r="F64" s="97"/>
      <c r="G64" s="97"/>
      <c r="H64" s="98"/>
      <c r="I64" s="151"/>
      <c r="J64" s="151"/>
      <c r="K64" s="152" t="e">
        <f>J64/I64</f>
        <v>#DIV/0!</v>
      </c>
      <c r="L64" s="151"/>
      <c r="M64" s="154"/>
      <c r="N64" s="151">
        <f t="shared" si="26"/>
        <v>0</v>
      </c>
      <c r="P64" s="24"/>
    </row>
    <row r="65" spans="1:18" ht="93" thickTop="1" thickBot="1" x14ac:dyDescent="0.25">
      <c r="A65" s="58" t="s">
        <v>164</v>
      </c>
      <c r="B65" s="76" t="s">
        <v>165</v>
      </c>
      <c r="C65" s="76"/>
      <c r="D65" s="76" t="s">
        <v>166</v>
      </c>
      <c r="E65" s="125">
        <v>19427800</v>
      </c>
      <c r="F65" s="125">
        <f>F66</f>
        <v>19427800</v>
      </c>
      <c r="G65" s="125">
        <f>G66</f>
        <v>18776603.870000001</v>
      </c>
      <c r="H65" s="116">
        <f t="shared" ref="H65:H66" si="27">G65/F65</f>
        <v>0.96648122123966695</v>
      </c>
      <c r="I65" s="125">
        <f>I66</f>
        <v>1000000</v>
      </c>
      <c r="J65" s="125">
        <f t="shared" ref="J65" si="28">J66</f>
        <v>998700</v>
      </c>
      <c r="K65" s="116">
        <f t="shared" ref="K65" si="29">J65/I65</f>
        <v>0.99870000000000003</v>
      </c>
      <c r="L65" s="125"/>
      <c r="M65" s="125"/>
      <c r="N65" s="125">
        <f t="shared" si="26"/>
        <v>19775303.870000001</v>
      </c>
      <c r="O65" s="50"/>
      <c r="P65" s="24"/>
    </row>
    <row r="66" spans="1:18" ht="93" thickTop="1" thickBot="1" x14ac:dyDescent="0.25">
      <c r="A66" s="58" t="s">
        <v>167</v>
      </c>
      <c r="B66" s="75" t="s">
        <v>168</v>
      </c>
      <c r="C66" s="75" t="s">
        <v>169</v>
      </c>
      <c r="D66" s="75" t="s">
        <v>170</v>
      </c>
      <c r="E66" s="115">
        <v>19427800</v>
      </c>
      <c r="F66" s="115">
        <v>19427800</v>
      </c>
      <c r="G66" s="115">
        <v>18776603.870000001</v>
      </c>
      <c r="H66" s="114">
        <f t="shared" si="27"/>
        <v>0.96648122123966695</v>
      </c>
      <c r="I66" s="115">
        <v>1000000</v>
      </c>
      <c r="J66" s="115">
        <v>998700</v>
      </c>
      <c r="K66" s="114">
        <f>J66/I66</f>
        <v>0.99870000000000003</v>
      </c>
      <c r="L66" s="115"/>
      <c r="M66" s="119"/>
      <c r="N66" s="115">
        <f t="shared" si="26"/>
        <v>19775303.870000001</v>
      </c>
      <c r="P66" s="24"/>
    </row>
    <row r="67" spans="1:18" ht="138.75" hidden="1" customHeight="1" thickTop="1" thickBot="1" x14ac:dyDescent="0.25">
      <c r="A67" s="59" t="s">
        <v>171</v>
      </c>
      <c r="B67" s="121" t="s">
        <v>172</v>
      </c>
      <c r="C67" s="121"/>
      <c r="D67" s="121" t="s">
        <v>173</v>
      </c>
      <c r="E67" s="102">
        <f t="shared" ref="E67:G67" si="30">E68</f>
        <v>0</v>
      </c>
      <c r="F67" s="102">
        <f t="shared" si="30"/>
        <v>0</v>
      </c>
      <c r="G67" s="102">
        <f t="shared" si="30"/>
        <v>0</v>
      </c>
      <c r="H67" s="122"/>
      <c r="I67" s="102"/>
      <c r="J67" s="102"/>
      <c r="K67" s="122"/>
      <c r="L67" s="102"/>
      <c r="M67" s="102"/>
      <c r="N67" s="102">
        <f t="shared" si="26"/>
        <v>0</v>
      </c>
      <c r="O67" s="50"/>
      <c r="P67" s="24"/>
    </row>
    <row r="68" spans="1:18" ht="138.75" hidden="1" customHeight="1" thickTop="1" thickBot="1" x14ac:dyDescent="0.25">
      <c r="A68" s="58" t="s">
        <v>174</v>
      </c>
      <c r="B68" s="96" t="s">
        <v>175</v>
      </c>
      <c r="C68" s="96" t="s">
        <v>176</v>
      </c>
      <c r="D68" s="96" t="s">
        <v>177</v>
      </c>
      <c r="E68" s="97"/>
      <c r="F68" s="97"/>
      <c r="G68" s="97"/>
      <c r="H68" s="98"/>
      <c r="I68" s="97"/>
      <c r="J68" s="97"/>
      <c r="K68" s="97"/>
      <c r="L68" s="97"/>
      <c r="M68" s="99"/>
      <c r="N68" s="97">
        <f t="shared" si="26"/>
        <v>0</v>
      </c>
      <c r="P68" s="24"/>
    </row>
    <row r="69" spans="1:18" ht="93" thickTop="1" thickBot="1" x14ac:dyDescent="0.25">
      <c r="A69" s="58" t="s">
        <v>178</v>
      </c>
      <c r="B69" s="76" t="s">
        <v>179</v>
      </c>
      <c r="C69" s="76"/>
      <c r="D69" s="76" t="s">
        <v>180</v>
      </c>
      <c r="E69" s="125">
        <f>SUM(E70:E71)</f>
        <v>9849255</v>
      </c>
      <c r="F69" s="125">
        <f t="shared" ref="F69:J69" si="31">SUM(F70:F71)</f>
        <v>8929255</v>
      </c>
      <c r="G69" s="125">
        <f t="shared" si="31"/>
        <v>8040985.7200000007</v>
      </c>
      <c r="H69" s="116">
        <f t="shared" ref="H69:H71" si="32">G69/F69</f>
        <v>0.90052145671727379</v>
      </c>
      <c r="I69" s="125">
        <f t="shared" si="31"/>
        <v>41318.300000000003</v>
      </c>
      <c r="J69" s="125">
        <f t="shared" si="31"/>
        <v>29370.63</v>
      </c>
      <c r="K69" s="116">
        <f>J69/I69</f>
        <v>0.71083829683215427</v>
      </c>
      <c r="L69" s="125"/>
      <c r="M69" s="125"/>
      <c r="N69" s="125">
        <f t="shared" si="26"/>
        <v>8070356.3500000006</v>
      </c>
      <c r="O69" s="50"/>
      <c r="P69" s="24"/>
    </row>
    <row r="70" spans="1:18" s="18" customFormat="1" ht="93" thickTop="1" thickBot="1" x14ac:dyDescent="0.25">
      <c r="A70" s="58" t="s">
        <v>181</v>
      </c>
      <c r="B70" s="75" t="s">
        <v>182</v>
      </c>
      <c r="C70" s="75" t="s">
        <v>176</v>
      </c>
      <c r="D70" s="130" t="s">
        <v>183</v>
      </c>
      <c r="E70" s="115">
        <v>4423055</v>
      </c>
      <c r="F70" s="115">
        <v>3823055</v>
      </c>
      <c r="G70" s="115">
        <v>3623045.72</v>
      </c>
      <c r="H70" s="114">
        <f t="shared" si="32"/>
        <v>0.94768338933130714</v>
      </c>
      <c r="I70" s="115">
        <v>41318.300000000003</v>
      </c>
      <c r="J70" s="115">
        <v>29370.63</v>
      </c>
      <c r="K70" s="114">
        <f>J70/I70</f>
        <v>0.71083829683215427</v>
      </c>
      <c r="L70" s="115"/>
      <c r="M70" s="119"/>
      <c r="N70" s="115">
        <f t="shared" si="26"/>
        <v>3652416.35</v>
      </c>
      <c r="O70" s="20"/>
      <c r="P70" s="24"/>
    </row>
    <row r="71" spans="1:18" s="18" customFormat="1" ht="93" thickTop="1" thickBot="1" x14ac:dyDescent="0.25">
      <c r="A71" s="58" t="s">
        <v>184</v>
      </c>
      <c r="B71" s="75" t="s">
        <v>185</v>
      </c>
      <c r="C71" s="75" t="s">
        <v>176</v>
      </c>
      <c r="D71" s="130" t="s">
        <v>186</v>
      </c>
      <c r="E71" s="115">
        <v>5426200</v>
      </c>
      <c r="F71" s="115">
        <v>5106200</v>
      </c>
      <c r="G71" s="115">
        <v>4417940</v>
      </c>
      <c r="H71" s="114">
        <f t="shared" si="32"/>
        <v>0.86521092005796874</v>
      </c>
      <c r="I71" s="115"/>
      <c r="J71" s="115"/>
      <c r="K71" s="115"/>
      <c r="L71" s="115"/>
      <c r="M71" s="119"/>
      <c r="N71" s="115">
        <f t="shared" si="26"/>
        <v>4417940</v>
      </c>
      <c r="O71" s="20"/>
      <c r="P71" s="24"/>
    </row>
    <row r="72" spans="1:18" s="18" customFormat="1" ht="183.75" hidden="1" thickTop="1" thickBot="1" x14ac:dyDescent="0.25">
      <c r="A72" s="58"/>
      <c r="B72" s="93" t="s">
        <v>575</v>
      </c>
      <c r="C72" s="93"/>
      <c r="D72" s="93" t="s">
        <v>574</v>
      </c>
      <c r="E72" s="94">
        <f>E73</f>
        <v>0</v>
      </c>
      <c r="F72" s="94">
        <f>F73</f>
        <v>0</v>
      </c>
      <c r="G72" s="94">
        <f>G73</f>
        <v>0</v>
      </c>
      <c r="H72" s="95">
        <v>0</v>
      </c>
      <c r="I72" s="94">
        <f>I73</f>
        <v>0</v>
      </c>
      <c r="J72" s="94">
        <f>J73</f>
        <v>0</v>
      </c>
      <c r="K72" s="95">
        <v>0</v>
      </c>
      <c r="L72" s="94"/>
      <c r="M72" s="94"/>
      <c r="N72" s="94">
        <f t="shared" ref="N72:N73" si="33">G72+J72</f>
        <v>0</v>
      </c>
      <c r="O72" s="50" t="s">
        <v>432</v>
      </c>
      <c r="P72" s="24"/>
    </row>
    <row r="73" spans="1:18" s="18" customFormat="1" ht="183.75" hidden="1" thickTop="1" thickBot="1" x14ac:dyDescent="0.25">
      <c r="A73" s="58"/>
      <c r="B73" s="90" t="s">
        <v>576</v>
      </c>
      <c r="C73" s="90" t="s">
        <v>176</v>
      </c>
      <c r="D73" s="103" t="s">
        <v>577</v>
      </c>
      <c r="E73" s="91"/>
      <c r="F73" s="91"/>
      <c r="G73" s="91"/>
      <c r="H73" s="89"/>
      <c r="I73" s="91">
        <v>0</v>
      </c>
      <c r="J73" s="91">
        <v>0</v>
      </c>
      <c r="K73" s="89">
        <v>0</v>
      </c>
      <c r="L73" s="91"/>
      <c r="M73" s="92"/>
      <c r="N73" s="91">
        <f t="shared" si="33"/>
        <v>0</v>
      </c>
      <c r="O73" s="50" t="s">
        <v>432</v>
      </c>
      <c r="P73" s="24"/>
    </row>
    <row r="74" spans="1:18" ht="99" customHeight="1" thickTop="1" thickBot="1" x14ac:dyDescent="0.25">
      <c r="A74" s="57" t="s">
        <v>189</v>
      </c>
      <c r="B74" s="77" t="s">
        <v>138</v>
      </c>
      <c r="C74" s="77"/>
      <c r="D74" s="78" t="s">
        <v>139</v>
      </c>
      <c r="E74" s="79">
        <f>SUM(E75:E130)-E75-E84-E99-E102-E128-E96-E87-E91-E104-E118</f>
        <v>315781286.50999999</v>
      </c>
      <c r="F74" s="79">
        <f>SUM(F75:F130)-F75-F84-F99-F102-F128-F96-F87-F91-F104-F118</f>
        <v>341104471.05999994</v>
      </c>
      <c r="G74" s="79">
        <f>SUM(G75:G130)-G75-G84-G99-G102-G128-G96-G87-G91-G104-G118</f>
        <v>333221927.21000022</v>
      </c>
      <c r="H74" s="80">
        <f>G74/F74</f>
        <v>0.97689111542424434</v>
      </c>
      <c r="I74" s="79">
        <f>SUM(I75:I130)-I75-I84-I99-I102-I128-I96-I87-I91-I104-I118</f>
        <v>398315719.99999988</v>
      </c>
      <c r="J74" s="79">
        <f>SUM(J75:J130)-J75-J84-J99-J102-J128-J96-J87-J91-J104-J118</f>
        <v>390377196.68000019</v>
      </c>
      <c r="K74" s="80">
        <f>J74/I74</f>
        <v>0.98006977148680019</v>
      </c>
      <c r="L74" s="79"/>
      <c r="M74" s="79"/>
      <c r="N74" s="81">
        <f>J74+G74</f>
        <v>723599123.89000034</v>
      </c>
      <c r="O74" s="53" t="b">
        <f>N74=N76+N77+N78+N79+N80+N81+N82+N83+N85+N86+N88+N92+N93+N95+N97+N98+N100+N103+N127+N129+N130+N94+N105+N108+N112+N90+N119+N122+N125+N101</f>
        <v>1</v>
      </c>
      <c r="P74" s="26"/>
      <c r="R74" s="25"/>
    </row>
    <row r="75" spans="1:18" ht="276" customHeight="1" thickTop="1" thickBot="1" x14ac:dyDescent="0.25">
      <c r="A75" s="59" t="s">
        <v>190</v>
      </c>
      <c r="B75" s="76" t="s">
        <v>191</v>
      </c>
      <c r="C75" s="76"/>
      <c r="D75" s="76" t="s">
        <v>192</v>
      </c>
      <c r="E75" s="125">
        <f t="shared" ref="E75:J75" si="34">SUM(E76:E80)</f>
        <v>79408000</v>
      </c>
      <c r="F75" s="125">
        <f t="shared" si="34"/>
        <v>82408000</v>
      </c>
      <c r="G75" s="125">
        <f t="shared" si="34"/>
        <v>80204953.900000006</v>
      </c>
      <c r="H75" s="116">
        <f>G75/F75</f>
        <v>0.97326659911659075</v>
      </c>
      <c r="I75" s="125">
        <f t="shared" si="34"/>
        <v>50000</v>
      </c>
      <c r="J75" s="125">
        <f t="shared" si="34"/>
        <v>0</v>
      </c>
      <c r="K75" s="116">
        <f t="shared" ref="K75:K76" si="35">J75/I75</f>
        <v>0</v>
      </c>
      <c r="L75" s="125"/>
      <c r="M75" s="125"/>
      <c r="N75" s="125">
        <f t="shared" si="26"/>
        <v>80204953.900000006</v>
      </c>
      <c r="O75" s="27"/>
      <c r="P75" s="28"/>
      <c r="R75" s="29"/>
    </row>
    <row r="76" spans="1:18" s="18" customFormat="1" ht="93" thickTop="1" thickBot="1" x14ac:dyDescent="0.25">
      <c r="A76" s="58" t="s">
        <v>193</v>
      </c>
      <c r="B76" s="75" t="s">
        <v>194</v>
      </c>
      <c r="C76" s="75" t="s">
        <v>83</v>
      </c>
      <c r="D76" s="131" t="s">
        <v>195</v>
      </c>
      <c r="E76" s="115">
        <v>858000</v>
      </c>
      <c r="F76" s="115">
        <v>858000</v>
      </c>
      <c r="G76" s="115">
        <v>837048.9</v>
      </c>
      <c r="H76" s="114">
        <f>G76/F76</f>
        <v>0.97558146853146854</v>
      </c>
      <c r="I76" s="115">
        <v>50000</v>
      </c>
      <c r="J76" s="115">
        <v>0</v>
      </c>
      <c r="K76" s="114">
        <f t="shared" si="35"/>
        <v>0</v>
      </c>
      <c r="L76" s="115"/>
      <c r="M76" s="119"/>
      <c r="N76" s="115">
        <f t="shared" si="26"/>
        <v>837048.9</v>
      </c>
      <c r="O76" s="20"/>
      <c r="P76" s="26"/>
    </row>
    <row r="77" spans="1:18" s="18" customFormat="1" ht="93" thickTop="1" thickBot="1" x14ac:dyDescent="0.25">
      <c r="A77" s="58" t="s">
        <v>196</v>
      </c>
      <c r="B77" s="75" t="s">
        <v>197</v>
      </c>
      <c r="C77" s="75" t="s">
        <v>93</v>
      </c>
      <c r="D77" s="75" t="s">
        <v>198</v>
      </c>
      <c r="E77" s="115">
        <v>650000</v>
      </c>
      <c r="F77" s="115">
        <v>650000</v>
      </c>
      <c r="G77" s="115">
        <v>545709</v>
      </c>
      <c r="H77" s="114">
        <f t="shared" ref="H77:H130" si="36">G77/F77</f>
        <v>0.83955230769230771</v>
      </c>
      <c r="I77" s="115"/>
      <c r="J77" s="115"/>
      <c r="K77" s="115"/>
      <c r="L77" s="115"/>
      <c r="M77" s="119"/>
      <c r="N77" s="115">
        <f t="shared" si="26"/>
        <v>545709</v>
      </c>
      <c r="O77" s="20"/>
      <c r="P77" s="30"/>
    </row>
    <row r="78" spans="1:18" s="18" customFormat="1" ht="93" thickTop="1" thickBot="1" x14ac:dyDescent="0.25">
      <c r="A78" s="58" t="s">
        <v>199</v>
      </c>
      <c r="B78" s="75" t="s">
        <v>200</v>
      </c>
      <c r="C78" s="75" t="s">
        <v>93</v>
      </c>
      <c r="D78" s="75" t="s">
        <v>201</v>
      </c>
      <c r="E78" s="115">
        <v>22200000</v>
      </c>
      <c r="F78" s="115">
        <v>30200000</v>
      </c>
      <c r="G78" s="115">
        <v>30200000</v>
      </c>
      <c r="H78" s="114">
        <f t="shared" si="36"/>
        <v>1</v>
      </c>
      <c r="I78" s="115"/>
      <c r="J78" s="115"/>
      <c r="K78" s="115"/>
      <c r="L78" s="115"/>
      <c r="M78" s="119"/>
      <c r="N78" s="115">
        <f t="shared" si="26"/>
        <v>30200000</v>
      </c>
      <c r="O78" s="20"/>
      <c r="P78" s="30"/>
    </row>
    <row r="79" spans="1:18" s="18" customFormat="1" ht="93" thickTop="1" thickBot="1" x14ac:dyDescent="0.25">
      <c r="A79" s="58" t="s">
        <v>202</v>
      </c>
      <c r="B79" s="75" t="s">
        <v>203</v>
      </c>
      <c r="C79" s="75" t="s">
        <v>93</v>
      </c>
      <c r="D79" s="75" t="s">
        <v>204</v>
      </c>
      <c r="E79" s="115">
        <v>700000</v>
      </c>
      <c r="F79" s="115">
        <v>700000</v>
      </c>
      <c r="G79" s="115">
        <v>700000</v>
      </c>
      <c r="H79" s="114">
        <f>G79/F79</f>
        <v>1</v>
      </c>
      <c r="I79" s="115"/>
      <c r="J79" s="115"/>
      <c r="K79" s="115"/>
      <c r="L79" s="115"/>
      <c r="M79" s="119"/>
      <c r="N79" s="115">
        <f t="shared" si="26"/>
        <v>700000</v>
      </c>
      <c r="O79" s="50"/>
      <c r="P79" s="30"/>
    </row>
    <row r="80" spans="1:18" s="18" customFormat="1" ht="93" thickTop="1" thickBot="1" x14ac:dyDescent="0.25">
      <c r="A80" s="58" t="s">
        <v>205</v>
      </c>
      <c r="B80" s="75" t="s">
        <v>206</v>
      </c>
      <c r="C80" s="75" t="s">
        <v>93</v>
      </c>
      <c r="D80" s="75" t="s">
        <v>207</v>
      </c>
      <c r="E80" s="115">
        <v>55000000</v>
      </c>
      <c r="F80" s="115">
        <v>50000000</v>
      </c>
      <c r="G80" s="115">
        <v>47922196</v>
      </c>
      <c r="H80" s="114">
        <f t="shared" si="36"/>
        <v>0.95844392</v>
      </c>
      <c r="I80" s="115"/>
      <c r="J80" s="115"/>
      <c r="K80" s="115"/>
      <c r="L80" s="115"/>
      <c r="M80" s="119"/>
      <c r="N80" s="115">
        <f t="shared" si="26"/>
        <v>47922196</v>
      </c>
      <c r="O80" s="20"/>
      <c r="P80" s="30"/>
    </row>
    <row r="81" spans="1:16" s="18" customFormat="1" ht="93" thickTop="1" thickBot="1" x14ac:dyDescent="0.25">
      <c r="A81" s="58" t="s">
        <v>208</v>
      </c>
      <c r="B81" s="75" t="s">
        <v>209</v>
      </c>
      <c r="C81" s="75" t="s">
        <v>93</v>
      </c>
      <c r="D81" s="75" t="s">
        <v>210</v>
      </c>
      <c r="E81" s="115">
        <v>362971</v>
      </c>
      <c r="F81" s="115">
        <v>362971</v>
      </c>
      <c r="G81" s="115">
        <v>347104</v>
      </c>
      <c r="H81" s="114">
        <f t="shared" si="36"/>
        <v>0.95628576387645292</v>
      </c>
      <c r="I81" s="115"/>
      <c r="J81" s="115"/>
      <c r="K81" s="115"/>
      <c r="L81" s="115"/>
      <c r="M81" s="119"/>
      <c r="N81" s="115">
        <f t="shared" si="26"/>
        <v>347104</v>
      </c>
      <c r="O81" s="20"/>
      <c r="P81" s="30"/>
    </row>
    <row r="82" spans="1:16" s="18" customFormat="1" ht="165" customHeight="1" thickTop="1" thickBot="1" x14ac:dyDescent="0.25">
      <c r="A82" s="58"/>
      <c r="B82" s="75" t="s">
        <v>211</v>
      </c>
      <c r="C82" s="75" t="s">
        <v>93</v>
      </c>
      <c r="D82" s="75" t="s">
        <v>212</v>
      </c>
      <c r="E82" s="115">
        <v>1893100</v>
      </c>
      <c r="F82" s="115">
        <v>1893100</v>
      </c>
      <c r="G82" s="115">
        <v>1893033.96</v>
      </c>
      <c r="H82" s="114">
        <f t="shared" si="36"/>
        <v>0.99996511541915378</v>
      </c>
      <c r="I82" s="115"/>
      <c r="J82" s="115"/>
      <c r="K82" s="115"/>
      <c r="L82" s="115"/>
      <c r="M82" s="119"/>
      <c r="N82" s="115">
        <f>G82+J82</f>
        <v>1893033.96</v>
      </c>
      <c r="O82" s="50"/>
      <c r="P82" s="30"/>
    </row>
    <row r="83" spans="1:16" ht="93" thickTop="1" thickBot="1" x14ac:dyDescent="0.25">
      <c r="A83" s="58" t="s">
        <v>213</v>
      </c>
      <c r="B83" s="75" t="s">
        <v>214</v>
      </c>
      <c r="C83" s="75" t="s">
        <v>83</v>
      </c>
      <c r="D83" s="75" t="s">
        <v>215</v>
      </c>
      <c r="E83" s="115">
        <v>470456</v>
      </c>
      <c r="F83" s="115">
        <v>470456</v>
      </c>
      <c r="G83" s="115">
        <v>255248</v>
      </c>
      <c r="H83" s="114">
        <f t="shared" si="36"/>
        <v>0.54255445780264255</v>
      </c>
      <c r="I83" s="115"/>
      <c r="J83" s="115"/>
      <c r="K83" s="115"/>
      <c r="L83" s="115"/>
      <c r="M83" s="119"/>
      <c r="N83" s="115">
        <f t="shared" si="26"/>
        <v>255248</v>
      </c>
      <c r="P83" s="30"/>
    </row>
    <row r="84" spans="1:16" s="18" customFormat="1" ht="138.75" thickTop="1" thickBot="1" x14ac:dyDescent="0.25">
      <c r="A84" s="76" t="s">
        <v>216</v>
      </c>
      <c r="B84" s="76" t="s">
        <v>217</v>
      </c>
      <c r="C84" s="76"/>
      <c r="D84" s="76" t="s">
        <v>218</v>
      </c>
      <c r="E84" s="125">
        <f t="shared" ref="E84:J84" si="37">SUM(E85:E86)</f>
        <v>65451264.299999997</v>
      </c>
      <c r="F84" s="125">
        <f t="shared" si="37"/>
        <v>64697640.920000002</v>
      </c>
      <c r="G84" s="125">
        <f t="shared" si="37"/>
        <v>63582798.68</v>
      </c>
      <c r="H84" s="116">
        <f t="shared" si="36"/>
        <v>0.98276842518294405</v>
      </c>
      <c r="I84" s="125">
        <f t="shared" si="37"/>
        <v>4706945.55</v>
      </c>
      <c r="J84" s="125">
        <f t="shared" si="37"/>
        <v>4690903.7700000005</v>
      </c>
      <c r="K84" s="116">
        <f t="shared" ref="K84:K90" si="38">J84/I84</f>
        <v>0.99659189174176888</v>
      </c>
      <c r="L84" s="125"/>
      <c r="M84" s="125"/>
      <c r="N84" s="125">
        <f t="shared" si="26"/>
        <v>68273702.450000003</v>
      </c>
      <c r="O84" s="20"/>
      <c r="P84" s="31"/>
    </row>
    <row r="85" spans="1:16" ht="138.75" thickTop="1" thickBot="1" x14ac:dyDescent="0.25">
      <c r="A85" s="75" t="s">
        <v>219</v>
      </c>
      <c r="B85" s="75" t="s">
        <v>220</v>
      </c>
      <c r="C85" s="75" t="s">
        <v>72</v>
      </c>
      <c r="D85" s="75" t="s">
        <v>221</v>
      </c>
      <c r="E85" s="115">
        <v>53886662.299999997</v>
      </c>
      <c r="F85" s="115">
        <v>53172038.920000002</v>
      </c>
      <c r="G85" s="115">
        <v>52545349.990000002</v>
      </c>
      <c r="H85" s="114">
        <f t="shared" si="36"/>
        <v>0.98821393832681714</v>
      </c>
      <c r="I85" s="115">
        <v>3642591.5</v>
      </c>
      <c r="J85" s="115">
        <v>3631994.45</v>
      </c>
      <c r="K85" s="114">
        <f t="shared" si="38"/>
        <v>0.99709079373846898</v>
      </c>
      <c r="L85" s="115"/>
      <c r="M85" s="119"/>
      <c r="N85" s="115">
        <f t="shared" si="26"/>
        <v>56177344.440000005</v>
      </c>
      <c r="P85" s="26"/>
    </row>
    <row r="86" spans="1:16" ht="93" thickTop="1" thickBot="1" x14ac:dyDescent="0.25">
      <c r="A86" s="58" t="s">
        <v>222</v>
      </c>
      <c r="B86" s="75" t="s">
        <v>223</v>
      </c>
      <c r="C86" s="75" t="s">
        <v>68</v>
      </c>
      <c r="D86" s="75" t="s">
        <v>224</v>
      </c>
      <c r="E86" s="115">
        <v>11564602</v>
      </c>
      <c r="F86" s="115">
        <v>11525602</v>
      </c>
      <c r="G86" s="115">
        <v>11037448.689999999</v>
      </c>
      <c r="H86" s="114">
        <f t="shared" si="36"/>
        <v>0.95764617674634256</v>
      </c>
      <c r="I86" s="115">
        <v>1064354.05</v>
      </c>
      <c r="J86" s="115">
        <v>1058909.32</v>
      </c>
      <c r="K86" s="114">
        <f t="shared" si="38"/>
        <v>0.99488447476664366</v>
      </c>
      <c r="L86" s="115"/>
      <c r="M86" s="119"/>
      <c r="N86" s="115">
        <f t="shared" si="26"/>
        <v>12096358.01</v>
      </c>
      <c r="P86" s="26"/>
    </row>
    <row r="87" spans="1:16" ht="62.25" thickTop="1" thickBot="1" x14ac:dyDescent="0.25">
      <c r="A87" s="58"/>
      <c r="B87" s="76" t="s">
        <v>297</v>
      </c>
      <c r="C87" s="76"/>
      <c r="D87" s="76" t="s">
        <v>298</v>
      </c>
      <c r="E87" s="132">
        <f>E88+E89+E90</f>
        <v>11886020.51</v>
      </c>
      <c r="F87" s="132">
        <f>F88+F89+F90</f>
        <v>12149127.51</v>
      </c>
      <c r="G87" s="132">
        <f>G88+G89+G90</f>
        <v>12033462.989999998</v>
      </c>
      <c r="H87" s="116">
        <f t="shared" si="36"/>
        <v>0.99047960276120262</v>
      </c>
      <c r="I87" s="132">
        <f>I88+I89+I90</f>
        <v>1413990.8199999998</v>
      </c>
      <c r="J87" s="132">
        <f>J88+J89+J90</f>
        <v>1251993.96</v>
      </c>
      <c r="K87" s="116">
        <f t="shared" si="38"/>
        <v>0.88543287713848107</v>
      </c>
      <c r="L87" s="132"/>
      <c r="M87" s="132"/>
      <c r="N87" s="125">
        <f>G87+J87</f>
        <v>13285456.949999999</v>
      </c>
      <c r="O87" s="50"/>
      <c r="P87" s="26"/>
    </row>
    <row r="88" spans="1:16" ht="48" thickTop="1" thickBot="1" x14ac:dyDescent="0.25">
      <c r="A88" s="58"/>
      <c r="B88" s="75" t="s">
        <v>299</v>
      </c>
      <c r="C88" s="75" t="s">
        <v>140</v>
      </c>
      <c r="D88" s="75" t="s">
        <v>300</v>
      </c>
      <c r="E88" s="117">
        <v>11664020.51</v>
      </c>
      <c r="F88" s="117">
        <v>10766741.51</v>
      </c>
      <c r="G88" s="117">
        <v>10691551.609999999</v>
      </c>
      <c r="H88" s="114">
        <f t="shared" si="36"/>
        <v>0.99301646650194353</v>
      </c>
      <c r="I88" s="117">
        <v>539870.81999999995</v>
      </c>
      <c r="J88" s="157">
        <v>525946.36</v>
      </c>
      <c r="K88" s="114">
        <f t="shared" si="38"/>
        <v>0.97420779289386306</v>
      </c>
      <c r="L88" s="157"/>
      <c r="M88" s="119"/>
      <c r="N88" s="115">
        <f t="shared" si="26"/>
        <v>11217497.969999999</v>
      </c>
      <c r="P88" s="26"/>
    </row>
    <row r="89" spans="1:16" ht="276" hidden="1" customHeight="1" thickTop="1" thickBot="1" x14ac:dyDescent="0.25">
      <c r="A89" s="58"/>
      <c r="B89" s="96" t="s">
        <v>462</v>
      </c>
      <c r="C89" s="96" t="s">
        <v>140</v>
      </c>
      <c r="D89" s="96" t="s">
        <v>463</v>
      </c>
      <c r="E89" s="106"/>
      <c r="F89" s="106"/>
      <c r="G89" s="106"/>
      <c r="H89" s="89" t="e">
        <f t="shared" si="36"/>
        <v>#DIV/0!</v>
      </c>
      <c r="I89" s="158"/>
      <c r="J89" s="159"/>
      <c r="K89" s="152" t="e">
        <f t="shared" si="38"/>
        <v>#DIV/0!</v>
      </c>
      <c r="L89" s="159"/>
      <c r="M89" s="154"/>
      <c r="N89" s="151">
        <f t="shared" si="26"/>
        <v>0</v>
      </c>
      <c r="P89" s="26"/>
    </row>
    <row r="90" spans="1:16" ht="174" customHeight="1" thickTop="1" thickBot="1" x14ac:dyDescent="0.25">
      <c r="A90" s="58"/>
      <c r="B90" s="75" t="s">
        <v>462</v>
      </c>
      <c r="C90" s="75"/>
      <c r="D90" s="75" t="s">
        <v>463</v>
      </c>
      <c r="E90" s="117">
        <v>222000</v>
      </c>
      <c r="F90" s="117">
        <v>1382386</v>
      </c>
      <c r="G90" s="117">
        <v>1341911.3799999999</v>
      </c>
      <c r="H90" s="114">
        <f t="shared" si="36"/>
        <v>0.97072118785925199</v>
      </c>
      <c r="I90" s="117">
        <v>874120</v>
      </c>
      <c r="J90" s="157">
        <v>726047.6</v>
      </c>
      <c r="K90" s="114">
        <f t="shared" si="38"/>
        <v>0.83060403605912225</v>
      </c>
      <c r="L90" s="157"/>
      <c r="M90" s="119"/>
      <c r="N90" s="115">
        <f t="shared" si="26"/>
        <v>2067958.98</v>
      </c>
      <c r="P90" s="26"/>
    </row>
    <row r="91" spans="1:16" ht="48" thickTop="1" thickBot="1" x14ac:dyDescent="0.25">
      <c r="A91" s="75"/>
      <c r="B91" s="76" t="s">
        <v>301</v>
      </c>
      <c r="C91" s="76"/>
      <c r="D91" s="76" t="s">
        <v>302</v>
      </c>
      <c r="E91" s="133">
        <f t="shared" ref="E91" si="39">SUM(E92:E93)</f>
        <v>13334719</v>
      </c>
      <c r="F91" s="133">
        <f t="shared" ref="F91:G91" si="40">SUM(F92:F93)</f>
        <v>13607328</v>
      </c>
      <c r="G91" s="133">
        <f t="shared" si="40"/>
        <v>13265289.539999999</v>
      </c>
      <c r="H91" s="116">
        <f t="shared" si="36"/>
        <v>0.97486365728819058</v>
      </c>
      <c r="I91" s="133">
        <f t="shared" ref="I91:J91" si="41">SUM(I92:I93)</f>
        <v>1339125.01</v>
      </c>
      <c r="J91" s="133">
        <f t="shared" si="41"/>
        <v>1168209.6399999999</v>
      </c>
      <c r="K91" s="116">
        <f t="shared" ref="K91:K93" si="42">J91/I91</f>
        <v>0.87236787549804617</v>
      </c>
      <c r="L91" s="133"/>
      <c r="M91" s="133"/>
      <c r="N91" s="125">
        <f t="shared" si="26"/>
        <v>14433499.18</v>
      </c>
      <c r="P91" s="26"/>
    </row>
    <row r="92" spans="1:16" ht="48" thickTop="1" thickBot="1" x14ac:dyDescent="0.25">
      <c r="A92" s="75"/>
      <c r="B92" s="75" t="s">
        <v>303</v>
      </c>
      <c r="C92" s="75" t="s">
        <v>140</v>
      </c>
      <c r="D92" s="75" t="s">
        <v>304</v>
      </c>
      <c r="E92" s="117">
        <v>5976842</v>
      </c>
      <c r="F92" s="117">
        <v>5976842</v>
      </c>
      <c r="G92" s="117">
        <v>5719850.04</v>
      </c>
      <c r="H92" s="114">
        <f t="shared" si="36"/>
        <v>0.95700204890810237</v>
      </c>
      <c r="I92" s="117">
        <v>1264556.1200000001</v>
      </c>
      <c r="J92" s="157">
        <v>1098129.6399999999</v>
      </c>
      <c r="K92" s="114">
        <f t="shared" si="42"/>
        <v>0.86839138463858745</v>
      </c>
      <c r="L92" s="157"/>
      <c r="M92" s="119"/>
      <c r="N92" s="115">
        <f t="shared" si="26"/>
        <v>6817979.6799999997</v>
      </c>
      <c r="P92" s="26"/>
    </row>
    <row r="93" spans="1:16" ht="48" thickTop="1" thickBot="1" x14ac:dyDescent="0.25">
      <c r="A93" s="75"/>
      <c r="B93" s="75" t="s">
        <v>305</v>
      </c>
      <c r="C93" s="75" t="s">
        <v>140</v>
      </c>
      <c r="D93" s="75" t="s">
        <v>306</v>
      </c>
      <c r="E93" s="117">
        <v>7357877</v>
      </c>
      <c r="F93" s="117">
        <v>7630486</v>
      </c>
      <c r="G93" s="117">
        <v>7545439.5</v>
      </c>
      <c r="H93" s="114">
        <f t="shared" si="36"/>
        <v>0.98885437965550294</v>
      </c>
      <c r="I93" s="117">
        <v>74568.89</v>
      </c>
      <c r="J93" s="157">
        <v>70080</v>
      </c>
      <c r="K93" s="114">
        <f t="shared" si="42"/>
        <v>0.93980210782271267</v>
      </c>
      <c r="L93" s="157"/>
      <c r="M93" s="119"/>
      <c r="N93" s="115">
        <f t="shared" si="26"/>
        <v>7615519.5</v>
      </c>
      <c r="P93" s="26"/>
    </row>
    <row r="94" spans="1:16" ht="138.75" thickTop="1" thickBot="1" x14ac:dyDescent="0.25">
      <c r="A94" s="75"/>
      <c r="B94" s="75" t="s">
        <v>539</v>
      </c>
      <c r="C94" s="75" t="s">
        <v>140</v>
      </c>
      <c r="D94" s="75" t="s">
        <v>540</v>
      </c>
      <c r="E94" s="117">
        <v>715000</v>
      </c>
      <c r="F94" s="117">
        <v>715000</v>
      </c>
      <c r="G94" s="117">
        <v>189000</v>
      </c>
      <c r="H94" s="114">
        <f t="shared" si="36"/>
        <v>0.26433566433566436</v>
      </c>
      <c r="I94" s="117"/>
      <c r="J94" s="157"/>
      <c r="K94" s="114"/>
      <c r="L94" s="157"/>
      <c r="M94" s="119"/>
      <c r="N94" s="115">
        <f t="shared" ref="N94" si="43">G94+J94</f>
        <v>189000</v>
      </c>
      <c r="O94" s="50"/>
      <c r="P94" s="26"/>
    </row>
    <row r="95" spans="1:16" ht="184.5" thickTop="1" thickBot="1" x14ac:dyDescent="0.25">
      <c r="A95" s="58" t="s">
        <v>225</v>
      </c>
      <c r="B95" s="75" t="s">
        <v>226</v>
      </c>
      <c r="C95" s="75" t="s">
        <v>68</v>
      </c>
      <c r="D95" s="75" t="s">
        <v>227</v>
      </c>
      <c r="E95" s="115">
        <v>5126500</v>
      </c>
      <c r="F95" s="115">
        <v>6626500</v>
      </c>
      <c r="G95" s="115">
        <v>6541054.5099999998</v>
      </c>
      <c r="H95" s="114">
        <f t="shared" si="36"/>
        <v>0.9871054870595336</v>
      </c>
      <c r="I95" s="143"/>
      <c r="J95" s="115"/>
      <c r="K95" s="115"/>
      <c r="L95" s="115"/>
      <c r="M95" s="119"/>
      <c r="N95" s="115">
        <f t="shared" si="26"/>
        <v>6541054.5099999998</v>
      </c>
      <c r="P95" s="30"/>
    </row>
    <row r="96" spans="1:16" ht="93" thickTop="1" thickBot="1" x14ac:dyDescent="0.25">
      <c r="A96" s="76" t="s">
        <v>228</v>
      </c>
      <c r="B96" s="76" t="s">
        <v>229</v>
      </c>
      <c r="C96" s="76"/>
      <c r="D96" s="76" t="s">
        <v>230</v>
      </c>
      <c r="E96" s="125">
        <f>E97</f>
        <v>184607</v>
      </c>
      <c r="F96" s="125">
        <f>F97</f>
        <v>184607</v>
      </c>
      <c r="G96" s="125">
        <f>G97</f>
        <v>156948.6</v>
      </c>
      <c r="H96" s="116">
        <f t="shared" si="36"/>
        <v>0.85017686219915822</v>
      </c>
      <c r="I96" s="125"/>
      <c r="J96" s="125"/>
      <c r="K96" s="116"/>
      <c r="L96" s="125"/>
      <c r="M96" s="125"/>
      <c r="N96" s="125">
        <f t="shared" si="26"/>
        <v>156948.6</v>
      </c>
      <c r="O96" s="50"/>
      <c r="P96" s="30"/>
    </row>
    <row r="97" spans="1:16" ht="93" thickTop="1" thickBot="1" x14ac:dyDescent="0.25">
      <c r="A97" s="75" t="s">
        <v>231</v>
      </c>
      <c r="B97" s="75" t="s">
        <v>232</v>
      </c>
      <c r="C97" s="75" t="s">
        <v>68</v>
      </c>
      <c r="D97" s="75" t="s">
        <v>233</v>
      </c>
      <c r="E97" s="115">
        <v>184607</v>
      </c>
      <c r="F97" s="115">
        <v>184607</v>
      </c>
      <c r="G97" s="115">
        <v>156948.6</v>
      </c>
      <c r="H97" s="114">
        <f t="shared" si="36"/>
        <v>0.85017686219915822</v>
      </c>
      <c r="I97" s="143"/>
      <c r="J97" s="115"/>
      <c r="K97" s="115"/>
      <c r="L97" s="115"/>
      <c r="M97" s="119"/>
      <c r="N97" s="115">
        <f t="shared" si="26"/>
        <v>156948.6</v>
      </c>
      <c r="P97" s="30"/>
    </row>
    <row r="98" spans="1:16" ht="138.75" thickTop="1" thickBot="1" x14ac:dyDescent="0.25">
      <c r="A98" s="58" t="s">
        <v>234</v>
      </c>
      <c r="B98" s="75" t="s">
        <v>235</v>
      </c>
      <c r="C98" s="75" t="s">
        <v>88</v>
      </c>
      <c r="D98" s="75" t="s">
        <v>236</v>
      </c>
      <c r="E98" s="115">
        <v>2687933.28</v>
      </c>
      <c r="F98" s="115">
        <v>2687933.28</v>
      </c>
      <c r="G98" s="115">
        <v>2682275.23</v>
      </c>
      <c r="H98" s="114">
        <f t="shared" si="36"/>
        <v>0.99789501843587436</v>
      </c>
      <c r="I98" s="143"/>
      <c r="J98" s="115"/>
      <c r="K98" s="115"/>
      <c r="L98" s="115"/>
      <c r="M98" s="119"/>
      <c r="N98" s="115">
        <f t="shared" si="26"/>
        <v>2682275.23</v>
      </c>
      <c r="P98" s="30"/>
    </row>
    <row r="99" spans="1:16" s="18" customFormat="1" ht="93" thickTop="1" thickBot="1" x14ac:dyDescent="0.25">
      <c r="A99" s="76" t="s">
        <v>237</v>
      </c>
      <c r="B99" s="76" t="s">
        <v>238</v>
      </c>
      <c r="C99" s="76"/>
      <c r="D99" s="76" t="s">
        <v>239</v>
      </c>
      <c r="E99" s="125">
        <f t="shared" ref="E99" si="44">E100</f>
        <v>1000000</v>
      </c>
      <c r="F99" s="125">
        <f>SUM(F100:F101)</f>
        <v>1206191</v>
      </c>
      <c r="G99" s="125">
        <f>SUM(G100:G101)</f>
        <v>1036780.6499999999</v>
      </c>
      <c r="H99" s="116">
        <f t="shared" si="36"/>
        <v>0.85954931681632507</v>
      </c>
      <c r="I99" s="125"/>
      <c r="J99" s="125"/>
      <c r="K99" s="116"/>
      <c r="L99" s="125"/>
      <c r="M99" s="125"/>
      <c r="N99" s="125">
        <f>G99+J99</f>
        <v>1036780.6499999999</v>
      </c>
      <c r="O99" s="50"/>
      <c r="P99" s="31"/>
    </row>
    <row r="100" spans="1:16" ht="93" thickTop="1" thickBot="1" x14ac:dyDescent="0.25">
      <c r="A100" s="75" t="s">
        <v>240</v>
      </c>
      <c r="B100" s="75" t="s">
        <v>241</v>
      </c>
      <c r="C100" s="75" t="s">
        <v>83</v>
      </c>
      <c r="D100" s="75" t="s">
        <v>242</v>
      </c>
      <c r="E100" s="115">
        <v>1000000</v>
      </c>
      <c r="F100" s="115">
        <v>1100000</v>
      </c>
      <c r="G100" s="115">
        <v>993724.83</v>
      </c>
      <c r="H100" s="114">
        <f t="shared" si="36"/>
        <v>0.90338620909090905</v>
      </c>
      <c r="I100" s="115"/>
      <c r="J100" s="115"/>
      <c r="K100" s="115"/>
      <c r="L100" s="115"/>
      <c r="M100" s="119"/>
      <c r="N100" s="115">
        <f t="shared" si="26"/>
        <v>993724.83</v>
      </c>
      <c r="P100" s="30"/>
    </row>
    <row r="101" spans="1:16" ht="184.5" thickTop="1" thickBot="1" x14ac:dyDescent="0.25">
      <c r="A101" s="75"/>
      <c r="B101" s="75" t="s">
        <v>594</v>
      </c>
      <c r="C101" s="75" t="s">
        <v>83</v>
      </c>
      <c r="D101" s="75" t="s">
        <v>595</v>
      </c>
      <c r="E101" s="91"/>
      <c r="F101" s="115">
        <v>106191</v>
      </c>
      <c r="G101" s="115">
        <v>43055.82</v>
      </c>
      <c r="H101" s="114">
        <f t="shared" si="36"/>
        <v>0.40545639460971267</v>
      </c>
      <c r="I101" s="115"/>
      <c r="J101" s="115"/>
      <c r="K101" s="115"/>
      <c r="L101" s="115"/>
      <c r="M101" s="119"/>
      <c r="N101" s="115">
        <f t="shared" si="26"/>
        <v>43055.82</v>
      </c>
      <c r="P101" s="30"/>
    </row>
    <row r="102" spans="1:16" s="18" customFormat="1" ht="93" thickTop="1" thickBot="1" x14ac:dyDescent="0.25">
      <c r="A102" s="76" t="s">
        <v>243</v>
      </c>
      <c r="B102" s="76" t="s">
        <v>244</v>
      </c>
      <c r="C102" s="76"/>
      <c r="D102" s="76" t="s">
        <v>245</v>
      </c>
      <c r="E102" s="125">
        <f t="shared" ref="E102:J102" si="45">E103</f>
        <v>117000</v>
      </c>
      <c r="F102" s="125">
        <f t="shared" si="45"/>
        <v>117000</v>
      </c>
      <c r="G102" s="125">
        <f t="shared" si="45"/>
        <v>55161.2</v>
      </c>
      <c r="H102" s="116">
        <f t="shared" si="36"/>
        <v>0.47146324786324784</v>
      </c>
      <c r="I102" s="125">
        <f t="shared" si="45"/>
        <v>96680.960000000006</v>
      </c>
      <c r="J102" s="125">
        <f t="shared" si="45"/>
        <v>96680.960000000006</v>
      </c>
      <c r="K102" s="116">
        <f t="shared" ref="K102" si="46">J102/I102</f>
        <v>1</v>
      </c>
      <c r="L102" s="125"/>
      <c r="M102" s="125"/>
      <c r="N102" s="125">
        <f>G102+J102</f>
        <v>151842.16</v>
      </c>
      <c r="O102" s="50"/>
      <c r="P102" s="31"/>
    </row>
    <row r="103" spans="1:16" ht="93" thickTop="1" thickBot="1" x14ac:dyDescent="0.25">
      <c r="A103" s="75" t="s">
        <v>246</v>
      </c>
      <c r="B103" s="75" t="s">
        <v>247</v>
      </c>
      <c r="C103" s="75" t="s">
        <v>248</v>
      </c>
      <c r="D103" s="75" t="s">
        <v>249</v>
      </c>
      <c r="E103" s="115">
        <v>117000</v>
      </c>
      <c r="F103" s="115">
        <v>117000</v>
      </c>
      <c r="G103" s="115">
        <v>55161.2</v>
      </c>
      <c r="H103" s="114">
        <f t="shared" si="36"/>
        <v>0.47146324786324784</v>
      </c>
      <c r="I103" s="115">
        <v>96680.960000000006</v>
      </c>
      <c r="J103" s="115">
        <v>96680.960000000006</v>
      </c>
      <c r="K103" s="114">
        <f t="shared" ref="K103" si="47">J103/I103</f>
        <v>1</v>
      </c>
      <c r="L103" s="115"/>
      <c r="M103" s="119"/>
      <c r="N103" s="115">
        <f>G103+J103</f>
        <v>151842.16</v>
      </c>
      <c r="P103" s="30"/>
    </row>
    <row r="104" spans="1:16" ht="183.75" hidden="1" thickTop="1" thickBot="1" x14ac:dyDescent="0.25">
      <c r="A104" s="75"/>
      <c r="B104" s="93" t="s">
        <v>475</v>
      </c>
      <c r="C104" s="93"/>
      <c r="D104" s="93" t="s">
        <v>476</v>
      </c>
      <c r="E104" s="94">
        <f>E105+E108+E112+E115</f>
        <v>0</v>
      </c>
      <c r="F104" s="94">
        <f>F105+F108+F112+F115</f>
        <v>0</v>
      </c>
      <c r="G104" s="94">
        <f t="shared" ref="G104" si="48">G105+G108+G112+G115</f>
        <v>0</v>
      </c>
      <c r="H104" s="89">
        <v>0</v>
      </c>
      <c r="I104" s="94">
        <f>I105+I108+I112+I115</f>
        <v>0</v>
      </c>
      <c r="J104" s="94">
        <f>J105+J108+J112+J115</f>
        <v>0</v>
      </c>
      <c r="K104" s="95" t="e">
        <f>J104/I104</f>
        <v>#DIV/0!</v>
      </c>
      <c r="L104" s="91"/>
      <c r="M104" s="92"/>
      <c r="N104" s="94">
        <f>G104+J104</f>
        <v>0</v>
      </c>
      <c r="O104" s="50" t="s">
        <v>432</v>
      </c>
      <c r="P104" s="30"/>
    </row>
    <row r="105" spans="1:16" ht="184.5" hidden="1" thickTop="1" thickBot="1" x14ac:dyDescent="0.7">
      <c r="A105" s="75"/>
      <c r="B105" s="202" t="s">
        <v>477</v>
      </c>
      <c r="C105" s="202" t="s">
        <v>88</v>
      </c>
      <c r="D105" s="107" t="s">
        <v>478</v>
      </c>
      <c r="E105" s="205"/>
      <c r="F105" s="205"/>
      <c r="G105" s="205"/>
      <c r="H105" s="205"/>
      <c r="I105" s="205"/>
      <c r="J105" s="205"/>
      <c r="K105" s="208" t="e">
        <f>J105/I105</f>
        <v>#DIV/0!</v>
      </c>
      <c r="L105" s="91"/>
      <c r="M105" s="92"/>
      <c r="N105" s="205">
        <f>G105+J105</f>
        <v>0</v>
      </c>
      <c r="P105" s="30"/>
    </row>
    <row r="106" spans="1:16" ht="228.75" hidden="1" customHeight="1" thickTop="1" thickBot="1" x14ac:dyDescent="0.25">
      <c r="A106" s="75"/>
      <c r="B106" s="203"/>
      <c r="C106" s="203"/>
      <c r="D106" s="108" t="s">
        <v>479</v>
      </c>
      <c r="E106" s="206"/>
      <c r="F106" s="206"/>
      <c r="G106" s="206"/>
      <c r="H106" s="206"/>
      <c r="I106" s="206"/>
      <c r="J106" s="206"/>
      <c r="K106" s="209"/>
      <c r="L106" s="91"/>
      <c r="M106" s="92"/>
      <c r="N106" s="206"/>
      <c r="P106" s="30"/>
    </row>
    <row r="107" spans="1:16" ht="184.5" hidden="1" thickTop="1" thickBot="1" x14ac:dyDescent="0.25">
      <c r="A107" s="75"/>
      <c r="B107" s="204"/>
      <c r="C107" s="204"/>
      <c r="D107" s="109" t="s">
        <v>480</v>
      </c>
      <c r="E107" s="207"/>
      <c r="F107" s="207"/>
      <c r="G107" s="207"/>
      <c r="H107" s="207"/>
      <c r="I107" s="207"/>
      <c r="J107" s="207"/>
      <c r="K107" s="210"/>
      <c r="L107" s="91"/>
      <c r="M107" s="92"/>
      <c r="N107" s="207"/>
      <c r="P107" s="30"/>
    </row>
    <row r="108" spans="1:16" ht="255" hidden="1" customHeight="1" thickTop="1" thickBot="1" x14ac:dyDescent="0.7">
      <c r="A108" s="75"/>
      <c r="B108" s="202" t="s">
        <v>481</v>
      </c>
      <c r="C108" s="202" t="s">
        <v>88</v>
      </c>
      <c r="D108" s="107" t="s">
        <v>482</v>
      </c>
      <c r="E108" s="205"/>
      <c r="F108" s="205"/>
      <c r="G108" s="205"/>
      <c r="H108" s="205"/>
      <c r="I108" s="205"/>
      <c r="J108" s="205">
        <v>0</v>
      </c>
      <c r="K108" s="208" t="e">
        <f>J108/I108</f>
        <v>#DIV/0!</v>
      </c>
      <c r="L108" s="91"/>
      <c r="M108" s="92"/>
      <c r="N108" s="205">
        <f>G108+J108</f>
        <v>0</v>
      </c>
      <c r="P108" s="30"/>
    </row>
    <row r="109" spans="1:16" ht="270.75" hidden="1" customHeight="1" thickTop="1" thickBot="1" x14ac:dyDescent="0.25">
      <c r="A109" s="75"/>
      <c r="B109" s="203"/>
      <c r="C109" s="203"/>
      <c r="D109" s="108" t="s">
        <v>483</v>
      </c>
      <c r="E109" s="206"/>
      <c r="F109" s="206"/>
      <c r="G109" s="206"/>
      <c r="H109" s="206"/>
      <c r="I109" s="206"/>
      <c r="J109" s="206"/>
      <c r="K109" s="209"/>
      <c r="L109" s="91"/>
      <c r="M109" s="92"/>
      <c r="N109" s="206"/>
      <c r="P109" s="30"/>
    </row>
    <row r="110" spans="1:16" ht="184.5" hidden="1" thickTop="1" thickBot="1" x14ac:dyDescent="0.25">
      <c r="A110" s="75"/>
      <c r="B110" s="203"/>
      <c r="C110" s="203"/>
      <c r="D110" s="108" t="s">
        <v>484</v>
      </c>
      <c r="E110" s="206"/>
      <c r="F110" s="206"/>
      <c r="G110" s="206"/>
      <c r="H110" s="206"/>
      <c r="I110" s="206"/>
      <c r="J110" s="206"/>
      <c r="K110" s="209"/>
      <c r="L110" s="91"/>
      <c r="M110" s="92"/>
      <c r="N110" s="206"/>
      <c r="P110" s="30"/>
    </row>
    <row r="111" spans="1:16" ht="93" hidden="1" thickTop="1" thickBot="1" x14ac:dyDescent="0.25">
      <c r="A111" s="75"/>
      <c r="B111" s="204"/>
      <c r="C111" s="204"/>
      <c r="D111" s="109" t="s">
        <v>485</v>
      </c>
      <c r="E111" s="207"/>
      <c r="F111" s="207"/>
      <c r="G111" s="207"/>
      <c r="H111" s="207"/>
      <c r="I111" s="207"/>
      <c r="J111" s="207"/>
      <c r="K111" s="210"/>
      <c r="L111" s="91"/>
      <c r="M111" s="92"/>
      <c r="N111" s="207"/>
      <c r="P111" s="30"/>
    </row>
    <row r="112" spans="1:16" ht="184.5" hidden="1" thickTop="1" thickBot="1" x14ac:dyDescent="0.7">
      <c r="A112" s="75"/>
      <c r="B112" s="202" t="s">
        <v>486</v>
      </c>
      <c r="C112" s="202" t="s">
        <v>88</v>
      </c>
      <c r="D112" s="107" t="s">
        <v>487</v>
      </c>
      <c r="E112" s="205"/>
      <c r="F112" s="205"/>
      <c r="G112" s="205"/>
      <c r="H112" s="205"/>
      <c r="I112" s="205">
        <v>0</v>
      </c>
      <c r="J112" s="205">
        <v>0</v>
      </c>
      <c r="K112" s="208" t="e">
        <f>J112/I112</f>
        <v>#DIV/0!</v>
      </c>
      <c r="L112" s="91"/>
      <c r="M112" s="92"/>
      <c r="N112" s="205">
        <f>G112+J112</f>
        <v>0</v>
      </c>
      <c r="P112" s="30"/>
    </row>
    <row r="113" spans="1:16" ht="184.5" hidden="1" thickTop="1" thickBot="1" x14ac:dyDescent="0.25">
      <c r="A113" s="75"/>
      <c r="B113" s="203"/>
      <c r="C113" s="203"/>
      <c r="D113" s="108" t="s">
        <v>488</v>
      </c>
      <c r="E113" s="206"/>
      <c r="F113" s="206"/>
      <c r="G113" s="206"/>
      <c r="H113" s="206"/>
      <c r="I113" s="206"/>
      <c r="J113" s="206"/>
      <c r="K113" s="209"/>
      <c r="L113" s="91"/>
      <c r="M113" s="92"/>
      <c r="N113" s="206"/>
      <c r="P113" s="30"/>
    </row>
    <row r="114" spans="1:16" ht="93" hidden="1" thickTop="1" thickBot="1" x14ac:dyDescent="0.25">
      <c r="A114" s="75"/>
      <c r="B114" s="204"/>
      <c r="C114" s="204"/>
      <c r="D114" s="109" t="s">
        <v>489</v>
      </c>
      <c r="E114" s="207"/>
      <c r="F114" s="207"/>
      <c r="G114" s="207"/>
      <c r="H114" s="207"/>
      <c r="I114" s="207"/>
      <c r="J114" s="207"/>
      <c r="K114" s="210"/>
      <c r="L114" s="91"/>
      <c r="M114" s="92"/>
      <c r="N114" s="207"/>
      <c r="P114" s="30"/>
    </row>
    <row r="115" spans="1:16" ht="184.5" hidden="1" thickTop="1" thickBot="1" x14ac:dyDescent="0.7">
      <c r="A115" s="75"/>
      <c r="B115" s="202" t="s">
        <v>490</v>
      </c>
      <c r="C115" s="202" t="s">
        <v>88</v>
      </c>
      <c r="D115" s="107" t="s">
        <v>491</v>
      </c>
      <c r="E115" s="205"/>
      <c r="F115" s="205"/>
      <c r="G115" s="205"/>
      <c r="H115" s="205"/>
      <c r="I115" s="205"/>
      <c r="J115" s="205"/>
      <c r="K115" s="208" t="e">
        <f>J115/I115</f>
        <v>#DIV/0!</v>
      </c>
      <c r="L115" s="91"/>
      <c r="M115" s="92"/>
      <c r="N115" s="205">
        <f t="shared" si="26"/>
        <v>0</v>
      </c>
      <c r="P115" s="30"/>
    </row>
    <row r="116" spans="1:16" ht="184.5" hidden="1" thickTop="1" thickBot="1" x14ac:dyDescent="0.25">
      <c r="A116" s="75"/>
      <c r="B116" s="203"/>
      <c r="C116" s="203"/>
      <c r="D116" s="108" t="s">
        <v>492</v>
      </c>
      <c r="E116" s="206"/>
      <c r="F116" s="206"/>
      <c r="G116" s="206"/>
      <c r="H116" s="206"/>
      <c r="I116" s="206"/>
      <c r="J116" s="206"/>
      <c r="K116" s="209"/>
      <c r="L116" s="91"/>
      <c r="M116" s="92"/>
      <c r="N116" s="206"/>
      <c r="P116" s="30"/>
    </row>
    <row r="117" spans="1:16" ht="48" hidden="1" thickTop="1" thickBot="1" x14ac:dyDescent="0.25">
      <c r="A117" s="75"/>
      <c r="B117" s="204"/>
      <c r="C117" s="204"/>
      <c r="D117" s="109" t="s">
        <v>493</v>
      </c>
      <c r="E117" s="207"/>
      <c r="F117" s="207"/>
      <c r="G117" s="207"/>
      <c r="H117" s="207"/>
      <c r="I117" s="207"/>
      <c r="J117" s="207"/>
      <c r="K117" s="210"/>
      <c r="L117" s="91"/>
      <c r="M117" s="92"/>
      <c r="N117" s="207"/>
      <c r="P117" s="30"/>
    </row>
    <row r="118" spans="1:16" ht="141" customHeight="1" thickTop="1" thickBot="1" x14ac:dyDescent="0.25">
      <c r="A118" s="75"/>
      <c r="B118" s="156" t="s">
        <v>475</v>
      </c>
      <c r="C118" s="156"/>
      <c r="D118" s="76" t="s">
        <v>476</v>
      </c>
      <c r="E118" s="155">
        <f>E119+E122+E125</f>
        <v>0</v>
      </c>
      <c r="F118" s="155">
        <f>F119+F122+F125</f>
        <v>0</v>
      </c>
      <c r="G118" s="155">
        <f>G119+G122+G125</f>
        <v>0</v>
      </c>
      <c r="H118" s="150">
        <v>0</v>
      </c>
      <c r="I118" s="155">
        <f>I119+I122+I125</f>
        <v>222917448.51999998</v>
      </c>
      <c r="J118" s="155">
        <f>J119+J122+J125</f>
        <v>218849381.91</v>
      </c>
      <c r="K118" s="150">
        <f t="shared" ref="K118:K125" si="49">J118/I118</f>
        <v>0.98175079323306091</v>
      </c>
      <c r="L118" s="125"/>
      <c r="M118" s="148"/>
      <c r="N118" s="155">
        <f>N119+N122+N125</f>
        <v>218849381.91</v>
      </c>
      <c r="P118" s="30"/>
    </row>
    <row r="119" spans="1:16" ht="283.5" customHeight="1" thickTop="1" thickBot="1" x14ac:dyDescent="0.25">
      <c r="A119" s="75"/>
      <c r="B119" s="218" t="s">
        <v>477</v>
      </c>
      <c r="C119" s="218" t="s">
        <v>88</v>
      </c>
      <c r="D119" s="160" t="s">
        <v>578</v>
      </c>
      <c r="E119" s="222"/>
      <c r="F119" s="222"/>
      <c r="G119" s="222"/>
      <c r="H119" s="222"/>
      <c r="I119" s="222">
        <v>124005964.97</v>
      </c>
      <c r="J119" s="222">
        <v>120772001.28</v>
      </c>
      <c r="K119" s="226">
        <f t="shared" si="49"/>
        <v>0.97392090218577498</v>
      </c>
      <c r="L119" s="222"/>
      <c r="M119" s="222"/>
      <c r="N119" s="222">
        <f t="shared" ref="N119:N125" si="50">G119+J119</f>
        <v>120772001.28</v>
      </c>
      <c r="P119" s="30"/>
    </row>
    <row r="120" spans="1:16" ht="283.5" customHeight="1" thickTop="1" thickBot="1" x14ac:dyDescent="0.25">
      <c r="A120" s="75"/>
      <c r="B120" s="225"/>
      <c r="C120" s="225"/>
      <c r="D120" s="160" t="s">
        <v>579</v>
      </c>
      <c r="E120" s="223"/>
      <c r="F120" s="223"/>
      <c r="G120" s="223"/>
      <c r="H120" s="223"/>
      <c r="I120" s="223"/>
      <c r="J120" s="223"/>
      <c r="K120" s="227"/>
      <c r="L120" s="223"/>
      <c r="M120" s="223"/>
      <c r="N120" s="223"/>
      <c r="P120" s="30"/>
    </row>
    <row r="121" spans="1:16" ht="47.25" thickTop="1" thickBot="1" x14ac:dyDescent="0.25">
      <c r="A121" s="75"/>
      <c r="B121" s="219"/>
      <c r="C121" s="219"/>
      <c r="D121" s="162" t="s">
        <v>580</v>
      </c>
      <c r="E121" s="224"/>
      <c r="F121" s="224"/>
      <c r="G121" s="224"/>
      <c r="H121" s="224"/>
      <c r="I121" s="224"/>
      <c r="J121" s="224"/>
      <c r="K121" s="228"/>
      <c r="L121" s="224"/>
      <c r="M121" s="224"/>
      <c r="N121" s="224"/>
      <c r="P121" s="30"/>
    </row>
    <row r="122" spans="1:16" ht="298.5" customHeight="1" thickTop="1" thickBot="1" x14ac:dyDescent="0.25">
      <c r="A122" s="75"/>
      <c r="B122" s="218" t="s">
        <v>481</v>
      </c>
      <c r="C122" s="218" t="s">
        <v>88</v>
      </c>
      <c r="D122" s="161" t="s">
        <v>581</v>
      </c>
      <c r="E122" s="222"/>
      <c r="F122" s="222"/>
      <c r="G122" s="222"/>
      <c r="H122" s="222"/>
      <c r="I122" s="222">
        <v>81153625.239999995</v>
      </c>
      <c r="J122" s="222">
        <v>80397186.469999999</v>
      </c>
      <c r="K122" s="226">
        <f t="shared" si="49"/>
        <v>0.99067892817156422</v>
      </c>
      <c r="L122" s="222"/>
      <c r="M122" s="222"/>
      <c r="N122" s="222">
        <f t="shared" si="50"/>
        <v>80397186.469999999</v>
      </c>
      <c r="P122" s="30"/>
    </row>
    <row r="123" spans="1:16" ht="274.5" customHeight="1" thickTop="1" thickBot="1" x14ac:dyDescent="0.25">
      <c r="A123" s="75"/>
      <c r="B123" s="225"/>
      <c r="C123" s="225"/>
      <c r="D123" s="161" t="s">
        <v>582</v>
      </c>
      <c r="E123" s="223"/>
      <c r="F123" s="223"/>
      <c r="G123" s="223"/>
      <c r="H123" s="223"/>
      <c r="I123" s="223"/>
      <c r="J123" s="223"/>
      <c r="K123" s="227"/>
      <c r="L123" s="223"/>
      <c r="M123" s="223"/>
      <c r="N123" s="223"/>
      <c r="P123" s="30"/>
    </row>
    <row r="124" spans="1:16" ht="80.25" customHeight="1" thickTop="1" thickBot="1" x14ac:dyDescent="0.25">
      <c r="A124" s="75"/>
      <c r="B124" s="219"/>
      <c r="C124" s="219"/>
      <c r="D124" s="134" t="s">
        <v>583</v>
      </c>
      <c r="E124" s="224"/>
      <c r="F124" s="224"/>
      <c r="G124" s="224"/>
      <c r="H124" s="224"/>
      <c r="I124" s="224"/>
      <c r="J124" s="224"/>
      <c r="K124" s="228"/>
      <c r="L124" s="224"/>
      <c r="M124" s="224"/>
      <c r="N124" s="224"/>
      <c r="P124" s="30"/>
    </row>
    <row r="125" spans="1:16" ht="280.5" customHeight="1" thickTop="1" thickBot="1" x14ac:dyDescent="0.25">
      <c r="A125" s="75"/>
      <c r="B125" s="218" t="s">
        <v>486</v>
      </c>
      <c r="C125" s="218" t="s">
        <v>88</v>
      </c>
      <c r="D125" s="163" t="s">
        <v>584</v>
      </c>
      <c r="E125" s="222"/>
      <c r="F125" s="222"/>
      <c r="G125" s="222"/>
      <c r="H125" s="222"/>
      <c r="I125" s="222">
        <v>17757858.309999999</v>
      </c>
      <c r="J125" s="222">
        <v>17680194.16</v>
      </c>
      <c r="K125" s="226">
        <f t="shared" si="49"/>
        <v>0.99562649117679558</v>
      </c>
      <c r="L125" s="222"/>
      <c r="M125" s="222"/>
      <c r="N125" s="222">
        <f t="shared" si="50"/>
        <v>17680194.16</v>
      </c>
      <c r="P125" s="30"/>
    </row>
    <row r="126" spans="1:16" ht="184.5" customHeight="1" thickTop="1" thickBot="1" x14ac:dyDescent="0.25">
      <c r="A126" s="75"/>
      <c r="B126" s="219"/>
      <c r="C126" s="219"/>
      <c r="D126" s="162" t="s">
        <v>585</v>
      </c>
      <c r="E126" s="224"/>
      <c r="F126" s="224"/>
      <c r="G126" s="224"/>
      <c r="H126" s="224"/>
      <c r="I126" s="224"/>
      <c r="J126" s="224"/>
      <c r="K126" s="228"/>
      <c r="L126" s="224"/>
      <c r="M126" s="224"/>
      <c r="N126" s="224"/>
      <c r="P126" s="30"/>
    </row>
    <row r="127" spans="1:16" ht="93" thickTop="1" thickBot="1" x14ac:dyDescent="0.25">
      <c r="A127" s="75"/>
      <c r="B127" s="75" t="s">
        <v>530</v>
      </c>
      <c r="C127" s="134" t="s">
        <v>93</v>
      </c>
      <c r="D127" s="134" t="s">
        <v>541</v>
      </c>
      <c r="E127" s="120">
        <v>8786862.2200000007</v>
      </c>
      <c r="F127" s="135">
        <f>896121.82+100000+6550760.22+376502</f>
        <v>7923384.04</v>
      </c>
      <c r="G127" s="135">
        <f>896121.82+44700+6549752.72+375520</f>
        <v>7866094.54</v>
      </c>
      <c r="H127" s="114">
        <f t="shared" si="36"/>
        <v>0.99276956667621019</v>
      </c>
      <c r="I127" s="135">
        <f>52924692.28+59565020.54+7535492.07+122498</f>
        <v>120147702.88999999</v>
      </c>
      <c r="J127" s="135">
        <f>51559546.06+59565020.54+7535492.07+122498</f>
        <v>118782556.66999999</v>
      </c>
      <c r="K127" s="114">
        <f t="shared" ref="K127" si="51">J127/I127</f>
        <v>0.9886377667890176</v>
      </c>
      <c r="L127" s="115"/>
      <c r="M127" s="119"/>
      <c r="N127" s="115">
        <f t="shared" si="26"/>
        <v>126648651.20999999</v>
      </c>
      <c r="P127" s="30"/>
    </row>
    <row r="128" spans="1:16" s="18" customFormat="1" ht="93" thickTop="1" thickBot="1" x14ac:dyDescent="0.25">
      <c r="A128" s="76" t="s">
        <v>250</v>
      </c>
      <c r="B128" s="76" t="s">
        <v>251</v>
      </c>
      <c r="C128" s="76"/>
      <c r="D128" s="76" t="s">
        <v>252</v>
      </c>
      <c r="E128" s="125">
        <f t="shared" ref="E128:J128" si="52">SUM(E129:E130)</f>
        <v>124356853.2</v>
      </c>
      <c r="F128" s="125">
        <f t="shared" si="52"/>
        <v>146055232.31</v>
      </c>
      <c r="G128" s="125">
        <f t="shared" si="52"/>
        <v>143112721.41</v>
      </c>
      <c r="H128" s="116">
        <f t="shared" si="36"/>
        <v>0.97985343726848095</v>
      </c>
      <c r="I128" s="125">
        <f t="shared" si="52"/>
        <v>47643826.25</v>
      </c>
      <c r="J128" s="125">
        <f t="shared" si="52"/>
        <v>45537469.769999996</v>
      </c>
      <c r="K128" s="116">
        <f t="shared" ref="K128:K130" si="53">J128/I128</f>
        <v>0.95578951889910391</v>
      </c>
      <c r="L128" s="125"/>
      <c r="M128" s="125"/>
      <c r="N128" s="125">
        <f t="shared" si="26"/>
        <v>188650191.18000001</v>
      </c>
      <c r="O128" s="20"/>
      <c r="P128" s="31"/>
    </row>
    <row r="129" spans="1:16" ht="93" thickTop="1" thickBot="1" x14ac:dyDescent="0.25">
      <c r="A129" s="75" t="s">
        <v>253</v>
      </c>
      <c r="B129" s="75" t="s">
        <v>254</v>
      </c>
      <c r="C129" s="75" t="s">
        <v>97</v>
      </c>
      <c r="D129" s="130" t="s">
        <v>255</v>
      </c>
      <c r="E129" s="115">
        <v>34518712.200000003</v>
      </c>
      <c r="F129" s="115">
        <f>2173000+32938450.79</f>
        <v>35111450.789999999</v>
      </c>
      <c r="G129" s="117">
        <f>1949874.82+32516316.88</f>
        <v>34466191.699999996</v>
      </c>
      <c r="H129" s="114">
        <f t="shared" si="36"/>
        <v>0.98162254548069605</v>
      </c>
      <c r="I129" s="115">
        <f>55000+12582145.34</f>
        <v>12637145.34</v>
      </c>
      <c r="J129" s="115">
        <f>50500+11301555.2</f>
        <v>11352055.199999999</v>
      </c>
      <c r="K129" s="114">
        <f t="shared" si="53"/>
        <v>0.89830850991858568</v>
      </c>
      <c r="L129" s="115"/>
      <c r="M129" s="119"/>
      <c r="N129" s="115">
        <f t="shared" si="26"/>
        <v>45818246.899999991</v>
      </c>
      <c r="P129" s="26"/>
    </row>
    <row r="130" spans="1:16" ht="93" thickTop="1" thickBot="1" x14ac:dyDescent="0.25">
      <c r="A130" s="58" t="s">
        <v>256</v>
      </c>
      <c r="B130" s="75" t="s">
        <v>257</v>
      </c>
      <c r="C130" s="75" t="s">
        <v>97</v>
      </c>
      <c r="D130" s="130" t="s">
        <v>258</v>
      </c>
      <c r="E130" s="115">
        <v>89838141</v>
      </c>
      <c r="F130" s="115">
        <f>110315481.52+628300</f>
        <v>110943781.52</v>
      </c>
      <c r="G130" s="115">
        <f>108018229.71+628300</f>
        <v>108646529.70999999</v>
      </c>
      <c r="H130" s="114">
        <f t="shared" si="36"/>
        <v>0.97929355049443778</v>
      </c>
      <c r="I130" s="115">
        <f>34783180.91+223500</f>
        <v>35006680.909999996</v>
      </c>
      <c r="J130" s="115">
        <f>33964954.57+220460</f>
        <v>34185414.57</v>
      </c>
      <c r="K130" s="114">
        <f t="shared" si="53"/>
        <v>0.97653972559948143</v>
      </c>
      <c r="L130" s="115"/>
      <c r="M130" s="119"/>
      <c r="N130" s="115">
        <f t="shared" si="26"/>
        <v>142831944.28</v>
      </c>
      <c r="P130" s="26"/>
    </row>
    <row r="131" spans="1:16" s="11" customFormat="1" ht="92.25" customHeight="1" thickTop="1" thickBot="1" x14ac:dyDescent="0.25">
      <c r="A131" s="57" t="s">
        <v>269</v>
      </c>
      <c r="B131" s="77" t="s">
        <v>270</v>
      </c>
      <c r="C131" s="77"/>
      <c r="D131" s="78" t="s">
        <v>271</v>
      </c>
      <c r="E131" s="79">
        <f>SUM(E132:E139)-E137</f>
        <v>77639057</v>
      </c>
      <c r="F131" s="79">
        <f>SUM(F132:F139)-F137</f>
        <v>76021057</v>
      </c>
      <c r="G131" s="79">
        <f t="shared" ref="G131:J131" si="54">SUM(G132:G139)-G137</f>
        <v>74580755.13000001</v>
      </c>
      <c r="H131" s="80">
        <f>G131/F131</f>
        <v>0.98105390891894606</v>
      </c>
      <c r="I131" s="79">
        <f t="shared" si="54"/>
        <v>3600978.0500000003</v>
      </c>
      <c r="J131" s="79">
        <f t="shared" si="54"/>
        <v>3200400.87</v>
      </c>
      <c r="K131" s="80">
        <f>J131/I131</f>
        <v>0.88875878318669554</v>
      </c>
      <c r="L131" s="79"/>
      <c r="M131" s="79"/>
      <c r="N131" s="81">
        <f>J131+G131</f>
        <v>77781156.000000015</v>
      </c>
      <c r="O131" s="53" t="b">
        <f>N131=N132+N133+N134+N135+N138+N139+N136</f>
        <v>1</v>
      </c>
      <c r="P131" s="30"/>
    </row>
    <row r="132" spans="1:16" ht="93" hidden="1" thickTop="1" thickBot="1" x14ac:dyDescent="0.25">
      <c r="A132" s="58" t="s">
        <v>272</v>
      </c>
      <c r="B132" s="90" t="s">
        <v>273</v>
      </c>
      <c r="C132" s="90" t="s">
        <v>274</v>
      </c>
      <c r="D132" s="90" t="s">
        <v>275</v>
      </c>
      <c r="E132" s="91">
        <v>0</v>
      </c>
      <c r="F132" s="91">
        <v>0</v>
      </c>
      <c r="G132" s="91">
        <v>0</v>
      </c>
      <c r="H132" s="89" t="e">
        <f>G132/F132</f>
        <v>#DIV/0!</v>
      </c>
      <c r="I132" s="91"/>
      <c r="J132" s="91"/>
      <c r="K132" s="91"/>
      <c r="L132" s="91"/>
      <c r="M132" s="92"/>
      <c r="N132" s="91">
        <f t="shared" ref="N132:N155" si="55">G132+J132</f>
        <v>0</v>
      </c>
      <c r="P132" s="30"/>
    </row>
    <row r="133" spans="1:16" ht="93" thickTop="1" thickBot="1" x14ac:dyDescent="0.25">
      <c r="A133" s="58" t="s">
        <v>276</v>
      </c>
      <c r="B133" s="75" t="s">
        <v>277</v>
      </c>
      <c r="C133" s="75" t="s">
        <v>278</v>
      </c>
      <c r="D133" s="75" t="s">
        <v>279</v>
      </c>
      <c r="E133" s="115">
        <v>18958725</v>
      </c>
      <c r="F133" s="115">
        <v>18408725</v>
      </c>
      <c r="G133" s="115">
        <v>18291383.760000002</v>
      </c>
      <c r="H133" s="114">
        <f t="shared" ref="H133:H135" si="56">G133/F133</f>
        <v>0.99362578125318302</v>
      </c>
      <c r="I133" s="115">
        <v>1427727.53</v>
      </c>
      <c r="J133" s="115">
        <v>1365208</v>
      </c>
      <c r="K133" s="114">
        <f t="shared" ref="K133:K139" si="57">J133/I133</f>
        <v>0.95621046124956344</v>
      </c>
      <c r="L133" s="115"/>
      <c r="M133" s="119"/>
      <c r="N133" s="115">
        <f t="shared" si="55"/>
        <v>19656591.760000002</v>
      </c>
      <c r="P133" s="26"/>
    </row>
    <row r="134" spans="1:16" ht="93" thickTop="1" thickBot="1" x14ac:dyDescent="0.25">
      <c r="A134" s="58" t="s">
        <v>280</v>
      </c>
      <c r="B134" s="75" t="s">
        <v>281</v>
      </c>
      <c r="C134" s="75" t="s">
        <v>278</v>
      </c>
      <c r="D134" s="75" t="s">
        <v>282</v>
      </c>
      <c r="E134" s="115">
        <v>3026822</v>
      </c>
      <c r="F134" s="115">
        <v>2896822</v>
      </c>
      <c r="G134" s="115">
        <v>2720775.12</v>
      </c>
      <c r="H134" s="114">
        <f t="shared" si="56"/>
        <v>0.93922758112165683</v>
      </c>
      <c r="I134" s="115">
        <v>113790</v>
      </c>
      <c r="J134" s="115">
        <v>89741.72</v>
      </c>
      <c r="K134" s="114">
        <f t="shared" si="57"/>
        <v>0.78866086650848055</v>
      </c>
      <c r="L134" s="115"/>
      <c r="M134" s="119"/>
      <c r="N134" s="115">
        <f t="shared" si="55"/>
        <v>2810516.8400000003</v>
      </c>
      <c r="P134" s="26"/>
    </row>
    <row r="135" spans="1:16" ht="93" thickTop="1" thickBot="1" x14ac:dyDescent="0.25">
      <c r="A135" s="58" t="s">
        <v>283</v>
      </c>
      <c r="B135" s="75" t="s">
        <v>284</v>
      </c>
      <c r="C135" s="75" t="s">
        <v>285</v>
      </c>
      <c r="D135" s="75" t="s">
        <v>286</v>
      </c>
      <c r="E135" s="115">
        <v>22228907</v>
      </c>
      <c r="F135" s="115">
        <v>21840907</v>
      </c>
      <c r="G135" s="115">
        <v>21476160.670000002</v>
      </c>
      <c r="H135" s="114">
        <f t="shared" si="56"/>
        <v>0.98329985425971556</v>
      </c>
      <c r="I135" s="115">
        <v>762000</v>
      </c>
      <c r="J135" s="115">
        <v>498066.81</v>
      </c>
      <c r="K135" s="114">
        <f t="shared" si="57"/>
        <v>0.65363098425196853</v>
      </c>
      <c r="L135" s="115"/>
      <c r="M135" s="119"/>
      <c r="N135" s="115">
        <f t="shared" si="55"/>
        <v>21974227.48</v>
      </c>
      <c r="P135" s="26"/>
    </row>
    <row r="136" spans="1:16" ht="48" hidden="1" thickTop="1" thickBot="1" x14ac:dyDescent="0.25">
      <c r="A136" s="58"/>
      <c r="B136" s="90" t="s">
        <v>531</v>
      </c>
      <c r="C136" s="90" t="s">
        <v>532</v>
      </c>
      <c r="D136" s="90" t="s">
        <v>533</v>
      </c>
      <c r="E136" s="91">
        <v>0</v>
      </c>
      <c r="F136" s="91">
        <v>0</v>
      </c>
      <c r="G136" s="91">
        <v>0</v>
      </c>
      <c r="H136" s="89" t="e">
        <f>G136/F136</f>
        <v>#DIV/0!</v>
      </c>
      <c r="I136" s="91"/>
      <c r="J136" s="91"/>
      <c r="K136" s="89"/>
      <c r="L136" s="91"/>
      <c r="M136" s="92"/>
      <c r="N136" s="91">
        <f t="shared" si="55"/>
        <v>0</v>
      </c>
      <c r="P136" s="26"/>
    </row>
    <row r="137" spans="1:16" ht="93" thickTop="1" thickBot="1" x14ac:dyDescent="0.25">
      <c r="A137" s="76" t="s">
        <v>287</v>
      </c>
      <c r="B137" s="76" t="s">
        <v>288</v>
      </c>
      <c r="C137" s="76"/>
      <c r="D137" s="76" t="s">
        <v>289</v>
      </c>
      <c r="E137" s="125">
        <f t="shared" ref="E137:J137" si="58">SUM(E138:E139)</f>
        <v>33424603</v>
      </c>
      <c r="F137" s="125">
        <f t="shared" si="58"/>
        <v>32874603</v>
      </c>
      <c r="G137" s="125">
        <f t="shared" si="58"/>
        <v>32092435.580000002</v>
      </c>
      <c r="H137" s="116">
        <f>G137/F137</f>
        <v>0.97620754781434171</v>
      </c>
      <c r="I137" s="125">
        <f t="shared" si="58"/>
        <v>1297460.52</v>
      </c>
      <c r="J137" s="125">
        <f t="shared" si="58"/>
        <v>1247384.3400000001</v>
      </c>
      <c r="K137" s="116">
        <f t="shared" si="57"/>
        <v>0.96140446724344264</v>
      </c>
      <c r="L137" s="125"/>
      <c r="M137" s="125"/>
      <c r="N137" s="125">
        <f t="shared" si="55"/>
        <v>33339819.920000002</v>
      </c>
      <c r="P137" s="26"/>
    </row>
    <row r="138" spans="1:16" ht="93" thickTop="1" thickBot="1" x14ac:dyDescent="0.25">
      <c r="A138" s="75" t="s">
        <v>290</v>
      </c>
      <c r="B138" s="75" t="s">
        <v>291</v>
      </c>
      <c r="C138" s="75" t="s">
        <v>292</v>
      </c>
      <c r="D138" s="75" t="s">
        <v>293</v>
      </c>
      <c r="E138" s="115">
        <v>29071503</v>
      </c>
      <c r="F138" s="115">
        <v>28521503</v>
      </c>
      <c r="G138" s="115">
        <v>28473479.190000001</v>
      </c>
      <c r="H138" s="114">
        <f t="shared" ref="H138:H139" si="59">G138/F138</f>
        <v>0.99831622442898615</v>
      </c>
      <c r="I138" s="115">
        <v>299278.28000000003</v>
      </c>
      <c r="J138" s="115">
        <v>249202.1</v>
      </c>
      <c r="K138" s="114">
        <f t="shared" si="57"/>
        <v>0.83267686515707051</v>
      </c>
      <c r="L138" s="115"/>
      <c r="M138" s="119"/>
      <c r="N138" s="115">
        <f t="shared" si="55"/>
        <v>28722681.290000003</v>
      </c>
      <c r="P138" s="30"/>
    </row>
    <row r="139" spans="1:16" ht="93" thickTop="1" thickBot="1" x14ac:dyDescent="0.25">
      <c r="A139" s="75" t="s">
        <v>294</v>
      </c>
      <c r="B139" s="75" t="s">
        <v>295</v>
      </c>
      <c r="C139" s="75" t="s">
        <v>292</v>
      </c>
      <c r="D139" s="75" t="s">
        <v>296</v>
      </c>
      <c r="E139" s="115">
        <v>4353100</v>
      </c>
      <c r="F139" s="115">
        <v>4353100</v>
      </c>
      <c r="G139" s="115">
        <v>3618956.39</v>
      </c>
      <c r="H139" s="114">
        <f t="shared" si="59"/>
        <v>0.83135154028163838</v>
      </c>
      <c r="I139" s="115">
        <v>998182.24</v>
      </c>
      <c r="J139" s="115">
        <v>998182.24</v>
      </c>
      <c r="K139" s="114">
        <f t="shared" si="57"/>
        <v>1</v>
      </c>
      <c r="L139" s="115"/>
      <c r="M139" s="119"/>
      <c r="N139" s="115">
        <f t="shared" si="55"/>
        <v>4617138.63</v>
      </c>
      <c r="P139" s="30"/>
    </row>
    <row r="140" spans="1:16" ht="77.25" customHeight="1" thickTop="1" thickBot="1" x14ac:dyDescent="0.25">
      <c r="A140" s="57" t="s">
        <v>307</v>
      </c>
      <c r="B140" s="77" t="s">
        <v>308</v>
      </c>
      <c r="C140" s="77"/>
      <c r="D140" s="78" t="s">
        <v>309</v>
      </c>
      <c r="E140" s="79">
        <f>SUM(E141:E155)-E141-E144-E146-E152-E149</f>
        <v>118500450</v>
      </c>
      <c r="F140" s="79">
        <f>SUM(F141:F155)-F141-F144-F146-F152-F149</f>
        <v>117171100</v>
      </c>
      <c r="G140" s="79">
        <f>SUM(G141:G155)-G141-G144-G146-G152-G149</f>
        <v>115785979.07000001</v>
      </c>
      <c r="H140" s="80">
        <f>G140/F140</f>
        <v>0.98817864703839098</v>
      </c>
      <c r="I140" s="79">
        <f>SUM(I141:I155)-I141-I144-I146-I152-I149</f>
        <v>6760599.4899999984</v>
      </c>
      <c r="J140" s="79">
        <f>SUM(J141:J155)-J141-J144-J146-J152-J149</f>
        <v>5973176.8799999999</v>
      </c>
      <c r="K140" s="80">
        <f>J140/I140</f>
        <v>0.88352769437610945</v>
      </c>
      <c r="L140" s="79"/>
      <c r="M140" s="79"/>
      <c r="N140" s="81">
        <f>J140+G140</f>
        <v>121759155.95</v>
      </c>
      <c r="O140" s="53" t="b">
        <f>N140=N142+N143+N145+N147+N148+N150+N153+N154+N155+N151</f>
        <v>1</v>
      </c>
      <c r="P140" s="26"/>
    </row>
    <row r="141" spans="1:16" s="18" customFormat="1" ht="93" thickTop="1" thickBot="1" x14ac:dyDescent="0.25">
      <c r="A141" s="59" t="s">
        <v>310</v>
      </c>
      <c r="B141" s="76" t="s">
        <v>311</v>
      </c>
      <c r="C141" s="76"/>
      <c r="D141" s="76" t="s">
        <v>312</v>
      </c>
      <c r="E141" s="133">
        <f t="shared" ref="E141:G141" si="60">SUM(E142:E143)</f>
        <v>38249823</v>
      </c>
      <c r="F141" s="133">
        <f t="shared" si="60"/>
        <v>38112600</v>
      </c>
      <c r="G141" s="133">
        <f t="shared" si="60"/>
        <v>37323905.950000003</v>
      </c>
      <c r="H141" s="116">
        <f>G141/F141</f>
        <v>0.9793062123812073</v>
      </c>
      <c r="I141" s="133"/>
      <c r="J141" s="133"/>
      <c r="K141" s="116"/>
      <c r="L141" s="133"/>
      <c r="M141" s="133"/>
      <c r="N141" s="125">
        <f t="shared" si="55"/>
        <v>37323905.950000003</v>
      </c>
      <c r="O141" s="50"/>
      <c r="P141" s="32"/>
    </row>
    <row r="142" spans="1:16" s="35" customFormat="1" ht="93" thickTop="1" thickBot="1" x14ac:dyDescent="0.25">
      <c r="A142" s="58" t="s">
        <v>313</v>
      </c>
      <c r="B142" s="75" t="s">
        <v>314</v>
      </c>
      <c r="C142" s="75" t="s">
        <v>315</v>
      </c>
      <c r="D142" s="75" t="s">
        <v>316</v>
      </c>
      <c r="E142" s="117">
        <v>34400000</v>
      </c>
      <c r="F142" s="117">
        <v>33412777</v>
      </c>
      <c r="G142" s="115">
        <v>33051904.449999999</v>
      </c>
      <c r="H142" s="114">
        <f t="shared" ref="H142:H155" si="61">G142/F142</f>
        <v>0.98919956428644051</v>
      </c>
      <c r="I142" s="115"/>
      <c r="J142" s="115"/>
      <c r="K142" s="115"/>
      <c r="L142" s="115"/>
      <c r="M142" s="119"/>
      <c r="N142" s="115">
        <f t="shared" si="55"/>
        <v>33051904.449999999</v>
      </c>
      <c r="O142" s="33"/>
      <c r="P142" s="34"/>
    </row>
    <row r="143" spans="1:16" s="35" customFormat="1" ht="93" thickTop="1" thickBot="1" x14ac:dyDescent="0.25">
      <c r="A143" s="58" t="s">
        <v>317</v>
      </c>
      <c r="B143" s="75" t="s">
        <v>318</v>
      </c>
      <c r="C143" s="75" t="s">
        <v>315</v>
      </c>
      <c r="D143" s="75" t="s">
        <v>319</v>
      </c>
      <c r="E143" s="117">
        <v>3849823</v>
      </c>
      <c r="F143" s="117">
        <v>4699823</v>
      </c>
      <c r="G143" s="115">
        <v>4272001.5</v>
      </c>
      <c r="H143" s="114">
        <f t="shared" si="61"/>
        <v>0.90897072081225183</v>
      </c>
      <c r="I143" s="115"/>
      <c r="J143" s="115"/>
      <c r="K143" s="115"/>
      <c r="L143" s="115"/>
      <c r="M143" s="119"/>
      <c r="N143" s="115">
        <f t="shared" si="55"/>
        <v>4272001.5</v>
      </c>
      <c r="O143" s="33"/>
      <c r="P143" s="34"/>
    </row>
    <row r="144" spans="1:16" s="18" customFormat="1" ht="93" thickTop="1" thickBot="1" x14ac:dyDescent="0.25">
      <c r="A144" s="59" t="s">
        <v>320</v>
      </c>
      <c r="B144" s="76" t="s">
        <v>321</v>
      </c>
      <c r="C144" s="76"/>
      <c r="D144" s="76" t="s">
        <v>322</v>
      </c>
      <c r="E144" s="133">
        <f t="shared" ref="E144" si="62">E145</f>
        <v>41300</v>
      </c>
      <c r="F144" s="133">
        <f>F145</f>
        <v>41300</v>
      </c>
      <c r="G144" s="133">
        <f>G145</f>
        <v>16540</v>
      </c>
      <c r="H144" s="116">
        <f t="shared" si="61"/>
        <v>0.40048426150121064</v>
      </c>
      <c r="I144" s="133"/>
      <c r="J144" s="133"/>
      <c r="K144" s="116"/>
      <c r="L144" s="133"/>
      <c r="M144" s="133"/>
      <c r="N144" s="125">
        <f t="shared" si="55"/>
        <v>16540</v>
      </c>
      <c r="O144" s="50"/>
      <c r="P144" s="36"/>
    </row>
    <row r="145" spans="1:16" s="35" customFormat="1" ht="93" thickTop="1" thickBot="1" x14ac:dyDescent="0.25">
      <c r="A145" s="58" t="s">
        <v>323</v>
      </c>
      <c r="B145" s="75" t="s">
        <v>324</v>
      </c>
      <c r="C145" s="75" t="s">
        <v>315</v>
      </c>
      <c r="D145" s="75" t="s">
        <v>325</v>
      </c>
      <c r="E145" s="117">
        <v>41300</v>
      </c>
      <c r="F145" s="117">
        <v>41300</v>
      </c>
      <c r="G145" s="117">
        <v>16540</v>
      </c>
      <c r="H145" s="114">
        <f t="shared" si="61"/>
        <v>0.40048426150121064</v>
      </c>
      <c r="I145" s="115"/>
      <c r="J145" s="117"/>
      <c r="K145" s="117"/>
      <c r="L145" s="117"/>
      <c r="M145" s="119"/>
      <c r="N145" s="115">
        <f t="shared" si="55"/>
        <v>16540</v>
      </c>
      <c r="O145" s="33"/>
      <c r="P145" s="34"/>
    </row>
    <row r="146" spans="1:16" ht="93" thickTop="1" thickBot="1" x14ac:dyDescent="0.25">
      <c r="A146" s="76" t="s">
        <v>326</v>
      </c>
      <c r="B146" s="76" t="s">
        <v>327</v>
      </c>
      <c r="C146" s="76"/>
      <c r="D146" s="76" t="s">
        <v>328</v>
      </c>
      <c r="E146" s="133">
        <f t="shared" ref="E146:J146" si="63">SUM(E147:E148)</f>
        <v>72045157</v>
      </c>
      <c r="F146" s="133">
        <f t="shared" si="63"/>
        <v>71723030</v>
      </c>
      <c r="G146" s="133">
        <f t="shared" si="63"/>
        <v>71511688.739999995</v>
      </c>
      <c r="H146" s="116">
        <f t="shared" si="61"/>
        <v>0.99705336960806024</v>
      </c>
      <c r="I146" s="133">
        <f t="shared" si="63"/>
        <v>6581547.04</v>
      </c>
      <c r="J146" s="133">
        <f t="shared" si="63"/>
        <v>5809143.7999999998</v>
      </c>
      <c r="K146" s="116">
        <f t="shared" ref="K146:K152" si="64">J146/I146</f>
        <v>0.88264108190587354</v>
      </c>
      <c r="L146" s="133"/>
      <c r="M146" s="133"/>
      <c r="N146" s="125">
        <f t="shared" si="55"/>
        <v>77320832.539999992</v>
      </c>
      <c r="P146" s="26"/>
    </row>
    <row r="147" spans="1:16" s="35" customFormat="1" ht="93" thickTop="1" thickBot="1" x14ac:dyDescent="0.25">
      <c r="A147" s="75" t="s">
        <v>329</v>
      </c>
      <c r="B147" s="75" t="s">
        <v>330</v>
      </c>
      <c r="C147" s="75" t="s">
        <v>315</v>
      </c>
      <c r="D147" s="75" t="s">
        <v>331</v>
      </c>
      <c r="E147" s="117">
        <v>65083466</v>
      </c>
      <c r="F147" s="117">
        <v>64761339</v>
      </c>
      <c r="G147" s="117">
        <v>64569682.439999998</v>
      </c>
      <c r="H147" s="114">
        <f t="shared" si="61"/>
        <v>0.9970405713816386</v>
      </c>
      <c r="I147" s="117">
        <v>6581547.04</v>
      </c>
      <c r="J147" s="117">
        <v>5809143.7999999998</v>
      </c>
      <c r="K147" s="114">
        <f t="shared" si="64"/>
        <v>0.88264108190587354</v>
      </c>
      <c r="L147" s="117"/>
      <c r="M147" s="119"/>
      <c r="N147" s="115">
        <f t="shared" si="55"/>
        <v>70378826.239999995</v>
      </c>
      <c r="O147" s="33"/>
      <c r="P147" s="34"/>
    </row>
    <row r="148" spans="1:16" s="35" customFormat="1" ht="93" thickTop="1" thickBot="1" x14ac:dyDescent="0.25">
      <c r="A148" s="75" t="s">
        <v>332</v>
      </c>
      <c r="B148" s="75" t="s">
        <v>333</v>
      </c>
      <c r="C148" s="75" t="s">
        <v>315</v>
      </c>
      <c r="D148" s="75" t="s">
        <v>334</v>
      </c>
      <c r="E148" s="117">
        <v>6961691</v>
      </c>
      <c r="F148" s="117">
        <v>6961691</v>
      </c>
      <c r="G148" s="117">
        <v>6942006.2999999998</v>
      </c>
      <c r="H148" s="114">
        <f t="shared" si="61"/>
        <v>0.99717242549259943</v>
      </c>
      <c r="I148" s="117"/>
      <c r="J148" s="117"/>
      <c r="K148" s="114"/>
      <c r="L148" s="117"/>
      <c r="M148" s="119"/>
      <c r="N148" s="115">
        <f t="shared" si="55"/>
        <v>6942006.2999999998</v>
      </c>
      <c r="O148" s="50"/>
      <c r="P148" s="34"/>
    </row>
    <row r="149" spans="1:16" s="35" customFormat="1" ht="183.75" thickTop="1" thickBot="1" x14ac:dyDescent="0.25">
      <c r="A149" s="58"/>
      <c r="B149" s="76" t="s">
        <v>392</v>
      </c>
      <c r="C149" s="76"/>
      <c r="D149" s="76" t="s">
        <v>393</v>
      </c>
      <c r="E149" s="133">
        <f>SUM(E150:E151)</f>
        <v>93550</v>
      </c>
      <c r="F149" s="133">
        <f>SUM(F150:F151)</f>
        <v>93550</v>
      </c>
      <c r="G149" s="133">
        <f>SUM(G150:G151)</f>
        <v>93550</v>
      </c>
      <c r="H149" s="116">
        <f t="shared" si="61"/>
        <v>1</v>
      </c>
      <c r="I149" s="133">
        <f>SUM(I150:I151)</f>
        <v>0</v>
      </c>
      <c r="J149" s="133">
        <f>SUM(J150:J151)</f>
        <v>0</v>
      </c>
      <c r="K149" s="116">
        <v>0</v>
      </c>
      <c r="L149" s="133"/>
      <c r="M149" s="133"/>
      <c r="N149" s="125">
        <f t="shared" si="55"/>
        <v>93550</v>
      </c>
      <c r="O149" s="50" t="s">
        <v>432</v>
      </c>
      <c r="P149" s="34"/>
    </row>
    <row r="150" spans="1:16" s="35" customFormat="1" ht="184.5" hidden="1" thickTop="1" thickBot="1" x14ac:dyDescent="0.25">
      <c r="A150" s="58"/>
      <c r="B150" s="75" t="s">
        <v>394</v>
      </c>
      <c r="C150" s="75" t="s">
        <v>315</v>
      </c>
      <c r="D150" s="75" t="s">
        <v>517</v>
      </c>
      <c r="E150" s="115"/>
      <c r="F150" s="115"/>
      <c r="G150" s="115"/>
      <c r="H150" s="114">
        <v>0</v>
      </c>
      <c r="I150" s="115">
        <v>0</v>
      </c>
      <c r="J150" s="115">
        <v>0</v>
      </c>
      <c r="K150" s="114" t="e">
        <f t="shared" si="64"/>
        <v>#DIV/0!</v>
      </c>
      <c r="L150" s="115"/>
      <c r="M150" s="119"/>
      <c r="N150" s="115">
        <f t="shared" si="55"/>
        <v>0</v>
      </c>
      <c r="O150" s="33"/>
      <c r="P150" s="34"/>
    </row>
    <row r="151" spans="1:16" s="35" customFormat="1" ht="93" thickTop="1" thickBot="1" x14ac:dyDescent="0.25">
      <c r="A151" s="58"/>
      <c r="B151" s="75" t="s">
        <v>542</v>
      </c>
      <c r="C151" s="75" t="s">
        <v>315</v>
      </c>
      <c r="D151" s="75" t="s">
        <v>543</v>
      </c>
      <c r="E151" s="115">
        <v>93550</v>
      </c>
      <c r="F151" s="115">
        <v>93550</v>
      </c>
      <c r="G151" s="115">
        <v>93550</v>
      </c>
      <c r="H151" s="114">
        <f t="shared" si="61"/>
        <v>1</v>
      </c>
      <c r="I151" s="115"/>
      <c r="J151" s="115"/>
      <c r="K151" s="114"/>
      <c r="L151" s="115"/>
      <c r="M151" s="119"/>
      <c r="N151" s="115">
        <f t="shared" si="55"/>
        <v>93550</v>
      </c>
      <c r="O151" s="33"/>
      <c r="P151" s="34"/>
    </row>
    <row r="152" spans="1:16" ht="62.25" thickTop="1" thickBot="1" x14ac:dyDescent="0.25">
      <c r="A152" s="67" t="s">
        <v>335</v>
      </c>
      <c r="B152" s="76" t="s">
        <v>336</v>
      </c>
      <c r="C152" s="76"/>
      <c r="D152" s="76" t="s">
        <v>337</v>
      </c>
      <c r="E152" s="133">
        <f t="shared" ref="E152:J152" si="65">SUM(E153:E155)</f>
        <v>8070620</v>
      </c>
      <c r="F152" s="133">
        <f t="shared" si="65"/>
        <v>7200620</v>
      </c>
      <c r="G152" s="133">
        <f t="shared" si="65"/>
        <v>6840294.3800000008</v>
      </c>
      <c r="H152" s="116">
        <f t="shared" si="61"/>
        <v>0.94995908407887109</v>
      </c>
      <c r="I152" s="133">
        <f t="shared" si="65"/>
        <v>179052.45</v>
      </c>
      <c r="J152" s="133">
        <f t="shared" si="65"/>
        <v>164033.07999999999</v>
      </c>
      <c r="K152" s="116">
        <f t="shared" si="64"/>
        <v>0.91611748401096982</v>
      </c>
      <c r="L152" s="133"/>
      <c r="M152" s="133"/>
      <c r="N152" s="125">
        <f t="shared" si="55"/>
        <v>7004327.4600000009</v>
      </c>
      <c r="O152" s="50"/>
      <c r="P152" s="26"/>
    </row>
    <row r="153" spans="1:16" s="35" customFormat="1" ht="138.75" thickTop="1" thickBot="1" x14ac:dyDescent="0.25">
      <c r="A153" s="68" t="s">
        <v>338</v>
      </c>
      <c r="B153" s="118" t="s">
        <v>339</v>
      </c>
      <c r="C153" s="118" t="s">
        <v>315</v>
      </c>
      <c r="D153" s="75" t="s">
        <v>340</v>
      </c>
      <c r="E153" s="117">
        <v>775354</v>
      </c>
      <c r="F153" s="117">
        <v>775354</v>
      </c>
      <c r="G153" s="115">
        <v>522788.32</v>
      </c>
      <c r="H153" s="114">
        <f t="shared" si="61"/>
        <v>0.67425759072630054</v>
      </c>
      <c r="I153" s="115"/>
      <c r="J153" s="115"/>
      <c r="K153" s="115"/>
      <c r="L153" s="115"/>
      <c r="M153" s="119"/>
      <c r="N153" s="115">
        <f t="shared" si="55"/>
        <v>522788.32</v>
      </c>
      <c r="O153" s="33"/>
      <c r="P153" s="34"/>
    </row>
    <row r="154" spans="1:16" s="35" customFormat="1" ht="93" thickTop="1" thickBot="1" x14ac:dyDescent="0.25">
      <c r="A154" s="68" t="s">
        <v>341</v>
      </c>
      <c r="B154" s="118" t="s">
        <v>342</v>
      </c>
      <c r="C154" s="118" t="s">
        <v>315</v>
      </c>
      <c r="D154" s="75" t="s">
        <v>343</v>
      </c>
      <c r="E154" s="117">
        <v>5151085</v>
      </c>
      <c r="F154" s="117">
        <v>4276585</v>
      </c>
      <c r="G154" s="115">
        <v>4211225</v>
      </c>
      <c r="H154" s="114">
        <f t="shared" si="61"/>
        <v>0.98471677752225195</v>
      </c>
      <c r="I154" s="115"/>
      <c r="J154" s="115"/>
      <c r="K154" s="115"/>
      <c r="L154" s="115"/>
      <c r="M154" s="119"/>
      <c r="N154" s="115">
        <f t="shared" si="55"/>
        <v>4211225</v>
      </c>
      <c r="O154" s="33"/>
      <c r="P154" s="34"/>
    </row>
    <row r="155" spans="1:16" s="35" customFormat="1" ht="48" thickTop="1" thickBot="1" x14ac:dyDescent="0.25">
      <c r="A155" s="68" t="s">
        <v>344</v>
      </c>
      <c r="B155" s="118" t="s">
        <v>345</v>
      </c>
      <c r="C155" s="118" t="s">
        <v>315</v>
      </c>
      <c r="D155" s="75" t="s">
        <v>346</v>
      </c>
      <c r="E155" s="117">
        <v>2144181</v>
      </c>
      <c r="F155" s="117">
        <v>2148681</v>
      </c>
      <c r="G155" s="115">
        <v>2106281.06</v>
      </c>
      <c r="H155" s="114">
        <f t="shared" si="61"/>
        <v>0.98026699170328213</v>
      </c>
      <c r="I155" s="115">
        <v>179052.45</v>
      </c>
      <c r="J155" s="115">
        <v>164033.07999999999</v>
      </c>
      <c r="K155" s="114">
        <f t="shared" ref="K155" si="66">J155/I155</f>
        <v>0.91611748401096982</v>
      </c>
      <c r="L155" s="115"/>
      <c r="M155" s="119"/>
      <c r="N155" s="115">
        <f t="shared" si="55"/>
        <v>2270314.14</v>
      </c>
      <c r="O155" s="33"/>
      <c r="P155" s="34"/>
    </row>
    <row r="156" spans="1:16" ht="91.5" thickTop="1" thickBot="1" x14ac:dyDescent="0.25">
      <c r="A156" s="57" t="s">
        <v>349</v>
      </c>
      <c r="B156" s="77" t="s">
        <v>259</v>
      </c>
      <c r="C156" s="77"/>
      <c r="D156" s="78" t="s">
        <v>260</v>
      </c>
      <c r="E156" s="79">
        <f>SUM(E157:E170)-E157-E166</f>
        <v>437652149</v>
      </c>
      <c r="F156" s="79">
        <f>SUM(F157:F170)-F157-F166</f>
        <v>491533631.83000004</v>
      </c>
      <c r="G156" s="79">
        <f>SUM(G157:G170)-G157-G166</f>
        <v>487524783.46000004</v>
      </c>
      <c r="H156" s="80">
        <f>G156/F156</f>
        <v>0.99184420330491951</v>
      </c>
      <c r="I156" s="79">
        <f>SUM(I157:I170)-I157-I166</f>
        <v>44485191.590000004</v>
      </c>
      <c r="J156" s="79">
        <f>SUM(J157:J170)-J157-J166</f>
        <v>44094478.429999992</v>
      </c>
      <c r="K156" s="80">
        <f>J156/I156</f>
        <v>0.99121700624331266</v>
      </c>
      <c r="L156" s="79"/>
      <c r="M156" s="79"/>
      <c r="N156" s="81">
        <f>J156+G156</f>
        <v>531619261.89000005</v>
      </c>
      <c r="O156" s="53" t="b">
        <f>N156=N158+N159+N160+N161+N164+N165+N167+N169+N170+N163+N162+N168</f>
        <v>1</v>
      </c>
      <c r="P156" s="37"/>
    </row>
    <row r="157" spans="1:16" s="18" customFormat="1" ht="93" thickTop="1" thickBot="1" x14ac:dyDescent="0.25">
      <c r="A157" s="76" t="s">
        <v>350</v>
      </c>
      <c r="B157" s="76" t="s">
        <v>351</v>
      </c>
      <c r="C157" s="76"/>
      <c r="D157" s="76" t="s">
        <v>352</v>
      </c>
      <c r="E157" s="125">
        <f t="shared" ref="E157:J157" si="67">SUM(E158:E163)</f>
        <v>109053600</v>
      </c>
      <c r="F157" s="125">
        <f t="shared" si="67"/>
        <v>152522800</v>
      </c>
      <c r="G157" s="125">
        <f t="shared" si="67"/>
        <v>152177526.86000001</v>
      </c>
      <c r="H157" s="116">
        <f>G157/F157</f>
        <v>0.99773625228490437</v>
      </c>
      <c r="I157" s="125">
        <f t="shared" si="67"/>
        <v>10767806</v>
      </c>
      <c r="J157" s="125">
        <f t="shared" si="67"/>
        <v>10406339.699999999</v>
      </c>
      <c r="K157" s="116">
        <f t="shared" ref="K157:K158" si="68">J157/I157</f>
        <v>0.96643083094179072</v>
      </c>
      <c r="L157" s="125"/>
      <c r="M157" s="125"/>
      <c r="N157" s="125">
        <f t="shared" ref="N157:N207" si="69">G157+J157</f>
        <v>162583866.56</v>
      </c>
      <c r="O157" s="20"/>
      <c r="P157" s="37"/>
    </row>
    <row r="158" spans="1:16" ht="93" thickTop="1" thickBot="1" x14ac:dyDescent="0.25">
      <c r="A158" s="75" t="s">
        <v>353</v>
      </c>
      <c r="B158" s="75" t="s">
        <v>354</v>
      </c>
      <c r="C158" s="75" t="s">
        <v>263</v>
      </c>
      <c r="D158" s="75" t="s">
        <v>355</v>
      </c>
      <c r="E158" s="117">
        <v>8503600</v>
      </c>
      <c r="F158" s="117">
        <v>8853600</v>
      </c>
      <c r="G158" s="117">
        <v>8538726.8599999994</v>
      </c>
      <c r="H158" s="114">
        <f>G158/F158</f>
        <v>0.9644355810065961</v>
      </c>
      <c r="I158" s="117">
        <v>3613813</v>
      </c>
      <c r="J158" s="157">
        <v>3355683.28</v>
      </c>
      <c r="K158" s="114">
        <f t="shared" si="68"/>
        <v>0.92857136769390114</v>
      </c>
      <c r="L158" s="157"/>
      <c r="M158" s="119"/>
      <c r="N158" s="115">
        <f t="shared" si="69"/>
        <v>11894410.139999999</v>
      </c>
      <c r="P158" s="37"/>
    </row>
    <row r="159" spans="1:16" ht="138.75" customHeight="1" thickTop="1" thickBot="1" x14ac:dyDescent="0.25">
      <c r="A159" s="58"/>
      <c r="B159" s="75" t="s">
        <v>375</v>
      </c>
      <c r="C159" s="75" t="s">
        <v>358</v>
      </c>
      <c r="D159" s="75" t="s">
        <v>376</v>
      </c>
      <c r="E159" s="117">
        <v>60000000</v>
      </c>
      <c r="F159" s="117">
        <v>90000000</v>
      </c>
      <c r="G159" s="117">
        <v>90000000</v>
      </c>
      <c r="H159" s="114">
        <f t="shared" ref="H159:H170" si="70">G159/F159</f>
        <v>1</v>
      </c>
      <c r="I159" s="117"/>
      <c r="J159" s="157"/>
      <c r="K159" s="157"/>
      <c r="L159" s="157"/>
      <c r="M159" s="119"/>
      <c r="N159" s="115">
        <f t="shared" si="69"/>
        <v>90000000</v>
      </c>
      <c r="P159" s="37"/>
    </row>
    <row r="160" spans="1:16" ht="48" thickTop="1" thickBot="1" x14ac:dyDescent="0.25">
      <c r="A160" s="58"/>
      <c r="B160" s="75" t="s">
        <v>377</v>
      </c>
      <c r="C160" s="75" t="s">
        <v>358</v>
      </c>
      <c r="D160" s="75" t="s">
        <v>378</v>
      </c>
      <c r="E160" s="117">
        <v>40550000</v>
      </c>
      <c r="F160" s="117">
        <f>119200+53550000</f>
        <v>53669200</v>
      </c>
      <c r="G160" s="117">
        <f>88800+53550000</f>
        <v>53638800</v>
      </c>
      <c r="H160" s="114">
        <f t="shared" si="70"/>
        <v>0.99943356711111775</v>
      </c>
      <c r="I160" s="117">
        <v>953993</v>
      </c>
      <c r="J160" s="157">
        <v>855109.45</v>
      </c>
      <c r="K160" s="114">
        <f t="shared" ref="K160:K168" si="71">J160/I160</f>
        <v>0.89634771953253323</v>
      </c>
      <c r="L160" s="157"/>
      <c r="M160" s="119"/>
      <c r="N160" s="115">
        <f t="shared" si="69"/>
        <v>54493909.450000003</v>
      </c>
      <c r="P160" s="37"/>
    </row>
    <row r="161" spans="1:16" ht="93" thickTop="1" thickBot="1" x14ac:dyDescent="0.25">
      <c r="A161" s="58" t="s">
        <v>356</v>
      </c>
      <c r="B161" s="75" t="s">
        <v>357</v>
      </c>
      <c r="C161" s="75" t="s">
        <v>358</v>
      </c>
      <c r="D161" s="75" t="s">
        <v>359</v>
      </c>
      <c r="E161" s="117"/>
      <c r="F161" s="117"/>
      <c r="G161" s="117"/>
      <c r="H161" s="114"/>
      <c r="I161" s="117">
        <v>6200000</v>
      </c>
      <c r="J161" s="157">
        <v>6195546.9699999997</v>
      </c>
      <c r="K161" s="114">
        <f t="shared" si="71"/>
        <v>0.9992817693548387</v>
      </c>
      <c r="L161" s="157"/>
      <c r="M161" s="119"/>
      <c r="N161" s="115">
        <f t="shared" si="69"/>
        <v>6195546.9699999997</v>
      </c>
      <c r="O161" s="50"/>
      <c r="P161" s="37"/>
    </row>
    <row r="162" spans="1:16" ht="93" hidden="1" thickTop="1" thickBot="1" x14ac:dyDescent="0.25">
      <c r="A162" s="58"/>
      <c r="B162" s="90" t="s">
        <v>558</v>
      </c>
      <c r="C162" s="90" t="s">
        <v>358</v>
      </c>
      <c r="D162" s="90" t="s">
        <v>559</v>
      </c>
      <c r="E162" s="123">
        <v>0</v>
      </c>
      <c r="F162" s="123">
        <v>0</v>
      </c>
      <c r="G162" s="123">
        <v>0</v>
      </c>
      <c r="H162" s="89" t="e">
        <f t="shared" si="70"/>
        <v>#DIV/0!</v>
      </c>
      <c r="I162" s="123"/>
      <c r="J162" s="105"/>
      <c r="K162" s="89"/>
      <c r="L162" s="105"/>
      <c r="M162" s="92"/>
      <c r="N162" s="91">
        <f t="shared" si="69"/>
        <v>0</v>
      </c>
      <c r="O162" s="50"/>
      <c r="P162" s="37"/>
    </row>
    <row r="163" spans="1:16" ht="183.75" hidden="1" thickTop="1" thickBot="1" x14ac:dyDescent="0.25">
      <c r="A163" s="58" t="s">
        <v>360</v>
      </c>
      <c r="B163" s="90" t="s">
        <v>361</v>
      </c>
      <c r="C163" s="90" t="s">
        <v>358</v>
      </c>
      <c r="D163" s="90" t="s">
        <v>362</v>
      </c>
      <c r="E163" s="123"/>
      <c r="F163" s="123"/>
      <c r="G163" s="123"/>
      <c r="H163" s="89">
        <v>0</v>
      </c>
      <c r="I163" s="123">
        <v>0</v>
      </c>
      <c r="J163" s="105">
        <v>0</v>
      </c>
      <c r="K163" s="89" t="e">
        <f t="shared" si="71"/>
        <v>#DIV/0!</v>
      </c>
      <c r="L163" s="105"/>
      <c r="M163" s="92"/>
      <c r="N163" s="91">
        <f t="shared" si="69"/>
        <v>0</v>
      </c>
      <c r="O163" s="50" t="s">
        <v>432</v>
      </c>
      <c r="P163" s="37"/>
    </row>
    <row r="164" spans="1:16" ht="93" thickTop="1" thickBot="1" x14ac:dyDescent="0.25">
      <c r="A164" s="58" t="s">
        <v>363</v>
      </c>
      <c r="B164" s="75" t="s">
        <v>364</v>
      </c>
      <c r="C164" s="75" t="s">
        <v>358</v>
      </c>
      <c r="D164" s="75" t="s">
        <v>365</v>
      </c>
      <c r="E164" s="117">
        <v>9677600</v>
      </c>
      <c r="F164" s="117">
        <f>7402513+7344818.85</f>
        <v>14747331.85</v>
      </c>
      <c r="G164" s="117">
        <f>7185595.09+7344806.9</f>
        <v>14530401.99</v>
      </c>
      <c r="H164" s="114">
        <f t="shared" si="70"/>
        <v>0.98529022997471916</v>
      </c>
      <c r="I164" s="117"/>
      <c r="J164" s="157"/>
      <c r="K164" s="157"/>
      <c r="L164" s="157"/>
      <c r="M164" s="119"/>
      <c r="N164" s="115">
        <f t="shared" si="69"/>
        <v>14530401.99</v>
      </c>
      <c r="O164" s="50"/>
      <c r="P164" s="37"/>
    </row>
    <row r="165" spans="1:16" ht="62.25" thickTop="1" thickBot="1" x14ac:dyDescent="0.25">
      <c r="A165" s="58"/>
      <c r="B165" s="75" t="s">
        <v>367</v>
      </c>
      <c r="C165" s="75" t="s">
        <v>358</v>
      </c>
      <c r="D165" s="75" t="s">
        <v>368</v>
      </c>
      <c r="E165" s="117">
        <v>316613149</v>
      </c>
      <c r="F165" s="117">
        <f>7477000+312417899</f>
        <v>319894899</v>
      </c>
      <c r="G165" s="117">
        <f>6998941.87+310051631.99</f>
        <v>317050573.86000001</v>
      </c>
      <c r="H165" s="114">
        <f t="shared" si="70"/>
        <v>0.99110856362858102</v>
      </c>
      <c r="I165" s="115">
        <v>270000</v>
      </c>
      <c r="J165" s="117">
        <v>266601.76</v>
      </c>
      <c r="K165" s="114">
        <f t="shared" si="71"/>
        <v>0.98741392592592592</v>
      </c>
      <c r="L165" s="117"/>
      <c r="M165" s="119"/>
      <c r="N165" s="115">
        <f t="shared" si="69"/>
        <v>317317175.62</v>
      </c>
      <c r="O165" s="52"/>
      <c r="P165" s="37"/>
    </row>
    <row r="166" spans="1:16" ht="183.75" thickTop="1" thickBot="1" x14ac:dyDescent="0.25">
      <c r="A166" s="58"/>
      <c r="B166" s="76" t="s">
        <v>261</v>
      </c>
      <c r="C166" s="76"/>
      <c r="D166" s="76" t="s">
        <v>433</v>
      </c>
      <c r="E166" s="133">
        <f>SUM(E167:E169)</f>
        <v>0</v>
      </c>
      <c r="F166" s="133">
        <f>SUM(F167:F169)</f>
        <v>0</v>
      </c>
      <c r="G166" s="133">
        <f>SUM(G167:G169)</f>
        <v>0</v>
      </c>
      <c r="H166" s="116">
        <v>0</v>
      </c>
      <c r="I166" s="133">
        <f>SUM(I167:I169)</f>
        <v>33447385.59</v>
      </c>
      <c r="J166" s="133">
        <f>SUM(J167:J169)</f>
        <v>33421536.969999999</v>
      </c>
      <c r="K166" s="114">
        <f t="shared" si="71"/>
        <v>0.99922718563666368</v>
      </c>
      <c r="L166" s="133"/>
      <c r="M166" s="148"/>
      <c r="N166" s="125">
        <f t="shared" si="69"/>
        <v>33421536.969999999</v>
      </c>
      <c r="O166" s="50" t="s">
        <v>432</v>
      </c>
      <c r="P166" s="37"/>
    </row>
    <row r="167" spans="1:16" ht="93" thickTop="1" thickBot="1" x14ac:dyDescent="0.25">
      <c r="A167" s="58" t="s">
        <v>366</v>
      </c>
      <c r="B167" s="75" t="s">
        <v>262</v>
      </c>
      <c r="C167" s="75" t="s">
        <v>263</v>
      </c>
      <c r="D167" s="75" t="s">
        <v>434</v>
      </c>
      <c r="E167" s="117"/>
      <c r="F167" s="117"/>
      <c r="G167" s="117"/>
      <c r="H167" s="114"/>
      <c r="I167" s="115">
        <v>26451003.59</v>
      </c>
      <c r="J167" s="117">
        <v>26425154.969999999</v>
      </c>
      <c r="K167" s="114">
        <f t="shared" si="71"/>
        <v>0.99902277356274782</v>
      </c>
      <c r="L167" s="117"/>
      <c r="M167" s="119"/>
      <c r="N167" s="115">
        <f t="shared" si="69"/>
        <v>26425154.969999999</v>
      </c>
      <c r="O167" s="50"/>
      <c r="P167" s="30"/>
    </row>
    <row r="168" spans="1:16" ht="184.5" thickTop="1" thickBot="1" x14ac:dyDescent="0.25">
      <c r="A168" s="58"/>
      <c r="B168" s="75" t="s">
        <v>494</v>
      </c>
      <c r="C168" s="75" t="s">
        <v>263</v>
      </c>
      <c r="D168" s="75" t="s">
        <v>495</v>
      </c>
      <c r="E168" s="117"/>
      <c r="F168" s="117"/>
      <c r="G168" s="117"/>
      <c r="H168" s="114"/>
      <c r="I168" s="115">
        <v>6996382</v>
      </c>
      <c r="J168" s="117">
        <v>6996382</v>
      </c>
      <c r="K168" s="114">
        <f t="shared" si="71"/>
        <v>1</v>
      </c>
      <c r="L168" s="117"/>
      <c r="M168" s="119"/>
      <c r="N168" s="115">
        <f t="shared" si="69"/>
        <v>6996382</v>
      </c>
      <c r="P168" s="30"/>
    </row>
    <row r="169" spans="1:16" ht="138.75" hidden="1" thickTop="1" thickBot="1" x14ac:dyDescent="0.25">
      <c r="A169" s="58"/>
      <c r="B169" s="118" t="s">
        <v>347</v>
      </c>
      <c r="C169" s="118" t="s">
        <v>263</v>
      </c>
      <c r="D169" s="75" t="s">
        <v>348</v>
      </c>
      <c r="E169" s="117">
        <v>0</v>
      </c>
      <c r="F169" s="117">
        <v>0</v>
      </c>
      <c r="G169" s="115">
        <v>0</v>
      </c>
      <c r="H169" s="114">
        <v>0</v>
      </c>
      <c r="I169" s="115"/>
      <c r="J169" s="115"/>
      <c r="K169" s="115"/>
      <c r="L169" s="115"/>
      <c r="M169" s="119"/>
      <c r="N169" s="115">
        <f t="shared" si="69"/>
        <v>0</v>
      </c>
      <c r="O169" s="213" t="s">
        <v>432</v>
      </c>
      <c r="P169" s="214"/>
    </row>
    <row r="170" spans="1:16" ht="62.25" thickTop="1" thickBot="1" x14ac:dyDescent="0.25">
      <c r="A170" s="58"/>
      <c r="B170" s="75" t="s">
        <v>507</v>
      </c>
      <c r="C170" s="75" t="s">
        <v>508</v>
      </c>
      <c r="D170" s="75" t="s">
        <v>509</v>
      </c>
      <c r="E170" s="117">
        <v>2307800</v>
      </c>
      <c r="F170" s="117">
        <f>4109800.98+258800</f>
        <v>4368600.9800000004</v>
      </c>
      <c r="G170" s="115">
        <f>3593751.83+172528.92</f>
        <v>3766280.75</v>
      </c>
      <c r="H170" s="114">
        <f t="shared" si="70"/>
        <v>0.86212514423782405</v>
      </c>
      <c r="I170" s="115"/>
      <c r="J170" s="115"/>
      <c r="K170" s="115"/>
      <c r="L170" s="115"/>
      <c r="M170" s="119"/>
      <c r="N170" s="115">
        <f t="shared" si="69"/>
        <v>3766280.75</v>
      </c>
      <c r="O170" s="213" t="s">
        <v>432</v>
      </c>
      <c r="P170" s="214"/>
    </row>
    <row r="171" spans="1:16" s="38" customFormat="1" ht="101.25" customHeight="1" thickTop="1" thickBot="1" x14ac:dyDescent="0.25">
      <c r="A171" s="60" t="s">
        <v>369</v>
      </c>
      <c r="B171" s="77" t="s">
        <v>31</v>
      </c>
      <c r="C171" s="77"/>
      <c r="D171" s="78" t="s">
        <v>370</v>
      </c>
      <c r="E171" s="79">
        <f>E172+E174+E187+E195+E198</f>
        <v>185559735</v>
      </c>
      <c r="F171" s="79">
        <f>F172+F174+F187+F195+F198</f>
        <v>182318020</v>
      </c>
      <c r="G171" s="79">
        <f>G172+G174+G187+G195+G198</f>
        <v>176969270.43000001</v>
      </c>
      <c r="H171" s="80">
        <f>G171/F171</f>
        <v>0.9706625292990787</v>
      </c>
      <c r="I171" s="79">
        <f>I172+I174+I187+I195+I198</f>
        <v>257378275.51999998</v>
      </c>
      <c r="J171" s="79">
        <f>J172+J174+J187+J195+J198</f>
        <v>244519703.60999995</v>
      </c>
      <c r="K171" s="80">
        <f>J171/I171</f>
        <v>0.95004018158090098</v>
      </c>
      <c r="L171" s="79"/>
      <c r="M171" s="79"/>
      <c r="N171" s="81">
        <f>J171+G171</f>
        <v>421488974.03999996</v>
      </c>
      <c r="O171" s="53" t="b">
        <f>N171=N173+N175+N177+N178+N180+N181+N182+N186+N191+N194+N196+N199+N201+N202+N203+N204+N205+N206+N208+N210+N189+N179</f>
        <v>1</v>
      </c>
      <c r="P171" s="51"/>
    </row>
    <row r="172" spans="1:16" s="38" customFormat="1" ht="62.25" thickTop="1" thickBot="1" x14ac:dyDescent="0.25">
      <c r="A172" s="82"/>
      <c r="B172" s="136" t="s">
        <v>413</v>
      </c>
      <c r="C172" s="136"/>
      <c r="D172" s="136" t="s">
        <v>414</v>
      </c>
      <c r="E172" s="137">
        <f>SUM(E173)</f>
        <v>270000</v>
      </c>
      <c r="F172" s="137">
        <f>SUM(F173)</f>
        <v>333000</v>
      </c>
      <c r="G172" s="137">
        <f>SUM(G173)</f>
        <v>327186</v>
      </c>
      <c r="H172" s="138">
        <f>G172/F172</f>
        <v>0.98254054054054052</v>
      </c>
      <c r="I172" s="137">
        <f>SUM(I173)</f>
        <v>0</v>
      </c>
      <c r="J172" s="137">
        <f t="shared" ref="J172" si="72">SUM(J173)</f>
        <v>0</v>
      </c>
      <c r="K172" s="138">
        <v>0</v>
      </c>
      <c r="L172" s="137"/>
      <c r="M172" s="137"/>
      <c r="N172" s="137">
        <f t="shared" si="69"/>
        <v>327186</v>
      </c>
      <c r="O172" s="213" t="s">
        <v>432</v>
      </c>
      <c r="P172" s="214"/>
    </row>
    <row r="173" spans="1:16" s="38" customFormat="1" ht="62.25" thickTop="1" thickBot="1" x14ac:dyDescent="0.25">
      <c r="A173" s="82"/>
      <c r="B173" s="75" t="s">
        <v>415</v>
      </c>
      <c r="C173" s="75" t="s">
        <v>416</v>
      </c>
      <c r="D173" s="75" t="s">
        <v>417</v>
      </c>
      <c r="E173" s="115">
        <v>270000</v>
      </c>
      <c r="F173" s="115">
        <v>333000</v>
      </c>
      <c r="G173" s="115">
        <v>327186</v>
      </c>
      <c r="H173" s="114">
        <f t="shared" ref="H173" si="73">G173/F173</f>
        <v>0.98254054054054052</v>
      </c>
      <c r="I173" s="115">
        <v>0</v>
      </c>
      <c r="J173" s="115">
        <v>0</v>
      </c>
      <c r="K173" s="114">
        <v>0</v>
      </c>
      <c r="L173" s="115"/>
      <c r="M173" s="119"/>
      <c r="N173" s="115">
        <f t="shared" si="69"/>
        <v>327186</v>
      </c>
      <c r="O173" s="213" t="s">
        <v>432</v>
      </c>
      <c r="P173" s="214"/>
    </row>
    <row r="174" spans="1:16" s="38" customFormat="1" ht="62.25" thickTop="1" thickBot="1" x14ac:dyDescent="0.25">
      <c r="A174" s="82"/>
      <c r="B174" s="136" t="s">
        <v>264</v>
      </c>
      <c r="C174" s="136"/>
      <c r="D174" s="136" t="s">
        <v>265</v>
      </c>
      <c r="E174" s="139">
        <f>SUM(E175:E186)-E176-E184</f>
        <v>50000</v>
      </c>
      <c r="F174" s="139">
        <f>SUM(F175:F186)-F176-F184</f>
        <v>26500</v>
      </c>
      <c r="G174" s="139">
        <f>SUM(G175:G186)-G176-G184</f>
        <v>26500</v>
      </c>
      <c r="H174" s="138">
        <v>0</v>
      </c>
      <c r="I174" s="139">
        <f>SUM(I175:I186)-I176-I184</f>
        <v>146417795.75999999</v>
      </c>
      <c r="J174" s="139">
        <f>SUM(J175:J186)-J176-J184</f>
        <v>140651282.24999997</v>
      </c>
      <c r="K174" s="138">
        <f t="shared" ref="K174" si="74">J174/I174</f>
        <v>0.96061603386345074</v>
      </c>
      <c r="L174" s="139"/>
      <c r="M174" s="139"/>
      <c r="N174" s="137">
        <f>G174+J174</f>
        <v>140677782.24999997</v>
      </c>
      <c r="O174" s="213" t="s">
        <v>432</v>
      </c>
      <c r="P174" s="214"/>
    </row>
    <row r="175" spans="1:16" s="38" customFormat="1" ht="93" customHeight="1" thickTop="1" thickBot="1" x14ac:dyDescent="0.25">
      <c r="A175" s="82"/>
      <c r="B175" s="75" t="s">
        <v>379</v>
      </c>
      <c r="C175" s="75" t="s">
        <v>267</v>
      </c>
      <c r="D175" s="75" t="s">
        <v>524</v>
      </c>
      <c r="E175" s="117"/>
      <c r="F175" s="117"/>
      <c r="G175" s="117"/>
      <c r="H175" s="117"/>
      <c r="I175" s="115">
        <f>1300000+2351756</f>
        <v>3651756</v>
      </c>
      <c r="J175" s="117">
        <f>873720.7+1940880.47</f>
        <v>2814601.17</v>
      </c>
      <c r="K175" s="114">
        <f>J175/I175</f>
        <v>0.77075280221351039</v>
      </c>
      <c r="L175" s="117"/>
      <c r="M175" s="119"/>
      <c r="N175" s="115">
        <f t="shared" si="69"/>
        <v>2814601.17</v>
      </c>
      <c r="O175" s="39"/>
      <c r="P175" s="51"/>
    </row>
    <row r="176" spans="1:16" s="38" customFormat="1" ht="48" thickTop="1" thickBot="1" x14ac:dyDescent="0.25">
      <c r="A176" s="60"/>
      <c r="B176" s="76" t="s">
        <v>266</v>
      </c>
      <c r="C176" s="76"/>
      <c r="D176" s="76" t="s">
        <v>525</v>
      </c>
      <c r="E176" s="125"/>
      <c r="F176" s="125"/>
      <c r="G176" s="125"/>
      <c r="H176" s="116"/>
      <c r="I176" s="125">
        <f>SUM(I177:I181)</f>
        <v>105616958.22</v>
      </c>
      <c r="J176" s="125">
        <f>SUM(J177:J181)</f>
        <v>102884833.47999999</v>
      </c>
      <c r="K176" s="116">
        <f t="shared" ref="K176:K177" si="75">J176/I176</f>
        <v>0.97413176078874575</v>
      </c>
      <c r="L176" s="125"/>
      <c r="M176" s="125"/>
      <c r="N176" s="125">
        <f t="shared" si="69"/>
        <v>102884833.47999999</v>
      </c>
      <c r="O176" s="39"/>
      <c r="P176" s="51"/>
    </row>
    <row r="177" spans="1:16" s="38" customFormat="1" ht="48" thickTop="1" thickBot="1" x14ac:dyDescent="0.25">
      <c r="A177" s="60"/>
      <c r="B177" s="75" t="s">
        <v>395</v>
      </c>
      <c r="C177" s="75" t="s">
        <v>267</v>
      </c>
      <c r="D177" s="75" t="s">
        <v>526</v>
      </c>
      <c r="E177" s="115"/>
      <c r="F177" s="115"/>
      <c r="G177" s="115"/>
      <c r="H177" s="115"/>
      <c r="I177" s="115">
        <f>42511535.24+55325424.79</f>
        <v>97836960.030000001</v>
      </c>
      <c r="J177" s="115">
        <f>41798961.73+55073265.47</f>
        <v>96872227.199999988</v>
      </c>
      <c r="K177" s="114">
        <f t="shared" si="75"/>
        <v>0.99013938260444523</v>
      </c>
      <c r="L177" s="115"/>
      <c r="M177" s="119"/>
      <c r="N177" s="115">
        <f t="shared" si="69"/>
        <v>96872227.199999988</v>
      </c>
      <c r="O177" s="39"/>
      <c r="P177" s="51"/>
    </row>
    <row r="178" spans="1:16" s="38" customFormat="1" ht="48" thickTop="1" thickBot="1" x14ac:dyDescent="0.25">
      <c r="A178" s="60"/>
      <c r="B178" s="75" t="s">
        <v>518</v>
      </c>
      <c r="C178" s="75" t="s">
        <v>267</v>
      </c>
      <c r="D178" s="75" t="s">
        <v>527</v>
      </c>
      <c r="E178" s="115"/>
      <c r="F178" s="115"/>
      <c r="G178" s="115"/>
      <c r="H178" s="115"/>
      <c r="I178" s="115">
        <v>3044424.99</v>
      </c>
      <c r="J178" s="115">
        <v>3044369.29</v>
      </c>
      <c r="K178" s="114">
        <f t="shared" ref="K178" si="76">J178/I178</f>
        <v>0.99998170426264954</v>
      </c>
      <c r="L178" s="115"/>
      <c r="M178" s="119"/>
      <c r="N178" s="115">
        <f t="shared" ref="N178" si="77">G178+J178</f>
        <v>3044369.29</v>
      </c>
      <c r="O178" s="39"/>
      <c r="P178" s="51"/>
    </row>
    <row r="179" spans="1:16" s="38" customFormat="1" ht="62.25" thickTop="1" thickBot="1" x14ac:dyDescent="0.25">
      <c r="A179" s="60"/>
      <c r="B179" s="75" t="s">
        <v>447</v>
      </c>
      <c r="C179" s="75" t="s">
        <v>267</v>
      </c>
      <c r="D179" s="75" t="s">
        <v>522</v>
      </c>
      <c r="E179" s="115"/>
      <c r="F179" s="115"/>
      <c r="G179" s="115"/>
      <c r="H179" s="115"/>
      <c r="I179" s="115">
        <v>3685673.2</v>
      </c>
      <c r="J179" s="115">
        <v>1918336.99</v>
      </c>
      <c r="K179" s="114">
        <f>J179/I179</f>
        <v>0.5204848302882632</v>
      </c>
      <c r="L179" s="115"/>
      <c r="M179" s="119"/>
      <c r="N179" s="115">
        <f t="shared" si="69"/>
        <v>1918336.99</v>
      </c>
      <c r="O179" s="50"/>
      <c r="P179" s="51"/>
    </row>
    <row r="180" spans="1:16" s="38" customFormat="1" ht="48" thickTop="1" thickBot="1" x14ac:dyDescent="0.25">
      <c r="A180" s="60"/>
      <c r="B180" s="75" t="s">
        <v>396</v>
      </c>
      <c r="C180" s="75" t="s">
        <v>267</v>
      </c>
      <c r="D180" s="75" t="s">
        <v>528</v>
      </c>
      <c r="E180" s="115"/>
      <c r="F180" s="115"/>
      <c r="G180" s="115"/>
      <c r="H180" s="115"/>
      <c r="I180" s="115">
        <v>1049900</v>
      </c>
      <c r="J180" s="115">
        <v>1049900</v>
      </c>
      <c r="K180" s="114">
        <f>J180/I180</f>
        <v>1</v>
      </c>
      <c r="L180" s="115"/>
      <c r="M180" s="119"/>
      <c r="N180" s="115">
        <f t="shared" ref="N180" si="78">G180+J180</f>
        <v>1049900</v>
      </c>
      <c r="O180" s="39"/>
      <c r="P180" s="51"/>
    </row>
    <row r="181" spans="1:16" s="38" customFormat="1" ht="48" hidden="1" thickTop="1" thickBot="1" x14ac:dyDescent="0.25">
      <c r="A181" s="82"/>
      <c r="B181" s="75" t="s">
        <v>519</v>
      </c>
      <c r="C181" s="75" t="s">
        <v>267</v>
      </c>
      <c r="D181" s="75" t="s">
        <v>523</v>
      </c>
      <c r="E181" s="115"/>
      <c r="F181" s="115"/>
      <c r="G181" s="115"/>
      <c r="H181" s="115"/>
      <c r="I181" s="91">
        <v>0</v>
      </c>
      <c r="J181" s="91">
        <v>0</v>
      </c>
      <c r="K181" s="89" t="e">
        <f t="shared" ref="K181:K187" si="79">J181/I181</f>
        <v>#DIV/0!</v>
      </c>
      <c r="L181" s="91"/>
      <c r="M181" s="92"/>
      <c r="N181" s="91">
        <f t="shared" si="69"/>
        <v>0</v>
      </c>
      <c r="O181" s="39"/>
      <c r="P181" s="51"/>
    </row>
    <row r="182" spans="1:16" s="38" customFormat="1" ht="48" thickTop="1" thickBot="1" x14ac:dyDescent="0.25">
      <c r="A182" s="8"/>
      <c r="B182" s="75" t="s">
        <v>397</v>
      </c>
      <c r="C182" s="75" t="s">
        <v>267</v>
      </c>
      <c r="D182" s="75" t="s">
        <v>529</v>
      </c>
      <c r="E182" s="115"/>
      <c r="F182" s="115"/>
      <c r="G182" s="115"/>
      <c r="H182" s="115"/>
      <c r="I182" s="115">
        <v>37149081.539999999</v>
      </c>
      <c r="J182" s="115">
        <v>34951847.600000001</v>
      </c>
      <c r="K182" s="114">
        <f>J182/I182</f>
        <v>0.94085361336230766</v>
      </c>
      <c r="L182" s="115"/>
      <c r="M182" s="119"/>
      <c r="N182" s="115">
        <f t="shared" si="69"/>
        <v>34951847.600000001</v>
      </c>
      <c r="O182" s="39"/>
      <c r="P182" s="51"/>
    </row>
    <row r="183" spans="1:16" s="38" customFormat="1" ht="93" hidden="1" thickTop="1" thickBot="1" x14ac:dyDescent="0.25">
      <c r="A183" s="82"/>
      <c r="B183" s="90" t="s">
        <v>448</v>
      </c>
      <c r="C183" s="90" t="s">
        <v>267</v>
      </c>
      <c r="D183" s="90" t="s">
        <v>449</v>
      </c>
      <c r="E183" s="91"/>
      <c r="F183" s="91"/>
      <c r="G183" s="91"/>
      <c r="H183" s="91"/>
      <c r="I183" s="91">
        <v>0</v>
      </c>
      <c r="J183" s="91">
        <v>0</v>
      </c>
      <c r="K183" s="89" t="e">
        <f t="shared" si="79"/>
        <v>#DIV/0!</v>
      </c>
      <c r="L183" s="91"/>
      <c r="M183" s="92"/>
      <c r="N183" s="91">
        <f t="shared" si="69"/>
        <v>0</v>
      </c>
      <c r="O183" s="39"/>
      <c r="P183" s="51"/>
    </row>
    <row r="184" spans="1:16" s="38" customFormat="1" ht="183.75" hidden="1" thickTop="1" thickBot="1" x14ac:dyDescent="0.25">
      <c r="A184" s="82"/>
      <c r="B184" s="93" t="s">
        <v>496</v>
      </c>
      <c r="C184" s="93"/>
      <c r="D184" s="93" t="s">
        <v>498</v>
      </c>
      <c r="E184" s="94">
        <f>E185</f>
        <v>0</v>
      </c>
      <c r="F184" s="94">
        <f>F185</f>
        <v>0</v>
      </c>
      <c r="G184" s="94">
        <f t="shared" ref="G184" si="80">G185</f>
        <v>0</v>
      </c>
      <c r="H184" s="95"/>
      <c r="I184" s="94">
        <f>I185</f>
        <v>0</v>
      </c>
      <c r="J184" s="94">
        <f>J185</f>
        <v>0</v>
      </c>
      <c r="K184" s="89" t="e">
        <f t="shared" si="79"/>
        <v>#DIV/0!</v>
      </c>
      <c r="L184" s="94"/>
      <c r="M184" s="94"/>
      <c r="N184" s="94">
        <f t="shared" si="69"/>
        <v>0</v>
      </c>
      <c r="O184" s="50" t="s">
        <v>432</v>
      </c>
      <c r="P184" s="51"/>
    </row>
    <row r="185" spans="1:16" s="38" customFormat="1" ht="93" hidden="1" thickTop="1" thickBot="1" x14ac:dyDescent="0.25">
      <c r="A185" s="82"/>
      <c r="B185" s="90" t="s">
        <v>497</v>
      </c>
      <c r="C185" s="90" t="s">
        <v>39</v>
      </c>
      <c r="D185" s="90" t="s">
        <v>499</v>
      </c>
      <c r="E185" s="91"/>
      <c r="F185" s="91"/>
      <c r="G185" s="91"/>
      <c r="H185" s="91"/>
      <c r="I185" s="91"/>
      <c r="J185" s="91">
        <v>0</v>
      </c>
      <c r="K185" s="89" t="e">
        <f t="shared" si="79"/>
        <v>#DIV/0!</v>
      </c>
      <c r="L185" s="91"/>
      <c r="M185" s="92"/>
      <c r="N185" s="91">
        <f t="shared" si="69"/>
        <v>0</v>
      </c>
      <c r="O185" s="39"/>
      <c r="P185" s="51"/>
    </row>
    <row r="186" spans="1:16" s="38" customFormat="1" ht="62.25" thickTop="1" thickBot="1" x14ac:dyDescent="0.25">
      <c r="A186" s="8"/>
      <c r="B186" s="75" t="s">
        <v>398</v>
      </c>
      <c r="C186" s="75" t="s">
        <v>39</v>
      </c>
      <c r="D186" s="75" t="s">
        <v>399</v>
      </c>
      <c r="E186" s="115">
        <v>50000</v>
      </c>
      <c r="F186" s="115">
        <v>26500</v>
      </c>
      <c r="G186" s="115">
        <v>26500</v>
      </c>
      <c r="H186" s="114">
        <f t="shared" ref="H186" si="81">G186/F186</f>
        <v>1</v>
      </c>
      <c r="I186" s="115">
        <v>0</v>
      </c>
      <c r="J186" s="115">
        <v>0</v>
      </c>
      <c r="K186" s="114">
        <v>0</v>
      </c>
      <c r="L186" s="115"/>
      <c r="M186" s="119"/>
      <c r="N186" s="115">
        <f>G186+J186</f>
        <v>26500</v>
      </c>
      <c r="O186" s="213" t="s">
        <v>432</v>
      </c>
      <c r="P186" s="214"/>
    </row>
    <row r="187" spans="1:16" s="38" customFormat="1" ht="47.25" thickTop="1" thickBot="1" x14ac:dyDescent="0.25">
      <c r="A187" s="57"/>
      <c r="B187" s="136" t="s">
        <v>380</v>
      </c>
      <c r="C187" s="136"/>
      <c r="D187" s="136" t="s">
        <v>381</v>
      </c>
      <c r="E187" s="137">
        <f>SUM(E188:E194)-E190-E193-E188</f>
        <v>158910533</v>
      </c>
      <c r="F187" s="137">
        <f>SUM(F188:F194)-F190-F193-F188</f>
        <v>154823418</v>
      </c>
      <c r="G187" s="137">
        <f>SUM(G188:G194)-G190-G193-G188</f>
        <v>154604346.80000001</v>
      </c>
      <c r="H187" s="138">
        <f t="shared" ref="H187" si="82">G187/F187</f>
        <v>0.9985850254255465</v>
      </c>
      <c r="I187" s="137">
        <f>SUM(I188:I194)-I190-I193-I188</f>
        <v>3278514</v>
      </c>
      <c r="J187" s="137">
        <f>SUM(J188:J194)-J190-J193-J188</f>
        <v>2858439.47</v>
      </c>
      <c r="K187" s="138">
        <f t="shared" si="79"/>
        <v>0.87187044801394786</v>
      </c>
      <c r="L187" s="137"/>
      <c r="M187" s="137"/>
      <c r="N187" s="137">
        <f>G187+J187</f>
        <v>157462786.27000001</v>
      </c>
      <c r="O187" s="39"/>
      <c r="P187" s="51"/>
    </row>
    <row r="188" spans="1:16" s="38" customFormat="1" ht="93" thickTop="1" thickBot="1" x14ac:dyDescent="0.25">
      <c r="A188" s="57"/>
      <c r="B188" s="76" t="s">
        <v>464</v>
      </c>
      <c r="C188" s="76"/>
      <c r="D188" s="76" t="s">
        <v>465</v>
      </c>
      <c r="E188" s="125">
        <f>E189</f>
        <v>550000</v>
      </c>
      <c r="F188" s="125">
        <f>F189</f>
        <v>950000</v>
      </c>
      <c r="G188" s="125">
        <f>G189</f>
        <v>731548.49</v>
      </c>
      <c r="H188" s="116">
        <f t="shared" ref="H188:H203" si="83">G188/F188</f>
        <v>0.77005104210526309</v>
      </c>
      <c r="I188" s="125">
        <f>I189</f>
        <v>0</v>
      </c>
      <c r="J188" s="125">
        <f>J189</f>
        <v>0</v>
      </c>
      <c r="K188" s="114">
        <v>0</v>
      </c>
      <c r="L188" s="125"/>
      <c r="M188" s="125"/>
      <c r="N188" s="125">
        <f t="shared" si="69"/>
        <v>731548.49</v>
      </c>
      <c r="O188" s="50"/>
      <c r="P188" s="51"/>
    </row>
    <row r="189" spans="1:16" s="38" customFormat="1" ht="48" thickTop="1" thickBot="1" x14ac:dyDescent="0.25">
      <c r="A189" s="57"/>
      <c r="B189" s="75" t="s">
        <v>466</v>
      </c>
      <c r="C189" s="75" t="s">
        <v>467</v>
      </c>
      <c r="D189" s="75" t="s">
        <v>468</v>
      </c>
      <c r="E189" s="115">
        <v>550000</v>
      </c>
      <c r="F189" s="115">
        <v>950000</v>
      </c>
      <c r="G189" s="115">
        <v>731548.49</v>
      </c>
      <c r="H189" s="114">
        <f>G189/F189</f>
        <v>0.77005104210526309</v>
      </c>
      <c r="I189" s="115"/>
      <c r="J189" s="115"/>
      <c r="K189" s="115"/>
      <c r="L189" s="115"/>
      <c r="M189" s="119"/>
      <c r="N189" s="115">
        <f t="shared" si="69"/>
        <v>731548.49</v>
      </c>
      <c r="O189" s="39"/>
      <c r="P189" s="51"/>
    </row>
    <row r="190" spans="1:16" s="38" customFormat="1" ht="93" thickTop="1" thickBot="1" x14ac:dyDescent="0.25">
      <c r="A190" s="57"/>
      <c r="B190" s="76" t="s">
        <v>400</v>
      </c>
      <c r="C190" s="76"/>
      <c r="D190" s="76" t="s">
        <v>401</v>
      </c>
      <c r="E190" s="125">
        <f>E191</f>
        <v>158360533</v>
      </c>
      <c r="F190" s="125">
        <f t="shared" ref="F190:G190" si="84">F191</f>
        <v>153873418</v>
      </c>
      <c r="G190" s="125">
        <f t="shared" si="84"/>
        <v>153872798.31</v>
      </c>
      <c r="H190" s="114">
        <f t="shared" si="83"/>
        <v>0.999995972728701</v>
      </c>
      <c r="I190" s="125"/>
      <c r="J190" s="125"/>
      <c r="K190" s="116"/>
      <c r="L190" s="125"/>
      <c r="M190" s="125"/>
      <c r="N190" s="125">
        <f t="shared" si="69"/>
        <v>153872798.31</v>
      </c>
      <c r="O190" s="50"/>
      <c r="P190" s="51"/>
    </row>
    <row r="191" spans="1:16" s="38" customFormat="1" ht="48" thickTop="1" thickBot="1" x14ac:dyDescent="0.25">
      <c r="A191" s="57"/>
      <c r="B191" s="75" t="s">
        <v>402</v>
      </c>
      <c r="C191" s="75" t="s">
        <v>403</v>
      </c>
      <c r="D191" s="75" t="s">
        <v>404</v>
      </c>
      <c r="E191" s="115">
        <v>158360533</v>
      </c>
      <c r="F191" s="115">
        <v>153873418</v>
      </c>
      <c r="G191" s="115">
        <v>153872798.31</v>
      </c>
      <c r="H191" s="114">
        <f>G191/F191</f>
        <v>0.999995972728701</v>
      </c>
      <c r="I191" s="115"/>
      <c r="J191" s="115"/>
      <c r="K191" s="115"/>
      <c r="L191" s="115"/>
      <c r="M191" s="119"/>
      <c r="N191" s="115">
        <f t="shared" si="69"/>
        <v>153872798.31</v>
      </c>
      <c r="O191" s="39"/>
      <c r="P191" s="51"/>
    </row>
    <row r="192" spans="1:16" s="38" customFormat="1" ht="62.25" hidden="1" thickTop="1" thickBot="1" x14ac:dyDescent="0.25">
      <c r="A192" s="57"/>
      <c r="B192" s="75" t="s">
        <v>510</v>
      </c>
      <c r="C192" s="75" t="s">
        <v>383</v>
      </c>
      <c r="D192" s="75" t="s">
        <v>511</v>
      </c>
      <c r="E192" s="115">
        <v>0</v>
      </c>
      <c r="F192" s="115">
        <v>0</v>
      </c>
      <c r="G192" s="115">
        <v>0</v>
      </c>
      <c r="H192" s="114" t="e">
        <f t="shared" si="83"/>
        <v>#DIV/0!</v>
      </c>
      <c r="I192" s="115"/>
      <c r="J192" s="115"/>
      <c r="K192" s="115"/>
      <c r="L192" s="115"/>
      <c r="M192" s="119"/>
      <c r="N192" s="115">
        <f t="shared" si="69"/>
        <v>0</v>
      </c>
      <c r="O192" s="50"/>
      <c r="P192" s="51"/>
    </row>
    <row r="193" spans="1:16" s="38" customFormat="1" ht="93" thickTop="1" thickBot="1" x14ac:dyDescent="0.25">
      <c r="A193" s="57"/>
      <c r="B193" s="76" t="s">
        <v>445</v>
      </c>
      <c r="C193" s="76"/>
      <c r="D193" s="76" t="s">
        <v>446</v>
      </c>
      <c r="E193" s="125">
        <f>E194</f>
        <v>0</v>
      </c>
      <c r="F193" s="125">
        <f>F194</f>
        <v>0</v>
      </c>
      <c r="G193" s="125">
        <f>G194</f>
        <v>0</v>
      </c>
      <c r="H193" s="116">
        <v>0</v>
      </c>
      <c r="I193" s="125">
        <f>I194</f>
        <v>3278514</v>
      </c>
      <c r="J193" s="125">
        <f>J194</f>
        <v>2858439.47</v>
      </c>
      <c r="K193" s="116">
        <f t="shared" ref="K193:K194" si="85">J193/I193</f>
        <v>0.87187044801394786</v>
      </c>
      <c r="L193" s="125"/>
      <c r="M193" s="148"/>
      <c r="N193" s="125">
        <f t="shared" si="69"/>
        <v>2858439.47</v>
      </c>
      <c r="O193" s="213" t="s">
        <v>432</v>
      </c>
      <c r="P193" s="214"/>
    </row>
    <row r="194" spans="1:16" s="38" customFormat="1" ht="93" thickTop="1" thickBot="1" x14ac:dyDescent="0.25">
      <c r="A194" s="8"/>
      <c r="B194" s="75" t="s">
        <v>382</v>
      </c>
      <c r="C194" s="75" t="s">
        <v>383</v>
      </c>
      <c r="D194" s="75" t="s">
        <v>384</v>
      </c>
      <c r="E194" s="117">
        <v>0</v>
      </c>
      <c r="F194" s="117">
        <v>0</v>
      </c>
      <c r="G194" s="117">
        <v>0</v>
      </c>
      <c r="H194" s="114">
        <v>0</v>
      </c>
      <c r="I194" s="117">
        <v>3278514</v>
      </c>
      <c r="J194" s="157">
        <v>2858439.47</v>
      </c>
      <c r="K194" s="114">
        <f t="shared" si="85"/>
        <v>0.87187044801394786</v>
      </c>
      <c r="L194" s="157"/>
      <c r="M194" s="119"/>
      <c r="N194" s="115">
        <f t="shared" si="69"/>
        <v>2858439.47</v>
      </c>
      <c r="O194" s="213" t="s">
        <v>432</v>
      </c>
      <c r="P194" s="214"/>
    </row>
    <row r="195" spans="1:16" s="38" customFormat="1" ht="62.25" thickTop="1" thickBot="1" x14ac:dyDescent="0.25">
      <c r="A195" s="8"/>
      <c r="B195" s="136" t="s">
        <v>32</v>
      </c>
      <c r="C195" s="8"/>
      <c r="D195" s="136" t="s">
        <v>33</v>
      </c>
      <c r="E195" s="139">
        <f>E196+E197</f>
        <v>5383000</v>
      </c>
      <c r="F195" s="139">
        <f>F196+F197</f>
        <v>5585400</v>
      </c>
      <c r="G195" s="139">
        <f>G196+G197</f>
        <v>5501190</v>
      </c>
      <c r="H195" s="138">
        <f t="shared" si="83"/>
        <v>0.98492319260930283</v>
      </c>
      <c r="I195" s="139">
        <f>I196+I197</f>
        <v>0</v>
      </c>
      <c r="J195" s="139">
        <f>J196+J197</f>
        <v>0</v>
      </c>
      <c r="K195" s="138">
        <v>0</v>
      </c>
      <c r="L195" s="164"/>
      <c r="M195" s="164"/>
      <c r="N195" s="137">
        <f>G195+J195</f>
        <v>5501190</v>
      </c>
      <c r="O195" s="213" t="s">
        <v>432</v>
      </c>
      <c r="P195" s="214"/>
    </row>
    <row r="196" spans="1:16" s="38" customFormat="1" ht="48" thickTop="1" thickBot="1" x14ac:dyDescent="0.25">
      <c r="A196" s="8"/>
      <c r="B196" s="75" t="s">
        <v>34</v>
      </c>
      <c r="C196" s="75" t="s">
        <v>500</v>
      </c>
      <c r="D196" s="75" t="s">
        <v>35</v>
      </c>
      <c r="E196" s="117">
        <v>5383000</v>
      </c>
      <c r="F196" s="117">
        <v>5585400</v>
      </c>
      <c r="G196" s="117">
        <v>5501190</v>
      </c>
      <c r="H196" s="114">
        <f t="shared" si="83"/>
        <v>0.98492319260930283</v>
      </c>
      <c r="I196" s="117"/>
      <c r="J196" s="117"/>
      <c r="K196" s="114"/>
      <c r="L196" s="164"/>
      <c r="M196" s="164"/>
      <c r="N196" s="115">
        <f t="shared" si="69"/>
        <v>5501190</v>
      </c>
      <c r="O196" s="39"/>
      <c r="P196" s="51"/>
    </row>
    <row r="197" spans="1:16" s="38" customFormat="1" ht="183.75" hidden="1" thickTop="1" thickBot="1" x14ac:dyDescent="0.25">
      <c r="A197" s="57"/>
      <c r="B197" s="96" t="s">
        <v>450</v>
      </c>
      <c r="C197" s="96" t="s">
        <v>500</v>
      </c>
      <c r="D197" s="96" t="s">
        <v>451</v>
      </c>
      <c r="E197" s="106"/>
      <c r="F197" s="106"/>
      <c r="G197" s="106"/>
      <c r="H197" s="89" t="e">
        <f t="shared" si="83"/>
        <v>#DIV/0!</v>
      </c>
      <c r="I197" s="158">
        <v>0</v>
      </c>
      <c r="J197" s="158">
        <v>0</v>
      </c>
      <c r="K197" s="152">
        <v>0</v>
      </c>
      <c r="L197" s="165"/>
      <c r="M197" s="165"/>
      <c r="N197" s="151">
        <f t="shared" si="69"/>
        <v>0</v>
      </c>
      <c r="O197" s="50" t="s">
        <v>432</v>
      </c>
      <c r="P197" s="51"/>
    </row>
    <row r="198" spans="1:16" s="38" customFormat="1" ht="47.25" thickTop="1" thickBot="1" x14ac:dyDescent="0.25">
      <c r="A198" s="57"/>
      <c r="B198" s="136" t="s">
        <v>36</v>
      </c>
      <c r="C198" s="8"/>
      <c r="D198" s="136" t="s">
        <v>37</v>
      </c>
      <c r="E198" s="139">
        <f>SUM(E199:E210)-E207-E200</f>
        <v>20946202</v>
      </c>
      <c r="F198" s="139">
        <f>SUM(F199:F210)-F207-F200</f>
        <v>21549702</v>
      </c>
      <c r="G198" s="139">
        <f>SUM(G199:G210)-G207-G200</f>
        <v>16510047.629999999</v>
      </c>
      <c r="H198" s="138">
        <f t="shared" si="83"/>
        <v>0.76613809462423188</v>
      </c>
      <c r="I198" s="139">
        <f>SUM(I199:I210)-I207-I200</f>
        <v>107681965.76000001</v>
      </c>
      <c r="J198" s="139">
        <f>SUM(J199:J210)-J207-J200</f>
        <v>101009981.88999999</v>
      </c>
      <c r="K198" s="138">
        <f>J198/I198</f>
        <v>0.93803991389913477</v>
      </c>
      <c r="L198" s="164"/>
      <c r="M198" s="164"/>
      <c r="N198" s="137">
        <f t="shared" si="69"/>
        <v>117520029.51999998</v>
      </c>
      <c r="O198" s="39"/>
      <c r="P198" s="51"/>
    </row>
    <row r="199" spans="1:16" s="38" customFormat="1" ht="48" thickTop="1" thickBot="1" x14ac:dyDescent="0.25">
      <c r="A199" s="57"/>
      <c r="B199" s="75" t="s">
        <v>405</v>
      </c>
      <c r="C199" s="75" t="s">
        <v>406</v>
      </c>
      <c r="D199" s="75" t="s">
        <v>407</v>
      </c>
      <c r="E199" s="115">
        <v>11948500</v>
      </c>
      <c r="F199" s="115">
        <v>12948500</v>
      </c>
      <c r="G199" s="115">
        <v>8070374.0899999999</v>
      </c>
      <c r="H199" s="114">
        <f t="shared" si="83"/>
        <v>0.62326710352550485</v>
      </c>
      <c r="I199" s="115"/>
      <c r="J199" s="115"/>
      <c r="K199" s="114"/>
      <c r="L199" s="115"/>
      <c r="M199" s="119"/>
      <c r="N199" s="115">
        <f t="shared" si="69"/>
        <v>8070374.0899999999</v>
      </c>
      <c r="O199" s="39"/>
      <c r="P199" s="51"/>
    </row>
    <row r="200" spans="1:16" s="38" customFormat="1" ht="62.25" thickTop="1" thickBot="1" x14ac:dyDescent="0.25">
      <c r="A200" s="60"/>
      <c r="B200" s="76" t="s">
        <v>469</v>
      </c>
      <c r="C200" s="76"/>
      <c r="D200" s="76" t="s">
        <v>471</v>
      </c>
      <c r="E200" s="125">
        <f>E201</f>
        <v>1026850</v>
      </c>
      <c r="F200" s="125">
        <f>F201</f>
        <v>1026850</v>
      </c>
      <c r="G200" s="125">
        <f>G201</f>
        <v>1026850</v>
      </c>
      <c r="H200" s="116">
        <f t="shared" si="83"/>
        <v>1</v>
      </c>
      <c r="I200" s="125">
        <f>I201</f>
        <v>0</v>
      </c>
      <c r="J200" s="125">
        <f>J201</f>
        <v>0</v>
      </c>
      <c r="K200" s="116">
        <v>0</v>
      </c>
      <c r="L200" s="125"/>
      <c r="M200" s="148"/>
      <c r="N200" s="125">
        <f t="shared" si="69"/>
        <v>1026850</v>
      </c>
      <c r="O200" s="213" t="s">
        <v>432</v>
      </c>
      <c r="P200" s="214"/>
    </row>
    <row r="201" spans="1:16" s="38" customFormat="1" ht="48" thickTop="1" thickBot="1" x14ac:dyDescent="0.25">
      <c r="A201" s="57"/>
      <c r="B201" s="75" t="s">
        <v>470</v>
      </c>
      <c r="C201" s="75" t="s">
        <v>372</v>
      </c>
      <c r="D201" s="75" t="s">
        <v>472</v>
      </c>
      <c r="E201" s="115">
        <v>1026850</v>
      </c>
      <c r="F201" s="115">
        <v>1026850</v>
      </c>
      <c r="G201" s="115">
        <v>1026850</v>
      </c>
      <c r="H201" s="114">
        <f t="shared" si="83"/>
        <v>1</v>
      </c>
      <c r="I201" s="115"/>
      <c r="J201" s="115"/>
      <c r="K201" s="114"/>
      <c r="L201" s="115"/>
      <c r="M201" s="119"/>
      <c r="N201" s="115">
        <f t="shared" si="69"/>
        <v>1026850</v>
      </c>
      <c r="O201" s="39"/>
      <c r="P201" s="51"/>
    </row>
    <row r="202" spans="1:16" s="38" customFormat="1" ht="48" thickTop="1" thickBot="1" x14ac:dyDescent="0.25">
      <c r="A202" s="57"/>
      <c r="B202" s="75" t="s">
        <v>408</v>
      </c>
      <c r="C202" s="75" t="s">
        <v>372</v>
      </c>
      <c r="D202" s="75" t="s">
        <v>409</v>
      </c>
      <c r="E202" s="115">
        <v>605000</v>
      </c>
      <c r="F202" s="115">
        <v>708500</v>
      </c>
      <c r="G202" s="115">
        <v>682347.87</v>
      </c>
      <c r="H202" s="114">
        <f t="shared" si="83"/>
        <v>0.9630880310515173</v>
      </c>
      <c r="I202" s="115">
        <f>71808.78</f>
        <v>71808.78</v>
      </c>
      <c r="J202" s="115">
        <v>71808.78</v>
      </c>
      <c r="K202" s="114">
        <f>J202/I202</f>
        <v>1</v>
      </c>
      <c r="L202" s="115"/>
      <c r="M202" s="119"/>
      <c r="N202" s="115">
        <f t="shared" si="69"/>
        <v>754156.65</v>
      </c>
      <c r="O202" s="39"/>
      <c r="P202" s="51"/>
    </row>
    <row r="203" spans="1:16" s="38" customFormat="1" ht="62.25" thickTop="1" thickBot="1" x14ac:dyDescent="0.25">
      <c r="A203" s="57"/>
      <c r="B203" s="75" t="s">
        <v>371</v>
      </c>
      <c r="C203" s="75" t="s">
        <v>372</v>
      </c>
      <c r="D203" s="75" t="s">
        <v>373</v>
      </c>
      <c r="E203" s="117">
        <v>4674517</v>
      </c>
      <c r="F203" s="117">
        <v>4174517</v>
      </c>
      <c r="G203" s="117">
        <v>4099699.46</v>
      </c>
      <c r="H203" s="114">
        <f t="shared" si="83"/>
        <v>0.98207755771506022</v>
      </c>
      <c r="I203" s="115">
        <f>37593075.22+6317465.35+26987393.91+15280170.35</f>
        <v>86178104.829999998</v>
      </c>
      <c r="J203" s="117">
        <f>33952992.5+5839103.69+26987393.91+15280170.35</f>
        <v>82059660.449999988</v>
      </c>
      <c r="K203" s="114">
        <f>J203/I203</f>
        <v>0.95221008412607477</v>
      </c>
      <c r="L203" s="117"/>
      <c r="M203" s="119"/>
      <c r="N203" s="115">
        <f t="shared" si="69"/>
        <v>86159359.909999982</v>
      </c>
      <c r="O203" s="213"/>
      <c r="P203" s="214"/>
    </row>
    <row r="204" spans="1:16" s="38" customFormat="1" ht="48" thickTop="1" thickBot="1" x14ac:dyDescent="0.25">
      <c r="A204" s="57"/>
      <c r="B204" s="75" t="s">
        <v>418</v>
      </c>
      <c r="C204" s="75" t="s">
        <v>39</v>
      </c>
      <c r="D204" s="75" t="s">
        <v>419</v>
      </c>
      <c r="E204" s="115"/>
      <c r="F204" s="115"/>
      <c r="G204" s="115"/>
      <c r="H204" s="115"/>
      <c r="I204" s="115">
        <v>114000</v>
      </c>
      <c r="J204" s="115">
        <v>114000</v>
      </c>
      <c r="K204" s="114">
        <f>J204/I204</f>
        <v>1</v>
      </c>
      <c r="L204" s="115"/>
      <c r="M204" s="119"/>
      <c r="N204" s="115">
        <f t="shared" si="69"/>
        <v>114000</v>
      </c>
      <c r="O204" s="39"/>
      <c r="P204" s="51"/>
    </row>
    <row r="205" spans="1:16" s="38" customFormat="1" ht="48" thickTop="1" thickBot="1" x14ac:dyDescent="0.25">
      <c r="A205" s="57"/>
      <c r="B205" s="75" t="s">
        <v>187</v>
      </c>
      <c r="C205" s="75" t="s">
        <v>39</v>
      </c>
      <c r="D205" s="75" t="s">
        <v>188</v>
      </c>
      <c r="E205" s="117"/>
      <c r="F205" s="117"/>
      <c r="G205" s="117"/>
      <c r="H205" s="117"/>
      <c r="I205" s="115">
        <f>500792+1550473.15+12634987+116000</f>
        <v>14802252.15</v>
      </c>
      <c r="J205" s="117">
        <f>456999+1407257.97+11723739.02+116000</f>
        <v>13703995.99</v>
      </c>
      <c r="K205" s="114">
        <f>J205/I205</f>
        <v>0.92580479315777631</v>
      </c>
      <c r="L205" s="117"/>
      <c r="M205" s="119"/>
      <c r="N205" s="115">
        <f t="shared" si="69"/>
        <v>13703995.99</v>
      </c>
      <c r="O205" s="39"/>
      <c r="P205" s="51"/>
    </row>
    <row r="206" spans="1:16" s="38" customFormat="1" ht="48" thickTop="1" thickBot="1" x14ac:dyDescent="0.25">
      <c r="A206" s="57"/>
      <c r="B206" s="75" t="s">
        <v>38</v>
      </c>
      <c r="C206" s="75" t="s">
        <v>39</v>
      </c>
      <c r="D206" s="75" t="s">
        <v>40</v>
      </c>
      <c r="E206" s="115">
        <v>329335</v>
      </c>
      <c r="F206" s="115">
        <v>329335</v>
      </c>
      <c r="G206" s="115">
        <v>329335</v>
      </c>
      <c r="H206" s="114">
        <f t="shared" ref="H206:H207" si="86">G206/F206</f>
        <v>1</v>
      </c>
      <c r="I206" s="164"/>
      <c r="J206" s="164"/>
      <c r="K206" s="164"/>
      <c r="L206" s="164"/>
      <c r="M206" s="164"/>
      <c r="N206" s="115">
        <f t="shared" si="69"/>
        <v>329335</v>
      </c>
      <c r="O206" s="39"/>
      <c r="P206" s="51"/>
    </row>
    <row r="207" spans="1:16" s="38" customFormat="1" ht="48" thickTop="1" thickBot="1" x14ac:dyDescent="0.25">
      <c r="A207" s="57"/>
      <c r="B207" s="76" t="s">
        <v>41</v>
      </c>
      <c r="C207" s="76"/>
      <c r="D207" s="76" t="s">
        <v>374</v>
      </c>
      <c r="E207" s="133">
        <f>SUM(E208:E210)</f>
        <v>2362000</v>
      </c>
      <c r="F207" s="133">
        <f>SUM(F208:F210)</f>
        <v>2362000</v>
      </c>
      <c r="G207" s="133">
        <f>SUM(G208:G210)</f>
        <v>2301441.21</v>
      </c>
      <c r="H207" s="114">
        <f t="shared" si="86"/>
        <v>0.97436122353937338</v>
      </c>
      <c r="I207" s="133">
        <f>SUM(I208:I210)</f>
        <v>6515800</v>
      </c>
      <c r="J207" s="133">
        <f>SUM(J208:J210)</f>
        <v>5060516.67</v>
      </c>
      <c r="K207" s="116">
        <f>J207/I207</f>
        <v>0.77665316154578101</v>
      </c>
      <c r="L207" s="133"/>
      <c r="M207" s="133"/>
      <c r="N207" s="125">
        <f t="shared" si="69"/>
        <v>7361957.8799999999</v>
      </c>
      <c r="O207" s="39"/>
      <c r="P207" s="51"/>
    </row>
    <row r="208" spans="1:16" s="38" customFormat="1" ht="184.5" thickTop="1" thickBot="1" x14ac:dyDescent="0.7">
      <c r="A208" s="57"/>
      <c r="B208" s="218" t="s">
        <v>42</v>
      </c>
      <c r="C208" s="218" t="s">
        <v>39</v>
      </c>
      <c r="D208" s="166" t="s">
        <v>43</v>
      </c>
      <c r="E208" s="190"/>
      <c r="F208" s="190"/>
      <c r="G208" s="190"/>
      <c r="H208" s="190"/>
      <c r="I208" s="190">
        <v>6515800</v>
      </c>
      <c r="J208" s="190">
        <v>5060516.67</v>
      </c>
      <c r="K208" s="220">
        <f>J208/I208</f>
        <v>0.77665316154578101</v>
      </c>
      <c r="L208" s="190"/>
      <c r="M208" s="192"/>
      <c r="N208" s="190">
        <f>J208+G208</f>
        <v>5060516.67</v>
      </c>
      <c r="O208" s="39"/>
      <c r="P208" s="51"/>
    </row>
    <row r="209" spans="1:16" s="38" customFormat="1" ht="93" thickTop="1" thickBot="1" x14ac:dyDescent="0.25">
      <c r="A209" s="57"/>
      <c r="B209" s="219"/>
      <c r="C209" s="219"/>
      <c r="D209" s="167" t="s">
        <v>44</v>
      </c>
      <c r="E209" s="191"/>
      <c r="F209" s="191"/>
      <c r="G209" s="191"/>
      <c r="H209" s="191"/>
      <c r="I209" s="191"/>
      <c r="J209" s="191"/>
      <c r="K209" s="221"/>
      <c r="L209" s="191"/>
      <c r="M209" s="193"/>
      <c r="N209" s="191"/>
      <c r="O209" s="39"/>
      <c r="P209" s="51"/>
    </row>
    <row r="210" spans="1:16" s="38" customFormat="1" ht="48" thickTop="1" thickBot="1" x14ac:dyDescent="0.25">
      <c r="A210" s="57"/>
      <c r="B210" s="75" t="s">
        <v>45</v>
      </c>
      <c r="C210" s="75" t="s">
        <v>39</v>
      </c>
      <c r="D210" s="75" t="s">
        <v>46</v>
      </c>
      <c r="E210" s="115">
        <v>2362000</v>
      </c>
      <c r="F210" s="115">
        <v>2362000</v>
      </c>
      <c r="G210" s="115">
        <v>2301441.21</v>
      </c>
      <c r="H210" s="114">
        <f t="shared" ref="H210" si="87">G210/F210</f>
        <v>0.97436122353937338</v>
      </c>
      <c r="I210" s="115"/>
      <c r="J210" s="115"/>
      <c r="K210" s="114"/>
      <c r="L210" s="115"/>
      <c r="M210" s="119"/>
      <c r="N210" s="115">
        <f>G210+J210</f>
        <v>2301441.21</v>
      </c>
      <c r="O210" s="39"/>
      <c r="P210" s="51"/>
    </row>
    <row r="211" spans="1:16" s="38" customFormat="1" ht="107.45" customHeight="1" thickTop="1" thickBot="1" x14ac:dyDescent="0.25">
      <c r="A211" s="60"/>
      <c r="B211" s="77" t="s">
        <v>47</v>
      </c>
      <c r="C211" s="77"/>
      <c r="D211" s="78" t="s">
        <v>48</v>
      </c>
      <c r="E211" s="79">
        <f>SUM(E212:E225)-E212-E219-E221-E224-E215</f>
        <v>83701114.50999999</v>
      </c>
      <c r="F211" s="79">
        <f>SUM(F212:F225)-F212-F219-F221-F224-F215</f>
        <v>73417114.509999976</v>
      </c>
      <c r="G211" s="79">
        <f>SUM(G212:G225)-G212-G219-G221-G224-G215</f>
        <v>66937148.95000001</v>
      </c>
      <c r="H211" s="80">
        <f>G211/F211</f>
        <v>0.91173767038859388</v>
      </c>
      <c r="I211" s="79">
        <f>SUM(I212:I225)-I212-I219-I221-I224-I215</f>
        <v>163970260.84</v>
      </c>
      <c r="J211" s="79">
        <f>SUM(J212:J225)-J212-J219-J221-J224-J215</f>
        <v>161909575.53000003</v>
      </c>
      <c r="K211" s="80">
        <f t="shared" ref="K211:K217" si="88">J211/I211</f>
        <v>0.98743256673836266</v>
      </c>
      <c r="L211" s="79"/>
      <c r="M211" s="79"/>
      <c r="N211" s="81">
        <f>J211+G211</f>
        <v>228846724.48000005</v>
      </c>
      <c r="O211" s="53" t="b">
        <f>N211=N213+N214+N216+N217+N218+N220+N222+N225+N223</f>
        <v>1</v>
      </c>
      <c r="P211" s="51"/>
    </row>
    <row r="212" spans="1:16" s="38" customFormat="1" ht="107.45" customHeight="1" thickTop="1" thickBot="1" x14ac:dyDescent="0.25">
      <c r="A212" s="60"/>
      <c r="B212" s="136" t="s">
        <v>385</v>
      </c>
      <c r="C212" s="136"/>
      <c r="D212" s="140" t="s">
        <v>386</v>
      </c>
      <c r="E212" s="137">
        <f>SUM(E213:E214)</f>
        <v>7456613</v>
      </c>
      <c r="F212" s="137">
        <f>SUM(F213:F214)</f>
        <v>7656613</v>
      </c>
      <c r="G212" s="137">
        <f>SUM(G213:G214)</f>
        <v>6674336.1600000001</v>
      </c>
      <c r="H212" s="138">
        <f>G212/F212</f>
        <v>0.87170869939488915</v>
      </c>
      <c r="I212" s="137">
        <f>SUM(I213:I214)</f>
        <v>0</v>
      </c>
      <c r="J212" s="137">
        <f>SUM(J213:J214)</f>
        <v>0</v>
      </c>
      <c r="K212" s="138">
        <v>0</v>
      </c>
      <c r="L212" s="137"/>
      <c r="M212" s="137"/>
      <c r="N212" s="137">
        <f t="shared" ref="N212:N231" si="89">G212+J212</f>
        <v>6674336.1600000001</v>
      </c>
      <c r="O212" s="213" t="s">
        <v>432</v>
      </c>
      <c r="P212" s="214"/>
    </row>
    <row r="213" spans="1:16" s="38" customFormat="1" ht="93" thickTop="1" thickBot="1" x14ac:dyDescent="0.25">
      <c r="A213" s="57"/>
      <c r="B213" s="75" t="s">
        <v>387</v>
      </c>
      <c r="C213" s="75" t="s">
        <v>388</v>
      </c>
      <c r="D213" s="75" t="s">
        <v>389</v>
      </c>
      <c r="E213" s="117">
        <v>4927223</v>
      </c>
      <c r="F213" s="117">
        <f>2927223+2200000</f>
        <v>5127223</v>
      </c>
      <c r="G213" s="117">
        <f>2615910.75+1537025.46</f>
        <v>4152936.21</v>
      </c>
      <c r="H213" s="114">
        <f>G213/F213</f>
        <v>0.8099776838261179</v>
      </c>
      <c r="I213" s="115"/>
      <c r="J213" s="115"/>
      <c r="K213" s="114"/>
      <c r="L213" s="117"/>
      <c r="M213" s="119"/>
      <c r="N213" s="115">
        <f t="shared" si="89"/>
        <v>4152936.21</v>
      </c>
      <c r="O213" s="213"/>
      <c r="P213" s="214"/>
    </row>
    <row r="214" spans="1:16" s="38" customFormat="1" ht="48" thickTop="1" thickBot="1" x14ac:dyDescent="0.25">
      <c r="A214" s="57"/>
      <c r="B214" s="75" t="s">
        <v>390</v>
      </c>
      <c r="C214" s="75" t="s">
        <v>388</v>
      </c>
      <c r="D214" s="75" t="s">
        <v>391</v>
      </c>
      <c r="E214" s="117">
        <v>2529390</v>
      </c>
      <c r="F214" s="117">
        <v>2529390</v>
      </c>
      <c r="G214" s="117">
        <v>2521399.9500000002</v>
      </c>
      <c r="H214" s="114">
        <f t="shared" ref="H214:H222" si="90">G214/F214</f>
        <v>0.99684111584215962</v>
      </c>
      <c r="I214" s="115"/>
      <c r="J214" s="115"/>
      <c r="K214" s="114"/>
      <c r="L214" s="117"/>
      <c r="M214" s="119"/>
      <c r="N214" s="115">
        <f>G214+J214</f>
        <v>2521399.9500000002</v>
      </c>
      <c r="O214" s="12"/>
      <c r="P214" s="51"/>
    </row>
    <row r="215" spans="1:16" s="38" customFormat="1" ht="62.25" thickTop="1" thickBot="1" x14ac:dyDescent="0.25">
      <c r="A215" s="57"/>
      <c r="B215" s="136" t="s">
        <v>512</v>
      </c>
      <c r="C215" s="136"/>
      <c r="D215" s="136" t="s">
        <v>513</v>
      </c>
      <c r="E215" s="139">
        <f>SUM(E216:E218)</f>
        <v>55377158.5</v>
      </c>
      <c r="F215" s="139">
        <f>SUM(F216:F218)</f>
        <v>50673158.5</v>
      </c>
      <c r="G215" s="139">
        <f>SUM(G216:G218)</f>
        <v>49325257.530000009</v>
      </c>
      <c r="H215" s="138">
        <f t="shared" si="90"/>
        <v>0.9734000995813199</v>
      </c>
      <c r="I215" s="139">
        <f t="shared" ref="I215:J215" si="91">SUM(I216:I218)</f>
        <v>162770260.84</v>
      </c>
      <c r="J215" s="139">
        <f t="shared" si="91"/>
        <v>160873891.81</v>
      </c>
      <c r="K215" s="138">
        <f t="shared" si="88"/>
        <v>0.98834941333746407</v>
      </c>
      <c r="L215" s="139"/>
      <c r="M215" s="139"/>
      <c r="N215" s="137">
        <f>G215+J215</f>
        <v>210199149.34</v>
      </c>
      <c r="O215" s="213"/>
      <c r="P215" s="214"/>
    </row>
    <row r="216" spans="1:16" s="38" customFormat="1" ht="62.25" thickTop="1" thickBot="1" x14ac:dyDescent="0.25">
      <c r="A216" s="57"/>
      <c r="B216" s="75" t="s">
        <v>535</v>
      </c>
      <c r="C216" s="75" t="s">
        <v>515</v>
      </c>
      <c r="D216" s="75" t="s">
        <v>536</v>
      </c>
      <c r="E216" s="117">
        <v>1939014</v>
      </c>
      <c r="F216" s="117">
        <v>1289014</v>
      </c>
      <c r="G216" s="117">
        <v>1152707.0900000001</v>
      </c>
      <c r="H216" s="114">
        <f t="shared" si="90"/>
        <v>0.89425490336024283</v>
      </c>
      <c r="I216" s="115"/>
      <c r="J216" s="117"/>
      <c r="K216" s="116"/>
      <c r="L216" s="117"/>
      <c r="M216" s="119"/>
      <c r="N216" s="115">
        <f t="shared" ref="N216" si="92">G216+J216</f>
        <v>1152707.0900000001</v>
      </c>
      <c r="O216" s="52"/>
      <c r="P216" s="52"/>
    </row>
    <row r="217" spans="1:16" s="38" customFormat="1" ht="62.25" thickTop="1" thickBot="1" x14ac:dyDescent="0.25">
      <c r="A217" s="57"/>
      <c r="B217" s="75" t="s">
        <v>537</v>
      </c>
      <c r="C217" s="75" t="s">
        <v>515</v>
      </c>
      <c r="D217" s="75" t="s">
        <v>538</v>
      </c>
      <c r="E217" s="117">
        <v>42074105.5</v>
      </c>
      <c r="F217" s="117">
        <v>42074105.5</v>
      </c>
      <c r="G217" s="117">
        <v>41515081.770000003</v>
      </c>
      <c r="H217" s="114">
        <f t="shared" si="90"/>
        <v>0.98671335436947083</v>
      </c>
      <c r="I217" s="115">
        <v>159025894.5</v>
      </c>
      <c r="J217" s="117">
        <v>158962144</v>
      </c>
      <c r="K217" s="114">
        <f t="shared" si="88"/>
        <v>0.99959911874603546</v>
      </c>
      <c r="L217" s="117"/>
      <c r="M217" s="119"/>
      <c r="N217" s="115">
        <f>G217+J217</f>
        <v>200477225.77000001</v>
      </c>
      <c r="O217" s="52"/>
      <c r="P217" s="52"/>
    </row>
    <row r="218" spans="1:16" s="38" customFormat="1" ht="48" thickTop="1" thickBot="1" x14ac:dyDescent="0.25">
      <c r="A218" s="57"/>
      <c r="B218" s="75" t="s">
        <v>514</v>
      </c>
      <c r="C218" s="75" t="s">
        <v>515</v>
      </c>
      <c r="D218" s="75" t="s">
        <v>516</v>
      </c>
      <c r="E218" s="117">
        <v>11364039</v>
      </c>
      <c r="F218" s="117">
        <f>6893999+416040</f>
        <v>7310039</v>
      </c>
      <c r="G218" s="117">
        <f>6241428.67+416040</f>
        <v>6657468.6699999999</v>
      </c>
      <c r="H218" s="114">
        <f t="shared" si="90"/>
        <v>0.91072956929504756</v>
      </c>
      <c r="I218" s="115">
        <f>3620406.34+123960</f>
        <v>3744366.34</v>
      </c>
      <c r="J218" s="117">
        <f>1787787.81+123960</f>
        <v>1911747.81</v>
      </c>
      <c r="K218" s="114">
        <f>J218/I218</f>
        <v>0.51056644473521251</v>
      </c>
      <c r="L218" s="117"/>
      <c r="M218" s="119"/>
      <c r="N218" s="115">
        <f>G218+J218</f>
        <v>8569216.4800000004</v>
      </c>
      <c r="O218" s="12"/>
      <c r="P218" s="51"/>
    </row>
    <row r="219" spans="1:16" s="38" customFormat="1" ht="62.25" thickTop="1" thickBot="1" x14ac:dyDescent="0.25">
      <c r="A219" s="57"/>
      <c r="B219" s="136" t="s">
        <v>410</v>
      </c>
      <c r="C219" s="136"/>
      <c r="D219" s="136" t="s">
        <v>411</v>
      </c>
      <c r="E219" s="139">
        <f>SUM(E220:E220)</f>
        <v>0</v>
      </c>
      <c r="F219" s="139">
        <f>SUM(F220:F220)</f>
        <v>0</v>
      </c>
      <c r="G219" s="139">
        <f>SUM(G220:G220)</f>
        <v>0</v>
      </c>
      <c r="H219" s="138">
        <v>0</v>
      </c>
      <c r="I219" s="139">
        <f>SUM(I220:I220)</f>
        <v>1200000</v>
      </c>
      <c r="J219" s="139">
        <f>SUM(J220:J220)</f>
        <v>1035683.72</v>
      </c>
      <c r="K219" s="138">
        <f t="shared" ref="K219:K220" si="93">J219/I219</f>
        <v>0.86306976666666668</v>
      </c>
      <c r="L219" s="139"/>
      <c r="M219" s="139"/>
      <c r="N219" s="137">
        <f t="shared" si="89"/>
        <v>1035683.72</v>
      </c>
      <c r="O219" s="213" t="s">
        <v>432</v>
      </c>
      <c r="P219" s="214"/>
    </row>
    <row r="220" spans="1:16" s="38" customFormat="1" ht="48" thickTop="1" thickBot="1" x14ac:dyDescent="0.25">
      <c r="A220" s="57"/>
      <c r="B220" s="75" t="s">
        <v>520</v>
      </c>
      <c r="C220" s="75" t="s">
        <v>412</v>
      </c>
      <c r="D220" s="75" t="s">
        <v>521</v>
      </c>
      <c r="E220" s="115"/>
      <c r="F220" s="115"/>
      <c r="G220" s="115"/>
      <c r="H220" s="114"/>
      <c r="I220" s="115">
        <v>1200000</v>
      </c>
      <c r="J220" s="115">
        <v>1035683.72</v>
      </c>
      <c r="K220" s="114">
        <f t="shared" si="93"/>
        <v>0.86306976666666668</v>
      </c>
      <c r="L220" s="115"/>
      <c r="M220" s="119"/>
      <c r="N220" s="115">
        <f t="shared" si="89"/>
        <v>1035683.72</v>
      </c>
      <c r="O220" s="39"/>
      <c r="P220" s="51"/>
    </row>
    <row r="221" spans="1:16" s="38" customFormat="1" ht="62.25" thickTop="1" thickBot="1" x14ac:dyDescent="0.25">
      <c r="A221" s="57"/>
      <c r="B221" s="136" t="s">
        <v>49</v>
      </c>
      <c r="C221" s="136"/>
      <c r="D221" s="136" t="s">
        <v>50</v>
      </c>
      <c r="E221" s="137">
        <f>SUM(E222)</f>
        <v>10200000</v>
      </c>
      <c r="F221" s="137">
        <f>SUM(F222)</f>
        <v>10420000</v>
      </c>
      <c r="G221" s="137">
        <f t="shared" ref="G221:J221" si="94">SUM(G222)</f>
        <v>10420000</v>
      </c>
      <c r="H221" s="138">
        <f t="shared" si="90"/>
        <v>1</v>
      </c>
      <c r="I221" s="137">
        <f t="shared" si="94"/>
        <v>0</v>
      </c>
      <c r="J221" s="137">
        <f t="shared" si="94"/>
        <v>0</v>
      </c>
      <c r="K221" s="138">
        <v>0</v>
      </c>
      <c r="L221" s="137"/>
      <c r="M221" s="137"/>
      <c r="N221" s="137">
        <f t="shared" si="89"/>
        <v>10420000</v>
      </c>
      <c r="O221" s="213" t="s">
        <v>432</v>
      </c>
      <c r="P221" s="214"/>
    </row>
    <row r="222" spans="1:16" s="38" customFormat="1" ht="48" thickTop="1" thickBot="1" x14ac:dyDescent="0.25">
      <c r="A222" s="57"/>
      <c r="B222" s="75" t="s">
        <v>51</v>
      </c>
      <c r="C222" s="75" t="s">
        <v>52</v>
      </c>
      <c r="D222" s="75" t="s">
        <v>53</v>
      </c>
      <c r="E222" s="115">
        <v>10200000</v>
      </c>
      <c r="F222" s="115">
        <v>10420000</v>
      </c>
      <c r="G222" s="115">
        <v>10420000</v>
      </c>
      <c r="H222" s="114">
        <f t="shared" si="90"/>
        <v>1</v>
      </c>
      <c r="I222" s="115"/>
      <c r="J222" s="115"/>
      <c r="K222" s="114"/>
      <c r="L222" s="115"/>
      <c r="M222" s="119"/>
      <c r="N222" s="115">
        <f t="shared" si="89"/>
        <v>10420000</v>
      </c>
      <c r="O222" s="39"/>
      <c r="P222" s="51"/>
    </row>
    <row r="223" spans="1:16" s="38" customFormat="1" ht="62.25" thickTop="1" thickBot="1" x14ac:dyDescent="0.25">
      <c r="A223" s="57"/>
      <c r="B223" s="141">
        <v>8600</v>
      </c>
      <c r="C223" s="136" t="s">
        <v>24</v>
      </c>
      <c r="D223" s="141" t="s">
        <v>420</v>
      </c>
      <c r="E223" s="137">
        <v>835650</v>
      </c>
      <c r="F223" s="137">
        <v>835650</v>
      </c>
      <c r="G223" s="137">
        <v>517555.26</v>
      </c>
      <c r="H223" s="138">
        <f>G223/F223</f>
        <v>0.61934453419493807</v>
      </c>
      <c r="I223" s="137"/>
      <c r="J223" s="137"/>
      <c r="K223" s="137"/>
      <c r="L223" s="137"/>
      <c r="M223" s="168"/>
      <c r="N223" s="137">
        <f t="shared" si="89"/>
        <v>517555.26</v>
      </c>
      <c r="O223" s="213"/>
      <c r="P223" s="214"/>
    </row>
    <row r="224" spans="1:16" s="38" customFormat="1" ht="62.25" thickTop="1" thickBot="1" x14ac:dyDescent="0.25">
      <c r="A224" s="57"/>
      <c r="B224" s="141">
        <v>8700</v>
      </c>
      <c r="C224" s="136"/>
      <c r="D224" s="141" t="s">
        <v>421</v>
      </c>
      <c r="E224" s="137">
        <f t="shared" ref="E224:J224" si="95">E225</f>
        <v>9831693.0099999998</v>
      </c>
      <c r="F224" s="137">
        <f t="shared" si="95"/>
        <v>3831693.01</v>
      </c>
      <c r="G224" s="137">
        <f t="shared" si="95"/>
        <v>0</v>
      </c>
      <c r="H224" s="138">
        <f t="shared" ref="H224:H225" si="96">G224/F224</f>
        <v>0</v>
      </c>
      <c r="I224" s="137">
        <f t="shared" si="95"/>
        <v>0</v>
      </c>
      <c r="J224" s="137">
        <f t="shared" si="95"/>
        <v>0</v>
      </c>
      <c r="K224" s="138">
        <v>0</v>
      </c>
      <c r="L224" s="137"/>
      <c r="M224" s="137"/>
      <c r="N224" s="137">
        <f t="shared" si="89"/>
        <v>0</v>
      </c>
      <c r="O224" s="213"/>
      <c r="P224" s="214"/>
    </row>
    <row r="225" spans="1:27" s="38" customFormat="1" ht="62.25" thickTop="1" thickBot="1" x14ac:dyDescent="0.25">
      <c r="A225" s="57"/>
      <c r="B225" s="131">
        <v>8710</v>
      </c>
      <c r="C225" s="75" t="s">
        <v>29</v>
      </c>
      <c r="D225" s="130" t="s">
        <v>422</v>
      </c>
      <c r="E225" s="115">
        <v>9831693.0099999998</v>
      </c>
      <c r="F225" s="115">
        <v>3831693.01</v>
      </c>
      <c r="G225" s="115">
        <v>0</v>
      </c>
      <c r="H225" s="114">
        <f t="shared" si="96"/>
        <v>0</v>
      </c>
      <c r="I225" s="115"/>
      <c r="J225" s="115"/>
      <c r="K225" s="114"/>
      <c r="L225" s="115"/>
      <c r="M225" s="119"/>
      <c r="N225" s="115">
        <f t="shared" si="89"/>
        <v>0</v>
      </c>
      <c r="O225" s="213"/>
      <c r="P225" s="214"/>
    </row>
    <row r="226" spans="1:27" s="38" customFormat="1" ht="103.7" customHeight="1" thickTop="1" thickBot="1" x14ac:dyDescent="0.25">
      <c r="A226" s="60"/>
      <c r="B226" s="77" t="s">
        <v>54</v>
      </c>
      <c r="C226" s="77"/>
      <c r="D226" s="78" t="s">
        <v>55</v>
      </c>
      <c r="E226" s="79">
        <f>SUM(E227:E233)-E227-E229</f>
        <v>124454771.14</v>
      </c>
      <c r="F226" s="79">
        <f>SUM(F227:F233)-F227-F229</f>
        <v>127598417.54000001</v>
      </c>
      <c r="G226" s="79">
        <f>SUM(G227:G233)-G227-G229</f>
        <v>126990252.04000001</v>
      </c>
      <c r="H226" s="80">
        <f>G226/F226</f>
        <v>0.99523375358625155</v>
      </c>
      <c r="I226" s="79">
        <f>SUM(I227:I233)-I227-I229</f>
        <v>197700039.46000001</v>
      </c>
      <c r="J226" s="79">
        <f>SUM(J227:J233)-J227-J229</f>
        <v>190499615.94999999</v>
      </c>
      <c r="K226" s="80">
        <f t="shared" ref="K226" si="97">J226/I226</f>
        <v>0.96357904869585598</v>
      </c>
      <c r="L226" s="79"/>
      <c r="M226" s="79"/>
      <c r="N226" s="81">
        <f>J226+G226</f>
        <v>317489867.99000001</v>
      </c>
      <c r="O226" s="53" t="b">
        <f>N226=N228+N230+N231+N232+N233</f>
        <v>1</v>
      </c>
      <c r="P226" s="213"/>
      <c r="Q226" s="214"/>
    </row>
    <row r="227" spans="1:27" s="38" customFormat="1" ht="103.7" hidden="1" customHeight="1" thickTop="1" thickBot="1" x14ac:dyDescent="0.25">
      <c r="A227" s="60"/>
      <c r="B227" s="110" t="s">
        <v>423</v>
      </c>
      <c r="C227" s="110"/>
      <c r="D227" s="110" t="s">
        <v>424</v>
      </c>
      <c r="E227" s="100">
        <f t="shared" ref="E227:J227" si="98">E228</f>
        <v>0</v>
      </c>
      <c r="F227" s="100">
        <f t="shared" si="98"/>
        <v>0</v>
      </c>
      <c r="G227" s="100">
        <f t="shared" si="98"/>
        <v>0</v>
      </c>
      <c r="H227" s="111" t="e">
        <f>G227/F227</f>
        <v>#DIV/0!</v>
      </c>
      <c r="I227" s="100">
        <f t="shared" si="98"/>
        <v>0</v>
      </c>
      <c r="J227" s="100">
        <f t="shared" si="98"/>
        <v>0</v>
      </c>
      <c r="K227" s="111">
        <v>0</v>
      </c>
      <c r="L227" s="100"/>
      <c r="M227" s="100"/>
      <c r="N227" s="100">
        <f t="shared" si="89"/>
        <v>0</v>
      </c>
      <c r="O227" s="213" t="s">
        <v>432</v>
      </c>
      <c r="P227" s="214"/>
    </row>
    <row r="228" spans="1:27" s="38" customFormat="1" ht="103.7" hidden="1" customHeight="1" thickTop="1" thickBot="1" x14ac:dyDescent="0.25">
      <c r="A228" s="60"/>
      <c r="B228" s="104">
        <v>9110</v>
      </c>
      <c r="C228" s="90" t="s">
        <v>28</v>
      </c>
      <c r="D228" s="103" t="s">
        <v>425</v>
      </c>
      <c r="E228" s="91">
        <v>0</v>
      </c>
      <c r="F228" s="91">
        <v>0</v>
      </c>
      <c r="G228" s="91">
        <v>0</v>
      </c>
      <c r="H228" s="89" t="e">
        <f>G228/F228</f>
        <v>#DIV/0!</v>
      </c>
      <c r="I228" s="91"/>
      <c r="J228" s="91"/>
      <c r="K228" s="91"/>
      <c r="L228" s="91"/>
      <c r="M228" s="92"/>
      <c r="N228" s="91">
        <f t="shared" si="89"/>
        <v>0</v>
      </c>
      <c r="O228" s="12"/>
    </row>
    <row r="229" spans="1:27" s="38" customFormat="1" ht="91.5" thickTop="1" thickBot="1" x14ac:dyDescent="0.25">
      <c r="A229" s="60"/>
      <c r="B229" s="136" t="s">
        <v>56</v>
      </c>
      <c r="C229" s="136"/>
      <c r="D229" s="136" t="s">
        <v>57</v>
      </c>
      <c r="E229" s="137">
        <f>SUM(E230:E231)</f>
        <v>1483600</v>
      </c>
      <c r="F229" s="137">
        <f t="shared" ref="F229:G229" si="99">SUM(F230:F231)</f>
        <v>2233600</v>
      </c>
      <c r="G229" s="137">
        <f t="shared" si="99"/>
        <v>1777290.45</v>
      </c>
      <c r="H229" s="138">
        <f t="shared" ref="H229:H233" si="100">G229/F229</f>
        <v>0.79570668427650426</v>
      </c>
      <c r="I229" s="137">
        <f t="shared" ref="I229:J229" si="101">SUM(I230:I231)</f>
        <v>0</v>
      </c>
      <c r="J229" s="137">
        <f t="shared" si="101"/>
        <v>0</v>
      </c>
      <c r="K229" s="138">
        <v>0</v>
      </c>
      <c r="L229" s="137"/>
      <c r="M229" s="137"/>
      <c r="N229" s="137">
        <f t="shared" si="89"/>
        <v>1777290.45</v>
      </c>
      <c r="O229" s="213" t="s">
        <v>432</v>
      </c>
      <c r="P229" s="214"/>
    </row>
    <row r="230" spans="1:27" s="38" customFormat="1" ht="138.75" thickTop="1" thickBot="1" x14ac:dyDescent="0.25">
      <c r="A230" s="57"/>
      <c r="B230" s="75" t="s">
        <v>58</v>
      </c>
      <c r="C230" s="75" t="s">
        <v>28</v>
      </c>
      <c r="D230" s="75" t="s">
        <v>59</v>
      </c>
      <c r="E230" s="115">
        <v>1178000</v>
      </c>
      <c r="F230" s="115">
        <v>1178000</v>
      </c>
      <c r="G230" s="115">
        <v>851531.45</v>
      </c>
      <c r="H230" s="114">
        <f>G230/F230</f>
        <v>0.72286201188455002</v>
      </c>
      <c r="I230" s="115"/>
      <c r="J230" s="115"/>
      <c r="K230" s="115"/>
      <c r="L230" s="115"/>
      <c r="M230" s="119"/>
      <c r="N230" s="115">
        <f t="shared" si="89"/>
        <v>851531.45</v>
      </c>
      <c r="O230" s="39"/>
      <c r="P230" s="51"/>
    </row>
    <row r="231" spans="1:27" s="38" customFormat="1" ht="60.75" thickTop="1" thickBot="1" x14ac:dyDescent="0.8">
      <c r="A231" s="57"/>
      <c r="B231" s="75" t="s">
        <v>60</v>
      </c>
      <c r="C231" s="75" t="s">
        <v>28</v>
      </c>
      <c r="D231" s="75" t="s">
        <v>61</v>
      </c>
      <c r="E231" s="115">
        <v>305600</v>
      </c>
      <c r="F231" s="115">
        <f>155600+250000+650000</f>
        <v>1055600</v>
      </c>
      <c r="G231" s="115">
        <f>147939+250000+527820</f>
        <v>925759</v>
      </c>
      <c r="H231" s="114">
        <f>G231/F231</f>
        <v>0.8769979158772262</v>
      </c>
      <c r="I231" s="115"/>
      <c r="J231" s="115"/>
      <c r="K231" s="114"/>
      <c r="L231" s="115"/>
      <c r="M231" s="119"/>
      <c r="N231" s="115">
        <f t="shared" si="89"/>
        <v>925759</v>
      </c>
      <c r="O231" s="54"/>
      <c r="P231" s="51"/>
    </row>
    <row r="232" spans="1:27" s="38" customFormat="1" ht="91.5" thickTop="1" thickBot="1" x14ac:dyDescent="0.25">
      <c r="A232" s="57"/>
      <c r="B232" s="136" t="s">
        <v>62</v>
      </c>
      <c r="C232" s="136" t="s">
        <v>28</v>
      </c>
      <c r="D232" s="136" t="s">
        <v>63</v>
      </c>
      <c r="E232" s="143">
        <v>122971171.14</v>
      </c>
      <c r="F232" s="143">
        <v>125364817.54000001</v>
      </c>
      <c r="G232" s="143">
        <v>125212961.59</v>
      </c>
      <c r="H232" s="142">
        <f t="shared" si="100"/>
        <v>0.99878868766389306</v>
      </c>
      <c r="I232" s="143">
        <v>197700039.46000001</v>
      </c>
      <c r="J232" s="143">
        <v>190499615.94999999</v>
      </c>
      <c r="K232" s="138">
        <f t="shared" ref="K232" si="102">J232/I232</f>
        <v>0.96357904869585598</v>
      </c>
      <c r="L232" s="137"/>
      <c r="M232" s="137"/>
      <c r="N232" s="143">
        <f t="shared" ref="N232:N233" si="103">G232+J232</f>
        <v>315712577.53999996</v>
      </c>
      <c r="O232" s="39"/>
      <c r="P232" s="51"/>
    </row>
    <row r="233" spans="1:27" s="38" customFormat="1" ht="230.25" hidden="1" thickTop="1" thickBot="1" x14ac:dyDescent="0.25">
      <c r="A233" s="57"/>
      <c r="B233" s="85" t="s">
        <v>545</v>
      </c>
      <c r="C233" s="85" t="s">
        <v>28</v>
      </c>
      <c r="D233" s="85" t="s">
        <v>544</v>
      </c>
      <c r="E233" s="86">
        <v>0</v>
      </c>
      <c r="F233" s="86">
        <v>0</v>
      </c>
      <c r="G233" s="86">
        <v>0</v>
      </c>
      <c r="H233" s="84" t="e">
        <f t="shared" si="100"/>
        <v>#DIV/0!</v>
      </c>
      <c r="I233" s="86"/>
      <c r="J233" s="86"/>
      <c r="K233" s="84"/>
      <c r="L233" s="86"/>
      <c r="M233" s="87"/>
      <c r="N233" s="86">
        <f t="shared" si="103"/>
        <v>0</v>
      </c>
      <c r="O233" s="39"/>
      <c r="P233" s="51"/>
    </row>
    <row r="234" spans="1:27" s="38" customFormat="1" ht="71.45" customHeight="1" thickTop="1" thickBot="1" x14ac:dyDescent="0.25">
      <c r="A234" s="60"/>
      <c r="B234" s="63" t="s">
        <v>426</v>
      </c>
      <c r="C234" s="63" t="s">
        <v>426</v>
      </c>
      <c r="D234" s="64" t="s">
        <v>435</v>
      </c>
      <c r="E234" s="65">
        <f>E14+E19+E59+E74+E131+E140+E156+E171+E211+E226</f>
        <v>4012296495.3399997</v>
      </c>
      <c r="F234" s="65">
        <f>F14+F19+F59+F74+F131+F140+F156+F171+F211+F226</f>
        <v>4072217295.6799994</v>
      </c>
      <c r="G234" s="65">
        <f>G14+G19+G59+G74+G131+G140+G156+G171+G211+G226</f>
        <v>3988546893.8000002</v>
      </c>
      <c r="H234" s="66">
        <f>G234/F234</f>
        <v>0.97945335530872557</v>
      </c>
      <c r="I234" s="65">
        <f>I14+I19+I59+I74+I131+I140+I156+I171+I211+I226</f>
        <v>1470428677.1099999</v>
      </c>
      <c r="J234" s="65">
        <f>J14+J19+J59+J74+J131+J140+J156+J171+J211+J226</f>
        <v>1374896015.9100001</v>
      </c>
      <c r="K234" s="66">
        <f>J234/I234</f>
        <v>0.93503074124767416</v>
      </c>
      <c r="L234" s="65" t="e">
        <f>#REF!+#REF!+#REF!+#REF!+#REF!+#REF!++L148+L157+L222+L181+L202+L214+L166+#REF!+#REF!</f>
        <v>#REF!</v>
      </c>
      <c r="M234" s="65" t="e">
        <f>#REF!+#REF!+#REF!+#REF!+#REF!+#REF!++M148+M157+M222+M181+M202+M214+M166+#REF!+#REF!</f>
        <v>#REF!</v>
      </c>
      <c r="N234" s="65">
        <f>N14+N19+N59+N74+N131+N140+N156+N171+N211+N226</f>
        <v>5363442909.71</v>
      </c>
      <c r="O234" s="53" t="b">
        <f>N234=J234+G234</f>
        <v>1</v>
      </c>
      <c r="P234" s="51"/>
    </row>
    <row r="235" spans="1:27" s="38" customFormat="1" ht="62.25" thickTop="1" thickBot="1" x14ac:dyDescent="0.25">
      <c r="A235" s="57"/>
      <c r="B235" s="8" t="s">
        <v>47</v>
      </c>
      <c r="C235" s="169"/>
      <c r="D235" s="170" t="s">
        <v>440</v>
      </c>
      <c r="E235" s="171">
        <f>E236</f>
        <v>0</v>
      </c>
      <c r="F235" s="171">
        <f t="shared" ref="F235:G235" si="104">F236</f>
        <v>0</v>
      </c>
      <c r="G235" s="171">
        <f t="shared" si="104"/>
        <v>0</v>
      </c>
      <c r="H235" s="142">
        <v>0</v>
      </c>
      <c r="I235" s="171">
        <f>I236</f>
        <v>0</v>
      </c>
      <c r="J235" s="171">
        <f>J236</f>
        <v>-268455.71999999997</v>
      </c>
      <c r="K235" s="142"/>
      <c r="L235" s="171"/>
      <c r="M235" s="171"/>
      <c r="N235" s="143">
        <f t="shared" ref="N235:N242" si="105">G235+J235</f>
        <v>-268455.71999999997</v>
      </c>
      <c r="O235" s="213" t="s">
        <v>432</v>
      </c>
      <c r="P235" s="214"/>
    </row>
    <row r="236" spans="1:27" s="38" customFormat="1" ht="62.25" thickTop="1" thickBot="1" x14ac:dyDescent="0.25">
      <c r="A236" s="57"/>
      <c r="B236" s="136" t="s">
        <v>438</v>
      </c>
      <c r="C236" s="169"/>
      <c r="D236" s="172" t="s">
        <v>441</v>
      </c>
      <c r="E236" s="168">
        <f>E237+E242+E240</f>
        <v>0</v>
      </c>
      <c r="F236" s="168">
        <f t="shared" ref="F236:G236" si="106">F237+F242+F240</f>
        <v>0</v>
      </c>
      <c r="G236" s="168">
        <f t="shared" si="106"/>
        <v>0</v>
      </c>
      <c r="H236" s="138">
        <v>0</v>
      </c>
      <c r="I236" s="168">
        <f>I237+I242+I240</f>
        <v>0</v>
      </c>
      <c r="J236" s="168">
        <f>J237+J242+J240</f>
        <v>-268455.71999999997</v>
      </c>
      <c r="K236" s="138"/>
      <c r="L236" s="168"/>
      <c r="M236" s="168"/>
      <c r="N236" s="137">
        <f t="shared" si="105"/>
        <v>-268455.71999999997</v>
      </c>
      <c r="O236" s="213" t="s">
        <v>432</v>
      </c>
      <c r="P236" s="214"/>
    </row>
    <row r="237" spans="1:27" s="38" customFormat="1" ht="138.75" thickTop="1" thickBot="1" x14ac:dyDescent="0.25">
      <c r="A237" s="60"/>
      <c r="B237" s="76" t="s">
        <v>439</v>
      </c>
      <c r="C237" s="169"/>
      <c r="D237" s="173" t="s">
        <v>442</v>
      </c>
      <c r="E237" s="148">
        <f>E238+E239</f>
        <v>0</v>
      </c>
      <c r="F237" s="148">
        <f>F238+F239</f>
        <v>0</v>
      </c>
      <c r="G237" s="148">
        <f>G238+G239</f>
        <v>0</v>
      </c>
      <c r="H237" s="116">
        <v>0</v>
      </c>
      <c r="I237" s="148">
        <f>I238+I239</f>
        <v>0</v>
      </c>
      <c r="J237" s="148">
        <f>J238+J239</f>
        <v>-254505.27</v>
      </c>
      <c r="K237" s="114"/>
      <c r="L237" s="148"/>
      <c r="M237" s="148"/>
      <c r="N237" s="125">
        <f t="shared" si="105"/>
        <v>-254505.27</v>
      </c>
      <c r="O237" s="213" t="s">
        <v>432</v>
      </c>
      <c r="P237" s="214"/>
    </row>
    <row r="238" spans="1:27" s="38" customFormat="1" ht="184.5" hidden="1" customHeight="1" thickTop="1" thickBot="1" x14ac:dyDescent="0.25">
      <c r="A238" s="60"/>
      <c r="B238" s="174" t="s">
        <v>436</v>
      </c>
      <c r="C238" s="174" t="s">
        <v>88</v>
      </c>
      <c r="D238" s="175" t="s">
        <v>443</v>
      </c>
      <c r="E238" s="119">
        <v>0</v>
      </c>
      <c r="F238" s="119">
        <v>0</v>
      </c>
      <c r="G238" s="119">
        <v>0</v>
      </c>
      <c r="H238" s="114">
        <v>0</v>
      </c>
      <c r="I238" s="119">
        <v>0</v>
      </c>
      <c r="J238" s="119">
        <v>0</v>
      </c>
      <c r="K238" s="114" t="e">
        <f>J238/I238</f>
        <v>#DIV/0!</v>
      </c>
      <c r="L238" s="171"/>
      <c r="M238" s="171"/>
      <c r="N238" s="115">
        <f>G238+J238</f>
        <v>0</v>
      </c>
      <c r="O238" s="213" t="s">
        <v>432</v>
      </c>
      <c r="P238" s="214"/>
    </row>
    <row r="239" spans="1:27" s="38" customFormat="1" ht="138.75" thickTop="1" thickBot="1" x14ac:dyDescent="1.2">
      <c r="A239" s="57"/>
      <c r="B239" s="174" t="s">
        <v>437</v>
      </c>
      <c r="C239" s="174" t="s">
        <v>88</v>
      </c>
      <c r="D239" s="175" t="s">
        <v>444</v>
      </c>
      <c r="E239" s="171"/>
      <c r="F239" s="171"/>
      <c r="G239" s="171"/>
      <c r="H239" s="138"/>
      <c r="I239" s="119">
        <v>0</v>
      </c>
      <c r="J239" s="119">
        <v>-254505.27</v>
      </c>
      <c r="K239" s="114"/>
      <c r="L239" s="171"/>
      <c r="M239" s="171"/>
      <c r="N239" s="115">
        <f t="shared" si="105"/>
        <v>-254505.27</v>
      </c>
      <c r="O239" s="213" t="s">
        <v>432</v>
      </c>
      <c r="P239" s="214"/>
      <c r="AA239" s="56"/>
    </row>
    <row r="240" spans="1:27" s="38" customFormat="1" ht="93" thickTop="1" thickBot="1" x14ac:dyDescent="1.2">
      <c r="A240" s="60"/>
      <c r="B240" s="176" t="s">
        <v>555</v>
      </c>
      <c r="C240" s="176"/>
      <c r="D240" s="177" t="s">
        <v>554</v>
      </c>
      <c r="E240" s="148">
        <f>E241</f>
        <v>0</v>
      </c>
      <c r="F240" s="148">
        <f>F241</f>
        <v>0</v>
      </c>
      <c r="G240" s="148">
        <f>G241</f>
        <v>0</v>
      </c>
      <c r="H240" s="116">
        <v>0</v>
      </c>
      <c r="I240" s="148">
        <f>I241</f>
        <v>0</v>
      </c>
      <c r="J240" s="148">
        <f>J241</f>
        <v>-13950.45</v>
      </c>
      <c r="K240" s="116"/>
      <c r="L240" s="148"/>
      <c r="M240" s="148"/>
      <c r="N240" s="125">
        <f t="shared" ref="N240" si="107">G240+J240</f>
        <v>-13950.45</v>
      </c>
      <c r="O240" s="213" t="s">
        <v>432</v>
      </c>
      <c r="P240" s="214"/>
      <c r="AA240" s="56"/>
    </row>
    <row r="241" spans="1:27" s="38" customFormat="1" ht="93" thickTop="1" thickBot="1" x14ac:dyDescent="1.2">
      <c r="A241" s="60"/>
      <c r="B241" s="174" t="s">
        <v>556</v>
      </c>
      <c r="C241" s="174" t="s">
        <v>88</v>
      </c>
      <c r="D241" s="175" t="s">
        <v>557</v>
      </c>
      <c r="E241" s="119"/>
      <c r="F241" s="119"/>
      <c r="G241" s="119"/>
      <c r="H241" s="114"/>
      <c r="I241" s="119">
        <v>0</v>
      </c>
      <c r="J241" s="119">
        <v>-13950.45</v>
      </c>
      <c r="K241" s="114"/>
      <c r="L241" s="171"/>
      <c r="M241" s="171"/>
      <c r="N241" s="115">
        <f>G241+J241</f>
        <v>-13950.45</v>
      </c>
      <c r="O241" s="213" t="s">
        <v>432</v>
      </c>
      <c r="P241" s="214"/>
      <c r="AA241" s="56"/>
    </row>
    <row r="242" spans="1:27" s="38" customFormat="1" ht="93" thickTop="1" thickBot="1" x14ac:dyDescent="1.2">
      <c r="A242" s="60"/>
      <c r="B242" s="176" t="s">
        <v>553</v>
      </c>
      <c r="C242" s="169"/>
      <c r="D242" s="173" t="s">
        <v>550</v>
      </c>
      <c r="E242" s="148">
        <f>SUM(E243:E244)</f>
        <v>0</v>
      </c>
      <c r="F242" s="148">
        <f>SUM(F243:F244)</f>
        <v>0</v>
      </c>
      <c r="G242" s="148">
        <f>SUM(G243:G244)</f>
        <v>0</v>
      </c>
      <c r="H242" s="116">
        <v>0</v>
      </c>
      <c r="I242" s="148">
        <f>SUM(I243:I244)</f>
        <v>0</v>
      </c>
      <c r="J242" s="148">
        <f>SUM(J243:J244)</f>
        <v>0</v>
      </c>
      <c r="K242" s="116">
        <v>0</v>
      </c>
      <c r="L242" s="148"/>
      <c r="M242" s="148"/>
      <c r="N242" s="125">
        <f t="shared" si="105"/>
        <v>0</v>
      </c>
      <c r="O242" s="213" t="s">
        <v>432</v>
      </c>
      <c r="P242" s="214"/>
      <c r="AA242" s="56"/>
    </row>
    <row r="243" spans="1:27" s="38" customFormat="1" ht="93" thickTop="1" thickBot="1" x14ac:dyDescent="1.2">
      <c r="A243" s="60"/>
      <c r="B243" s="174" t="s">
        <v>552</v>
      </c>
      <c r="C243" s="174" t="s">
        <v>39</v>
      </c>
      <c r="D243" s="175" t="s">
        <v>551</v>
      </c>
      <c r="E243" s="171"/>
      <c r="F243" s="171"/>
      <c r="G243" s="171"/>
      <c r="H243" s="138"/>
      <c r="I243" s="119">
        <v>17857810</v>
      </c>
      <c r="J243" s="119">
        <v>0</v>
      </c>
      <c r="K243" s="114">
        <f>J243/I243</f>
        <v>0</v>
      </c>
      <c r="L243" s="171"/>
      <c r="M243" s="171"/>
      <c r="N243" s="115">
        <f>G243+J243</f>
        <v>0</v>
      </c>
      <c r="O243" s="83"/>
      <c r="P243" s="51"/>
      <c r="AA243" s="56"/>
    </row>
    <row r="244" spans="1:27" s="38" customFormat="1" ht="93" thickTop="1" thickBot="1" x14ac:dyDescent="1.2">
      <c r="A244" s="60"/>
      <c r="B244" s="174" t="s">
        <v>572</v>
      </c>
      <c r="C244" s="174" t="s">
        <v>39</v>
      </c>
      <c r="D244" s="175" t="s">
        <v>573</v>
      </c>
      <c r="E244" s="171"/>
      <c r="F244" s="171"/>
      <c r="G244" s="171"/>
      <c r="H244" s="138"/>
      <c r="I244" s="119">
        <v>-17857810</v>
      </c>
      <c r="J244" s="119">
        <v>0</v>
      </c>
      <c r="K244" s="114">
        <f>J244/I244</f>
        <v>0</v>
      </c>
      <c r="L244" s="171"/>
      <c r="M244" s="171"/>
      <c r="N244" s="115">
        <f>G244+J244</f>
        <v>0</v>
      </c>
      <c r="O244" s="83"/>
      <c r="P244" s="51"/>
      <c r="AA244" s="56"/>
    </row>
    <row r="245" spans="1:27" s="38" customFormat="1" ht="119.25" customHeight="1" thickTop="1" thickBot="1" x14ac:dyDescent="0.25">
      <c r="A245" s="60"/>
      <c r="B245" s="63" t="s">
        <v>426</v>
      </c>
      <c r="C245" s="63" t="s">
        <v>426</v>
      </c>
      <c r="D245" s="64" t="s">
        <v>427</v>
      </c>
      <c r="E245" s="65">
        <f>E234+E235</f>
        <v>4012296495.3399997</v>
      </c>
      <c r="F245" s="65">
        <f>F234+F235</f>
        <v>4072217295.6799994</v>
      </c>
      <c r="G245" s="65">
        <f>G234+G235</f>
        <v>3988546893.8000002</v>
      </c>
      <c r="H245" s="66">
        <f>G245/F245</f>
        <v>0.97945335530872557</v>
      </c>
      <c r="I245" s="65">
        <f>I234+I235</f>
        <v>1470428677.1099999</v>
      </c>
      <c r="J245" s="65">
        <f>J234+J235</f>
        <v>1374627560.1900001</v>
      </c>
      <c r="K245" s="66">
        <f>J245/I245</f>
        <v>0.93484817154934119</v>
      </c>
      <c r="L245" s="65" t="e">
        <f>#REF!+#REF!+#REF!+#REF!+#REF!+#REF!++L155+L164+L228+L194+L208+#REF!+L174+#REF!+#REF!</f>
        <v>#REF!</v>
      </c>
      <c r="M245" s="65" t="e">
        <f>#REF!+#REF!+#REF!+#REF!+#REF!+#REF!++M155+M164+M228+M194+M208+#REF!+M174+#REF!+#REF!</f>
        <v>#REF!</v>
      </c>
      <c r="N245" s="65">
        <f>N234+N235</f>
        <v>5363174453.9899998</v>
      </c>
      <c r="O245" s="53" t="b">
        <f>N245=J245+G245</f>
        <v>1</v>
      </c>
      <c r="P245" s="51"/>
      <c r="S245" s="65">
        <f>N245/(I245+F245)*100</f>
        <v>96.761988413457004</v>
      </c>
      <c r="T245" s="65">
        <f>G245/E245*100</f>
        <v>99.408079598115876</v>
      </c>
    </row>
    <row r="246" spans="1:27" ht="46.5" thickTop="1" x14ac:dyDescent="0.2">
      <c r="A246" s="198" t="s">
        <v>534</v>
      </c>
      <c r="B246" s="198"/>
      <c r="C246" s="198"/>
      <c r="D246" s="198"/>
      <c r="E246" s="198"/>
      <c r="F246" s="198"/>
      <c r="G246" s="198"/>
      <c r="H246" s="198"/>
      <c r="I246" s="198"/>
      <c r="J246" s="198"/>
      <c r="K246" s="198"/>
      <c r="L246" s="198"/>
      <c r="M246" s="198"/>
      <c r="N246" s="198"/>
      <c r="O246" s="40"/>
    </row>
    <row r="247" spans="1:27" ht="45.75" x14ac:dyDescent="0.65">
      <c r="A247" s="41"/>
      <c r="B247" s="42"/>
      <c r="C247" s="42"/>
      <c r="D247" s="43" t="s">
        <v>563</v>
      </c>
      <c r="E247"/>
      <c r="F247"/>
      <c r="G247" s="43"/>
      <c r="H247" s="45"/>
      <c r="I247" s="43" t="s">
        <v>564</v>
      </c>
      <c r="J247" s="45"/>
      <c r="K247" s="45"/>
      <c r="L247" s="45"/>
      <c r="M247" s="45"/>
      <c r="N247" s="45"/>
      <c r="O247" s="40"/>
    </row>
    <row r="248" spans="1:27" ht="45.75" x14ac:dyDescent="0.65">
      <c r="A248" s="61"/>
      <c r="B248" s="62"/>
      <c r="C248" s="62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40"/>
    </row>
    <row r="249" spans="1:27" ht="45.75" x14ac:dyDescent="0.65">
      <c r="A249" s="41"/>
      <c r="B249" s="42"/>
      <c r="C249" s="42"/>
      <c r="D249" s="43" t="s">
        <v>561</v>
      </c>
      <c r="E249" s="44"/>
      <c r="F249" s="44"/>
      <c r="G249" s="43"/>
      <c r="H249" s="45"/>
      <c r="I249" s="43" t="s">
        <v>562</v>
      </c>
      <c r="J249" s="45"/>
      <c r="K249" s="45"/>
      <c r="L249" s="45"/>
      <c r="M249" s="45"/>
      <c r="N249" s="45"/>
      <c r="O249" s="40"/>
    </row>
    <row r="250" spans="1:27" ht="45.75" x14ac:dyDescent="0.65">
      <c r="A250" s="2"/>
      <c r="B250" s="2"/>
      <c r="C250" s="2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46"/>
    </row>
    <row r="267" spans="5:10" ht="47.25" hidden="1" thickTop="1" thickBot="1" x14ac:dyDescent="0.25">
      <c r="E267" s="55">
        <f>E234-E226-E224</f>
        <v>3878010031.1899996</v>
      </c>
      <c r="F267" s="55">
        <f>F234-F226-F224</f>
        <v>3940787185.1299992</v>
      </c>
      <c r="I267" s="55">
        <f>I234-I226-I224</f>
        <v>1272728637.6499999</v>
      </c>
      <c r="J267" s="112"/>
    </row>
    <row r="275" spans="9:9" ht="45.75" x14ac:dyDescent="0.2">
      <c r="I275" s="112"/>
    </row>
    <row r="279" spans="9:9" ht="294" customHeight="1" x14ac:dyDescent="0.2"/>
    <row r="280" spans="9:9" ht="258" customHeight="1" x14ac:dyDescent="0.2"/>
    <row r="281" spans="9:9" ht="180" customHeight="1" x14ac:dyDescent="0.2"/>
    <row r="282" spans="9:9" ht="249" customHeight="1" x14ac:dyDescent="0.2"/>
  </sheetData>
  <mergeCells count="156">
    <mergeCell ref="L125:L126"/>
    <mergeCell ref="M125:M126"/>
    <mergeCell ref="N125:N126"/>
    <mergeCell ref="B125:B126"/>
    <mergeCell ref="C125:C126"/>
    <mergeCell ref="E125:E126"/>
    <mergeCell ref="F125:F126"/>
    <mergeCell ref="G125:G126"/>
    <mergeCell ref="H125:H126"/>
    <mergeCell ref="I125:I126"/>
    <mergeCell ref="J125:J126"/>
    <mergeCell ref="K125:K126"/>
    <mergeCell ref="L119:L121"/>
    <mergeCell ref="M119:M121"/>
    <mergeCell ref="N119:N121"/>
    <mergeCell ref="B122:B124"/>
    <mergeCell ref="C122:C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M122:M124"/>
    <mergeCell ref="N122:N124"/>
    <mergeCell ref="C119:C121"/>
    <mergeCell ref="B119:B121"/>
    <mergeCell ref="E119:E121"/>
    <mergeCell ref="F119:F121"/>
    <mergeCell ref="G119:G121"/>
    <mergeCell ref="H119:H121"/>
    <mergeCell ref="I119:I121"/>
    <mergeCell ref="J119:J121"/>
    <mergeCell ref="K119:K121"/>
    <mergeCell ref="O195:P195"/>
    <mergeCell ref="O242:P242"/>
    <mergeCell ref="O238:P238"/>
    <mergeCell ref="O237:P237"/>
    <mergeCell ref="O236:P236"/>
    <mergeCell ref="O235:P235"/>
    <mergeCell ref="O213:P213"/>
    <mergeCell ref="O225:P225"/>
    <mergeCell ref="O224:P224"/>
    <mergeCell ref="O215:P215"/>
    <mergeCell ref="O240:P240"/>
    <mergeCell ref="O229:P229"/>
    <mergeCell ref="P226:Q226"/>
    <mergeCell ref="O239:P239"/>
    <mergeCell ref="O241:P241"/>
    <mergeCell ref="O219:P219"/>
    <mergeCell ref="O221:P221"/>
    <mergeCell ref="O227:P227"/>
    <mergeCell ref="O223:P223"/>
    <mergeCell ref="O200:P200"/>
    <mergeCell ref="B208:B209"/>
    <mergeCell ref="K208:K209"/>
    <mergeCell ref="O203:P203"/>
    <mergeCell ref="C208:C209"/>
    <mergeCell ref="E208:E209"/>
    <mergeCell ref="F208:F209"/>
    <mergeCell ref="G208:G209"/>
    <mergeCell ref="H208:H209"/>
    <mergeCell ref="I208:I209"/>
    <mergeCell ref="J208:J209"/>
    <mergeCell ref="B105:B107"/>
    <mergeCell ref="C105:C107"/>
    <mergeCell ref="B108:B111"/>
    <mergeCell ref="C108:C111"/>
    <mergeCell ref="B112:B114"/>
    <mergeCell ref="C112:C114"/>
    <mergeCell ref="E108:E111"/>
    <mergeCell ref="E112:E114"/>
    <mergeCell ref="O212:P212"/>
    <mergeCell ref="O172:P172"/>
    <mergeCell ref="O173:P173"/>
    <mergeCell ref="K112:K114"/>
    <mergeCell ref="K108:K111"/>
    <mergeCell ref="I112:I114"/>
    <mergeCell ref="J112:J114"/>
    <mergeCell ref="I108:I111"/>
    <mergeCell ref="J108:J111"/>
    <mergeCell ref="E115:E117"/>
    <mergeCell ref="I115:I117"/>
    <mergeCell ref="J115:J117"/>
    <mergeCell ref="O174:P174"/>
    <mergeCell ref="O186:P186"/>
    <mergeCell ref="O193:P193"/>
    <mergeCell ref="O194:P194"/>
    <mergeCell ref="E28:E29"/>
    <mergeCell ref="F28:F29"/>
    <mergeCell ref="N108:N111"/>
    <mergeCell ref="F112:F114"/>
    <mergeCell ref="G112:G114"/>
    <mergeCell ref="O169:P169"/>
    <mergeCell ref="O170:P170"/>
    <mergeCell ref="H105:H107"/>
    <mergeCell ref="H108:H111"/>
    <mergeCell ref="H112:H114"/>
    <mergeCell ref="H115:H117"/>
    <mergeCell ref="N112:N114"/>
    <mergeCell ref="G105:G107"/>
    <mergeCell ref="I105:I107"/>
    <mergeCell ref="J105:J107"/>
    <mergeCell ref="N105:N107"/>
    <mergeCell ref="H28:H29"/>
    <mergeCell ref="O28:O29"/>
    <mergeCell ref="K115:K117"/>
    <mergeCell ref="N115:N117"/>
    <mergeCell ref="F115:F117"/>
    <mergeCell ref="G115:G117"/>
    <mergeCell ref="F108:F111"/>
    <mergeCell ref="G108:G111"/>
    <mergeCell ref="D250:N250"/>
    <mergeCell ref="F11:F12"/>
    <mergeCell ref="G11:G12"/>
    <mergeCell ref="K11:K12"/>
    <mergeCell ref="L208:L209"/>
    <mergeCell ref="M208:M209"/>
    <mergeCell ref="N208:N209"/>
    <mergeCell ref="L28:L29"/>
    <mergeCell ref="M28:M29"/>
    <mergeCell ref="N28:N29"/>
    <mergeCell ref="G28:G29"/>
    <mergeCell ref="I28:I29"/>
    <mergeCell ref="J28:J29"/>
    <mergeCell ref="K28:K29"/>
    <mergeCell ref="A246:N246"/>
    <mergeCell ref="D248:N248"/>
    <mergeCell ref="A28:A29"/>
    <mergeCell ref="B115:B117"/>
    <mergeCell ref="C115:C117"/>
    <mergeCell ref="E105:E107"/>
    <mergeCell ref="K105:K107"/>
    <mergeCell ref="F105:F107"/>
    <mergeCell ref="B28:B29"/>
    <mergeCell ref="C28:C29"/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17" orientation="landscape" r:id="rId1"/>
  <headerFooter alignWithMargins="0">
    <oddFooter>&amp;C&amp;"Times New Roman Cyr,курсив"Сторінка &amp;P з &amp;N</oddFooter>
  </headerFooter>
  <rowBreaks count="2" manualBreakCount="2">
    <brk id="95" min="1" max="13" man="1"/>
    <brk id="12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2025-02-07T07:51:14Z</cp:lastPrinted>
  <dcterms:created xsi:type="dcterms:W3CDTF">2021-05-18T12:47:38Z</dcterms:created>
  <dcterms:modified xsi:type="dcterms:W3CDTF">2025-02-07T07:51:36Z</dcterms:modified>
</cp:coreProperties>
</file>