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O:\BUDJET\2019\Рішення від 12.12.2018 року №\"/>
    </mc:Choice>
  </mc:AlternateContent>
  <xr:revisionPtr revIDLastSave="0" documentId="13_ncr:1_{EA3031AC-304D-43B0-89E7-5A332652BA67}" xr6:coauthVersionLast="38" xr6:coauthVersionMax="38" xr10:uidLastSave="{00000000-0000-0000-0000-000000000000}"/>
  <bookViews>
    <workbookView xWindow="0" yWindow="0" windowWidth="21570" windowHeight="8625" tabRatio="585" activeTab="4" xr2:uid="{00000000-000D-0000-FFFF-FFFF00000000}"/>
  </bookViews>
  <sheets>
    <sheet name="дод1" sheetId="126" r:id="rId1"/>
    <sheet name="dod2" sheetId="127" r:id="rId2"/>
    <sheet name="dod3" sheetId="97" r:id="rId3"/>
    <sheet name="dod4" sheetId="107" r:id="rId4"/>
    <sheet name="dod5" sheetId="98" r:id="rId5"/>
    <sheet name="dod6" sheetId="108" r:id="rId6"/>
    <sheet name="dod7" sheetId="116" r:id="rId7"/>
    <sheet name="dod8" sheetId="125" r:id="rId8"/>
    <sheet name="dod9" sheetId="128" r:id="rId9"/>
    <sheet name="dod3 до МВК" sheetId="129" r:id="rId10"/>
    <sheet name="Різниця до МВК" sheetId="130" r:id="rId11"/>
  </sheets>
  <definedNames>
    <definedName name="_GoBack" localSheetId="4">'dod5'!#REF!</definedName>
    <definedName name="_xlnm.Print_Titles" localSheetId="2">'dod3'!$8:$11</definedName>
    <definedName name="_xlnm.Print_Titles" localSheetId="9">'dod3 до МВК'!$8:$11</definedName>
    <definedName name="_xlnm.Print_Titles" localSheetId="4">'dod5'!$4:$5</definedName>
    <definedName name="_xlnm.Print_Titles" localSheetId="7">'dod8'!$8:$10</definedName>
    <definedName name="_xlnm.Print_Titles" localSheetId="10">'Різниця до МВК'!$8:$11</definedName>
    <definedName name="_xlnm.Print_Area" localSheetId="1">'dod2'!$A$1:$F$38</definedName>
    <definedName name="_xlnm.Print_Area" localSheetId="2">'dod3'!$A$1:$Q$170</definedName>
    <definedName name="_xlnm.Print_Area" localSheetId="9">'dod3 до МВК'!$A$1:$Q$170</definedName>
    <definedName name="_xlnm.Print_Area" localSheetId="3">'dod4'!$B$1:$Q$18</definedName>
    <definedName name="_xlnm.Print_Area" localSheetId="4">'dod5'!$A$1:$J$120</definedName>
    <definedName name="_xlnm.Print_Area" localSheetId="5">'dod6'!$A$1:$E$35</definedName>
    <definedName name="_xlnm.Print_Area" localSheetId="6">'dod7'!$A$1:$F$18</definedName>
    <definedName name="_xlnm.Print_Area" localSheetId="7">'dod8'!$A$1:$J$165</definedName>
    <definedName name="_xlnm.Print_Area" localSheetId="0">дод1!$A$1:$F$104</definedName>
    <definedName name="_xlnm.Print_Area" localSheetId="10">'Різниця до МВК'!$A$1:$Q$163</definedName>
    <definedName name="С16" localSheetId="1">#REF!</definedName>
    <definedName name="С16" localSheetId="9">#REF!</definedName>
    <definedName name="С16" localSheetId="7">#REF!</definedName>
    <definedName name="С16" localSheetId="0">#REF!</definedName>
    <definedName name="С16" localSheetId="10">#REF!</definedName>
    <definedName name="С16">#REF!</definedName>
  </definedNames>
  <calcPr calcId="181029"/>
</workbook>
</file>

<file path=xl/calcChain.xml><?xml version="1.0" encoding="utf-8"?>
<calcChain xmlns="http://schemas.openxmlformats.org/spreadsheetml/2006/main">
  <c r="F158" i="130" l="1"/>
  <c r="G158" i="130"/>
  <c r="H158" i="130"/>
  <c r="I158" i="130"/>
  <c r="I157" i="130" s="1"/>
  <c r="I156" i="130" s="1"/>
  <c r="K158" i="130"/>
  <c r="L158" i="130"/>
  <c r="M158" i="130"/>
  <c r="N158" i="130"/>
  <c r="O158" i="130"/>
  <c r="F159" i="130"/>
  <c r="G159" i="130"/>
  <c r="H159" i="130"/>
  <c r="I159" i="130"/>
  <c r="K159" i="130"/>
  <c r="L159" i="130"/>
  <c r="M159" i="130"/>
  <c r="N159" i="130"/>
  <c r="O159" i="130"/>
  <c r="F160" i="130"/>
  <c r="G160" i="130"/>
  <c r="H160" i="130"/>
  <c r="I160" i="130"/>
  <c r="K160" i="130"/>
  <c r="L160" i="130"/>
  <c r="M160" i="130"/>
  <c r="N160" i="130"/>
  <c r="O160" i="130"/>
  <c r="F161" i="130"/>
  <c r="G161" i="130"/>
  <c r="H161" i="130"/>
  <c r="I161" i="130"/>
  <c r="K161" i="130"/>
  <c r="L161" i="130"/>
  <c r="L157" i="130" s="1"/>
  <c r="L156" i="130" s="1"/>
  <c r="M161" i="130"/>
  <c r="N161" i="130"/>
  <c r="O161" i="130"/>
  <c r="F153" i="130"/>
  <c r="G153" i="130"/>
  <c r="H153" i="130"/>
  <c r="I153" i="130"/>
  <c r="K153" i="130"/>
  <c r="L153" i="130"/>
  <c r="M153" i="130"/>
  <c r="N153" i="130"/>
  <c r="O153" i="130"/>
  <c r="F154" i="130"/>
  <c r="G154" i="130"/>
  <c r="H154" i="130"/>
  <c r="I154" i="130"/>
  <c r="K154" i="130"/>
  <c r="L154" i="130"/>
  <c r="L152" i="130" s="1"/>
  <c r="L151" i="130" s="1"/>
  <c r="M154" i="130"/>
  <c r="N154" i="130"/>
  <c r="O154" i="130"/>
  <c r="F155" i="130"/>
  <c r="G155" i="130"/>
  <c r="H155" i="130"/>
  <c r="I155" i="130"/>
  <c r="K155" i="130"/>
  <c r="L155" i="130"/>
  <c r="M155" i="130"/>
  <c r="N155" i="130"/>
  <c r="O155" i="130"/>
  <c r="F148" i="130"/>
  <c r="G148" i="130"/>
  <c r="H148" i="130"/>
  <c r="I148" i="130"/>
  <c r="I147" i="130" s="1"/>
  <c r="I146" i="130" s="1"/>
  <c r="K148" i="130"/>
  <c r="L148" i="130"/>
  <c r="M148" i="130"/>
  <c r="M147" i="130" s="1"/>
  <c r="M146" i="130" s="1"/>
  <c r="N148" i="130"/>
  <c r="O148" i="130"/>
  <c r="F149" i="130"/>
  <c r="G149" i="130"/>
  <c r="H149" i="130"/>
  <c r="I149" i="130"/>
  <c r="K149" i="130"/>
  <c r="L149" i="130"/>
  <c r="M149" i="130"/>
  <c r="N149" i="130"/>
  <c r="N147" i="130" s="1"/>
  <c r="N146" i="130" s="1"/>
  <c r="O149" i="130"/>
  <c r="F150" i="130"/>
  <c r="G150" i="130"/>
  <c r="H150" i="130"/>
  <c r="I150" i="130"/>
  <c r="K150" i="130"/>
  <c r="L150" i="130"/>
  <c r="M150" i="130"/>
  <c r="N150" i="130"/>
  <c r="O150" i="130"/>
  <c r="E150" i="130"/>
  <c r="F142" i="130"/>
  <c r="F141" i="130" s="1"/>
  <c r="F140" i="130" s="1"/>
  <c r="G142" i="130"/>
  <c r="H142" i="130"/>
  <c r="I142" i="130"/>
  <c r="K142" i="130"/>
  <c r="L142" i="130"/>
  <c r="M142" i="130"/>
  <c r="N142" i="130"/>
  <c r="N141" i="130" s="1"/>
  <c r="N140" i="130" s="1"/>
  <c r="O142" i="130"/>
  <c r="F143" i="130"/>
  <c r="G143" i="130"/>
  <c r="H143" i="130"/>
  <c r="I143" i="130"/>
  <c r="K143" i="130"/>
  <c r="L143" i="130"/>
  <c r="M143" i="130"/>
  <c r="N143" i="130"/>
  <c r="O143" i="130"/>
  <c r="F144" i="130"/>
  <c r="G144" i="130"/>
  <c r="G141" i="130" s="1"/>
  <c r="G140" i="130" s="1"/>
  <c r="H144" i="130"/>
  <c r="I144" i="130"/>
  <c r="K144" i="130"/>
  <c r="K141" i="130" s="1"/>
  <c r="L144" i="130"/>
  <c r="M144" i="130"/>
  <c r="N144" i="130"/>
  <c r="O144" i="130"/>
  <c r="O141" i="130" s="1"/>
  <c r="O140" i="130" s="1"/>
  <c r="F145" i="130"/>
  <c r="G145" i="130"/>
  <c r="H145" i="130"/>
  <c r="I145" i="130"/>
  <c r="K145" i="130"/>
  <c r="L145" i="130"/>
  <c r="M145" i="130"/>
  <c r="N145" i="130"/>
  <c r="O145" i="130"/>
  <c r="F138" i="130"/>
  <c r="G138" i="130"/>
  <c r="H138" i="130"/>
  <c r="I138" i="130"/>
  <c r="K138" i="130"/>
  <c r="L138" i="130"/>
  <c r="M138" i="130"/>
  <c r="N138" i="130"/>
  <c r="O138" i="130"/>
  <c r="F139" i="130"/>
  <c r="G139" i="130"/>
  <c r="H139" i="130"/>
  <c r="I139" i="130"/>
  <c r="K139" i="130"/>
  <c r="L139" i="130"/>
  <c r="M139" i="130"/>
  <c r="N139" i="130"/>
  <c r="O139" i="130"/>
  <c r="F132" i="130"/>
  <c r="G132" i="130"/>
  <c r="H132" i="130"/>
  <c r="I132" i="130"/>
  <c r="K132" i="130"/>
  <c r="L132" i="130"/>
  <c r="M132" i="130"/>
  <c r="N132" i="130"/>
  <c r="O132" i="130"/>
  <c r="F133" i="130"/>
  <c r="G133" i="130"/>
  <c r="H133" i="130"/>
  <c r="H131" i="130" s="1"/>
  <c r="H130" i="130" s="1"/>
  <c r="I133" i="130"/>
  <c r="K133" i="130"/>
  <c r="L133" i="130"/>
  <c r="M133" i="130"/>
  <c r="N133" i="130"/>
  <c r="O133" i="130"/>
  <c r="F134" i="130"/>
  <c r="G134" i="130"/>
  <c r="H134" i="130"/>
  <c r="I134" i="130"/>
  <c r="K134" i="130"/>
  <c r="L134" i="130"/>
  <c r="M134" i="130"/>
  <c r="N134" i="130"/>
  <c r="O134" i="130"/>
  <c r="F135" i="130"/>
  <c r="G135" i="130"/>
  <c r="H135" i="130"/>
  <c r="I135" i="130"/>
  <c r="K135" i="130"/>
  <c r="L135" i="130"/>
  <c r="M135" i="130"/>
  <c r="N135" i="130"/>
  <c r="O135" i="130"/>
  <c r="F129" i="130"/>
  <c r="G129" i="130"/>
  <c r="H129" i="130"/>
  <c r="I129" i="130"/>
  <c r="K129" i="130"/>
  <c r="L129" i="130"/>
  <c r="M129" i="130"/>
  <c r="N129" i="130"/>
  <c r="O129" i="130"/>
  <c r="N127" i="130"/>
  <c r="M127" i="130"/>
  <c r="L127" i="130"/>
  <c r="K127" i="130"/>
  <c r="I127" i="130"/>
  <c r="H127" i="130"/>
  <c r="G127" i="130"/>
  <c r="F127" i="130"/>
  <c r="O127" i="130"/>
  <c r="F114" i="130"/>
  <c r="G114" i="130"/>
  <c r="H114" i="130"/>
  <c r="I114" i="130"/>
  <c r="K114" i="130"/>
  <c r="L114" i="130"/>
  <c r="M114" i="130"/>
  <c r="N114" i="130"/>
  <c r="O114" i="130"/>
  <c r="F115" i="130"/>
  <c r="G115" i="130"/>
  <c r="H115" i="130"/>
  <c r="I115" i="130"/>
  <c r="K115" i="130"/>
  <c r="L115" i="130"/>
  <c r="M115" i="130"/>
  <c r="N115" i="130"/>
  <c r="O115" i="130"/>
  <c r="F116" i="130"/>
  <c r="G116" i="130"/>
  <c r="H116" i="130"/>
  <c r="I116" i="130"/>
  <c r="K116" i="130"/>
  <c r="L116" i="130"/>
  <c r="M116" i="130"/>
  <c r="N116" i="130"/>
  <c r="O116" i="130"/>
  <c r="F117" i="130"/>
  <c r="G117" i="130"/>
  <c r="H117" i="130"/>
  <c r="I117" i="130"/>
  <c r="K117" i="130"/>
  <c r="L117" i="130"/>
  <c r="M117" i="130"/>
  <c r="N117" i="130"/>
  <c r="O117" i="130"/>
  <c r="F118" i="130"/>
  <c r="G118" i="130"/>
  <c r="H118" i="130"/>
  <c r="I118" i="130"/>
  <c r="K118" i="130"/>
  <c r="L118" i="130"/>
  <c r="M118" i="130"/>
  <c r="N118" i="130"/>
  <c r="O118" i="130"/>
  <c r="F119" i="130"/>
  <c r="G119" i="130"/>
  <c r="H119" i="130"/>
  <c r="I119" i="130"/>
  <c r="K119" i="130"/>
  <c r="L119" i="130"/>
  <c r="M119" i="130"/>
  <c r="N119" i="130"/>
  <c r="O119" i="130"/>
  <c r="F120" i="130"/>
  <c r="G120" i="130"/>
  <c r="H120" i="130"/>
  <c r="I120" i="130"/>
  <c r="K120" i="130"/>
  <c r="L120" i="130"/>
  <c r="M120" i="130"/>
  <c r="N120" i="130"/>
  <c r="O120" i="130"/>
  <c r="F121" i="130"/>
  <c r="G121" i="130"/>
  <c r="H121" i="130"/>
  <c r="I121" i="130"/>
  <c r="K121" i="130"/>
  <c r="L121" i="130"/>
  <c r="M121" i="130"/>
  <c r="N121" i="130"/>
  <c r="O121" i="130"/>
  <c r="F122" i="130"/>
  <c r="G122" i="130"/>
  <c r="H122" i="130"/>
  <c r="I122" i="130"/>
  <c r="K122" i="130"/>
  <c r="L122" i="130"/>
  <c r="M122" i="130"/>
  <c r="N122" i="130"/>
  <c r="O122" i="130"/>
  <c r="F123" i="130"/>
  <c r="G123" i="130"/>
  <c r="H123" i="130"/>
  <c r="I123" i="130"/>
  <c r="K123" i="130"/>
  <c r="L123" i="130"/>
  <c r="M123" i="130"/>
  <c r="N123" i="130"/>
  <c r="O123" i="130"/>
  <c r="F124" i="130"/>
  <c r="G124" i="130"/>
  <c r="H124" i="130"/>
  <c r="I124" i="130"/>
  <c r="L124" i="130"/>
  <c r="M124" i="130"/>
  <c r="N124" i="130"/>
  <c r="O124" i="130"/>
  <c r="F125" i="130"/>
  <c r="G125" i="130"/>
  <c r="H125" i="130"/>
  <c r="I125" i="130"/>
  <c r="L125" i="130"/>
  <c r="M125" i="130"/>
  <c r="N125" i="130"/>
  <c r="O125" i="130"/>
  <c r="F126" i="130"/>
  <c r="G126" i="130"/>
  <c r="H126" i="130"/>
  <c r="I126" i="130"/>
  <c r="L126" i="130"/>
  <c r="M126" i="130"/>
  <c r="N126" i="130"/>
  <c r="O126" i="130"/>
  <c r="F113" i="130"/>
  <c r="G113" i="130"/>
  <c r="H113" i="130"/>
  <c r="I113" i="130"/>
  <c r="K113" i="130"/>
  <c r="L113" i="130"/>
  <c r="M113" i="130"/>
  <c r="N113" i="130"/>
  <c r="O113" i="130"/>
  <c r="F99" i="130"/>
  <c r="G99" i="130"/>
  <c r="H99" i="130"/>
  <c r="I99" i="130"/>
  <c r="K99" i="130"/>
  <c r="L99" i="130"/>
  <c r="M99" i="130"/>
  <c r="N99" i="130"/>
  <c r="O99" i="130"/>
  <c r="F100" i="130"/>
  <c r="G100" i="130"/>
  <c r="H100" i="130"/>
  <c r="I100" i="130"/>
  <c r="K100" i="130"/>
  <c r="L100" i="130"/>
  <c r="M100" i="130"/>
  <c r="N100" i="130"/>
  <c r="O100" i="130"/>
  <c r="G101" i="130"/>
  <c r="H101" i="130"/>
  <c r="I101" i="130"/>
  <c r="K101" i="130"/>
  <c r="L101" i="130"/>
  <c r="M101" i="130"/>
  <c r="N101" i="130"/>
  <c r="N97" i="130" s="1"/>
  <c r="N96" i="130" s="1"/>
  <c r="O101" i="130"/>
  <c r="F102" i="130"/>
  <c r="G102" i="130"/>
  <c r="H102" i="130"/>
  <c r="I102" i="130"/>
  <c r="K102" i="130"/>
  <c r="L102" i="130"/>
  <c r="M102" i="130"/>
  <c r="N102" i="130"/>
  <c r="O102" i="130"/>
  <c r="F103" i="130"/>
  <c r="G103" i="130"/>
  <c r="H103" i="130"/>
  <c r="I103" i="130"/>
  <c r="K103" i="130"/>
  <c r="L103" i="130"/>
  <c r="M103" i="130"/>
  <c r="N103" i="130"/>
  <c r="O103" i="130"/>
  <c r="F104" i="130"/>
  <c r="G104" i="130"/>
  <c r="H104" i="130"/>
  <c r="I104" i="130"/>
  <c r="K104" i="130"/>
  <c r="L104" i="130"/>
  <c r="M104" i="130"/>
  <c r="N104" i="130"/>
  <c r="O104" i="130"/>
  <c r="F105" i="130"/>
  <c r="H105" i="130"/>
  <c r="I105" i="130"/>
  <c r="K105" i="130"/>
  <c r="L105" i="130"/>
  <c r="M105" i="130"/>
  <c r="N105" i="130"/>
  <c r="O105" i="130"/>
  <c r="F106" i="130"/>
  <c r="G106" i="130"/>
  <c r="H106" i="130"/>
  <c r="I106" i="130"/>
  <c r="K106" i="130"/>
  <c r="L106" i="130"/>
  <c r="M106" i="130"/>
  <c r="N106" i="130"/>
  <c r="O106" i="130"/>
  <c r="F107" i="130"/>
  <c r="G107" i="130"/>
  <c r="H107" i="130"/>
  <c r="I107" i="130"/>
  <c r="K107" i="130"/>
  <c r="L107" i="130"/>
  <c r="M107" i="130"/>
  <c r="N107" i="130"/>
  <c r="O107" i="130"/>
  <c r="F108" i="130"/>
  <c r="G108" i="130"/>
  <c r="H108" i="130"/>
  <c r="I108" i="130"/>
  <c r="K108" i="130"/>
  <c r="L108" i="130"/>
  <c r="M108" i="130"/>
  <c r="N108" i="130"/>
  <c r="O108" i="130"/>
  <c r="F109" i="130"/>
  <c r="G109" i="130"/>
  <c r="H109" i="130"/>
  <c r="I109" i="130"/>
  <c r="K109" i="130"/>
  <c r="L109" i="130"/>
  <c r="M109" i="130"/>
  <c r="N109" i="130"/>
  <c r="O109" i="130"/>
  <c r="F98" i="130"/>
  <c r="G98" i="130"/>
  <c r="H98" i="130"/>
  <c r="I98" i="130"/>
  <c r="K98" i="130"/>
  <c r="L98" i="130"/>
  <c r="M98" i="130"/>
  <c r="N98" i="130"/>
  <c r="O98" i="130"/>
  <c r="F90" i="130"/>
  <c r="G90" i="130"/>
  <c r="H90" i="130"/>
  <c r="I90" i="130"/>
  <c r="K90" i="130"/>
  <c r="L90" i="130"/>
  <c r="M90" i="130"/>
  <c r="N90" i="130"/>
  <c r="O90" i="130"/>
  <c r="F91" i="130"/>
  <c r="G91" i="130"/>
  <c r="H91" i="130"/>
  <c r="I91" i="130"/>
  <c r="K91" i="130"/>
  <c r="L91" i="130"/>
  <c r="M91" i="130"/>
  <c r="N91" i="130"/>
  <c r="O91" i="130"/>
  <c r="F92" i="130"/>
  <c r="G92" i="130"/>
  <c r="H92" i="130"/>
  <c r="I92" i="130"/>
  <c r="K92" i="130"/>
  <c r="L92" i="130"/>
  <c r="M92" i="130"/>
  <c r="N92" i="130"/>
  <c r="O92" i="130"/>
  <c r="F93" i="130"/>
  <c r="G93" i="130"/>
  <c r="H93" i="130"/>
  <c r="I93" i="130"/>
  <c r="K93" i="130"/>
  <c r="L93" i="130"/>
  <c r="M93" i="130"/>
  <c r="N93" i="130"/>
  <c r="O93" i="130"/>
  <c r="F94" i="130"/>
  <c r="G94" i="130"/>
  <c r="H94" i="130"/>
  <c r="I94" i="130"/>
  <c r="K94" i="130"/>
  <c r="L94" i="130"/>
  <c r="M94" i="130"/>
  <c r="N94" i="130"/>
  <c r="O94" i="130"/>
  <c r="F95" i="130"/>
  <c r="G95" i="130"/>
  <c r="H95" i="130"/>
  <c r="I95" i="130"/>
  <c r="K95" i="130"/>
  <c r="L95" i="130"/>
  <c r="M95" i="130"/>
  <c r="N95" i="130"/>
  <c r="O95" i="130"/>
  <c r="F89" i="130"/>
  <c r="G89" i="130"/>
  <c r="H89" i="130"/>
  <c r="I89" i="130"/>
  <c r="K89" i="130"/>
  <c r="L89" i="130"/>
  <c r="M89" i="130"/>
  <c r="N89" i="130"/>
  <c r="O89" i="130"/>
  <c r="N85" i="130"/>
  <c r="M85" i="130"/>
  <c r="L85" i="130"/>
  <c r="K85" i="130"/>
  <c r="I85" i="130"/>
  <c r="H85" i="130"/>
  <c r="G85" i="130"/>
  <c r="F85" i="130"/>
  <c r="O85" i="130"/>
  <c r="F82" i="130"/>
  <c r="G82" i="130"/>
  <c r="H82" i="130"/>
  <c r="I82" i="130"/>
  <c r="K82" i="130"/>
  <c r="L82" i="130"/>
  <c r="M82" i="130"/>
  <c r="N82" i="130"/>
  <c r="O82" i="130"/>
  <c r="F83" i="130"/>
  <c r="G83" i="130"/>
  <c r="H83" i="130"/>
  <c r="I83" i="130"/>
  <c r="K83" i="130"/>
  <c r="L83" i="130"/>
  <c r="M83" i="130"/>
  <c r="N83" i="130"/>
  <c r="O83" i="130"/>
  <c r="F84" i="130"/>
  <c r="G84" i="130"/>
  <c r="H84" i="130"/>
  <c r="I84" i="130"/>
  <c r="K84" i="130"/>
  <c r="L84" i="130"/>
  <c r="M84" i="130"/>
  <c r="N84" i="130"/>
  <c r="O84" i="130"/>
  <c r="F81" i="130"/>
  <c r="G81" i="130"/>
  <c r="H81" i="130"/>
  <c r="I81" i="130"/>
  <c r="L81" i="130"/>
  <c r="M81" i="130"/>
  <c r="N81" i="130"/>
  <c r="O81" i="130"/>
  <c r="N79" i="130"/>
  <c r="M79" i="130"/>
  <c r="L79" i="130"/>
  <c r="K79" i="130"/>
  <c r="I79" i="130"/>
  <c r="H79" i="130"/>
  <c r="G79" i="130"/>
  <c r="F79" i="130"/>
  <c r="O79" i="130"/>
  <c r="F75" i="130"/>
  <c r="G75" i="130"/>
  <c r="H75" i="130"/>
  <c r="I75" i="130"/>
  <c r="K75" i="130"/>
  <c r="L75" i="130"/>
  <c r="M75" i="130"/>
  <c r="N75" i="130"/>
  <c r="O75" i="130"/>
  <c r="F76" i="130"/>
  <c r="G76" i="130"/>
  <c r="H76" i="130"/>
  <c r="I76" i="130"/>
  <c r="K76" i="130"/>
  <c r="L76" i="130"/>
  <c r="M76" i="130"/>
  <c r="N76" i="130"/>
  <c r="O76" i="130"/>
  <c r="F77" i="130"/>
  <c r="G77" i="130"/>
  <c r="H77" i="130"/>
  <c r="I77" i="130"/>
  <c r="K77" i="130"/>
  <c r="L77" i="130"/>
  <c r="M77" i="130"/>
  <c r="N77" i="130"/>
  <c r="O77" i="130"/>
  <c r="F78" i="130"/>
  <c r="G78" i="130"/>
  <c r="H78" i="130"/>
  <c r="I78" i="130"/>
  <c r="K78" i="130"/>
  <c r="L78" i="130"/>
  <c r="M78" i="130"/>
  <c r="N78" i="130"/>
  <c r="O78" i="130"/>
  <c r="F74" i="130"/>
  <c r="G74" i="130"/>
  <c r="H74" i="130"/>
  <c r="I74" i="130"/>
  <c r="K74" i="130"/>
  <c r="L74" i="130"/>
  <c r="M74" i="130"/>
  <c r="N74" i="130"/>
  <c r="O74" i="130"/>
  <c r="F70" i="130"/>
  <c r="G70" i="130"/>
  <c r="H70" i="130"/>
  <c r="I70" i="130"/>
  <c r="K70" i="130"/>
  <c r="L70" i="130"/>
  <c r="M70" i="130"/>
  <c r="N70" i="130"/>
  <c r="O70" i="130"/>
  <c r="F71" i="130"/>
  <c r="G71" i="130"/>
  <c r="H71" i="130"/>
  <c r="I71" i="130"/>
  <c r="K71" i="130"/>
  <c r="L71" i="130"/>
  <c r="M71" i="130"/>
  <c r="N71" i="130"/>
  <c r="O71" i="130"/>
  <c r="F72" i="130"/>
  <c r="G72" i="130"/>
  <c r="H72" i="130"/>
  <c r="I72" i="130"/>
  <c r="K72" i="130"/>
  <c r="L72" i="130"/>
  <c r="M72" i="130"/>
  <c r="N72" i="130"/>
  <c r="O72" i="130"/>
  <c r="F73" i="130"/>
  <c r="G73" i="130"/>
  <c r="H73" i="130"/>
  <c r="I73" i="130"/>
  <c r="K73" i="130"/>
  <c r="L73" i="130"/>
  <c r="M73" i="130"/>
  <c r="N73" i="130"/>
  <c r="O73" i="130"/>
  <c r="F64" i="130"/>
  <c r="G64" i="130"/>
  <c r="H64" i="130"/>
  <c r="I64" i="130"/>
  <c r="K64" i="130"/>
  <c r="L64" i="130"/>
  <c r="M64" i="130"/>
  <c r="N64" i="130"/>
  <c r="O64" i="130"/>
  <c r="F65" i="130"/>
  <c r="G65" i="130"/>
  <c r="H65" i="130"/>
  <c r="I65" i="130"/>
  <c r="K65" i="130"/>
  <c r="L65" i="130"/>
  <c r="M65" i="130"/>
  <c r="N65" i="130"/>
  <c r="O65" i="130"/>
  <c r="F66" i="130"/>
  <c r="G66" i="130"/>
  <c r="H66" i="130"/>
  <c r="I66" i="130"/>
  <c r="K66" i="130"/>
  <c r="L66" i="130"/>
  <c r="M66" i="130"/>
  <c r="N66" i="130"/>
  <c r="O66" i="130"/>
  <c r="F67" i="130"/>
  <c r="G67" i="130"/>
  <c r="H67" i="130"/>
  <c r="I67" i="130"/>
  <c r="K67" i="130"/>
  <c r="L67" i="130"/>
  <c r="M67" i="130"/>
  <c r="N67" i="130"/>
  <c r="O67" i="130"/>
  <c r="F68" i="130"/>
  <c r="G68" i="130"/>
  <c r="H68" i="130"/>
  <c r="I68" i="130"/>
  <c r="K68" i="130"/>
  <c r="L68" i="130"/>
  <c r="M68" i="130"/>
  <c r="N68" i="130"/>
  <c r="O68" i="130"/>
  <c r="F69" i="130"/>
  <c r="G69" i="130"/>
  <c r="H69" i="130"/>
  <c r="I69" i="130"/>
  <c r="K69" i="130"/>
  <c r="L69" i="130"/>
  <c r="M69" i="130"/>
  <c r="N69" i="130"/>
  <c r="O69" i="130"/>
  <c r="G48" i="130"/>
  <c r="H48" i="130"/>
  <c r="I48" i="130"/>
  <c r="K48" i="130"/>
  <c r="L48" i="130"/>
  <c r="M48" i="130"/>
  <c r="N48" i="130"/>
  <c r="O48" i="130"/>
  <c r="F49" i="130"/>
  <c r="G49" i="130"/>
  <c r="H49" i="130"/>
  <c r="I49" i="130"/>
  <c r="K49" i="130"/>
  <c r="L49" i="130"/>
  <c r="M49" i="130"/>
  <c r="N49" i="130"/>
  <c r="O49" i="130"/>
  <c r="F50" i="130"/>
  <c r="G50" i="130"/>
  <c r="H50" i="130"/>
  <c r="I50" i="130"/>
  <c r="K50" i="130"/>
  <c r="L50" i="130"/>
  <c r="M50" i="130"/>
  <c r="N50" i="130"/>
  <c r="O50" i="130"/>
  <c r="G51" i="130"/>
  <c r="H51" i="130"/>
  <c r="I51" i="130"/>
  <c r="K51" i="130"/>
  <c r="L51" i="130"/>
  <c r="M51" i="130"/>
  <c r="N51" i="130"/>
  <c r="O51" i="130"/>
  <c r="F52" i="130"/>
  <c r="G52" i="130"/>
  <c r="H52" i="130"/>
  <c r="I52" i="130"/>
  <c r="K52" i="130"/>
  <c r="L52" i="130"/>
  <c r="M52" i="130"/>
  <c r="N52" i="130"/>
  <c r="O52" i="130"/>
  <c r="F53" i="130"/>
  <c r="G53" i="130"/>
  <c r="H53" i="130"/>
  <c r="I53" i="130"/>
  <c r="K53" i="130"/>
  <c r="L53" i="130"/>
  <c r="M53" i="130"/>
  <c r="N53" i="130"/>
  <c r="O53" i="130"/>
  <c r="F54" i="130"/>
  <c r="G54" i="130"/>
  <c r="H54" i="130"/>
  <c r="I54" i="130"/>
  <c r="K54" i="130"/>
  <c r="L54" i="130"/>
  <c r="M54" i="130"/>
  <c r="N54" i="130"/>
  <c r="O54" i="130"/>
  <c r="F55" i="130"/>
  <c r="G55" i="130"/>
  <c r="H55" i="130"/>
  <c r="I55" i="130"/>
  <c r="K55" i="130"/>
  <c r="L55" i="130"/>
  <c r="M55" i="130"/>
  <c r="N55" i="130"/>
  <c r="O55" i="130"/>
  <c r="F56" i="130"/>
  <c r="G56" i="130"/>
  <c r="H56" i="130"/>
  <c r="I56" i="130"/>
  <c r="K56" i="130"/>
  <c r="L56" i="130"/>
  <c r="M56" i="130"/>
  <c r="N56" i="130"/>
  <c r="O56" i="130"/>
  <c r="F57" i="130"/>
  <c r="G57" i="130"/>
  <c r="H57" i="130"/>
  <c r="I57" i="130"/>
  <c r="K57" i="130"/>
  <c r="L57" i="130"/>
  <c r="M57" i="130"/>
  <c r="N57" i="130"/>
  <c r="O57" i="130"/>
  <c r="F58" i="130"/>
  <c r="G58" i="130"/>
  <c r="H58" i="130"/>
  <c r="I58" i="130"/>
  <c r="K58" i="130"/>
  <c r="L58" i="130"/>
  <c r="M58" i="130"/>
  <c r="N58" i="130"/>
  <c r="O58" i="130"/>
  <c r="F59" i="130"/>
  <c r="G59" i="130"/>
  <c r="H59" i="130"/>
  <c r="I59" i="130"/>
  <c r="K59" i="130"/>
  <c r="L59" i="130"/>
  <c r="M59" i="130"/>
  <c r="N59" i="130"/>
  <c r="O59" i="130"/>
  <c r="F60" i="130"/>
  <c r="G60" i="130"/>
  <c r="H60" i="130"/>
  <c r="I60" i="130"/>
  <c r="K60" i="130"/>
  <c r="L60" i="130"/>
  <c r="M60" i="130"/>
  <c r="N60" i="130"/>
  <c r="O60" i="130"/>
  <c r="F61" i="130"/>
  <c r="G61" i="130"/>
  <c r="H61" i="130"/>
  <c r="I61" i="130"/>
  <c r="K61" i="130"/>
  <c r="L61" i="130"/>
  <c r="M61" i="130"/>
  <c r="N61" i="130"/>
  <c r="O61" i="130"/>
  <c r="F62" i="130"/>
  <c r="G62" i="130"/>
  <c r="H62" i="130"/>
  <c r="I62" i="130"/>
  <c r="K62" i="130"/>
  <c r="L62" i="130"/>
  <c r="M62" i="130"/>
  <c r="N62" i="130"/>
  <c r="O62" i="130"/>
  <c r="F63" i="130"/>
  <c r="G63" i="130"/>
  <c r="H63" i="130"/>
  <c r="I63" i="130"/>
  <c r="K63" i="130"/>
  <c r="L63" i="130"/>
  <c r="M63" i="130"/>
  <c r="N63" i="130"/>
  <c r="O63" i="130"/>
  <c r="F47" i="130"/>
  <c r="G47" i="130"/>
  <c r="H47" i="130"/>
  <c r="I47" i="130"/>
  <c r="K47" i="130"/>
  <c r="L47" i="130"/>
  <c r="M47" i="130"/>
  <c r="N47" i="130"/>
  <c r="O47" i="130"/>
  <c r="G36" i="130"/>
  <c r="H36" i="130"/>
  <c r="I36" i="130"/>
  <c r="K36" i="130"/>
  <c r="L36" i="130"/>
  <c r="M36" i="130"/>
  <c r="N36" i="130"/>
  <c r="O36" i="130"/>
  <c r="F37" i="130"/>
  <c r="G37" i="130"/>
  <c r="H37" i="130"/>
  <c r="I37" i="130"/>
  <c r="K37" i="130"/>
  <c r="L37" i="130"/>
  <c r="M37" i="130"/>
  <c r="N37" i="130"/>
  <c r="O37" i="130"/>
  <c r="F38" i="130"/>
  <c r="G38" i="130"/>
  <c r="H38" i="130"/>
  <c r="I38" i="130"/>
  <c r="L38" i="130"/>
  <c r="M38" i="130"/>
  <c r="N38" i="130"/>
  <c r="O38" i="130"/>
  <c r="F39" i="130"/>
  <c r="G39" i="130"/>
  <c r="H39" i="130"/>
  <c r="I39" i="130"/>
  <c r="K39" i="130"/>
  <c r="L39" i="130"/>
  <c r="M39" i="130"/>
  <c r="N39" i="130"/>
  <c r="O39" i="130"/>
  <c r="F40" i="130"/>
  <c r="G40" i="130"/>
  <c r="H40" i="130"/>
  <c r="I40" i="130"/>
  <c r="K40" i="130"/>
  <c r="L40" i="130"/>
  <c r="M40" i="130"/>
  <c r="N40" i="130"/>
  <c r="O40" i="130"/>
  <c r="F41" i="130"/>
  <c r="G41" i="130"/>
  <c r="H41" i="130"/>
  <c r="I41" i="130"/>
  <c r="K41" i="130"/>
  <c r="L41" i="130"/>
  <c r="M41" i="130"/>
  <c r="N41" i="130"/>
  <c r="O41" i="130"/>
  <c r="F42" i="130"/>
  <c r="G42" i="130"/>
  <c r="H42" i="130"/>
  <c r="I42" i="130"/>
  <c r="K42" i="130"/>
  <c r="L42" i="130"/>
  <c r="M42" i="130"/>
  <c r="N42" i="130"/>
  <c r="O42" i="130"/>
  <c r="F43" i="130"/>
  <c r="G43" i="130"/>
  <c r="H43" i="130"/>
  <c r="I43" i="130"/>
  <c r="K43" i="130"/>
  <c r="L43" i="130"/>
  <c r="M43" i="130"/>
  <c r="N43" i="130"/>
  <c r="O43" i="130"/>
  <c r="F44" i="130"/>
  <c r="G44" i="130"/>
  <c r="H44" i="130"/>
  <c r="I44" i="130"/>
  <c r="K44" i="130"/>
  <c r="L44" i="130"/>
  <c r="M44" i="130"/>
  <c r="N44" i="130"/>
  <c r="O44" i="130"/>
  <c r="F35" i="130"/>
  <c r="G35" i="130"/>
  <c r="H35" i="130"/>
  <c r="I35" i="130"/>
  <c r="K35" i="130"/>
  <c r="L35" i="130"/>
  <c r="M35" i="130"/>
  <c r="N35" i="130"/>
  <c r="O35" i="130"/>
  <c r="G25" i="130"/>
  <c r="I25" i="130"/>
  <c r="L25" i="130"/>
  <c r="M25" i="130"/>
  <c r="N25" i="130"/>
  <c r="O25" i="130"/>
  <c r="G26" i="130"/>
  <c r="I26" i="130"/>
  <c r="K26" i="130"/>
  <c r="L26" i="130"/>
  <c r="M26" i="130"/>
  <c r="N26" i="130"/>
  <c r="O26" i="130"/>
  <c r="G27" i="130"/>
  <c r="I27" i="130"/>
  <c r="L27" i="130"/>
  <c r="M27" i="130"/>
  <c r="N27" i="130"/>
  <c r="N23" i="130" s="1"/>
  <c r="N22" i="130" s="1"/>
  <c r="O27" i="130"/>
  <c r="G28" i="130"/>
  <c r="I28" i="130"/>
  <c r="K28" i="130"/>
  <c r="L28" i="130"/>
  <c r="M28" i="130"/>
  <c r="N28" i="130"/>
  <c r="O28" i="130"/>
  <c r="G29" i="130"/>
  <c r="I29" i="130"/>
  <c r="K29" i="130"/>
  <c r="L29" i="130"/>
  <c r="M29" i="130"/>
  <c r="N29" i="130"/>
  <c r="O29" i="130"/>
  <c r="G30" i="130"/>
  <c r="I30" i="130"/>
  <c r="K30" i="130"/>
  <c r="L30" i="130"/>
  <c r="M30" i="130"/>
  <c r="N30" i="130"/>
  <c r="O30" i="130"/>
  <c r="F31" i="130"/>
  <c r="G31" i="130"/>
  <c r="H31" i="130"/>
  <c r="I31" i="130"/>
  <c r="K31" i="130"/>
  <c r="L31" i="130"/>
  <c r="M31" i="130"/>
  <c r="N31" i="130"/>
  <c r="O31" i="130"/>
  <c r="E32" i="130"/>
  <c r="F32" i="130"/>
  <c r="G32" i="130"/>
  <c r="H32" i="130"/>
  <c r="I32" i="130"/>
  <c r="K32" i="130"/>
  <c r="L32" i="130"/>
  <c r="M32" i="130"/>
  <c r="N32" i="130"/>
  <c r="O32" i="130"/>
  <c r="G24" i="130"/>
  <c r="I24" i="130"/>
  <c r="L24" i="130"/>
  <c r="M24" i="130"/>
  <c r="M23" i="130" s="1"/>
  <c r="M22" i="130" s="1"/>
  <c r="N24" i="130"/>
  <c r="O24" i="130"/>
  <c r="F20" i="130"/>
  <c r="G20" i="130"/>
  <c r="H20" i="130"/>
  <c r="I20" i="130"/>
  <c r="K20" i="130"/>
  <c r="L20" i="130"/>
  <c r="M20" i="130"/>
  <c r="N20" i="130"/>
  <c r="O20" i="130"/>
  <c r="F21" i="130"/>
  <c r="G21" i="130"/>
  <c r="H21" i="130"/>
  <c r="I21" i="130"/>
  <c r="K21" i="130"/>
  <c r="L21" i="130"/>
  <c r="M21" i="130"/>
  <c r="N21" i="130"/>
  <c r="O21" i="130"/>
  <c r="N18" i="130"/>
  <c r="M18" i="130"/>
  <c r="L18" i="130"/>
  <c r="K18" i="130"/>
  <c r="I18" i="130"/>
  <c r="H18" i="130"/>
  <c r="G18" i="130"/>
  <c r="F18" i="130"/>
  <c r="O18" i="130"/>
  <c r="F15" i="130"/>
  <c r="G15" i="130"/>
  <c r="H15" i="130"/>
  <c r="I15" i="130"/>
  <c r="K15" i="130"/>
  <c r="L15" i="130"/>
  <c r="M15" i="130"/>
  <c r="N15" i="130"/>
  <c r="O15" i="130"/>
  <c r="F16" i="130"/>
  <c r="H16" i="130"/>
  <c r="I16" i="130"/>
  <c r="K16" i="130"/>
  <c r="L16" i="130"/>
  <c r="M16" i="130"/>
  <c r="N16" i="130"/>
  <c r="O16" i="130"/>
  <c r="F17" i="130"/>
  <c r="G17" i="130"/>
  <c r="H17" i="130"/>
  <c r="I17" i="130"/>
  <c r="K17" i="130"/>
  <c r="L17" i="130"/>
  <c r="M17" i="130"/>
  <c r="N17" i="130"/>
  <c r="O17" i="130"/>
  <c r="F14" i="130"/>
  <c r="G14" i="130"/>
  <c r="H14" i="130"/>
  <c r="I14" i="130"/>
  <c r="K14" i="130"/>
  <c r="L14" i="130"/>
  <c r="M14" i="130"/>
  <c r="M13" i="130" s="1"/>
  <c r="M12" i="130" s="1"/>
  <c r="N14" i="130"/>
  <c r="O14" i="130"/>
  <c r="E14" i="129"/>
  <c r="P14" i="129"/>
  <c r="J14" i="129" s="1"/>
  <c r="Q14" i="129" s="1"/>
  <c r="E15" i="129"/>
  <c r="Q15" i="129" s="1"/>
  <c r="P15" i="129"/>
  <c r="J15" i="129" s="1"/>
  <c r="E16" i="129"/>
  <c r="G16" i="129"/>
  <c r="J16" i="129"/>
  <c r="Q16" i="129" s="1"/>
  <c r="P16" i="129"/>
  <c r="E17" i="129"/>
  <c r="J17" i="129"/>
  <c r="Q17" i="129" s="1"/>
  <c r="P17" i="129"/>
  <c r="E18" i="129"/>
  <c r="P18" i="129"/>
  <c r="J18" i="129" s="1"/>
  <c r="Q18" i="129" s="1"/>
  <c r="R18" i="129" s="1"/>
  <c r="E20" i="129"/>
  <c r="P20" i="129"/>
  <c r="J20" i="129" s="1"/>
  <c r="E21" i="129"/>
  <c r="J21" i="129"/>
  <c r="Q21" i="129" s="1"/>
  <c r="P21" i="129"/>
  <c r="F24" i="129"/>
  <c r="E24" i="129" s="1"/>
  <c r="H24" i="129"/>
  <c r="J24" i="129"/>
  <c r="K24" i="129"/>
  <c r="P24" i="129"/>
  <c r="F25" i="129"/>
  <c r="E25" i="129" s="1"/>
  <c r="H25" i="129"/>
  <c r="K25" i="129"/>
  <c r="P25" i="129" s="1"/>
  <c r="J25" i="129" s="1"/>
  <c r="F26" i="129"/>
  <c r="E26" i="129" s="1"/>
  <c r="Q26" i="129" s="1"/>
  <c r="H26" i="129"/>
  <c r="P26" i="129"/>
  <c r="J26" i="129" s="1"/>
  <c r="F27" i="129"/>
  <c r="E27" i="129" s="1"/>
  <c r="H27" i="129"/>
  <c r="K27" i="129"/>
  <c r="P27" i="129"/>
  <c r="J27" i="129" s="1"/>
  <c r="E28" i="129"/>
  <c r="F28" i="129"/>
  <c r="H28" i="129"/>
  <c r="P28" i="129"/>
  <c r="J28" i="129" s="1"/>
  <c r="E29" i="129"/>
  <c r="F29" i="129"/>
  <c r="H29" i="129"/>
  <c r="P29" i="129"/>
  <c r="J29" i="129" s="1"/>
  <c r="E30" i="129"/>
  <c r="F30" i="129"/>
  <c r="H30" i="129"/>
  <c r="P30" i="129"/>
  <c r="J30" i="129" s="1"/>
  <c r="E31" i="129"/>
  <c r="Q31" i="129" s="1"/>
  <c r="P31" i="129"/>
  <c r="J31" i="129" s="1"/>
  <c r="P32" i="129"/>
  <c r="J32" i="129" s="1"/>
  <c r="Q32" i="129" s="1"/>
  <c r="E35" i="129"/>
  <c r="P35" i="129"/>
  <c r="J35" i="129" s="1"/>
  <c r="Q35" i="129" s="1"/>
  <c r="E36" i="129"/>
  <c r="P36" i="129"/>
  <c r="J36" i="129" s="1"/>
  <c r="E37" i="129"/>
  <c r="J37" i="129"/>
  <c r="Q37" i="129" s="1"/>
  <c r="P37" i="129"/>
  <c r="E38" i="129"/>
  <c r="K38" i="129"/>
  <c r="P38" i="129" s="1"/>
  <c r="J38" i="129" s="1"/>
  <c r="Q38" i="129" s="1"/>
  <c r="E39" i="129"/>
  <c r="J39" i="129"/>
  <c r="Q39" i="129" s="1"/>
  <c r="P39" i="129"/>
  <c r="E40" i="129"/>
  <c r="P40" i="129"/>
  <c r="J40" i="129" s="1"/>
  <c r="Q40" i="129" s="1"/>
  <c r="E41" i="129"/>
  <c r="P41" i="129"/>
  <c r="J41" i="129" s="1"/>
  <c r="E42" i="129"/>
  <c r="J42" i="129"/>
  <c r="Q42" i="129" s="1"/>
  <c r="P42" i="129"/>
  <c r="E43" i="129"/>
  <c r="P43" i="129"/>
  <c r="J43" i="129" s="1"/>
  <c r="Q43" i="129" s="1"/>
  <c r="E44" i="129"/>
  <c r="P44" i="129"/>
  <c r="J44" i="129" s="1"/>
  <c r="Q44" i="129" s="1"/>
  <c r="E47" i="129"/>
  <c r="P47" i="129"/>
  <c r="J47" i="129" s="1"/>
  <c r="E48" i="129"/>
  <c r="P48" i="129"/>
  <c r="J48" i="129" s="1"/>
  <c r="Q48" i="129"/>
  <c r="E49" i="129"/>
  <c r="P49" i="129"/>
  <c r="J49" i="129" s="1"/>
  <c r="Q49" i="129"/>
  <c r="E50" i="129"/>
  <c r="Q50" i="129" s="1"/>
  <c r="P50" i="129"/>
  <c r="J50" i="129" s="1"/>
  <c r="E51" i="129"/>
  <c r="Q51" i="129" s="1"/>
  <c r="P51" i="129"/>
  <c r="J51" i="129" s="1"/>
  <c r="E52" i="129"/>
  <c r="P52" i="129"/>
  <c r="J52" i="129" s="1"/>
  <c r="Q52" i="129"/>
  <c r="E53" i="129"/>
  <c r="P53" i="129"/>
  <c r="J53" i="129" s="1"/>
  <c r="Q53" i="129"/>
  <c r="E54" i="129"/>
  <c r="Q54" i="129" s="1"/>
  <c r="P54" i="129"/>
  <c r="J54" i="129" s="1"/>
  <c r="E55" i="129"/>
  <c r="Q55" i="129" s="1"/>
  <c r="P55" i="129"/>
  <c r="J55" i="129" s="1"/>
  <c r="E56" i="129"/>
  <c r="P56" i="129"/>
  <c r="J56" i="129" s="1"/>
  <c r="Q56" i="129"/>
  <c r="E57" i="129"/>
  <c r="P57" i="129"/>
  <c r="J57" i="129" s="1"/>
  <c r="Q57" i="129"/>
  <c r="E58" i="129"/>
  <c r="Q58" i="129" s="1"/>
  <c r="P58" i="129"/>
  <c r="J58" i="129" s="1"/>
  <c r="E59" i="129"/>
  <c r="Q59" i="129" s="1"/>
  <c r="P59" i="129"/>
  <c r="J59" i="129" s="1"/>
  <c r="E60" i="129"/>
  <c r="P60" i="129"/>
  <c r="J60" i="129" s="1"/>
  <c r="Q60" i="129"/>
  <c r="E61" i="129"/>
  <c r="P61" i="129"/>
  <c r="J61" i="129" s="1"/>
  <c r="Q61" i="129"/>
  <c r="E62" i="129"/>
  <c r="Q62" i="129" s="1"/>
  <c r="P62" i="129"/>
  <c r="J62" i="129" s="1"/>
  <c r="E63" i="129"/>
  <c r="Q63" i="129" s="1"/>
  <c r="P63" i="129"/>
  <c r="J63" i="129" s="1"/>
  <c r="E64" i="129"/>
  <c r="P64" i="129"/>
  <c r="J64" i="129" s="1"/>
  <c r="Q64" i="129"/>
  <c r="E65" i="129"/>
  <c r="P65" i="129"/>
  <c r="J65" i="129" s="1"/>
  <c r="Q65" i="129"/>
  <c r="E66" i="129"/>
  <c r="Q66" i="129" s="1"/>
  <c r="P66" i="129"/>
  <c r="J66" i="129" s="1"/>
  <c r="E67" i="129"/>
  <c r="Q67" i="129" s="1"/>
  <c r="P67" i="129"/>
  <c r="J67" i="129" s="1"/>
  <c r="E68" i="129"/>
  <c r="P68" i="129"/>
  <c r="J68" i="129" s="1"/>
  <c r="Q68" i="129"/>
  <c r="E69" i="129"/>
  <c r="P69" i="129"/>
  <c r="J69" i="129" s="1"/>
  <c r="Q69" i="129"/>
  <c r="E70" i="129"/>
  <c r="Q70" i="129" s="1"/>
  <c r="P70" i="129"/>
  <c r="J70" i="129" s="1"/>
  <c r="E71" i="129"/>
  <c r="Q71" i="129" s="1"/>
  <c r="P71" i="129"/>
  <c r="J71" i="129" s="1"/>
  <c r="E72" i="129"/>
  <c r="P72" i="129"/>
  <c r="J72" i="129" s="1"/>
  <c r="Q72" i="129"/>
  <c r="E73" i="129"/>
  <c r="P73" i="129"/>
  <c r="J73" i="129" s="1"/>
  <c r="Q73" i="129"/>
  <c r="E74" i="129"/>
  <c r="P74" i="129"/>
  <c r="J74" i="129" s="1"/>
  <c r="Q74" i="129" s="1"/>
  <c r="E75" i="129"/>
  <c r="P75" i="129"/>
  <c r="J75" i="129" s="1"/>
  <c r="Q75" i="129" s="1"/>
  <c r="E76" i="129"/>
  <c r="P76" i="129"/>
  <c r="J76" i="129" s="1"/>
  <c r="Q76" i="129"/>
  <c r="E77" i="129"/>
  <c r="P77" i="129"/>
  <c r="J77" i="129" s="1"/>
  <c r="Q77" i="129"/>
  <c r="E78" i="129"/>
  <c r="Q78" i="129" s="1"/>
  <c r="P78" i="129"/>
  <c r="J78" i="129" s="1"/>
  <c r="E79" i="129"/>
  <c r="Q79" i="129" s="1"/>
  <c r="P79" i="129"/>
  <c r="J79" i="129" s="1"/>
  <c r="E81" i="129"/>
  <c r="K81" i="129"/>
  <c r="P81" i="129"/>
  <c r="J81" i="129" s="1"/>
  <c r="Q81" i="129" s="1"/>
  <c r="E82" i="129"/>
  <c r="P82" i="129"/>
  <c r="J82" i="129" s="1"/>
  <c r="Q82" i="129"/>
  <c r="E83" i="129"/>
  <c r="P83" i="129"/>
  <c r="J83" i="129" s="1"/>
  <c r="Q83" i="129"/>
  <c r="E84" i="129"/>
  <c r="P84" i="129"/>
  <c r="J84" i="129" s="1"/>
  <c r="Q84" i="129" s="1"/>
  <c r="E85" i="129"/>
  <c r="P85" i="129"/>
  <c r="J85" i="129" s="1"/>
  <c r="Q85" i="129" s="1"/>
  <c r="E89" i="129"/>
  <c r="P89" i="129"/>
  <c r="J89" i="129" s="1"/>
  <c r="Q89" i="129"/>
  <c r="E90" i="129"/>
  <c r="P90" i="129"/>
  <c r="J90" i="129" s="1"/>
  <c r="Q90" i="129"/>
  <c r="E91" i="129"/>
  <c r="P91" i="129"/>
  <c r="J91" i="129" s="1"/>
  <c r="Q91" i="129" s="1"/>
  <c r="E92" i="129"/>
  <c r="P92" i="129"/>
  <c r="J92" i="129" s="1"/>
  <c r="Q92" i="129" s="1"/>
  <c r="E93" i="129"/>
  <c r="P93" i="129"/>
  <c r="J93" i="129" s="1"/>
  <c r="Q93" i="129"/>
  <c r="E94" i="129"/>
  <c r="P94" i="129"/>
  <c r="J94" i="129" s="1"/>
  <c r="Q94" i="129"/>
  <c r="E95" i="129"/>
  <c r="P95" i="129"/>
  <c r="J95" i="129" s="1"/>
  <c r="Q95" i="129" s="1"/>
  <c r="E98" i="129"/>
  <c r="P98" i="129"/>
  <c r="J98" i="129" s="1"/>
  <c r="Q98" i="129" s="1"/>
  <c r="E99" i="129"/>
  <c r="P99" i="129"/>
  <c r="J99" i="129" s="1"/>
  <c r="Q99" i="129"/>
  <c r="E100" i="129"/>
  <c r="P100" i="129"/>
  <c r="J100" i="129" s="1"/>
  <c r="Q100" i="129"/>
  <c r="F101" i="129"/>
  <c r="E101" i="129" s="1"/>
  <c r="Q101" i="129" s="1"/>
  <c r="J101" i="129"/>
  <c r="P101" i="129"/>
  <c r="E102" i="129"/>
  <c r="J102" i="129"/>
  <c r="P102" i="129"/>
  <c r="E103" i="129"/>
  <c r="P103" i="129"/>
  <c r="J103" i="129" s="1"/>
  <c r="E104" i="129"/>
  <c r="P104" i="129"/>
  <c r="J104" i="129" s="1"/>
  <c r="E105" i="129"/>
  <c r="G105" i="129"/>
  <c r="J105" i="129"/>
  <c r="Q105" i="129" s="1"/>
  <c r="P105" i="129"/>
  <c r="E106" i="129"/>
  <c r="Q106" i="129" s="1"/>
  <c r="J106" i="129"/>
  <c r="P106" i="129"/>
  <c r="E107" i="129"/>
  <c r="J107" i="129"/>
  <c r="P107" i="129"/>
  <c r="E108" i="129"/>
  <c r="J108" i="129"/>
  <c r="P108" i="129"/>
  <c r="E109" i="129"/>
  <c r="Q109" i="129" s="1"/>
  <c r="J109" i="129"/>
  <c r="P109" i="129"/>
  <c r="E113" i="129"/>
  <c r="J113" i="129"/>
  <c r="P113" i="129"/>
  <c r="E114" i="129"/>
  <c r="J114" i="129"/>
  <c r="Q114" i="129" s="1"/>
  <c r="P114" i="129"/>
  <c r="E115" i="129"/>
  <c r="J115" i="129"/>
  <c r="Q115" i="129" s="1"/>
  <c r="P115" i="129"/>
  <c r="E116" i="129"/>
  <c r="J116" i="129"/>
  <c r="P116" i="129"/>
  <c r="E117" i="129"/>
  <c r="J117" i="129"/>
  <c r="P117" i="129"/>
  <c r="E118" i="129"/>
  <c r="J118" i="129"/>
  <c r="Q118" i="129" s="1"/>
  <c r="P118" i="129"/>
  <c r="E119" i="129"/>
  <c r="J119" i="129"/>
  <c r="P119" i="129"/>
  <c r="E120" i="129"/>
  <c r="Q120" i="129" s="1"/>
  <c r="J120" i="129"/>
  <c r="P120" i="129"/>
  <c r="E121" i="129"/>
  <c r="Q121" i="129" s="1"/>
  <c r="J121" i="129"/>
  <c r="P121" i="129"/>
  <c r="E122" i="129"/>
  <c r="J122" i="129"/>
  <c r="P122" i="129"/>
  <c r="E123" i="129"/>
  <c r="J123" i="129"/>
  <c r="P123" i="129"/>
  <c r="E124" i="129"/>
  <c r="J124" i="129"/>
  <c r="P124" i="129"/>
  <c r="E125" i="129"/>
  <c r="Q125" i="129" s="1"/>
  <c r="J125" i="129"/>
  <c r="K125" i="129"/>
  <c r="P125" i="129" s="1"/>
  <c r="E126" i="129"/>
  <c r="Q126" i="129" s="1"/>
  <c r="K126" i="129"/>
  <c r="P126" i="129"/>
  <c r="J126" i="129" s="1"/>
  <c r="E127" i="129"/>
  <c r="P127" i="129"/>
  <c r="J127" i="129" s="1"/>
  <c r="Q127" i="129" s="1"/>
  <c r="R127" i="129" s="1"/>
  <c r="E129" i="129"/>
  <c r="P129" i="129"/>
  <c r="J129" i="129" s="1"/>
  <c r="Q129" i="129" s="1"/>
  <c r="E132" i="129"/>
  <c r="P132" i="129"/>
  <c r="J132" i="129" s="1"/>
  <c r="Q132" i="129"/>
  <c r="E133" i="129"/>
  <c r="P133" i="129"/>
  <c r="J133" i="129" s="1"/>
  <c r="Q133" i="129"/>
  <c r="E134" i="129"/>
  <c r="P134" i="129"/>
  <c r="J134" i="129" s="1"/>
  <c r="Q134" i="129" s="1"/>
  <c r="E135" i="129"/>
  <c r="P135" i="129"/>
  <c r="J135" i="129" s="1"/>
  <c r="Q135" i="129" s="1"/>
  <c r="E138" i="129"/>
  <c r="P138" i="129"/>
  <c r="J138" i="129" s="1"/>
  <c r="E139" i="129"/>
  <c r="P139" i="129"/>
  <c r="J139" i="129" s="1"/>
  <c r="E142" i="129"/>
  <c r="P142" i="129"/>
  <c r="J142" i="129" s="1"/>
  <c r="E143" i="129"/>
  <c r="P143" i="129"/>
  <c r="J143" i="129" s="1"/>
  <c r="E144" i="129"/>
  <c r="P144" i="129"/>
  <c r="J144" i="129" s="1"/>
  <c r="E145" i="129"/>
  <c r="P145" i="129"/>
  <c r="J145" i="129" s="1"/>
  <c r="E148" i="129"/>
  <c r="P148" i="129"/>
  <c r="J148" i="129" s="1"/>
  <c r="Q148" i="129" s="1"/>
  <c r="E149" i="129"/>
  <c r="J149" i="129"/>
  <c r="P149" i="129"/>
  <c r="P150" i="129"/>
  <c r="J150" i="129" s="1"/>
  <c r="Q150" i="129" s="1"/>
  <c r="E153" i="129"/>
  <c r="E152" i="129" s="1"/>
  <c r="P153" i="129"/>
  <c r="J153" i="129" s="1"/>
  <c r="E154" i="129"/>
  <c r="P154" i="129"/>
  <c r="J154" i="129" s="1"/>
  <c r="Q154" i="129" s="1"/>
  <c r="E155" i="129"/>
  <c r="P155" i="129"/>
  <c r="J155" i="129" s="1"/>
  <c r="E158" i="129"/>
  <c r="P158" i="129"/>
  <c r="J158" i="129" s="1"/>
  <c r="E159" i="129"/>
  <c r="Q159" i="129" s="1"/>
  <c r="P159" i="129"/>
  <c r="J159" i="129" s="1"/>
  <c r="E160" i="129"/>
  <c r="P160" i="129"/>
  <c r="J160" i="129" s="1"/>
  <c r="E161" i="129"/>
  <c r="P161" i="129"/>
  <c r="J161" i="129" s="1"/>
  <c r="K164" i="130"/>
  <c r="H164" i="130"/>
  <c r="G164" i="130"/>
  <c r="O157" i="130"/>
  <c r="O156" i="130" s="1"/>
  <c r="N157" i="130"/>
  <c r="N156" i="130" s="1"/>
  <c r="K157" i="130"/>
  <c r="H157" i="130"/>
  <c r="H156" i="130" s="1"/>
  <c r="G157" i="130"/>
  <c r="G156" i="130" s="1"/>
  <c r="F157" i="130"/>
  <c r="F156" i="130" s="1"/>
  <c r="O152" i="130"/>
  <c r="O151" i="130" s="1"/>
  <c r="N152" i="130"/>
  <c r="N151" i="130" s="1"/>
  <c r="K152" i="130"/>
  <c r="I152" i="130"/>
  <c r="I151" i="130" s="1"/>
  <c r="H152" i="130"/>
  <c r="G152" i="130"/>
  <c r="G151" i="130" s="1"/>
  <c r="F152" i="130"/>
  <c r="F151" i="130" s="1"/>
  <c r="H151" i="130"/>
  <c r="O147" i="130"/>
  <c r="O146" i="130" s="1"/>
  <c r="L147" i="130"/>
  <c r="K147" i="130"/>
  <c r="P147" i="130" s="1"/>
  <c r="H147" i="130"/>
  <c r="H146" i="130" s="1"/>
  <c r="G147" i="130"/>
  <c r="G146" i="130" s="1"/>
  <c r="F147" i="130"/>
  <c r="F146" i="130" s="1"/>
  <c r="L141" i="130"/>
  <c r="I141" i="130"/>
  <c r="I140" i="130" s="1"/>
  <c r="H141" i="130"/>
  <c r="H140" i="130" s="1"/>
  <c r="K140" i="130"/>
  <c r="O137" i="130"/>
  <c r="O136" i="130" s="1"/>
  <c r="N137" i="130"/>
  <c r="N136" i="130" s="1"/>
  <c r="L137" i="130"/>
  <c r="K137" i="130"/>
  <c r="I137" i="130"/>
  <c r="I136" i="130" s="1"/>
  <c r="H137" i="130"/>
  <c r="H136" i="130" s="1"/>
  <c r="G137" i="130"/>
  <c r="F137" i="130"/>
  <c r="F136" i="130" s="1"/>
  <c r="G136" i="130"/>
  <c r="O131" i="130"/>
  <c r="O130" i="130" s="1"/>
  <c r="N131" i="130"/>
  <c r="N130" i="130" s="1"/>
  <c r="L131" i="130"/>
  <c r="K131" i="130"/>
  <c r="G131" i="130"/>
  <c r="G130" i="130" s="1"/>
  <c r="F131" i="130"/>
  <c r="F130" i="130" s="1"/>
  <c r="P110" i="130"/>
  <c r="O110" i="130"/>
  <c r="J110" i="130"/>
  <c r="F110" i="130"/>
  <c r="E110" i="130" s="1"/>
  <c r="O97" i="130"/>
  <c r="O96" i="130" s="1"/>
  <c r="H97" i="130"/>
  <c r="H96" i="130" s="1"/>
  <c r="N88" i="130"/>
  <c r="N87" i="130" s="1"/>
  <c r="G88" i="130"/>
  <c r="G87" i="130" s="1"/>
  <c r="O34" i="130"/>
  <c r="O33" i="130" s="1"/>
  <c r="I34" i="130"/>
  <c r="I33" i="130" s="1"/>
  <c r="L13" i="130"/>
  <c r="L12" i="130" s="1"/>
  <c r="I101" i="98"/>
  <c r="I63" i="98"/>
  <c r="K124" i="97"/>
  <c r="K124" i="130" s="1"/>
  <c r="F49" i="97"/>
  <c r="F48" i="97"/>
  <c r="F48" i="130" s="1"/>
  <c r="F51" i="97"/>
  <c r="F51" i="130" s="1"/>
  <c r="N34" i="97"/>
  <c r="M34" i="97"/>
  <c r="L34" i="97"/>
  <c r="H34" i="97"/>
  <c r="G34" i="97"/>
  <c r="F36" i="97"/>
  <c r="F34" i="97" s="1"/>
  <c r="K164" i="129"/>
  <c r="H164" i="129"/>
  <c r="G164" i="129"/>
  <c r="O157" i="129"/>
  <c r="O156" i="129" s="1"/>
  <c r="N157" i="129"/>
  <c r="N156" i="129" s="1"/>
  <c r="M157" i="129"/>
  <c r="L157" i="129"/>
  <c r="L156" i="129" s="1"/>
  <c r="K157" i="129"/>
  <c r="P157" i="129" s="1"/>
  <c r="I157" i="129"/>
  <c r="I156" i="129" s="1"/>
  <c r="H157" i="129"/>
  <c r="G157" i="129"/>
  <c r="G156" i="129" s="1"/>
  <c r="F157" i="129"/>
  <c r="F156" i="129" s="1"/>
  <c r="M156" i="129"/>
  <c r="H156" i="129"/>
  <c r="O152" i="129"/>
  <c r="N152" i="129"/>
  <c r="N151" i="129" s="1"/>
  <c r="M152" i="129"/>
  <c r="L152" i="129"/>
  <c r="L151" i="129" s="1"/>
  <c r="K152" i="129"/>
  <c r="I152" i="129"/>
  <c r="I151" i="129" s="1"/>
  <c r="H152" i="129"/>
  <c r="H151" i="129" s="1"/>
  <c r="G152" i="129"/>
  <c r="F152" i="129"/>
  <c r="F151" i="129" s="1"/>
  <c r="O151" i="129"/>
  <c r="M151" i="129"/>
  <c r="G151" i="129"/>
  <c r="O147" i="129"/>
  <c r="N147" i="129"/>
  <c r="M147" i="129"/>
  <c r="M146" i="129" s="1"/>
  <c r="L147" i="129"/>
  <c r="L146" i="129" s="1"/>
  <c r="K147" i="129"/>
  <c r="P147" i="129" s="1"/>
  <c r="I147" i="129"/>
  <c r="I146" i="129" s="1"/>
  <c r="H147" i="129"/>
  <c r="H146" i="129" s="1"/>
  <c r="G147" i="129"/>
  <c r="G146" i="129" s="1"/>
  <c r="F147" i="129"/>
  <c r="F146" i="129" s="1"/>
  <c r="O146" i="129"/>
  <c r="N146" i="129"/>
  <c r="O141" i="129"/>
  <c r="O140" i="129" s="1"/>
  <c r="N141" i="129"/>
  <c r="N140" i="129" s="1"/>
  <c r="M141" i="129"/>
  <c r="M140" i="129" s="1"/>
  <c r="L141" i="129"/>
  <c r="L140" i="129" s="1"/>
  <c r="K141" i="129"/>
  <c r="P141" i="129" s="1"/>
  <c r="I141" i="129"/>
  <c r="I140" i="129" s="1"/>
  <c r="H141" i="129"/>
  <c r="H140" i="129" s="1"/>
  <c r="G141" i="129"/>
  <c r="G140" i="129" s="1"/>
  <c r="F141" i="129"/>
  <c r="F140" i="129" s="1"/>
  <c r="E141" i="129"/>
  <c r="E140" i="129" s="1"/>
  <c r="O137" i="129"/>
  <c r="N137" i="129"/>
  <c r="M137" i="129"/>
  <c r="M136" i="129" s="1"/>
  <c r="L137" i="129"/>
  <c r="L136" i="129" s="1"/>
  <c r="K137" i="129"/>
  <c r="P137" i="129" s="1"/>
  <c r="I137" i="129"/>
  <c r="I136" i="129" s="1"/>
  <c r="H137" i="129"/>
  <c r="H136" i="129" s="1"/>
  <c r="G137" i="129"/>
  <c r="F137" i="129"/>
  <c r="O136" i="129"/>
  <c r="N136" i="129"/>
  <c r="G136" i="129"/>
  <c r="F136" i="129"/>
  <c r="O131" i="129"/>
  <c r="O130" i="129" s="1"/>
  <c r="N131" i="129"/>
  <c r="N130" i="129" s="1"/>
  <c r="M131" i="129"/>
  <c r="M130" i="129" s="1"/>
  <c r="L131" i="129"/>
  <c r="K131" i="129"/>
  <c r="I131" i="129"/>
  <c r="I130" i="129" s="1"/>
  <c r="H131" i="129"/>
  <c r="H130" i="129" s="1"/>
  <c r="G131" i="129"/>
  <c r="F131" i="129"/>
  <c r="E131" i="129"/>
  <c r="E130" i="129" s="1"/>
  <c r="L130" i="129"/>
  <c r="K130" i="129"/>
  <c r="G130" i="129"/>
  <c r="F130" i="129"/>
  <c r="O112" i="129"/>
  <c r="N112" i="129"/>
  <c r="N111" i="129" s="1"/>
  <c r="M112" i="129"/>
  <c r="L112" i="129"/>
  <c r="I112" i="129"/>
  <c r="I111" i="129" s="1"/>
  <c r="H112" i="129"/>
  <c r="H111" i="129" s="1"/>
  <c r="G112" i="129"/>
  <c r="G111" i="129" s="1"/>
  <c r="F112" i="129"/>
  <c r="F111" i="129" s="1"/>
  <c r="O111" i="129"/>
  <c r="M111" i="129"/>
  <c r="P110" i="129"/>
  <c r="J110" i="129" s="1"/>
  <c r="O110" i="129"/>
  <c r="F110" i="129"/>
  <c r="E110" i="129"/>
  <c r="Q110" i="129" s="1"/>
  <c r="G97" i="129"/>
  <c r="O97" i="129"/>
  <c r="N97" i="129"/>
  <c r="N96" i="129" s="1"/>
  <c r="M97" i="129"/>
  <c r="M96" i="129" s="1"/>
  <c r="L97" i="129"/>
  <c r="L96" i="129" s="1"/>
  <c r="K97" i="129"/>
  <c r="I97" i="129"/>
  <c r="H97" i="129"/>
  <c r="H96" i="129" s="1"/>
  <c r="F97" i="129"/>
  <c r="F96" i="129" s="1"/>
  <c r="O96" i="129"/>
  <c r="I96" i="129"/>
  <c r="G96" i="129"/>
  <c r="O88" i="129"/>
  <c r="O87" i="129" s="1"/>
  <c r="N88" i="129"/>
  <c r="M88" i="129"/>
  <c r="M87" i="129" s="1"/>
  <c r="L88" i="129"/>
  <c r="L87" i="129" s="1"/>
  <c r="K88" i="129"/>
  <c r="P88" i="129" s="1"/>
  <c r="I88" i="129"/>
  <c r="I87" i="129" s="1"/>
  <c r="H88" i="129"/>
  <c r="H87" i="129" s="1"/>
  <c r="G88" i="129"/>
  <c r="G87" i="129" s="1"/>
  <c r="F88" i="129"/>
  <c r="E88" i="129" s="1"/>
  <c r="E87" i="129" s="1"/>
  <c r="N87" i="129"/>
  <c r="O46" i="129"/>
  <c r="O45" i="129" s="1"/>
  <c r="N46" i="129"/>
  <c r="N45" i="129" s="1"/>
  <c r="M46" i="129"/>
  <c r="M45" i="129" s="1"/>
  <c r="L46" i="129"/>
  <c r="L45" i="129" s="1"/>
  <c r="K46" i="129"/>
  <c r="K45" i="129" s="1"/>
  <c r="P45" i="129" s="1"/>
  <c r="I46" i="129"/>
  <c r="I45" i="129" s="1"/>
  <c r="H46" i="129"/>
  <c r="G46" i="129"/>
  <c r="G45" i="129" s="1"/>
  <c r="F46" i="129"/>
  <c r="F45" i="129" s="1"/>
  <c r="H45" i="129"/>
  <c r="O34" i="129"/>
  <c r="N34" i="129"/>
  <c r="N33" i="129" s="1"/>
  <c r="M34" i="129"/>
  <c r="M33" i="129" s="1"/>
  <c r="L34" i="129"/>
  <c r="L33" i="129" s="1"/>
  <c r="I34" i="129"/>
  <c r="I33" i="129" s="1"/>
  <c r="H34" i="129"/>
  <c r="H33" i="129" s="1"/>
  <c r="G34" i="129"/>
  <c r="G33" i="129" s="1"/>
  <c r="F34" i="129"/>
  <c r="F33" i="129" s="1"/>
  <c r="O33" i="129"/>
  <c r="K23" i="129"/>
  <c r="O23" i="129"/>
  <c r="O22" i="129" s="1"/>
  <c r="N23" i="129"/>
  <c r="N22" i="129" s="1"/>
  <c r="M23" i="129"/>
  <c r="L23" i="129"/>
  <c r="L22" i="129" s="1"/>
  <c r="I23" i="129"/>
  <c r="G23" i="129"/>
  <c r="M22" i="129"/>
  <c r="I22" i="129"/>
  <c r="G22" i="129"/>
  <c r="O13" i="129"/>
  <c r="O12" i="129" s="1"/>
  <c r="N13" i="129"/>
  <c r="M13" i="129"/>
  <c r="M12" i="129" s="1"/>
  <c r="L13" i="129"/>
  <c r="L12" i="129" s="1"/>
  <c r="K13" i="129"/>
  <c r="P13" i="129" s="1"/>
  <c r="I13" i="129"/>
  <c r="I12" i="129" s="1"/>
  <c r="H13" i="129"/>
  <c r="H12" i="129" s="1"/>
  <c r="G13" i="129"/>
  <c r="F13" i="129"/>
  <c r="K12" i="129"/>
  <c r="G12" i="129"/>
  <c r="Q122" i="129" l="1"/>
  <c r="Q102" i="129"/>
  <c r="E46" i="129"/>
  <c r="E45" i="129" s="1"/>
  <c r="F36" i="130"/>
  <c r="I112" i="130"/>
  <c r="I111" i="130" s="1"/>
  <c r="Q160" i="129"/>
  <c r="Q158" i="129"/>
  <c r="E157" i="129"/>
  <c r="E147" i="129"/>
  <c r="E146" i="129" s="1"/>
  <c r="E137" i="129"/>
  <c r="E136" i="129" s="1"/>
  <c r="Q124" i="129"/>
  <c r="Q123" i="129"/>
  <c r="Q119" i="129"/>
  <c r="Q116" i="129"/>
  <c r="Q108" i="129"/>
  <c r="Q103" i="129"/>
  <c r="Q41" i="129"/>
  <c r="Q30" i="129"/>
  <c r="Q29" i="129"/>
  <c r="Q28" i="129"/>
  <c r="Q27" i="129"/>
  <c r="Q20" i="129"/>
  <c r="I13" i="130"/>
  <c r="I12" i="130" s="1"/>
  <c r="S141" i="130"/>
  <c r="P152" i="129"/>
  <c r="K151" i="129"/>
  <c r="P151" i="129" s="1"/>
  <c r="Q107" i="129"/>
  <c r="K140" i="129"/>
  <c r="Q145" i="129"/>
  <c r="Q143" i="129"/>
  <c r="Q117" i="129"/>
  <c r="Q113" i="129"/>
  <c r="Q104" i="129"/>
  <c r="Q47" i="129"/>
  <c r="Q36" i="129"/>
  <c r="K112" i="129"/>
  <c r="K136" i="129"/>
  <c r="P136" i="129" s="1"/>
  <c r="P152" i="130"/>
  <c r="J152" i="130" s="1"/>
  <c r="J151" i="130" s="1"/>
  <c r="Q161" i="129"/>
  <c r="Q144" i="129"/>
  <c r="Q142" i="129"/>
  <c r="H23" i="129"/>
  <c r="H22" i="129" s="1"/>
  <c r="Q24" i="129"/>
  <c r="I23" i="130"/>
  <c r="I22" i="130" s="1"/>
  <c r="O88" i="130"/>
  <c r="O87" i="130" s="1"/>
  <c r="K88" i="130"/>
  <c r="P88" i="130" s="1"/>
  <c r="J88" i="130" s="1"/>
  <c r="J87" i="130" s="1"/>
  <c r="H88" i="130"/>
  <c r="H87" i="130" s="1"/>
  <c r="L23" i="130"/>
  <c r="M157" i="130"/>
  <c r="M156" i="130" s="1"/>
  <c r="J13" i="129"/>
  <c r="J88" i="129"/>
  <c r="J87" i="129" s="1"/>
  <c r="J137" i="129"/>
  <c r="J136" i="129" s="1"/>
  <c r="J147" i="129"/>
  <c r="Q155" i="129"/>
  <c r="Q153" i="129"/>
  <c r="Q149" i="129"/>
  <c r="G23" i="130"/>
  <c r="G22" i="130" s="1"/>
  <c r="L97" i="130"/>
  <c r="L96" i="130" s="1"/>
  <c r="F13" i="130"/>
  <c r="F12" i="130" s="1"/>
  <c r="N34" i="130"/>
  <c r="N33" i="130" s="1"/>
  <c r="F34" i="130"/>
  <c r="F33" i="130" s="1"/>
  <c r="G34" i="130"/>
  <c r="G33" i="130" s="1"/>
  <c r="L34" i="130"/>
  <c r="H34" i="130"/>
  <c r="H33" i="130" s="1"/>
  <c r="F88" i="130"/>
  <c r="L88" i="130"/>
  <c r="L87" i="130" s="1"/>
  <c r="I131" i="130"/>
  <c r="I130" i="130" s="1"/>
  <c r="K97" i="130"/>
  <c r="M131" i="130"/>
  <c r="M130" i="130" s="1"/>
  <c r="M152" i="130"/>
  <c r="M151" i="130" s="1"/>
  <c r="N112" i="130"/>
  <c r="N111" i="130" s="1"/>
  <c r="F112" i="130"/>
  <c r="F111" i="130" s="1"/>
  <c r="M137" i="130"/>
  <c r="M136" i="130" s="1"/>
  <c r="M141" i="130"/>
  <c r="M140" i="130" s="1"/>
  <c r="O112" i="130"/>
  <c r="O111" i="130" s="1"/>
  <c r="G112" i="130"/>
  <c r="G111" i="130" s="1"/>
  <c r="L112" i="130"/>
  <c r="H112" i="130"/>
  <c r="H111" i="130" s="1"/>
  <c r="M112" i="130"/>
  <c r="M111" i="130" s="1"/>
  <c r="M97" i="130"/>
  <c r="M96" i="130" s="1"/>
  <c r="I97" i="130"/>
  <c r="I96" i="130" s="1"/>
  <c r="E88" i="130"/>
  <c r="F87" i="130"/>
  <c r="M88" i="130"/>
  <c r="M87" i="130" s="1"/>
  <c r="I88" i="130"/>
  <c r="I87" i="130" s="1"/>
  <c r="O46" i="130"/>
  <c r="O45" i="130" s="1"/>
  <c r="H46" i="130"/>
  <c r="H45" i="130" s="1"/>
  <c r="M46" i="130"/>
  <c r="M45" i="130" s="1"/>
  <c r="I46" i="130"/>
  <c r="I45" i="130" s="1"/>
  <c r="N46" i="130"/>
  <c r="N45" i="130" s="1"/>
  <c r="G46" i="130"/>
  <c r="G45" i="130" s="1"/>
  <c r="L46" i="130"/>
  <c r="L45" i="130" s="1"/>
  <c r="M34" i="130"/>
  <c r="M33" i="130" s="1"/>
  <c r="O23" i="130"/>
  <c r="O22" i="130" s="1"/>
  <c r="N13" i="130"/>
  <c r="N12" i="130" s="1"/>
  <c r="H13" i="130"/>
  <c r="H12" i="130" s="1"/>
  <c r="O13" i="130"/>
  <c r="O12" i="130" s="1"/>
  <c r="K13" i="130"/>
  <c r="P13" i="130" s="1"/>
  <c r="J13" i="130" s="1"/>
  <c r="K146" i="130"/>
  <c r="P146" i="130" s="1"/>
  <c r="K130" i="130"/>
  <c r="P130" i="130" s="1"/>
  <c r="P131" i="130"/>
  <c r="Q25" i="129"/>
  <c r="Q138" i="129"/>
  <c r="Q139" i="129"/>
  <c r="P140" i="130"/>
  <c r="P141" i="130"/>
  <c r="J141" i="130" s="1"/>
  <c r="J140" i="130" s="1"/>
  <c r="P140" i="129"/>
  <c r="K146" i="129"/>
  <c r="K156" i="129"/>
  <c r="P156" i="129" s="1"/>
  <c r="J157" i="129"/>
  <c r="J156" i="129" s="1"/>
  <c r="P157" i="130"/>
  <c r="J152" i="129"/>
  <c r="J151" i="129" s="1"/>
  <c r="P146" i="129"/>
  <c r="J141" i="129"/>
  <c r="K136" i="130"/>
  <c r="P136" i="130" s="1"/>
  <c r="P137" i="130"/>
  <c r="P131" i="129"/>
  <c r="J131" i="129" s="1"/>
  <c r="J130" i="129" s="1"/>
  <c r="P130" i="129"/>
  <c r="N162" i="129"/>
  <c r="N171" i="129" s="1"/>
  <c r="O162" i="129"/>
  <c r="O171" i="129" s="1"/>
  <c r="P97" i="129"/>
  <c r="J97" i="129" s="1"/>
  <c r="J96" i="129" s="1"/>
  <c r="K96" i="129"/>
  <c r="P96" i="129" s="1"/>
  <c r="E87" i="130"/>
  <c r="F87" i="129"/>
  <c r="G162" i="129"/>
  <c r="G171" i="129" s="1"/>
  <c r="P12" i="129"/>
  <c r="L22" i="130"/>
  <c r="L146" i="130"/>
  <c r="J147" i="130"/>
  <c r="L33" i="130"/>
  <c r="F46" i="130"/>
  <c r="F45" i="130" s="1"/>
  <c r="L111" i="130"/>
  <c r="L130" i="130"/>
  <c r="J131" i="130"/>
  <c r="J130" i="130" s="1"/>
  <c r="Q110" i="130"/>
  <c r="L136" i="130"/>
  <c r="J137" i="130"/>
  <c r="J136" i="130" s="1"/>
  <c r="L140" i="130"/>
  <c r="J157" i="130"/>
  <c r="J156" i="130" s="1"/>
  <c r="K151" i="130"/>
  <c r="P151" i="130" s="1"/>
  <c r="K156" i="130"/>
  <c r="P156" i="130" s="1"/>
  <c r="R85" i="129"/>
  <c r="K22" i="129"/>
  <c r="P22" i="129" s="1"/>
  <c r="P23" i="129"/>
  <c r="J23" i="129" s="1"/>
  <c r="J22" i="129" s="1"/>
  <c r="E23" i="129"/>
  <c r="E34" i="129"/>
  <c r="P46" i="129"/>
  <c r="J46" i="129" s="1"/>
  <c r="J45" i="129" s="1"/>
  <c r="K87" i="129"/>
  <c r="P87" i="129" s="1"/>
  <c r="E151" i="129"/>
  <c r="Q157" i="129"/>
  <c r="E156" i="129"/>
  <c r="Q88" i="129"/>
  <c r="L162" i="129"/>
  <c r="L171" i="129" s="1"/>
  <c r="F23" i="129"/>
  <c r="F22" i="129" s="1"/>
  <c r="L111" i="129"/>
  <c r="F12" i="129"/>
  <c r="J12" i="129"/>
  <c r="N12" i="129"/>
  <c r="E13" i="129"/>
  <c r="I162" i="129"/>
  <c r="I171" i="129" s="1"/>
  <c r="M162" i="129"/>
  <c r="M171" i="129" s="1"/>
  <c r="K34" i="129"/>
  <c r="E97" i="129"/>
  <c r="E112" i="129"/>
  <c r="S141" i="129"/>
  <c r="C94" i="126"/>
  <c r="C93" i="126"/>
  <c r="P97" i="130" l="1"/>
  <c r="J97" i="130" s="1"/>
  <c r="J96" i="130" s="1"/>
  <c r="Q131" i="129"/>
  <c r="K87" i="130"/>
  <c r="P87" i="130" s="1"/>
  <c r="K96" i="130"/>
  <c r="P96" i="130" s="1"/>
  <c r="P112" i="129"/>
  <c r="J112" i="129" s="1"/>
  <c r="J111" i="129" s="1"/>
  <c r="K111" i="129"/>
  <c r="P111" i="129" s="1"/>
  <c r="Q147" i="129"/>
  <c r="H162" i="129"/>
  <c r="H171" i="129" s="1"/>
  <c r="Q137" i="129"/>
  <c r="Q152" i="129"/>
  <c r="M162" i="130"/>
  <c r="M171" i="130" s="1"/>
  <c r="J146" i="129"/>
  <c r="O162" i="130"/>
  <c r="O171" i="130" s="1"/>
  <c r="I162" i="130"/>
  <c r="I171" i="130" s="1"/>
  <c r="L162" i="130"/>
  <c r="L171" i="130" s="1"/>
  <c r="N162" i="130"/>
  <c r="N171" i="130" s="1"/>
  <c r="K12" i="130"/>
  <c r="P12" i="130" s="1"/>
  <c r="J140" i="129"/>
  <c r="Q141" i="129"/>
  <c r="Q88" i="130"/>
  <c r="Q46" i="129"/>
  <c r="Q45" i="129" s="1"/>
  <c r="J12" i="130"/>
  <c r="J146" i="130"/>
  <c r="K33" i="129"/>
  <c r="P33" i="129" s="1"/>
  <c r="P34" i="129"/>
  <c r="J34" i="129" s="1"/>
  <c r="J33" i="129" s="1"/>
  <c r="Q87" i="129"/>
  <c r="R88" i="129"/>
  <c r="E33" i="129"/>
  <c r="Q34" i="129"/>
  <c r="Q146" i="129"/>
  <c r="R147" i="129"/>
  <c r="Q151" i="129"/>
  <c r="R152" i="129"/>
  <c r="K162" i="129"/>
  <c r="R46" i="129"/>
  <c r="Q136" i="129"/>
  <c r="R137" i="129"/>
  <c r="Q112" i="129"/>
  <c r="E111" i="129"/>
  <c r="Q97" i="129"/>
  <c r="E96" i="129"/>
  <c r="F162" i="129"/>
  <c r="E22" i="129"/>
  <c r="Q23" i="129"/>
  <c r="E162" i="129"/>
  <c r="Q13" i="129"/>
  <c r="E12" i="129"/>
  <c r="Q156" i="129"/>
  <c r="R157" i="129"/>
  <c r="G23" i="125"/>
  <c r="G21" i="125"/>
  <c r="Q130" i="129" l="1"/>
  <c r="R131" i="129"/>
  <c r="R141" i="129"/>
  <c r="Q140" i="129"/>
  <c r="Q87" i="130"/>
  <c r="R112" i="129"/>
  <c r="Q111" i="129"/>
  <c r="E174" i="129"/>
  <c r="Q33" i="129"/>
  <c r="R34" i="129"/>
  <c r="Q162" i="129"/>
  <c r="Q12" i="129"/>
  <c r="P162" i="129"/>
  <c r="K171" i="129"/>
  <c r="Q22" i="129"/>
  <c r="R23" i="129"/>
  <c r="Q96" i="129"/>
  <c r="R97" i="129"/>
  <c r="J162" i="129"/>
  <c r="J171" i="129" s="1"/>
  <c r="R13" i="129"/>
  <c r="J14" i="98"/>
  <c r="J44" i="98"/>
  <c r="J78" i="98"/>
  <c r="K164" i="97"/>
  <c r="H164" i="97"/>
  <c r="G164" i="97"/>
  <c r="I88" i="97"/>
  <c r="I87" i="97" s="1"/>
  <c r="E153" i="97"/>
  <c r="E153" i="130" s="1"/>
  <c r="G46" i="97"/>
  <c r="G45" i="97" s="1"/>
  <c r="H46" i="97"/>
  <c r="H45" i="97" s="1"/>
  <c r="I46" i="97"/>
  <c r="I45" i="97" s="1"/>
  <c r="G23" i="97"/>
  <c r="G22" i="97" s="1"/>
  <c r="F13" i="97"/>
  <c r="F12" i="97" s="1"/>
  <c r="H13" i="97"/>
  <c r="H12" i="97" s="1"/>
  <c r="F174" i="129" l="1"/>
  <c r="Q171" i="129"/>
  <c r="Q172" i="129"/>
  <c r="J154" i="125"/>
  <c r="J153" i="125"/>
  <c r="K157" i="97" l="1"/>
  <c r="K156" i="97" s="1"/>
  <c r="G131" i="107" l="1"/>
  <c r="G132" i="98"/>
  <c r="G131" i="108"/>
  <c r="G131" i="116"/>
  <c r="G130" i="107"/>
  <c r="G131" i="98"/>
  <c r="G130" i="108"/>
  <c r="G130" i="116"/>
  <c r="G128" i="107"/>
  <c r="G129" i="98"/>
  <c r="G128" i="108"/>
  <c r="G128" i="116"/>
  <c r="G128" i="125"/>
  <c r="G129" i="116"/>
  <c r="G129" i="108"/>
  <c r="G130" i="98"/>
  <c r="G129" i="107"/>
  <c r="G126" i="107"/>
  <c r="G127" i="98"/>
  <c r="G126" i="108"/>
  <c r="G126" i="116"/>
  <c r="G126" i="125"/>
  <c r="G127" i="107"/>
  <c r="G128" i="98"/>
  <c r="G127" i="108"/>
  <c r="G127" i="116"/>
  <c r="G124" i="107"/>
  <c r="G125" i="98"/>
  <c r="G124" i="108"/>
  <c r="G124" i="116"/>
  <c r="G123" i="107"/>
  <c r="G124" i="98"/>
  <c r="G123" i="108"/>
  <c r="G123" i="116"/>
  <c r="G122" i="107"/>
  <c r="G123" i="98"/>
  <c r="G122" i="108"/>
  <c r="G122" i="116"/>
  <c r="G121" i="107"/>
  <c r="G122" i="98"/>
  <c r="G121" i="108"/>
  <c r="G121" i="116"/>
  <c r="G120" i="107"/>
  <c r="G121" i="98"/>
  <c r="G120" i="108"/>
  <c r="G120" i="116"/>
  <c r="G119" i="107"/>
  <c r="G119" i="108"/>
  <c r="G119" i="116"/>
  <c r="G118" i="107"/>
  <c r="G118" i="108"/>
  <c r="G118" i="116"/>
  <c r="G117" i="107"/>
  <c r="G117" i="108"/>
  <c r="G117" i="116"/>
  <c r="G116" i="107"/>
  <c r="G116" i="108"/>
  <c r="G116" i="116"/>
  <c r="G115" i="107"/>
  <c r="G115" i="108"/>
  <c r="G115" i="116"/>
  <c r="G114" i="107"/>
  <c r="G114" i="108"/>
  <c r="G114" i="116"/>
  <c r="G112" i="107"/>
  <c r="G112" i="108"/>
  <c r="G112" i="116"/>
  <c r="G72" i="107"/>
  <c r="G72" i="108"/>
  <c r="G72" i="116"/>
  <c r="G70" i="107"/>
  <c r="G70" i="108"/>
  <c r="G70" i="116"/>
  <c r="G69" i="107"/>
  <c r="G69" i="108"/>
  <c r="G69" i="116"/>
  <c r="G68" i="107"/>
  <c r="G68" i="108"/>
  <c r="G68" i="116"/>
  <c r="G67" i="107"/>
  <c r="G67" i="108"/>
  <c r="G67" i="116"/>
  <c r="G65" i="107"/>
  <c r="G65" i="108"/>
  <c r="G65" i="116"/>
  <c r="G64" i="107"/>
  <c r="G64" i="108"/>
  <c r="G64" i="116"/>
  <c r="G63" i="107"/>
  <c r="G63" i="108"/>
  <c r="G63" i="116"/>
  <c r="G62" i="107"/>
  <c r="G62" i="108"/>
  <c r="G62" i="116"/>
  <c r="G61" i="107"/>
  <c r="G61" i="108"/>
  <c r="G61" i="116"/>
  <c r="G60" i="107"/>
  <c r="G60" i="108"/>
  <c r="G60" i="116"/>
  <c r="G59" i="107"/>
  <c r="G59" i="108"/>
  <c r="G59" i="116"/>
  <c r="G58" i="107"/>
  <c r="G58" i="108"/>
  <c r="G58" i="116"/>
  <c r="G57" i="107"/>
  <c r="G57" i="108"/>
  <c r="G57" i="116"/>
  <c r="G56" i="107"/>
  <c r="G56" i="108"/>
  <c r="G56" i="116"/>
  <c r="G55" i="107"/>
  <c r="G55" i="108"/>
  <c r="G55" i="116"/>
  <c r="G54" i="107"/>
  <c r="G54" i="108"/>
  <c r="G54" i="116"/>
  <c r="G53" i="107"/>
  <c r="G53" i="108"/>
  <c r="G53" i="116"/>
  <c r="G52" i="107"/>
  <c r="G52" i="108"/>
  <c r="G52" i="116"/>
  <c r="G51" i="107"/>
  <c r="G51" i="108"/>
  <c r="G51" i="116"/>
  <c r="G50" i="107"/>
  <c r="G50" i="108"/>
  <c r="G50" i="116"/>
  <c r="G49" i="107"/>
  <c r="G49" i="108"/>
  <c r="G49" i="116"/>
  <c r="G48" i="107"/>
  <c r="G48" i="108"/>
  <c r="G48" i="116"/>
  <c r="G47" i="107"/>
  <c r="G47" i="108"/>
  <c r="G47" i="116"/>
  <c r="G45" i="107"/>
  <c r="G45" i="108"/>
  <c r="G45" i="116"/>
  <c r="G23" i="107"/>
  <c r="G23" i="108"/>
  <c r="G23" i="116"/>
  <c r="G22" i="107"/>
  <c r="G22" i="108"/>
  <c r="G22" i="116"/>
  <c r="G21" i="107"/>
  <c r="G21" i="108"/>
  <c r="G21" i="116"/>
  <c r="G20" i="107"/>
  <c r="G20" i="108"/>
  <c r="G20" i="116"/>
  <c r="G19" i="107"/>
  <c r="G19" i="108"/>
  <c r="G19" i="116"/>
  <c r="G16" i="97"/>
  <c r="G16" i="130" s="1"/>
  <c r="G13" i="130" s="1"/>
  <c r="G16" i="108"/>
  <c r="G16" i="116"/>
  <c r="G14" i="108"/>
  <c r="G14" i="116"/>
  <c r="G13" i="107"/>
  <c r="G13" i="108"/>
  <c r="G139" i="107"/>
  <c r="G140" i="98"/>
  <c r="G139" i="108"/>
  <c r="G139" i="116"/>
  <c r="G139" i="125"/>
  <c r="K158" i="107"/>
  <c r="K159" i="98"/>
  <c r="K158" i="108"/>
  <c r="K158" i="116"/>
  <c r="G12" i="130" l="1"/>
  <c r="G18" i="116"/>
  <c r="C34" i="127"/>
  <c r="C32" i="127"/>
  <c r="C31" i="127"/>
  <c r="C30" i="127"/>
  <c r="C15" i="127"/>
  <c r="C14" i="127"/>
  <c r="C13" i="127"/>
  <c r="F12" i="127"/>
  <c r="E12" i="127"/>
  <c r="D12" i="127"/>
  <c r="C99" i="126"/>
  <c r="C98" i="126"/>
  <c r="C97" i="126"/>
  <c r="C96" i="126"/>
  <c r="D95" i="126"/>
  <c r="C95" i="126" s="1"/>
  <c r="C92" i="126"/>
  <c r="C91" i="126"/>
  <c r="C89" i="126"/>
  <c r="C88" i="126"/>
  <c r="C87" i="126"/>
  <c r="E86" i="126"/>
  <c r="C80" i="126"/>
  <c r="C79" i="126"/>
  <c r="F78" i="126"/>
  <c r="F77" i="126" s="1"/>
  <c r="E78" i="126"/>
  <c r="C78" i="126" s="1"/>
  <c r="C76" i="126"/>
  <c r="C75" i="126"/>
  <c r="F74" i="126"/>
  <c r="E74" i="126"/>
  <c r="C74" i="126" s="1"/>
  <c r="D73" i="126"/>
  <c r="C72" i="126"/>
  <c r="C71" i="126"/>
  <c r="C70" i="126"/>
  <c r="C69" i="126"/>
  <c r="C68" i="126"/>
  <c r="C67" i="126"/>
  <c r="E65" i="126"/>
  <c r="C65" i="126" s="1"/>
  <c r="D64" i="126"/>
  <c r="C63" i="126"/>
  <c r="C62" i="126"/>
  <c r="C61" i="126"/>
  <c r="E60" i="126"/>
  <c r="D60" i="126"/>
  <c r="C60" i="126" s="1"/>
  <c r="C59" i="126"/>
  <c r="C58" i="126"/>
  <c r="C57" i="126"/>
  <c r="D56" i="126"/>
  <c r="C56" i="126" s="1"/>
  <c r="C55" i="126"/>
  <c r="C54" i="126"/>
  <c r="C50" i="126"/>
  <c r="C49" i="126"/>
  <c r="C48" i="126"/>
  <c r="D47" i="126"/>
  <c r="C47" i="126" s="1"/>
  <c r="C45" i="126"/>
  <c r="F44" i="126"/>
  <c r="C43" i="126"/>
  <c r="C42" i="126"/>
  <c r="C41" i="126"/>
  <c r="D40" i="126"/>
  <c r="C40" i="126"/>
  <c r="C39" i="126"/>
  <c r="C38" i="126"/>
  <c r="D37" i="126"/>
  <c r="C37" i="126"/>
  <c r="C36" i="126"/>
  <c r="C35" i="126"/>
  <c r="D34" i="126"/>
  <c r="C34" i="126"/>
  <c r="C33" i="126"/>
  <c r="C32" i="126"/>
  <c r="C31" i="126"/>
  <c r="C30" i="126"/>
  <c r="C29" i="126"/>
  <c r="C28" i="126"/>
  <c r="C27" i="126"/>
  <c r="C26" i="126"/>
  <c r="C25" i="126"/>
  <c r="C24" i="126"/>
  <c r="D23" i="126"/>
  <c r="D22" i="126" s="1"/>
  <c r="C22" i="126" s="1"/>
  <c r="C23" i="126"/>
  <c r="C19" i="126"/>
  <c r="C18" i="126"/>
  <c r="C17" i="126"/>
  <c r="C16" i="126"/>
  <c r="C15" i="126"/>
  <c r="C14" i="126"/>
  <c r="C13" i="126"/>
  <c r="D12" i="126"/>
  <c r="C12" i="126" s="1"/>
  <c r="E77" i="126" l="1"/>
  <c r="C77" i="126" s="1"/>
  <c r="D86" i="126"/>
  <c r="F73" i="126"/>
  <c r="F82" i="126" s="1"/>
  <c r="F100" i="126" s="1"/>
  <c r="D51" i="126"/>
  <c r="C51" i="126" s="1"/>
  <c r="E73" i="126"/>
  <c r="C73" i="126" s="1"/>
  <c r="D11" i="126"/>
  <c r="C11" i="126" s="1"/>
  <c r="E64" i="126"/>
  <c r="E44" i="126" s="1"/>
  <c r="C86" i="126"/>
  <c r="C12" i="127"/>
  <c r="D10" i="126"/>
  <c r="D44" i="126"/>
  <c r="C44" i="126" s="1"/>
  <c r="D83" i="126"/>
  <c r="C64" i="126" l="1"/>
  <c r="E82" i="126"/>
  <c r="E100" i="126" s="1"/>
  <c r="D82" i="126"/>
  <c r="C10" i="126"/>
  <c r="D100" i="126" l="1"/>
  <c r="C100" i="126" s="1"/>
  <c r="C82" i="126"/>
  <c r="H156" i="125" l="1"/>
  <c r="J152" i="125"/>
  <c r="J151" i="125" s="1"/>
  <c r="H155" i="125"/>
  <c r="P127" i="97"/>
  <c r="P85" i="97"/>
  <c r="P85" i="130" s="1"/>
  <c r="P79" i="97"/>
  <c r="P79" i="130" s="1"/>
  <c r="P138" i="97"/>
  <c r="P139" i="97"/>
  <c r="P139" i="130" s="1"/>
  <c r="P142" i="97"/>
  <c r="P142" i="130" s="1"/>
  <c r="P143" i="97"/>
  <c r="P143" i="130" s="1"/>
  <c r="P144" i="97"/>
  <c r="P145" i="97"/>
  <c r="P148" i="97"/>
  <c r="P149" i="97"/>
  <c r="P149" i="130" s="1"/>
  <c r="P150" i="97"/>
  <c r="P150" i="130" s="1"/>
  <c r="P153" i="97"/>
  <c r="P154" i="97"/>
  <c r="P154" i="130" s="1"/>
  <c r="P155" i="97"/>
  <c r="P155" i="130" s="1"/>
  <c r="P158" i="97"/>
  <c r="P159" i="97"/>
  <c r="P160" i="97"/>
  <c r="P160" i="130" s="1"/>
  <c r="P161" i="97"/>
  <c r="P161" i="130" s="1"/>
  <c r="P114" i="97"/>
  <c r="P115" i="97"/>
  <c r="P116" i="97"/>
  <c r="P116" i="130" s="1"/>
  <c r="P117" i="97"/>
  <c r="P118" i="97"/>
  <c r="P119" i="97"/>
  <c r="P120" i="97"/>
  <c r="P120" i="130" s="1"/>
  <c r="P121" i="97"/>
  <c r="P122" i="97"/>
  <c r="P123" i="97"/>
  <c r="P124" i="97"/>
  <c r="P124" i="130" s="1"/>
  <c r="P129" i="97"/>
  <c r="P129" i="130" s="1"/>
  <c r="P132" i="97"/>
  <c r="P133" i="97"/>
  <c r="P134" i="97"/>
  <c r="P134" i="130" s="1"/>
  <c r="P135" i="97"/>
  <c r="P135" i="130" s="1"/>
  <c r="P89" i="97"/>
  <c r="P90" i="97"/>
  <c r="P91" i="97"/>
  <c r="P91" i="130" s="1"/>
  <c r="P92" i="97"/>
  <c r="P92" i="130" s="1"/>
  <c r="P93" i="97"/>
  <c r="P94" i="97"/>
  <c r="P95" i="97"/>
  <c r="P95" i="130" s="1"/>
  <c r="P98" i="97"/>
  <c r="P99" i="97"/>
  <c r="P100" i="97"/>
  <c r="P101" i="97"/>
  <c r="P101" i="130" s="1"/>
  <c r="P102" i="97"/>
  <c r="P103" i="97"/>
  <c r="P103" i="130" s="1"/>
  <c r="P104" i="97"/>
  <c r="P105" i="97"/>
  <c r="P105" i="130" s="1"/>
  <c r="P106" i="97"/>
  <c r="P107" i="97"/>
  <c r="P108" i="97"/>
  <c r="P109" i="97"/>
  <c r="P109" i="130" s="1"/>
  <c r="P113" i="97"/>
  <c r="P113" i="130" s="1"/>
  <c r="P72" i="97"/>
  <c r="P73" i="97"/>
  <c r="P74" i="97"/>
  <c r="P74" i="130" s="1"/>
  <c r="P75" i="97"/>
  <c r="P76" i="97"/>
  <c r="P77" i="97"/>
  <c r="P78" i="97"/>
  <c r="P78" i="130" s="1"/>
  <c r="J79" i="97"/>
  <c r="J79" i="130" s="1"/>
  <c r="P82" i="97"/>
  <c r="P83" i="97"/>
  <c r="P84" i="97"/>
  <c r="P84" i="130" s="1"/>
  <c r="P51" i="97"/>
  <c r="P52" i="97"/>
  <c r="P53" i="97"/>
  <c r="P54" i="97"/>
  <c r="P55" i="97"/>
  <c r="P56" i="97"/>
  <c r="P57" i="97"/>
  <c r="P58" i="97"/>
  <c r="P59" i="97"/>
  <c r="P59" i="130" s="1"/>
  <c r="P60" i="97"/>
  <c r="P60" i="130" s="1"/>
  <c r="P61" i="97"/>
  <c r="P62" i="97"/>
  <c r="P63" i="97"/>
  <c r="P64" i="97"/>
  <c r="P65" i="97"/>
  <c r="P66" i="97"/>
  <c r="P67" i="97"/>
  <c r="P68" i="97"/>
  <c r="P69" i="97"/>
  <c r="P70" i="97"/>
  <c r="P71" i="97"/>
  <c r="P37" i="97"/>
  <c r="P39" i="97"/>
  <c r="P40" i="97"/>
  <c r="P41" i="97"/>
  <c r="P41" i="130" s="1"/>
  <c r="P42" i="97"/>
  <c r="P43" i="97"/>
  <c r="P44" i="97"/>
  <c r="P47" i="97"/>
  <c r="P47" i="130" s="1"/>
  <c r="P48" i="97"/>
  <c r="P49" i="97"/>
  <c r="P50" i="97"/>
  <c r="P50" i="130" s="1"/>
  <c r="P14" i="97"/>
  <c r="P15" i="97"/>
  <c r="P16" i="97"/>
  <c r="P17" i="97"/>
  <c r="P17" i="130" s="1"/>
  <c r="P18" i="97"/>
  <c r="P18" i="130" s="1"/>
  <c r="P20" i="97"/>
  <c r="P21" i="97"/>
  <c r="P26" i="97"/>
  <c r="P28" i="97"/>
  <c r="P28" i="130" s="1"/>
  <c r="P29" i="97"/>
  <c r="P30" i="97"/>
  <c r="P31" i="97"/>
  <c r="P32" i="97"/>
  <c r="P32" i="130" s="1"/>
  <c r="P35" i="97"/>
  <c r="P36" i="97"/>
  <c r="J91" i="97"/>
  <c r="J91" i="130" s="1"/>
  <c r="J95" i="97"/>
  <c r="J95" i="130" s="1"/>
  <c r="J135" i="97"/>
  <c r="J135" i="130" s="1"/>
  <c r="J139" i="97"/>
  <c r="J139" i="130" s="1"/>
  <c r="J50" i="97"/>
  <c r="J50" i="130" s="1"/>
  <c r="J41" i="97"/>
  <c r="J41" i="130" s="1"/>
  <c r="J161" i="97"/>
  <c r="J161" i="130" s="1"/>
  <c r="J160" i="97"/>
  <c r="J160" i="130" s="1"/>
  <c r="J155" i="97"/>
  <c r="J154" i="97"/>
  <c r="J154" i="130" s="1"/>
  <c r="J150" i="97"/>
  <c r="J150" i="130" s="1"/>
  <c r="J149" i="97"/>
  <c r="J149" i="130" s="1"/>
  <c r="J143" i="97"/>
  <c r="J143" i="130" s="1"/>
  <c r="J142" i="97"/>
  <c r="J142" i="130" s="1"/>
  <c r="J134" i="97"/>
  <c r="J134" i="130" s="1"/>
  <c r="J129" i="97"/>
  <c r="J129" i="130" s="1"/>
  <c r="J101" i="97"/>
  <c r="J101" i="130" s="1"/>
  <c r="J105" i="97"/>
  <c r="J105" i="130" s="1"/>
  <c r="J109" i="97"/>
  <c r="J109" i="130" s="1"/>
  <c r="J113" i="97"/>
  <c r="J113" i="130" s="1"/>
  <c r="J116" i="97"/>
  <c r="J116" i="130" s="1"/>
  <c r="J120" i="97"/>
  <c r="J120" i="130" s="1"/>
  <c r="J124" i="97"/>
  <c r="J124" i="130" s="1"/>
  <c r="J92" i="97"/>
  <c r="J92" i="130" s="1"/>
  <c r="J85" i="97"/>
  <c r="J85" i="130" s="1"/>
  <c r="J84" i="97"/>
  <c r="J84" i="130" s="1"/>
  <c r="J78" i="97"/>
  <c r="J78" i="130" s="1"/>
  <c r="J74" i="97"/>
  <c r="J74" i="130" s="1"/>
  <c r="J59" i="97"/>
  <c r="J59" i="130" s="1"/>
  <c r="J60" i="97"/>
  <c r="J60" i="130" s="1"/>
  <c r="J28" i="97"/>
  <c r="J28" i="130" s="1"/>
  <c r="J32" i="97"/>
  <c r="J32" i="130" s="1"/>
  <c r="J47" i="97"/>
  <c r="J47" i="130" s="1"/>
  <c r="J18" i="97"/>
  <c r="J18" i="130" s="1"/>
  <c r="J17" i="97"/>
  <c r="J17" i="130" s="1"/>
  <c r="J30" i="97" l="1"/>
  <c r="J30" i="130" s="1"/>
  <c r="P30" i="130"/>
  <c r="J16" i="97"/>
  <c r="J16" i="130" s="1"/>
  <c r="P16" i="130"/>
  <c r="J43" i="97"/>
  <c r="J43" i="130" s="1"/>
  <c r="P43" i="130"/>
  <c r="J69" i="97"/>
  <c r="J69" i="130" s="1"/>
  <c r="P69" i="130"/>
  <c r="J61" i="97"/>
  <c r="J61" i="130" s="1"/>
  <c r="P61" i="130"/>
  <c r="J83" i="97"/>
  <c r="J83" i="130" s="1"/>
  <c r="P83" i="130"/>
  <c r="J73" i="97"/>
  <c r="J73" i="130" s="1"/>
  <c r="P73" i="130"/>
  <c r="J104" i="97"/>
  <c r="J104" i="130" s="1"/>
  <c r="P104" i="130"/>
  <c r="J94" i="97"/>
  <c r="J94" i="130" s="1"/>
  <c r="P94" i="130"/>
  <c r="J133" i="97"/>
  <c r="J133" i="130" s="1"/>
  <c r="P133" i="130"/>
  <c r="J119" i="97"/>
  <c r="J119" i="130" s="1"/>
  <c r="P119" i="130"/>
  <c r="J35" i="97"/>
  <c r="J35" i="130" s="1"/>
  <c r="P35" i="130"/>
  <c r="J20" i="97"/>
  <c r="J20" i="130" s="1"/>
  <c r="P20" i="130"/>
  <c r="J48" i="97"/>
  <c r="J48" i="130" s="1"/>
  <c r="P48" i="130"/>
  <c r="J42" i="97"/>
  <c r="J42" i="130" s="1"/>
  <c r="P42" i="130"/>
  <c r="J68" i="97"/>
  <c r="J68" i="130" s="1"/>
  <c r="P68" i="130"/>
  <c r="J64" i="97"/>
  <c r="J64" i="130" s="1"/>
  <c r="P64" i="130"/>
  <c r="J56" i="97"/>
  <c r="J56" i="130" s="1"/>
  <c r="P56" i="130"/>
  <c r="J52" i="97"/>
  <c r="J52" i="130" s="1"/>
  <c r="P52" i="130"/>
  <c r="J76" i="97"/>
  <c r="J76" i="130" s="1"/>
  <c r="P76" i="130"/>
  <c r="J72" i="97"/>
  <c r="J72" i="130" s="1"/>
  <c r="P72" i="130"/>
  <c r="J107" i="97"/>
  <c r="J107" i="130" s="1"/>
  <c r="P107" i="130"/>
  <c r="J99" i="97"/>
  <c r="J99" i="130" s="1"/>
  <c r="P99" i="130"/>
  <c r="J89" i="97"/>
  <c r="J89" i="130" s="1"/>
  <c r="P89" i="130"/>
  <c r="J132" i="97"/>
  <c r="J132" i="130" s="1"/>
  <c r="P132" i="130"/>
  <c r="J118" i="97"/>
  <c r="J118" i="130" s="1"/>
  <c r="P118" i="130"/>
  <c r="J114" i="97"/>
  <c r="J114" i="130" s="1"/>
  <c r="P114" i="130"/>
  <c r="J158" i="97"/>
  <c r="J158" i="130" s="1"/>
  <c r="P158" i="130"/>
  <c r="J144" i="97"/>
  <c r="J144" i="130" s="1"/>
  <c r="P144" i="130"/>
  <c r="J138" i="97"/>
  <c r="J138" i="130" s="1"/>
  <c r="P138" i="130"/>
  <c r="J103" i="97"/>
  <c r="J103" i="130" s="1"/>
  <c r="J14" i="97"/>
  <c r="J14" i="130" s="1"/>
  <c r="P14" i="130"/>
  <c r="J71" i="97"/>
  <c r="J71" i="130" s="1"/>
  <c r="P71" i="130"/>
  <c r="J67" i="97"/>
  <c r="J67" i="130" s="1"/>
  <c r="P67" i="130"/>
  <c r="J63" i="97"/>
  <c r="J63" i="130" s="1"/>
  <c r="P63" i="130"/>
  <c r="J55" i="97"/>
  <c r="J55" i="130" s="1"/>
  <c r="P55" i="130"/>
  <c r="J51" i="97"/>
  <c r="J51" i="130" s="1"/>
  <c r="P51" i="130"/>
  <c r="J75" i="97"/>
  <c r="J75" i="130" s="1"/>
  <c r="P75" i="130"/>
  <c r="J106" i="97"/>
  <c r="J106" i="130" s="1"/>
  <c r="P106" i="130"/>
  <c r="J102" i="97"/>
  <c r="J102" i="130" s="1"/>
  <c r="P102" i="130"/>
  <c r="J98" i="97"/>
  <c r="J98" i="130" s="1"/>
  <c r="P98" i="130"/>
  <c r="J121" i="97"/>
  <c r="J121" i="130" s="1"/>
  <c r="P121" i="130"/>
  <c r="J117" i="97"/>
  <c r="J117" i="130" s="1"/>
  <c r="P117" i="130"/>
  <c r="J36" i="97"/>
  <c r="J36" i="130" s="1"/>
  <c r="P36" i="130"/>
  <c r="J21" i="97"/>
  <c r="J21" i="130" s="1"/>
  <c r="P21" i="130"/>
  <c r="J49" i="97"/>
  <c r="J49" i="130" s="1"/>
  <c r="P49" i="130"/>
  <c r="J39" i="97"/>
  <c r="J39" i="130" s="1"/>
  <c r="P39" i="130"/>
  <c r="J65" i="97"/>
  <c r="J65" i="130" s="1"/>
  <c r="P65" i="130"/>
  <c r="J57" i="97"/>
  <c r="J57" i="130" s="1"/>
  <c r="P57" i="130"/>
  <c r="J53" i="97"/>
  <c r="J53" i="130" s="1"/>
  <c r="P53" i="130"/>
  <c r="J77" i="97"/>
  <c r="J77" i="130" s="1"/>
  <c r="P77" i="130"/>
  <c r="J108" i="97"/>
  <c r="J108" i="130" s="1"/>
  <c r="P108" i="130"/>
  <c r="J100" i="97"/>
  <c r="J100" i="130" s="1"/>
  <c r="P100" i="130"/>
  <c r="J90" i="97"/>
  <c r="J90" i="130" s="1"/>
  <c r="P90" i="130"/>
  <c r="J123" i="97"/>
  <c r="J123" i="130" s="1"/>
  <c r="P123" i="130"/>
  <c r="J115" i="97"/>
  <c r="J115" i="130" s="1"/>
  <c r="P115" i="130"/>
  <c r="J159" i="97"/>
  <c r="J159" i="130" s="1"/>
  <c r="P159" i="130"/>
  <c r="J153" i="97"/>
  <c r="J153" i="130" s="1"/>
  <c r="P153" i="130"/>
  <c r="J145" i="97"/>
  <c r="J145" i="130" s="1"/>
  <c r="P145" i="130"/>
  <c r="J127" i="97"/>
  <c r="J127" i="130" s="1"/>
  <c r="P127" i="130"/>
  <c r="J29" i="97"/>
  <c r="J29" i="130" s="1"/>
  <c r="P29" i="130"/>
  <c r="J15" i="97"/>
  <c r="J15" i="130" s="1"/>
  <c r="P15" i="130"/>
  <c r="J37" i="97"/>
  <c r="J37" i="130" s="1"/>
  <c r="P37" i="130"/>
  <c r="J82" i="97"/>
  <c r="J82" i="130" s="1"/>
  <c r="P82" i="130"/>
  <c r="J93" i="97"/>
  <c r="J93" i="130" s="1"/>
  <c r="P93" i="130"/>
  <c r="J122" i="97"/>
  <c r="J122" i="130" s="1"/>
  <c r="P122" i="130"/>
  <c r="I154" i="125"/>
  <c r="J155" i="130"/>
  <c r="J31" i="97"/>
  <c r="J31" i="130" s="1"/>
  <c r="P31" i="130"/>
  <c r="J26" i="97"/>
  <c r="J26" i="130" s="1"/>
  <c r="P26" i="130"/>
  <c r="J44" i="97"/>
  <c r="J44" i="130" s="1"/>
  <c r="P44" i="130"/>
  <c r="J40" i="97"/>
  <c r="J40" i="130" s="1"/>
  <c r="P40" i="130"/>
  <c r="J70" i="97"/>
  <c r="J70" i="130" s="1"/>
  <c r="P70" i="130"/>
  <c r="J66" i="97"/>
  <c r="J66" i="130" s="1"/>
  <c r="P66" i="130"/>
  <c r="J62" i="97"/>
  <c r="J62" i="130" s="1"/>
  <c r="P62" i="130"/>
  <c r="J58" i="97"/>
  <c r="J58" i="130" s="1"/>
  <c r="P58" i="130"/>
  <c r="J54" i="97"/>
  <c r="J54" i="130" s="1"/>
  <c r="P54" i="130"/>
  <c r="J148" i="97"/>
  <c r="J148" i="130" s="1"/>
  <c r="P148" i="130"/>
  <c r="I153" i="125"/>
  <c r="J150" i="125"/>
  <c r="J149" i="125"/>
  <c r="H150" i="125"/>
  <c r="H138" i="125"/>
  <c r="H137" i="125" s="1"/>
  <c r="I138" i="125"/>
  <c r="I137" i="125" s="1"/>
  <c r="H133" i="125"/>
  <c r="H132" i="125" s="1"/>
  <c r="I152" i="125" l="1"/>
  <c r="I151" i="125" s="1"/>
  <c r="J148" i="125"/>
  <c r="J147" i="125" s="1"/>
  <c r="G138" i="125"/>
  <c r="G137" i="125" s="1"/>
  <c r="J139" i="125"/>
  <c r="J138" i="125" s="1"/>
  <c r="J137" i="125" s="1"/>
  <c r="I65" i="98" l="1"/>
  <c r="K126" i="97"/>
  <c r="F141" i="97"/>
  <c r="F140" i="97" s="1"/>
  <c r="G141" i="97"/>
  <c r="G140" i="97" s="1"/>
  <c r="H141" i="97"/>
  <c r="H140" i="97" s="1"/>
  <c r="I141" i="97"/>
  <c r="I140" i="97" s="1"/>
  <c r="K141" i="97"/>
  <c r="K140" i="97" s="1"/>
  <c r="L141" i="97"/>
  <c r="L140" i="97" s="1"/>
  <c r="M141" i="97"/>
  <c r="M140" i="97" s="1"/>
  <c r="N141" i="97"/>
  <c r="N140" i="97" s="1"/>
  <c r="O141" i="97"/>
  <c r="H141" i="125"/>
  <c r="H140" i="125" s="1"/>
  <c r="I141" i="125"/>
  <c r="I140" i="125" s="1"/>
  <c r="J141" i="125"/>
  <c r="J140" i="125" s="1"/>
  <c r="M146" i="125"/>
  <c r="M145" i="125"/>
  <c r="M143" i="125"/>
  <c r="L143" i="125"/>
  <c r="G144" i="125"/>
  <c r="M142" i="125"/>
  <c r="G143" i="125"/>
  <c r="G145" i="125"/>
  <c r="G146" i="125"/>
  <c r="G142" i="125"/>
  <c r="L145" i="125"/>
  <c r="L146" i="125"/>
  <c r="L142" i="125"/>
  <c r="F112" i="97"/>
  <c r="F111" i="97" s="1"/>
  <c r="H112" i="97"/>
  <c r="H111" i="97" s="1"/>
  <c r="I112" i="97"/>
  <c r="I111" i="97" s="1"/>
  <c r="L112" i="97"/>
  <c r="L111" i="97" s="1"/>
  <c r="M112" i="97"/>
  <c r="M111" i="97" s="1"/>
  <c r="N112" i="97"/>
  <c r="N111" i="97" s="1"/>
  <c r="O112" i="97"/>
  <c r="E127" i="97"/>
  <c r="E127" i="130" s="1"/>
  <c r="F46" i="97"/>
  <c r="F45" i="97" s="1"/>
  <c r="L46" i="97"/>
  <c r="L45" i="97" s="1"/>
  <c r="M46" i="97"/>
  <c r="M45" i="97" s="1"/>
  <c r="N46" i="97"/>
  <c r="N45" i="97" s="1"/>
  <c r="O46" i="97"/>
  <c r="E85" i="97"/>
  <c r="E85" i="130" s="1"/>
  <c r="I16" i="125"/>
  <c r="J16" i="125"/>
  <c r="M16" i="125" s="1"/>
  <c r="G15" i="125"/>
  <c r="J14" i="125"/>
  <c r="M14" i="125" s="1"/>
  <c r="I7" i="98"/>
  <c r="I113" i="98"/>
  <c r="J157" i="125"/>
  <c r="J156" i="125" s="1"/>
  <c r="J155" i="125" s="1"/>
  <c r="J13" i="125"/>
  <c r="I13" i="97"/>
  <c r="I12" i="97" s="1"/>
  <c r="K13" i="97"/>
  <c r="K12" i="97" s="1"/>
  <c r="L13" i="97"/>
  <c r="L12" i="97" s="1"/>
  <c r="M13" i="97"/>
  <c r="M12" i="97" s="1"/>
  <c r="N13" i="97"/>
  <c r="N12" i="97" s="1"/>
  <c r="O13" i="97"/>
  <c r="I14" i="125"/>
  <c r="L14" i="125" s="1"/>
  <c r="I13" i="125"/>
  <c r="G13" i="125" s="1"/>
  <c r="E78" i="97"/>
  <c r="E78" i="130" s="1"/>
  <c r="E148" i="97"/>
  <c r="E148" i="130" s="1"/>
  <c r="E113" i="97"/>
  <c r="E113" i="130" s="1"/>
  <c r="E158" i="97"/>
  <c r="E158" i="130" s="1"/>
  <c r="I157" i="125"/>
  <c r="E138" i="97"/>
  <c r="E138" i="130" s="1"/>
  <c r="E132" i="97"/>
  <c r="E132" i="130" s="1"/>
  <c r="J121" i="125"/>
  <c r="J122" i="125"/>
  <c r="J118" i="125"/>
  <c r="J119" i="125"/>
  <c r="J120" i="125"/>
  <c r="J115" i="125"/>
  <c r="J116" i="125"/>
  <c r="J117" i="125"/>
  <c r="J114" i="125"/>
  <c r="J112" i="125"/>
  <c r="I131" i="125"/>
  <c r="G131" i="125" s="1"/>
  <c r="I130" i="125"/>
  <c r="G130" i="125" s="1"/>
  <c r="P126" i="97" l="1"/>
  <c r="K126" i="130"/>
  <c r="P141" i="97"/>
  <c r="J141" i="97" s="1"/>
  <c r="J140" i="97" s="1"/>
  <c r="P13" i="97"/>
  <c r="J13" i="97" s="1"/>
  <c r="J12" i="97" s="1"/>
  <c r="G157" i="125"/>
  <c r="G156" i="125" s="1"/>
  <c r="G155" i="125" s="1"/>
  <c r="I156" i="125"/>
  <c r="I155" i="125" s="1"/>
  <c r="I112" i="98"/>
  <c r="M140" i="125"/>
  <c r="G141" i="125"/>
  <c r="G140" i="125" s="1"/>
  <c r="J129" i="125"/>
  <c r="J12" i="125"/>
  <c r="J11" i="125" s="1"/>
  <c r="Q127" i="97"/>
  <c r="Q85" i="97"/>
  <c r="I12" i="125"/>
  <c r="I11" i="125" s="1"/>
  <c r="L16" i="125"/>
  <c r="Q158" i="97"/>
  <c r="Q158" i="130" s="1"/>
  <c r="Q78" i="97"/>
  <c r="Q78" i="130" s="1"/>
  <c r="Q148" i="97"/>
  <c r="Q148" i="130" s="1"/>
  <c r="Q113" i="97"/>
  <c r="Q113" i="130" s="1"/>
  <c r="Q138" i="97"/>
  <c r="Q138" i="130" s="1"/>
  <c r="Q153" i="97"/>
  <c r="Q153" i="130" s="1"/>
  <c r="Q132" i="97"/>
  <c r="Q132" i="130" s="1"/>
  <c r="S157" i="130" l="1"/>
  <c r="S157" i="129"/>
  <c r="R85" i="97"/>
  <c r="Q85" i="130"/>
  <c r="R85" i="130" s="1"/>
  <c r="J126" i="97"/>
  <c r="J126" i="130" s="1"/>
  <c r="P126" i="130"/>
  <c r="R127" i="97"/>
  <c r="Q127" i="130"/>
  <c r="R127" i="130" s="1"/>
  <c r="I122" i="125"/>
  <c r="E123" i="97"/>
  <c r="H122" i="125" l="1"/>
  <c r="G122" i="125" s="1"/>
  <c r="E123" i="130"/>
  <c r="J123" i="125"/>
  <c r="J111" i="125" s="1"/>
  <c r="J110" i="125" s="1"/>
  <c r="Q123" i="97"/>
  <c r="Q123" i="130" s="1"/>
  <c r="I34" i="98"/>
  <c r="I30" i="98" s="1"/>
  <c r="S46" i="129" s="1"/>
  <c r="K81" i="97"/>
  <c r="K81" i="130" s="1"/>
  <c r="K46" i="130" s="1"/>
  <c r="I28" i="98"/>
  <c r="K38" i="97"/>
  <c r="P38" i="97" l="1"/>
  <c r="K38" i="130"/>
  <c r="K34" i="130" s="1"/>
  <c r="K34" i="97"/>
  <c r="P46" i="130"/>
  <c r="J46" i="130" s="1"/>
  <c r="J45" i="130" s="1"/>
  <c r="K45" i="130"/>
  <c r="P45" i="130" s="1"/>
  <c r="S46" i="130"/>
  <c r="K46" i="97"/>
  <c r="P81" i="97"/>
  <c r="E35" i="97"/>
  <c r="E35" i="130" s="1"/>
  <c r="E47" i="97"/>
  <c r="E47" i="130" s="1"/>
  <c r="H79" i="125"/>
  <c r="J81" i="97" l="1"/>
  <c r="J81" i="130" s="1"/>
  <c r="P81" i="130"/>
  <c r="K33" i="130"/>
  <c r="P33" i="130" s="1"/>
  <c r="P34" i="130"/>
  <c r="J34" i="130" s="1"/>
  <c r="J33" i="130" s="1"/>
  <c r="J38" i="97"/>
  <c r="J38" i="130" s="1"/>
  <c r="P38" i="130"/>
  <c r="P46" i="97"/>
  <c r="J46" i="97" s="1"/>
  <c r="J45" i="97" s="1"/>
  <c r="K45" i="97"/>
  <c r="Q35" i="97"/>
  <c r="Q35" i="130" s="1"/>
  <c r="Q47" i="97"/>
  <c r="Q47" i="130" s="1"/>
  <c r="E122" i="97"/>
  <c r="I121" i="125"/>
  <c r="I56" i="98"/>
  <c r="H121" i="125" l="1"/>
  <c r="E122" i="130"/>
  <c r="G121" i="125"/>
  <c r="Q122" i="97"/>
  <c r="Q122" i="130" s="1"/>
  <c r="H25" i="97" l="1"/>
  <c r="H25" i="130" s="1"/>
  <c r="F25" i="97"/>
  <c r="F25" i="130" s="1"/>
  <c r="J35" i="125"/>
  <c r="G36" i="125"/>
  <c r="J75" i="125"/>
  <c r="I75" i="125"/>
  <c r="I70" i="125"/>
  <c r="J70" i="125"/>
  <c r="I71" i="125"/>
  <c r="J71" i="125"/>
  <c r="I66" i="125"/>
  <c r="J66" i="125"/>
  <c r="I64" i="125"/>
  <c r="J64" i="125"/>
  <c r="I65" i="125"/>
  <c r="J65" i="125"/>
  <c r="I63" i="125"/>
  <c r="J63" i="125"/>
  <c r="I60" i="125"/>
  <c r="J60" i="125"/>
  <c r="I61" i="125"/>
  <c r="J61" i="125"/>
  <c r="I62" i="125"/>
  <c r="J62" i="125"/>
  <c r="I54" i="125"/>
  <c r="J54" i="125"/>
  <c r="I55" i="125"/>
  <c r="J55" i="125"/>
  <c r="I56" i="125"/>
  <c r="J56" i="125"/>
  <c r="I57" i="125"/>
  <c r="J57" i="125"/>
  <c r="I58" i="125"/>
  <c r="J58" i="125"/>
  <c r="I59" i="125"/>
  <c r="J59" i="125"/>
  <c r="J53" i="125"/>
  <c r="I53" i="125"/>
  <c r="I45" i="125"/>
  <c r="J45" i="125"/>
  <c r="I46" i="125"/>
  <c r="J46" i="125"/>
  <c r="I47" i="125"/>
  <c r="J47" i="125"/>
  <c r="J44" i="125"/>
  <c r="E84" i="97"/>
  <c r="E84" i="130" s="1"/>
  <c r="J29" i="125"/>
  <c r="H29" i="125"/>
  <c r="J28" i="125"/>
  <c r="J27" i="125"/>
  <c r="J26" i="125"/>
  <c r="J25" i="125"/>
  <c r="J22" i="125"/>
  <c r="K25" i="97"/>
  <c r="K27" i="97"/>
  <c r="K27" i="130" s="1"/>
  <c r="I29" i="125"/>
  <c r="I23" i="97"/>
  <c r="I22" i="97" s="1"/>
  <c r="L23" i="97"/>
  <c r="L22" i="97" s="1"/>
  <c r="M23" i="97"/>
  <c r="M22" i="97" s="1"/>
  <c r="N23" i="97"/>
  <c r="N22" i="97" s="1"/>
  <c r="O23" i="97"/>
  <c r="I17" i="98"/>
  <c r="I13" i="98"/>
  <c r="I12" i="98"/>
  <c r="K24" i="97"/>
  <c r="K24" i="130" s="1"/>
  <c r="G105" i="97"/>
  <c r="G105" i="130" s="1"/>
  <c r="G97" i="130" s="1"/>
  <c r="F30" i="97"/>
  <c r="F30" i="130" s="1"/>
  <c r="F131" i="97"/>
  <c r="F130" i="97" s="1"/>
  <c r="G131" i="97"/>
  <c r="G130" i="97" s="1"/>
  <c r="H131" i="97"/>
  <c r="H130" i="97" s="1"/>
  <c r="I131" i="97"/>
  <c r="I130" i="97" s="1"/>
  <c r="K131" i="97"/>
  <c r="K130" i="97" s="1"/>
  <c r="L131" i="97"/>
  <c r="L130" i="97" s="1"/>
  <c r="M131" i="97"/>
  <c r="M130" i="97" s="1"/>
  <c r="N131" i="97"/>
  <c r="N130" i="97" s="1"/>
  <c r="O131" i="97"/>
  <c r="O130" i="97" s="1"/>
  <c r="H29" i="97"/>
  <c r="H29" i="130" s="1"/>
  <c r="H28" i="97"/>
  <c r="H28" i="130" s="1"/>
  <c r="F27" i="97"/>
  <c r="F27" i="130" s="1"/>
  <c r="F28" i="97"/>
  <c r="F28" i="130" s="1"/>
  <c r="F29" i="97"/>
  <c r="F29" i="130" s="1"/>
  <c r="F26" i="97"/>
  <c r="F26" i="130" s="1"/>
  <c r="F24" i="97"/>
  <c r="F24" i="130" s="1"/>
  <c r="H30" i="97"/>
  <c r="H30" i="130" s="1"/>
  <c r="H27" i="97"/>
  <c r="H27" i="130" s="1"/>
  <c r="H26" i="97"/>
  <c r="H26" i="130" s="1"/>
  <c r="H24" i="97"/>
  <c r="H24" i="130" s="1"/>
  <c r="F23" i="130" l="1"/>
  <c r="G96" i="130"/>
  <c r="G162" i="130"/>
  <c r="G171" i="130" s="1"/>
  <c r="P25" i="97"/>
  <c r="K25" i="130"/>
  <c r="K23" i="130"/>
  <c r="H23" i="130"/>
  <c r="G29" i="125"/>
  <c r="J19" i="125"/>
  <c r="P24" i="97"/>
  <c r="J24" i="125"/>
  <c r="P27" i="97"/>
  <c r="P130" i="97"/>
  <c r="P131" i="97"/>
  <c r="J131" i="97" s="1"/>
  <c r="J130" i="97" s="1"/>
  <c r="I11" i="98"/>
  <c r="S23" i="129" s="1"/>
  <c r="H23" i="97"/>
  <c r="H22" i="97" s="1"/>
  <c r="F23" i="97"/>
  <c r="F22" i="97" s="1"/>
  <c r="K23" i="97"/>
  <c r="J20" i="125"/>
  <c r="J18" i="125" s="1"/>
  <c r="J17" i="125" s="1"/>
  <c r="Q32" i="97"/>
  <c r="Q32" i="130" s="1"/>
  <c r="I22" i="125"/>
  <c r="I25" i="125"/>
  <c r="I26" i="125"/>
  <c r="I27" i="125"/>
  <c r="I28" i="125"/>
  <c r="J41" i="125"/>
  <c r="J40" i="125"/>
  <c r="J37" i="125"/>
  <c r="J34" i="125"/>
  <c r="J33" i="125"/>
  <c r="J32" i="125"/>
  <c r="F101" i="97"/>
  <c r="F101" i="130" s="1"/>
  <c r="F97" i="130" s="1"/>
  <c r="F96" i="130" s="1"/>
  <c r="J91" i="125"/>
  <c r="G92" i="125"/>
  <c r="J89" i="125"/>
  <c r="G90" i="125"/>
  <c r="K33" i="97"/>
  <c r="I32" i="125"/>
  <c r="F33" i="97"/>
  <c r="G33" i="97"/>
  <c r="H33" i="97"/>
  <c r="I34" i="97"/>
  <c r="I33" i="97" s="1"/>
  <c r="L33" i="97"/>
  <c r="M33" i="97"/>
  <c r="N33" i="97"/>
  <c r="O34" i="97"/>
  <c r="P34" i="97" s="1"/>
  <c r="I22" i="98"/>
  <c r="I21" i="98" s="1"/>
  <c r="I33" i="125"/>
  <c r="I35" i="125"/>
  <c r="I37" i="125"/>
  <c r="I40" i="125"/>
  <c r="I41" i="125"/>
  <c r="S34" i="129" l="1"/>
  <c r="S34" i="130"/>
  <c r="J27" i="97"/>
  <c r="J27" i="130" s="1"/>
  <c r="P27" i="130"/>
  <c r="H22" i="130"/>
  <c r="H162" i="130"/>
  <c r="H171" i="130" s="1"/>
  <c r="J24" i="97"/>
  <c r="P24" i="130"/>
  <c r="S23" i="130"/>
  <c r="K22" i="130"/>
  <c r="P22" i="130" s="1"/>
  <c r="P23" i="130"/>
  <c r="J23" i="130" s="1"/>
  <c r="J25" i="97"/>
  <c r="P25" i="130"/>
  <c r="F22" i="130"/>
  <c r="F162" i="130"/>
  <c r="P23" i="97"/>
  <c r="J23" i="97" s="1"/>
  <c r="J22" i="97" s="1"/>
  <c r="K22" i="97"/>
  <c r="J34" i="97"/>
  <c r="J33" i="97" s="1"/>
  <c r="I34" i="125"/>
  <c r="I31" i="125" s="1"/>
  <c r="I30" i="125" s="1"/>
  <c r="S23" i="97"/>
  <c r="J31" i="125"/>
  <c r="J30" i="125" s="1"/>
  <c r="F157" i="97"/>
  <c r="F156" i="97" s="1"/>
  <c r="G157" i="97"/>
  <c r="G156" i="97" s="1"/>
  <c r="H157" i="97"/>
  <c r="H156" i="97" s="1"/>
  <c r="I157" i="97"/>
  <c r="I156" i="97" s="1"/>
  <c r="L157" i="97"/>
  <c r="L156" i="97" s="1"/>
  <c r="M157" i="97"/>
  <c r="M156" i="97" s="1"/>
  <c r="N157" i="97"/>
  <c r="N156" i="97" s="1"/>
  <c r="O157" i="97"/>
  <c r="P157" i="97" s="1"/>
  <c r="J22" i="130" l="1"/>
  <c r="J157" i="97"/>
  <c r="J156" i="97" s="1"/>
  <c r="I19" i="125"/>
  <c r="J24" i="130"/>
  <c r="I24" i="125"/>
  <c r="J25" i="130"/>
  <c r="I20" i="125"/>
  <c r="M17" i="125"/>
  <c r="S157" i="97"/>
  <c r="M30" i="125"/>
  <c r="I18" i="125" l="1"/>
  <c r="I17" i="125" s="1"/>
  <c r="L17" i="125" s="1"/>
  <c r="F152" i="97"/>
  <c r="F151" i="97" s="1"/>
  <c r="G152" i="97"/>
  <c r="G151" i="97" s="1"/>
  <c r="H152" i="97"/>
  <c r="H151" i="97" s="1"/>
  <c r="I152" i="97"/>
  <c r="I151" i="97" s="1"/>
  <c r="K152" i="97"/>
  <c r="K151" i="97" s="1"/>
  <c r="L152" i="97"/>
  <c r="L151" i="97" s="1"/>
  <c r="M152" i="97"/>
  <c r="M151" i="97" s="1"/>
  <c r="N152" i="97"/>
  <c r="N151" i="97" s="1"/>
  <c r="O152" i="97"/>
  <c r="E155" i="97"/>
  <c r="E154" i="97"/>
  <c r="F147" i="97"/>
  <c r="F146" i="97" s="1"/>
  <c r="G147" i="97"/>
  <c r="G146" i="97" s="1"/>
  <c r="H147" i="97"/>
  <c r="H146" i="97" s="1"/>
  <c r="I147" i="97"/>
  <c r="I146" i="97" s="1"/>
  <c r="K147" i="97"/>
  <c r="K146" i="97" s="1"/>
  <c r="L147" i="97"/>
  <c r="L146" i="97" s="1"/>
  <c r="M147" i="97"/>
  <c r="M146" i="97" s="1"/>
  <c r="N147" i="97"/>
  <c r="N146" i="97" s="1"/>
  <c r="O147" i="97"/>
  <c r="I149" i="125"/>
  <c r="E149" i="97"/>
  <c r="E149" i="130" s="1"/>
  <c r="E147" i="130" s="1"/>
  <c r="F137" i="97"/>
  <c r="F136" i="97" s="1"/>
  <c r="G137" i="97"/>
  <c r="G136" i="97" s="1"/>
  <c r="H137" i="97"/>
  <c r="H136" i="97" s="1"/>
  <c r="I137" i="97"/>
  <c r="I136" i="97" s="1"/>
  <c r="K137" i="97"/>
  <c r="K136" i="97" s="1"/>
  <c r="L137" i="97"/>
  <c r="L136" i="97" s="1"/>
  <c r="M137" i="97"/>
  <c r="M136" i="97" s="1"/>
  <c r="N137" i="97"/>
  <c r="N136" i="97" s="1"/>
  <c r="O137" i="97"/>
  <c r="E139" i="97"/>
  <c r="H153" i="125" l="1"/>
  <c r="E154" i="130"/>
  <c r="E146" i="130"/>
  <c r="Q147" i="130"/>
  <c r="H154" i="125"/>
  <c r="G154" i="125" s="1"/>
  <c r="E155" i="130"/>
  <c r="E137" i="97"/>
  <c r="E136" i="97" s="1"/>
  <c r="E139" i="130"/>
  <c r="E137" i="130" s="1"/>
  <c r="G153" i="125"/>
  <c r="G152" i="125" s="1"/>
  <c r="H152" i="125"/>
  <c r="H151" i="125" s="1"/>
  <c r="P147" i="97"/>
  <c r="J147" i="97" s="1"/>
  <c r="J146" i="97" s="1"/>
  <c r="P137" i="97"/>
  <c r="J137" i="97" s="1"/>
  <c r="J136" i="97" s="1"/>
  <c r="P152" i="97"/>
  <c r="J152" i="97" s="1"/>
  <c r="J151" i="97" s="1"/>
  <c r="Q150" i="97"/>
  <c r="Q150" i="130" s="1"/>
  <c r="I150" i="125"/>
  <c r="G150" i="125" s="1"/>
  <c r="E147" i="97"/>
  <c r="E146" i="97" s="1"/>
  <c r="H149" i="125"/>
  <c r="E152" i="97"/>
  <c r="E151" i="97" s="1"/>
  <c r="Q149" i="97"/>
  <c r="Q149" i="130" s="1"/>
  <c r="Q155" i="97"/>
  <c r="Q155" i="130" s="1"/>
  <c r="Q154" i="97"/>
  <c r="Q154" i="130" s="1"/>
  <c r="Q139" i="97"/>
  <c r="Q139" i="130" s="1"/>
  <c r="R147" i="130" l="1"/>
  <c r="Q146" i="130"/>
  <c r="Q137" i="130"/>
  <c r="E136" i="130"/>
  <c r="E152" i="130"/>
  <c r="I148" i="125"/>
  <c r="I147" i="125" s="1"/>
  <c r="H148" i="125"/>
  <c r="H147" i="125" s="1"/>
  <c r="G149" i="125"/>
  <c r="G148" i="125" s="1"/>
  <c r="G147" i="125" s="1"/>
  <c r="I64" i="98"/>
  <c r="E119" i="97"/>
  <c r="I118" i="125"/>
  <c r="I114" i="125"/>
  <c r="I115" i="125"/>
  <c r="I116" i="125"/>
  <c r="I117" i="125"/>
  <c r="I119" i="125"/>
  <c r="I120" i="125"/>
  <c r="I123" i="125"/>
  <c r="I129" i="125"/>
  <c r="G112" i="97"/>
  <c r="G111" i="97" s="1"/>
  <c r="E129" i="97"/>
  <c r="E129" i="130" s="1"/>
  <c r="E126" i="97"/>
  <c r="K125" i="97"/>
  <c r="K125" i="130" s="1"/>
  <c r="K112" i="130" s="1"/>
  <c r="E125" i="97"/>
  <c r="E124" i="97"/>
  <c r="E121" i="97"/>
  <c r="E120" i="97"/>
  <c r="E118" i="97"/>
  <c r="E117" i="97"/>
  <c r="E116" i="97"/>
  <c r="E115" i="97"/>
  <c r="E114" i="97"/>
  <c r="E114" i="130" s="1"/>
  <c r="H117" i="125" l="1"/>
  <c r="G117" i="125" s="1"/>
  <c r="E118" i="130"/>
  <c r="H124" i="125"/>
  <c r="G124" i="125" s="1"/>
  <c r="E125" i="130"/>
  <c r="H114" i="125"/>
  <c r="E115" i="130"/>
  <c r="E112" i="130" s="1"/>
  <c r="H119" i="125"/>
  <c r="G119" i="125" s="1"/>
  <c r="E120" i="130"/>
  <c r="K111" i="130"/>
  <c r="P111" i="130" s="1"/>
  <c r="P112" i="130"/>
  <c r="J112" i="130" s="1"/>
  <c r="K162" i="130"/>
  <c r="Q136" i="130"/>
  <c r="R137" i="130"/>
  <c r="H115" i="125"/>
  <c r="G115" i="125" s="1"/>
  <c r="E116" i="130"/>
  <c r="H120" i="125"/>
  <c r="E121" i="130"/>
  <c r="H129" i="125"/>
  <c r="E126" i="130"/>
  <c r="H118" i="125"/>
  <c r="E119" i="130"/>
  <c r="H116" i="125"/>
  <c r="G116" i="125" s="1"/>
  <c r="E117" i="130"/>
  <c r="H123" i="125"/>
  <c r="E124" i="130"/>
  <c r="E151" i="130"/>
  <c r="Q152" i="130"/>
  <c r="G120" i="125"/>
  <c r="G129" i="125"/>
  <c r="G114" i="125"/>
  <c r="G118" i="125"/>
  <c r="I51" i="98"/>
  <c r="S112" i="129" s="1"/>
  <c r="G123" i="125"/>
  <c r="K112" i="97"/>
  <c r="P125" i="97"/>
  <c r="I112" i="125"/>
  <c r="I111" i="125" s="1"/>
  <c r="I110" i="125" s="1"/>
  <c r="E112" i="97"/>
  <c r="E111" i="97" s="1"/>
  <c r="H112" i="125"/>
  <c r="Q126" i="97"/>
  <c r="Q126" i="130" s="1"/>
  <c r="Q116" i="97"/>
  <c r="Q116" i="130" s="1"/>
  <c r="Q115" i="97"/>
  <c r="Q115" i="130" s="1"/>
  <c r="Q120" i="97"/>
  <c r="Q120" i="130" s="1"/>
  <c r="Q129" i="97"/>
  <c r="Q129" i="130" s="1"/>
  <c r="Q119" i="97"/>
  <c r="Q119" i="130" s="1"/>
  <c r="Q124" i="97"/>
  <c r="Q124" i="130" s="1"/>
  <c r="Q117" i="97"/>
  <c r="Q117" i="130" s="1"/>
  <c r="Q121" i="97"/>
  <c r="Q121" i="130" s="1"/>
  <c r="Q114" i="97"/>
  <c r="Q114" i="130" s="1"/>
  <c r="Q118" i="97"/>
  <c r="Q118" i="130" s="1"/>
  <c r="E111" i="130" l="1"/>
  <c r="Q112" i="130"/>
  <c r="J125" i="97"/>
  <c r="J125" i="130" s="1"/>
  <c r="P125" i="130"/>
  <c r="J111" i="130"/>
  <c r="J162" i="130"/>
  <c r="J171" i="130" s="1"/>
  <c r="S112" i="130"/>
  <c r="R152" i="130"/>
  <c r="Q151" i="130"/>
  <c r="P162" i="130"/>
  <c r="K171" i="130"/>
  <c r="P112" i="97"/>
  <c r="J112" i="97" s="1"/>
  <c r="J111" i="97" s="1"/>
  <c r="K111" i="97"/>
  <c r="S112" i="97"/>
  <c r="H111" i="125"/>
  <c r="H110" i="125" s="1"/>
  <c r="G112" i="125"/>
  <c r="G111" i="125"/>
  <c r="G110" i="125" s="1"/>
  <c r="Q112" i="97"/>
  <c r="Q125" i="97"/>
  <c r="Q125" i="130" s="1"/>
  <c r="J80" i="125"/>
  <c r="J108" i="125"/>
  <c r="I108" i="125"/>
  <c r="H108" i="125"/>
  <c r="J107" i="125"/>
  <c r="J106" i="125"/>
  <c r="J105" i="125"/>
  <c r="J104" i="125"/>
  <c r="J103" i="125"/>
  <c r="J102" i="125"/>
  <c r="J101" i="125"/>
  <c r="J100" i="125"/>
  <c r="J99" i="125"/>
  <c r="J98" i="125"/>
  <c r="J97" i="125"/>
  <c r="J96" i="125"/>
  <c r="I47" i="98"/>
  <c r="I97" i="125"/>
  <c r="I98" i="125"/>
  <c r="I99" i="125"/>
  <c r="I100" i="125"/>
  <c r="I101" i="125"/>
  <c r="I102" i="125"/>
  <c r="I103" i="125"/>
  <c r="I104" i="125"/>
  <c r="I105" i="125"/>
  <c r="I106" i="125"/>
  <c r="I107" i="125"/>
  <c r="I96" i="125"/>
  <c r="F97" i="97"/>
  <c r="F96" i="97" s="1"/>
  <c r="G97" i="97"/>
  <c r="G96" i="97" s="1"/>
  <c r="H97" i="97"/>
  <c r="H96" i="97" s="1"/>
  <c r="I97" i="97"/>
  <c r="I96" i="97" s="1"/>
  <c r="K97" i="97"/>
  <c r="K96" i="97" s="1"/>
  <c r="L97" i="97"/>
  <c r="L96" i="97" s="1"/>
  <c r="M97" i="97"/>
  <c r="M96" i="97" s="1"/>
  <c r="N97" i="97"/>
  <c r="N96" i="97" s="1"/>
  <c r="O97" i="97"/>
  <c r="J81" i="125"/>
  <c r="H81" i="125"/>
  <c r="J72" i="125"/>
  <c r="I72" i="125"/>
  <c r="G73" i="125"/>
  <c r="J69" i="125"/>
  <c r="I69" i="125"/>
  <c r="J48" i="125"/>
  <c r="J49" i="125"/>
  <c r="I49" i="125"/>
  <c r="J51" i="125"/>
  <c r="I51" i="125"/>
  <c r="J50" i="125"/>
  <c r="I50" i="125"/>
  <c r="J52" i="125"/>
  <c r="I52" i="125"/>
  <c r="I74" i="125"/>
  <c r="J74" i="125"/>
  <c r="J78" i="125"/>
  <c r="G79" i="125"/>
  <c r="J77" i="125"/>
  <c r="J68" i="125"/>
  <c r="I68" i="125"/>
  <c r="J67" i="125"/>
  <c r="O45" i="97"/>
  <c r="I48" i="125"/>
  <c r="I80" i="125"/>
  <c r="I81" i="125"/>
  <c r="I67" i="125"/>
  <c r="I77" i="125"/>
  <c r="I44" i="125"/>
  <c r="K11" i="107"/>
  <c r="K10" i="107" s="1"/>
  <c r="L11" i="107"/>
  <c r="L10" i="107" s="1"/>
  <c r="J11" i="107"/>
  <c r="J10" i="107" s="1"/>
  <c r="G11" i="107"/>
  <c r="G10" i="107" s="1"/>
  <c r="H11" i="107"/>
  <c r="H10" i="107" s="1"/>
  <c r="F11" i="107"/>
  <c r="O13" i="107"/>
  <c r="O12" i="107"/>
  <c r="N12" i="107"/>
  <c r="M12" i="107"/>
  <c r="I12" i="107"/>
  <c r="I11" i="107" s="1"/>
  <c r="G93" i="125"/>
  <c r="J85" i="125"/>
  <c r="J86" i="125"/>
  <c r="J87" i="125"/>
  <c r="J88" i="125"/>
  <c r="J84" i="125"/>
  <c r="I91" i="125"/>
  <c r="K88" i="97"/>
  <c r="K87" i="97" s="1"/>
  <c r="L88" i="97"/>
  <c r="L87" i="97" s="1"/>
  <c r="M88" i="97"/>
  <c r="M87" i="97" s="1"/>
  <c r="N88" i="97"/>
  <c r="N87" i="97" s="1"/>
  <c r="O88" i="97"/>
  <c r="I40" i="98"/>
  <c r="I85" i="125"/>
  <c r="I86" i="125"/>
  <c r="I87" i="125"/>
  <c r="I88" i="125"/>
  <c r="I89" i="125"/>
  <c r="I84" i="125"/>
  <c r="G88" i="97"/>
  <c r="G87" i="97" s="1"/>
  <c r="H88" i="97"/>
  <c r="H87" i="97" s="1"/>
  <c r="F88" i="97"/>
  <c r="S88" i="129" l="1"/>
  <c r="S88" i="130"/>
  <c r="S97" i="129"/>
  <c r="S97" i="130"/>
  <c r="R112" i="130"/>
  <c r="Q111" i="130"/>
  <c r="E88" i="97"/>
  <c r="E87" i="97" s="1"/>
  <c r="F87" i="97"/>
  <c r="P11" i="107"/>
  <c r="P10" i="107" s="1"/>
  <c r="P14" i="107" s="1"/>
  <c r="P97" i="97"/>
  <c r="J97" i="97" s="1"/>
  <c r="J96" i="97" s="1"/>
  <c r="P88" i="97"/>
  <c r="J88" i="97" s="1"/>
  <c r="J87" i="97" s="1"/>
  <c r="P45" i="97"/>
  <c r="O11" i="107"/>
  <c r="O10" i="107" s="1"/>
  <c r="O14" i="107" s="1"/>
  <c r="K162" i="97"/>
  <c r="I10" i="107"/>
  <c r="Q12" i="107"/>
  <c r="R112" i="97"/>
  <c r="I78" i="125"/>
  <c r="I43" i="125" s="1"/>
  <c r="I42" i="125" s="1"/>
  <c r="L42" i="125" s="1"/>
  <c r="I95" i="125"/>
  <c r="I94" i="125" s="1"/>
  <c r="J95" i="125"/>
  <c r="J94" i="125" s="1"/>
  <c r="M94" i="125" s="1"/>
  <c r="Q84" i="97"/>
  <c r="Q84" i="130" s="1"/>
  <c r="G108" i="125"/>
  <c r="J43" i="125"/>
  <c r="J42" i="125" s="1"/>
  <c r="M42" i="125" s="1"/>
  <c r="S97" i="97"/>
  <c r="S46" i="97"/>
  <c r="G81" i="125"/>
  <c r="S88" i="97"/>
  <c r="J83" i="125"/>
  <c r="J82" i="125" s="1"/>
  <c r="M82" i="125" s="1"/>
  <c r="I83" i="125"/>
  <c r="I82" i="125" s="1"/>
  <c r="I136" i="125"/>
  <c r="I135" i="125"/>
  <c r="I134" i="125"/>
  <c r="L94" i="125" l="1"/>
  <c r="K171" i="97"/>
  <c r="Q88" i="97"/>
  <c r="I133" i="125"/>
  <c r="I132" i="125" s="1"/>
  <c r="G134" i="125"/>
  <c r="J135" i="125"/>
  <c r="G135" i="125"/>
  <c r="J136" i="125"/>
  <c r="G136" i="125"/>
  <c r="L82" i="125"/>
  <c r="J134" i="125"/>
  <c r="J133" i="125" l="1"/>
  <c r="J132" i="125" s="1"/>
  <c r="G133" i="125"/>
  <c r="G132" i="125" s="1"/>
  <c r="J86" i="98"/>
  <c r="J88" i="98" l="1"/>
  <c r="J80" i="98"/>
  <c r="J79" i="98"/>
  <c r="I77" i="98" l="1"/>
  <c r="H81" i="98"/>
  <c r="J81" i="98" s="1"/>
  <c r="H87" i="98" l="1"/>
  <c r="J87" i="98" s="1"/>
  <c r="H85" i="98"/>
  <c r="J85" i="98" s="1"/>
  <c r="H84" i="98"/>
  <c r="J84" i="98" s="1"/>
  <c r="H83" i="98"/>
  <c r="J83" i="98" s="1"/>
  <c r="H82" i="98"/>
  <c r="J82" i="98" s="1"/>
  <c r="I6" i="98"/>
  <c r="I105" i="98"/>
  <c r="I104" i="98" s="1"/>
  <c r="I99" i="98"/>
  <c r="I96" i="98"/>
  <c r="I76" i="98"/>
  <c r="I46" i="98"/>
  <c r="I39" i="98"/>
  <c r="I10" i="98"/>
  <c r="S152" i="97" l="1"/>
  <c r="S152" i="129"/>
  <c r="S152" i="130"/>
  <c r="S131" i="97"/>
  <c r="S131" i="129"/>
  <c r="S131" i="130"/>
  <c r="S13" i="97"/>
  <c r="S13" i="129"/>
  <c r="S13" i="130"/>
  <c r="S34" i="97"/>
  <c r="I100" i="98"/>
  <c r="S137" i="130" s="1"/>
  <c r="S141" i="97"/>
  <c r="I95" i="98"/>
  <c r="I94" i="98" s="1"/>
  <c r="I158" i="125"/>
  <c r="I29" i="98"/>
  <c r="I50" i="98"/>
  <c r="S137" i="97" l="1"/>
  <c r="S137" i="129"/>
  <c r="I115" i="98"/>
  <c r="R162" i="129" l="1"/>
  <c r="R162" i="130"/>
  <c r="R162" i="97"/>
  <c r="K115" i="98"/>
  <c r="J158" i="125"/>
  <c r="F110" i="97" l="1"/>
  <c r="O110" i="97" l="1"/>
  <c r="P110" i="97" s="1"/>
  <c r="J110" i="97" s="1"/>
  <c r="E110" i="97"/>
  <c r="Q110" i="97" l="1"/>
  <c r="E66" i="97" l="1"/>
  <c r="E83" i="97"/>
  <c r="H80" i="125" l="1"/>
  <c r="G80" i="125" s="1"/>
  <c r="E83" i="130"/>
  <c r="H62" i="125"/>
  <c r="G62" i="125" s="1"/>
  <c r="E66" i="130"/>
  <c r="Q66" i="97"/>
  <c r="Q66" i="130" s="1"/>
  <c r="Q83" i="97" l="1"/>
  <c r="Q83" i="130" s="1"/>
  <c r="E42" i="97" l="1"/>
  <c r="E41" i="97"/>
  <c r="E41" i="130" l="1"/>
  <c r="H38" i="125"/>
  <c r="G38" i="125" s="1"/>
  <c r="E42" i="130"/>
  <c r="H39" i="125"/>
  <c r="G39" i="125" s="1"/>
  <c r="E101" i="97"/>
  <c r="H99" i="125" l="1"/>
  <c r="G99" i="125" s="1"/>
  <c r="E101" i="130"/>
  <c r="Q41" i="97"/>
  <c r="Q41" i="130" s="1"/>
  <c r="Q42" i="97"/>
  <c r="Q42" i="130" s="1"/>
  <c r="Q101" i="97"/>
  <c r="Q101" i="130" s="1"/>
  <c r="E76" i="97" l="1"/>
  <c r="H72" i="125" l="1"/>
  <c r="G72" i="125" s="1"/>
  <c r="E76" i="130"/>
  <c r="E68" i="97"/>
  <c r="E65" i="97"/>
  <c r="E69" i="97"/>
  <c r="H61" i="125" l="1"/>
  <c r="G61" i="125" s="1"/>
  <c r="E65" i="130"/>
  <c r="H64" i="125"/>
  <c r="G64" i="125" s="1"/>
  <c r="E68" i="130"/>
  <c r="H65" i="125"/>
  <c r="G65" i="125" s="1"/>
  <c r="E69" i="130"/>
  <c r="E67" i="97"/>
  <c r="Q69" i="97"/>
  <c r="Q69" i="130" s="1"/>
  <c r="Q68" i="97"/>
  <c r="Q68" i="130" s="1"/>
  <c r="H63" i="125" l="1"/>
  <c r="G63" i="125" s="1"/>
  <c r="E67" i="130"/>
  <c r="Q65" i="97"/>
  <c r="Q65" i="130" s="1"/>
  <c r="Q67" i="97"/>
  <c r="Q67" i="130" s="1"/>
  <c r="E109" i="97" l="1"/>
  <c r="H107" i="125" l="1"/>
  <c r="G107" i="125" s="1"/>
  <c r="E109" i="130"/>
  <c r="Q109" i="97"/>
  <c r="Q109" i="130" s="1"/>
  <c r="E31" i="97" l="1"/>
  <c r="E95" i="97"/>
  <c r="E95" i="130" s="1"/>
  <c r="E94" i="97"/>
  <c r="E94" i="130" s="1"/>
  <c r="E82" i="97"/>
  <c r="E81" i="97"/>
  <c r="E44" i="97"/>
  <c r="E30" i="97"/>
  <c r="H41" i="125" l="1"/>
  <c r="G41" i="125" s="1"/>
  <c r="E44" i="130"/>
  <c r="H78" i="125"/>
  <c r="G78" i="125" s="1"/>
  <c r="E82" i="130"/>
  <c r="H27" i="125"/>
  <c r="G27" i="125" s="1"/>
  <c r="E30" i="130"/>
  <c r="H77" i="125"/>
  <c r="G77" i="125" s="1"/>
  <c r="E81" i="130"/>
  <c r="H28" i="125"/>
  <c r="G28" i="125" s="1"/>
  <c r="E31" i="130"/>
  <c r="H89" i="125"/>
  <c r="G89" i="125" s="1"/>
  <c r="H91" i="125"/>
  <c r="G91" i="125" s="1"/>
  <c r="E43" i="97"/>
  <c r="Q31" i="97"/>
  <c r="Q31" i="130" s="1"/>
  <c r="H40" i="125" l="1"/>
  <c r="G40" i="125" s="1"/>
  <c r="E43" i="130"/>
  <c r="Q94" i="97"/>
  <c r="Q94" i="130" s="1"/>
  <c r="Q81" i="97"/>
  <c r="Q81" i="130" s="1"/>
  <c r="Q95" i="97"/>
  <c r="Q95" i="130" s="1"/>
  <c r="Q44" i="97"/>
  <c r="Q44" i="130" s="1"/>
  <c r="Q43" i="97"/>
  <c r="Q43" i="130" s="1"/>
  <c r="Q82" i="97"/>
  <c r="Q82" i="130" s="1"/>
  <c r="Q30" i="97"/>
  <c r="Q30" i="130" s="1"/>
  <c r="F13" i="116" l="1"/>
  <c r="G13" i="116" l="1"/>
  <c r="S147" i="129"/>
  <c r="S147" i="130"/>
  <c r="E135" i="97"/>
  <c r="E135" i="130" s="1"/>
  <c r="E134" i="97"/>
  <c r="E134" i="130" s="1"/>
  <c r="E133" i="97"/>
  <c r="E133" i="130" s="1"/>
  <c r="E131" i="130" l="1"/>
  <c r="E131" i="97"/>
  <c r="E130" i="97" s="1"/>
  <c r="Q131" i="130" l="1"/>
  <c r="E130" i="130"/>
  <c r="Q134" i="97"/>
  <c r="Q134" i="130" s="1"/>
  <c r="Q135" i="97"/>
  <c r="Q135" i="130" s="1"/>
  <c r="Q133" i="97"/>
  <c r="Q133" i="130" s="1"/>
  <c r="E17" i="97"/>
  <c r="E17" i="130" s="1"/>
  <c r="Q130" i="130" l="1"/>
  <c r="R131" i="130"/>
  <c r="Q17" i="97"/>
  <c r="Q17" i="130" s="1"/>
  <c r="E143" i="97" l="1"/>
  <c r="E144" i="97"/>
  <c r="E145" i="97"/>
  <c r="K146" i="125" l="1"/>
  <c r="E145" i="130"/>
  <c r="K145" i="125"/>
  <c r="E144" i="130"/>
  <c r="K143" i="125"/>
  <c r="E143" i="130"/>
  <c r="Q145" i="97"/>
  <c r="Q145" i="130" s="1"/>
  <c r="Q144" i="97"/>
  <c r="Q144" i="130" s="1"/>
  <c r="Q143" i="97"/>
  <c r="Q143" i="130" s="1"/>
  <c r="E18" i="97" l="1"/>
  <c r="E18" i="130" s="1"/>
  <c r="Q18" i="97" l="1"/>
  <c r="R18" i="97" l="1"/>
  <c r="Q18" i="130"/>
  <c r="R18" i="130" s="1"/>
  <c r="E40" i="97"/>
  <c r="H37" i="125" l="1"/>
  <c r="G37" i="125" s="1"/>
  <c r="E40" i="130"/>
  <c r="Q40" i="97"/>
  <c r="Q40" i="130" s="1"/>
  <c r="E159" i="97" l="1"/>
  <c r="E159" i="130" s="1"/>
  <c r="E99" i="97" l="1"/>
  <c r="E79" i="97"/>
  <c r="H75" i="125" l="1"/>
  <c r="G75" i="125" s="1"/>
  <c r="E79" i="130"/>
  <c r="H97" i="125"/>
  <c r="G97" i="125" s="1"/>
  <c r="E99" i="130"/>
  <c r="E142" i="97"/>
  <c r="E142" i="130" s="1"/>
  <c r="E141" i="130" s="1"/>
  <c r="E140" i="130" l="1"/>
  <c r="Q141" i="130"/>
  <c r="E141" i="97"/>
  <c r="K142" i="125"/>
  <c r="Q142" i="97"/>
  <c r="Q142" i="130" s="1"/>
  <c r="Q140" i="130" l="1"/>
  <c r="R141" i="130"/>
  <c r="K140" i="125"/>
  <c r="E140" i="97"/>
  <c r="N13" i="107"/>
  <c r="E39" i="97" l="1"/>
  <c r="E39" i="130" s="1"/>
  <c r="H35" i="125" l="1"/>
  <c r="G35" i="125" s="1"/>
  <c r="N11" i="107"/>
  <c r="N10" i="107" s="1"/>
  <c r="N14" i="107" s="1"/>
  <c r="F10" i="107"/>
  <c r="F14" i="107" s="1"/>
  <c r="E92" i="97" l="1"/>
  <c r="E29" i="108"/>
  <c r="G29" i="108" s="1"/>
  <c r="G18" i="108" s="1"/>
  <c r="E15" i="108"/>
  <c r="E17" i="108" s="1"/>
  <c r="F29" i="108" s="1"/>
  <c r="L14" i="107"/>
  <c r="J14" i="107"/>
  <c r="H14" i="107"/>
  <c r="E15" i="97"/>
  <c r="E15" i="130" s="1"/>
  <c r="E14" i="97"/>
  <c r="E14" i="130" s="1"/>
  <c r="E24" i="97"/>
  <c r="E24" i="130" s="1"/>
  <c r="E29" i="97"/>
  <c r="E26" i="97"/>
  <c r="E27" i="97"/>
  <c r="E77" i="97"/>
  <c r="E38" i="97"/>
  <c r="E37" i="97"/>
  <c r="E37" i="130" s="1"/>
  <c r="E36" i="97"/>
  <c r="E36" i="130" s="1"/>
  <c r="E107" i="97"/>
  <c r="E106" i="97"/>
  <c r="E104" i="97"/>
  <c r="E103" i="97"/>
  <c r="E102" i="97"/>
  <c r="E100" i="97"/>
  <c r="E21" i="97"/>
  <c r="E21" i="130" s="1"/>
  <c r="E49" i="97"/>
  <c r="E48" i="97"/>
  <c r="E48" i="130" s="1"/>
  <c r="E59" i="97"/>
  <c r="E59" i="130" s="1"/>
  <c r="E28" i="97"/>
  <c r="O156" i="97"/>
  <c r="P156" i="97" s="1"/>
  <c r="E56" i="97"/>
  <c r="E50" i="97"/>
  <c r="E54" i="97"/>
  <c r="E53" i="97"/>
  <c r="E52" i="97"/>
  <c r="E57" i="97"/>
  <c r="E63" i="97"/>
  <c r="E58" i="97"/>
  <c r="E62" i="97"/>
  <c r="E61" i="97"/>
  <c r="E60" i="97"/>
  <c r="E71" i="97"/>
  <c r="E51" i="97"/>
  <c r="E98" i="97"/>
  <c r="E72" i="97"/>
  <c r="H67" i="125" l="1"/>
  <c r="G67" i="125" s="1"/>
  <c r="E71" i="130"/>
  <c r="H54" i="125"/>
  <c r="G54" i="125" s="1"/>
  <c r="E58" i="130"/>
  <c r="H49" i="125"/>
  <c r="G49" i="125" s="1"/>
  <c r="E53" i="130"/>
  <c r="H45" i="125"/>
  <c r="G45" i="125" s="1"/>
  <c r="E49" i="130"/>
  <c r="H101" i="125"/>
  <c r="G101" i="125" s="1"/>
  <c r="E103" i="130"/>
  <c r="E34" i="130"/>
  <c r="H24" i="125"/>
  <c r="G24" i="125" s="1"/>
  <c r="E27" i="130"/>
  <c r="H68" i="125"/>
  <c r="G68" i="125" s="1"/>
  <c r="E72" i="130"/>
  <c r="H56" i="125"/>
  <c r="G56" i="125" s="1"/>
  <c r="E60" i="130"/>
  <c r="H59" i="125"/>
  <c r="G59" i="125" s="1"/>
  <c r="E63" i="130"/>
  <c r="H50" i="125"/>
  <c r="G50" i="125" s="1"/>
  <c r="E54" i="130"/>
  <c r="H25" i="125"/>
  <c r="G25" i="125" s="1"/>
  <c r="E28" i="130"/>
  <c r="H102" i="125"/>
  <c r="G102" i="125" s="1"/>
  <c r="E104" i="130"/>
  <c r="H22" i="125"/>
  <c r="G22" i="125" s="1"/>
  <c r="E26" i="130"/>
  <c r="H96" i="125"/>
  <c r="E98" i="130"/>
  <c r="H57" i="125"/>
  <c r="G57" i="125" s="1"/>
  <c r="E61" i="130"/>
  <c r="H53" i="125"/>
  <c r="G53" i="125" s="1"/>
  <c r="E57" i="130"/>
  <c r="H46" i="125"/>
  <c r="G46" i="125" s="1"/>
  <c r="E50" i="130"/>
  <c r="H98" i="125"/>
  <c r="G98" i="125" s="1"/>
  <c r="E100" i="130"/>
  <c r="H104" i="125"/>
  <c r="G104" i="125" s="1"/>
  <c r="E106" i="130"/>
  <c r="H34" i="125"/>
  <c r="G34" i="125" s="1"/>
  <c r="E38" i="130"/>
  <c r="H26" i="125"/>
  <c r="G26" i="125" s="1"/>
  <c r="E29" i="130"/>
  <c r="H47" i="125"/>
  <c r="G47" i="125" s="1"/>
  <c r="E51" i="130"/>
  <c r="H58" i="125"/>
  <c r="G58" i="125" s="1"/>
  <c r="E62" i="130"/>
  <c r="H48" i="125"/>
  <c r="G48" i="125" s="1"/>
  <c r="E52" i="130"/>
  <c r="H52" i="125"/>
  <c r="G52" i="125" s="1"/>
  <c r="E56" i="130"/>
  <c r="H100" i="125"/>
  <c r="G100" i="125" s="1"/>
  <c r="E102" i="130"/>
  <c r="H105" i="125"/>
  <c r="G105" i="125" s="1"/>
  <c r="E107" i="130"/>
  <c r="H74" i="125"/>
  <c r="G74" i="125" s="1"/>
  <c r="E77" i="130"/>
  <c r="H87" i="125"/>
  <c r="G87" i="125" s="1"/>
  <c r="E92" i="130"/>
  <c r="H55" i="125"/>
  <c r="G55" i="125" s="1"/>
  <c r="H44" i="125"/>
  <c r="G44" i="125" s="1"/>
  <c r="H33" i="125"/>
  <c r="G33" i="125" s="1"/>
  <c r="E34" i="97"/>
  <c r="Q34" i="97" s="1"/>
  <c r="H19" i="125"/>
  <c r="G19" i="125" s="1"/>
  <c r="H32" i="125"/>
  <c r="G96" i="125"/>
  <c r="E91" i="97"/>
  <c r="E161" i="97"/>
  <c r="E161" i="130" s="1"/>
  <c r="E70" i="97"/>
  <c r="E75" i="97"/>
  <c r="E89" i="97"/>
  <c r="E64" i="97"/>
  <c r="E74" i="97"/>
  <c r="E93" i="97"/>
  <c r="M13" i="107"/>
  <c r="K14" i="107"/>
  <c r="E160" i="97"/>
  <c r="E160" i="130" s="1"/>
  <c r="E157" i="130" s="1"/>
  <c r="E16" i="97"/>
  <c r="Q21" i="97"/>
  <c r="Q21" i="130" s="1"/>
  <c r="E20" i="97"/>
  <c r="E108" i="97"/>
  <c r="E105" i="97"/>
  <c r="E105" i="130" s="1"/>
  <c r="E90" i="97"/>
  <c r="G13" i="97"/>
  <c r="G12" i="97" s="1"/>
  <c r="E55" i="97"/>
  <c r="E25" i="97"/>
  <c r="H51" i="125" l="1"/>
  <c r="G51" i="125" s="1"/>
  <c r="E55" i="130"/>
  <c r="H106" i="125"/>
  <c r="G106" i="125" s="1"/>
  <c r="E108" i="130"/>
  <c r="E156" i="130"/>
  <c r="Q157" i="130"/>
  <c r="H70" i="125"/>
  <c r="G70" i="125" s="1"/>
  <c r="E74" i="130"/>
  <c r="H66" i="125"/>
  <c r="G66" i="125" s="1"/>
  <c r="E70" i="130"/>
  <c r="H16" i="125"/>
  <c r="G16" i="125" s="1"/>
  <c r="E20" i="130"/>
  <c r="H60" i="125"/>
  <c r="G60" i="125" s="1"/>
  <c r="E64" i="130"/>
  <c r="E97" i="130"/>
  <c r="E33" i="130"/>
  <c r="Q34" i="130"/>
  <c r="H85" i="125"/>
  <c r="G85" i="125" s="1"/>
  <c r="E90" i="130"/>
  <c r="H84" i="125"/>
  <c r="G84" i="125" s="1"/>
  <c r="G83" i="125" s="1"/>
  <c r="E89" i="130"/>
  <c r="H86" i="125"/>
  <c r="G86" i="125" s="1"/>
  <c r="E91" i="130"/>
  <c r="H20" i="125"/>
  <c r="G20" i="125" s="1"/>
  <c r="E25" i="130"/>
  <c r="E23" i="130" s="1"/>
  <c r="H14" i="125"/>
  <c r="G14" i="125" s="1"/>
  <c r="E16" i="130"/>
  <c r="E13" i="130" s="1"/>
  <c r="H88" i="125"/>
  <c r="G88" i="125" s="1"/>
  <c r="E93" i="130"/>
  <c r="H71" i="125"/>
  <c r="G71" i="125" s="1"/>
  <c r="E75" i="130"/>
  <c r="E33" i="97"/>
  <c r="G18" i="125"/>
  <c r="G17" i="125" s="1"/>
  <c r="E157" i="97"/>
  <c r="E156" i="97" s="1"/>
  <c r="Q13" i="107"/>
  <c r="M11" i="107"/>
  <c r="E13" i="97"/>
  <c r="E12" i="97" s="1"/>
  <c r="K16" i="125"/>
  <c r="H18" i="125"/>
  <c r="H17" i="125" s="1"/>
  <c r="E23" i="97"/>
  <c r="H31" i="125"/>
  <c r="H30" i="125" s="1"/>
  <c r="G32" i="125"/>
  <c r="E97" i="97"/>
  <c r="H103" i="125"/>
  <c r="Q49" i="97"/>
  <c r="Q49" i="130" s="1"/>
  <c r="Q14" i="97"/>
  <c r="Q14" i="130" s="1"/>
  <c r="O12" i="97"/>
  <c r="P12" i="97" s="1"/>
  <c r="Q106" i="97"/>
  <c r="Q106" i="130" s="1"/>
  <c r="Q50" i="97"/>
  <c r="Q50" i="130" s="1"/>
  <c r="O22" i="97"/>
  <c r="P22" i="97" s="1"/>
  <c r="Q52" i="97"/>
  <c r="Q52" i="130" s="1"/>
  <c r="Q48" i="97"/>
  <c r="Q48" i="130" s="1"/>
  <c r="E73" i="97"/>
  <c r="O33" i="97"/>
  <c r="P33" i="97" s="1"/>
  <c r="Q51" i="97"/>
  <c r="Q51" i="130" s="1"/>
  <c r="Q79" i="97"/>
  <c r="Q79" i="130" s="1"/>
  <c r="Q161" i="97"/>
  <c r="Q161" i="130" s="1"/>
  <c r="Q56" i="97"/>
  <c r="Q56" i="130" s="1"/>
  <c r="O111" i="97"/>
  <c r="P111" i="97" s="1"/>
  <c r="Q72" i="97"/>
  <c r="Q72" i="130" s="1"/>
  <c r="Q53" i="97"/>
  <c r="Q53" i="130" s="1"/>
  <c r="Q54" i="97"/>
  <c r="Q54" i="130" s="1"/>
  <c r="Q36" i="97"/>
  <c r="Q36" i="130" s="1"/>
  <c r="Q159" i="97"/>
  <c r="Q159" i="130" s="1"/>
  <c r="Q38" i="97"/>
  <c r="Q38" i="130" s="1"/>
  <c r="Q60" i="97"/>
  <c r="Q60" i="130" s="1"/>
  <c r="Q92" i="97"/>
  <c r="Q92" i="130" s="1"/>
  <c r="Q15" i="97"/>
  <c r="Q15" i="130" s="1"/>
  <c r="Q57" i="97"/>
  <c r="Q57" i="130" s="1"/>
  <c r="Q63" i="97"/>
  <c r="Q63" i="130" s="1"/>
  <c r="O136" i="97"/>
  <c r="P136" i="97" s="1"/>
  <c r="Q102" i="97"/>
  <c r="Q102" i="130" s="1"/>
  <c r="Q26" i="97"/>
  <c r="Q26" i="130" s="1"/>
  <c r="Q100" i="97"/>
  <c r="Q100" i="130" s="1"/>
  <c r="Q59" i="97"/>
  <c r="Q59" i="130" s="1"/>
  <c r="Q77" i="97"/>
  <c r="Q77" i="130" s="1"/>
  <c r="Q108" i="97"/>
  <c r="Q108" i="130" s="1"/>
  <c r="Q99" i="97"/>
  <c r="Q99" i="130" s="1"/>
  <c r="Q28" i="97"/>
  <c r="Q28" i="130" s="1"/>
  <c r="Q27" i="97"/>
  <c r="Q27" i="130" s="1"/>
  <c r="Q70" i="97"/>
  <c r="Q70" i="130" s="1"/>
  <c r="Q62" i="97"/>
  <c r="Q62" i="130" s="1"/>
  <c r="Q37" i="97"/>
  <c r="Q37" i="130" s="1"/>
  <c r="Q58" i="97"/>
  <c r="Q58" i="130" s="1"/>
  <c r="Q75" i="97"/>
  <c r="Q75" i="130" s="1"/>
  <c r="Q98" i="97"/>
  <c r="Q98" i="130" s="1"/>
  <c r="Q64" i="97"/>
  <c r="Q64" i="130" s="1"/>
  <c r="Q61" i="97"/>
  <c r="Q61" i="130" s="1"/>
  <c r="Q74" i="97"/>
  <c r="Q74" i="130" s="1"/>
  <c r="Q160" i="97"/>
  <c r="Q160" i="130" s="1"/>
  <c r="Q107" i="97"/>
  <c r="Q107" i="130" s="1"/>
  <c r="Q103" i="97"/>
  <c r="Q103" i="130" s="1"/>
  <c r="Q29" i="97"/>
  <c r="Q29" i="130" s="1"/>
  <c r="Q55" i="97"/>
  <c r="Q55" i="130" s="1"/>
  <c r="I162" i="97"/>
  <c r="I171" i="97" s="1"/>
  <c r="Q24" i="97"/>
  <c r="Q24" i="130" s="1"/>
  <c r="Q71" i="97"/>
  <c r="Q71" i="130" s="1"/>
  <c r="Q90" i="97"/>
  <c r="Q90" i="130" s="1"/>
  <c r="O151" i="97"/>
  <c r="P151" i="97" s="1"/>
  <c r="N162" i="97"/>
  <c r="Q25" i="97"/>
  <c r="Q25" i="130" s="1"/>
  <c r="M162" i="97"/>
  <c r="O146" i="97"/>
  <c r="P146" i="97" s="1"/>
  <c r="H162" i="97"/>
  <c r="H69" i="125" l="1"/>
  <c r="E73" i="130"/>
  <c r="E46" i="130" s="1"/>
  <c r="Q23" i="130"/>
  <c r="E22" i="130"/>
  <c r="Q156" i="130"/>
  <c r="R157" i="130"/>
  <c r="H12" i="125"/>
  <c r="H11" i="125" s="1"/>
  <c r="Q33" i="130"/>
  <c r="E96" i="130"/>
  <c r="Q97" i="130"/>
  <c r="H83" i="125"/>
  <c r="K14" i="125"/>
  <c r="E12" i="130"/>
  <c r="Q13" i="130"/>
  <c r="Q97" i="97"/>
  <c r="E96" i="97"/>
  <c r="G31" i="125"/>
  <c r="G30" i="125" s="1"/>
  <c r="Q23" i="97"/>
  <c r="R23" i="97" s="1"/>
  <c r="E22" i="97"/>
  <c r="G69" i="125"/>
  <c r="G43" i="125" s="1"/>
  <c r="G42" i="125" s="1"/>
  <c r="K30" i="125"/>
  <c r="Q13" i="97"/>
  <c r="E46" i="97"/>
  <c r="Q46" i="97" s="1"/>
  <c r="M10" i="107"/>
  <c r="M14" i="107" s="1"/>
  <c r="Q11" i="107"/>
  <c r="Q10" i="107" s="1"/>
  <c r="Q14" i="107" s="1"/>
  <c r="G12" i="125"/>
  <c r="G11" i="125" s="1"/>
  <c r="K17" i="125"/>
  <c r="H171" i="97"/>
  <c r="M171" i="97"/>
  <c r="N171" i="97"/>
  <c r="G103" i="125"/>
  <c r="G95" i="125" s="1"/>
  <c r="G94" i="125" s="1"/>
  <c r="H95" i="125"/>
  <c r="H94" i="125" s="1"/>
  <c r="K94" i="125" s="1"/>
  <c r="H43" i="125"/>
  <c r="H42" i="125" s="1"/>
  <c r="G82" i="125"/>
  <c r="H82" i="125"/>
  <c r="K82" i="125" s="1"/>
  <c r="Q16" i="97"/>
  <c r="G162" i="97"/>
  <c r="Q73" i="97"/>
  <c r="Q73" i="130" s="1"/>
  <c r="L30" i="125"/>
  <c r="Q39" i="97"/>
  <c r="Q39" i="130" s="1"/>
  <c r="R34" i="130" s="1"/>
  <c r="O87" i="97"/>
  <c r="P87" i="97" s="1"/>
  <c r="Q89" i="97"/>
  <c r="Q89" i="130" s="1"/>
  <c r="Q93" i="97"/>
  <c r="Q93" i="130" s="1"/>
  <c r="Q20" i="97"/>
  <c r="Q20" i="130" s="1"/>
  <c r="O140" i="97"/>
  <c r="P140" i="97" s="1"/>
  <c r="Q104" i="97"/>
  <c r="Q104" i="130" s="1"/>
  <c r="Q105" i="97"/>
  <c r="Q105" i="130" s="1"/>
  <c r="Q91" i="97"/>
  <c r="Q91" i="130" s="1"/>
  <c r="L162" i="97"/>
  <c r="L171" i="97" s="1"/>
  <c r="E45" i="130" l="1"/>
  <c r="Q46" i="130"/>
  <c r="E162" i="130"/>
  <c r="R23" i="130"/>
  <c r="Q22" i="130"/>
  <c r="R13" i="97"/>
  <c r="Q16" i="130"/>
  <c r="R13" i="130" s="1"/>
  <c r="E164" i="97"/>
  <c r="F164" i="97"/>
  <c r="F164" i="130"/>
  <c r="F164" i="129"/>
  <c r="R34" i="97"/>
  <c r="R88" i="130"/>
  <c r="Q12" i="130"/>
  <c r="R97" i="130"/>
  <c r="Q96" i="130"/>
  <c r="K42" i="125"/>
  <c r="E162" i="97"/>
  <c r="E45" i="97"/>
  <c r="H158" i="125"/>
  <c r="G171" i="97"/>
  <c r="R97" i="97"/>
  <c r="R88" i="97"/>
  <c r="O96" i="97"/>
  <c r="P96" i="97" s="1"/>
  <c r="Q87" i="97"/>
  <c r="Q76" i="97"/>
  <c r="O162" i="97"/>
  <c r="I14" i="107"/>
  <c r="G14" i="107" s="1"/>
  <c r="E174" i="130" l="1"/>
  <c r="E164" i="130"/>
  <c r="E171" i="130"/>
  <c r="F171" i="130"/>
  <c r="R46" i="130"/>
  <c r="Q45" i="130"/>
  <c r="Q162" i="130" s="1"/>
  <c r="R46" i="97"/>
  <c r="Q76" i="130"/>
  <c r="E164" i="129"/>
  <c r="F171" i="129"/>
  <c r="E171" i="129"/>
  <c r="O171" i="97"/>
  <c r="P162" i="97"/>
  <c r="Q33" i="97"/>
  <c r="Q45" i="97"/>
  <c r="Q22" i="97"/>
  <c r="Q12" i="97"/>
  <c r="Q111" i="97"/>
  <c r="Q171" i="130" l="1"/>
  <c r="F174" i="130"/>
  <c r="Q172" i="130"/>
  <c r="Q96" i="97"/>
  <c r="F162" i="97" l="1"/>
  <c r="F171" i="97" s="1"/>
  <c r="E171" i="97"/>
  <c r="E174" i="97" l="1"/>
  <c r="Q157" i="97"/>
  <c r="Q156" i="97" s="1"/>
  <c r="Q152" i="97"/>
  <c r="Q151" i="97" l="1"/>
  <c r="R152" i="97"/>
  <c r="R157" i="97"/>
  <c r="Q147" i="97" l="1"/>
  <c r="S147" i="97"/>
  <c r="Q146" i="97" l="1"/>
  <c r="R147" i="97"/>
  <c r="L140" i="125"/>
  <c r="Q141" i="97"/>
  <c r="Q140" i="97" l="1"/>
  <c r="R141" i="97"/>
  <c r="Q137" i="97"/>
  <c r="J162" i="97" l="1"/>
  <c r="Q131" i="97"/>
  <c r="Q136" i="97"/>
  <c r="R137" i="97"/>
  <c r="Q162" i="97" l="1"/>
  <c r="Q172" i="97" s="1"/>
  <c r="R131" i="97"/>
  <c r="Q130" i="97"/>
  <c r="J171" i="97"/>
  <c r="Q171" i="97" l="1"/>
  <c r="F174" i="97"/>
  <c r="G158" i="125" l="1"/>
  <c r="K158" i="125" s="1"/>
  <c r="G151" i="125"/>
</calcChain>
</file>

<file path=xl/sharedStrings.xml><?xml version="1.0" encoding="utf-8"?>
<sst xmlns="http://schemas.openxmlformats.org/spreadsheetml/2006/main" count="3330" uniqueCount="835">
  <si>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</si>
  <si>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</si>
  <si>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Будівництво 2-ї черги водогону від с.Чернелівка Красилівського району до м.Хмельницький</t>
  </si>
  <si>
    <t>Реконструкція з надбудовою приміщень навчально-виховного комплексу №10 по вул. Водопровідній, 9А в м.Хмельницькому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</si>
  <si>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</si>
  <si>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</si>
  <si>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</si>
  <si>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</si>
  <si>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субсидій населенню для відшкодування витрат на оплату житлово-комунальних послуг</t>
  </si>
  <si>
    <t>Пільгове медичне обслуговування осіб, які постраждали внаслідок Чорнобильської катастрофи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</si>
  <si>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</si>
  <si>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</si>
  <si>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</si>
  <si>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</si>
  <si>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</si>
  <si>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сім'ям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</si>
  <si>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</si>
  <si>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</si>
  <si>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</si>
  <si>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</si>
  <si>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Програма розвитку міста Хмельницького у сфері культури на період до 2020 року "50 кроків, що змінять місто"</t>
  </si>
  <si>
    <t>Компенсаційні виплати на пільговий проїзд електротранспортом окремим категоріям громадян</t>
  </si>
  <si>
    <t>Здійснення заходів та реалізація проектів на виконання Державної цільової соціальної програми «Молодь України»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</si>
  <si>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</si>
  <si>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</si>
  <si>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</si>
  <si>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</si>
  <si>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</si>
  <si>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</si>
  <si>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програмної класифікації видатків та кредитування місцевих бюджетів</t>
  </si>
  <si>
    <t>Код ФКВКБ</t>
  </si>
  <si>
    <t>Реконструкція існуючої будівлі краєзнавчого музею під музейний комплекс історії та культури по вул.Свободи,22 в м.Хмельницькому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</si>
  <si>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</si>
  <si>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Надання позашкільної освіти позашкільними закладами освіти, заходи із позашкільної роботи з дітьми</t>
  </si>
  <si>
    <t>1011100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</si>
  <si>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</si>
  <si>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</si>
  <si>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</si>
  <si>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</si>
  <si>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</si>
  <si>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</si>
  <si>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</si>
  <si>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житлово-комунального господарства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</si>
  <si>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</si>
  <si>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</si>
  <si>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</si>
  <si>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Управління архітектури та містобудування департаменту архітектури, містобудування та земельних ресурсів (головний розпорядник)</t>
  </si>
  <si>
    <t xml:space="preserve">Управління з питань екології та контролю за благоустроєм міста (головний розпорядник) 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</si>
  <si>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</si>
  <si>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</si>
  <si>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</si>
  <si>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</si>
  <si>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</si>
  <si>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</si>
  <si>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</si>
  <si>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</si>
  <si>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</si>
  <si>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</si>
  <si>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</si>
  <si>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</si>
  <si>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</si>
  <si>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</si>
  <si>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</si>
  <si>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Управління житлово-комунального господарства Хмельницької міської ради (відповідальний виконавець)</t>
  </si>
  <si>
    <t>Управління архітектури та містобудування департаменту архітектури, містобудування та земельних ресурсів (відповідальний виконавець)</t>
  </si>
  <si>
    <t xml:space="preserve">Управління з питань екології та контролю за благоустроєм міста (відповідальний виконавець) </t>
  </si>
  <si>
    <t>Фінансове управління Хмельницької міської ради (відповідальний виконавець)</t>
  </si>
  <si>
    <t>Заходи з енергозбереження</t>
  </si>
  <si>
    <t>Резервний фонд</t>
  </si>
  <si>
    <t xml:space="preserve"> Реверсна дотація</t>
  </si>
  <si>
    <t>0133</t>
  </si>
  <si>
    <t>0180</t>
  </si>
  <si>
    <t>1113131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</si>
  <si>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</si>
  <si>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</si>
  <si>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</si>
  <si>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</si>
  <si>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</si>
  <si>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</si>
  <si>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</si>
  <si>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</si>
  <si>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</si>
  <si>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</si>
  <si>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</si>
  <si>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</si>
  <si>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</si>
  <si>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</si>
  <si>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</si>
  <si>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Розподіл</t>
  </si>
  <si>
    <t>Додаток №3</t>
  </si>
  <si>
    <t>Капітальні видатки</t>
  </si>
  <si>
    <t xml:space="preserve">Реконструкція покрівель житлових будинків 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</si>
  <si>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</si>
  <si>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</si>
  <si>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</si>
  <si>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</si>
  <si>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</si>
  <si>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</si>
  <si>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</si>
  <si>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</si>
  <si>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</si>
  <si>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</si>
  <si>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</si>
  <si>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</si>
  <si>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</si>
  <si>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</si>
  <si>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</si>
  <si>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</si>
  <si>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</si>
  <si>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</si>
  <si>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</si>
  <si>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</si>
  <si>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</si>
  <si>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</si>
  <si>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</si>
  <si>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</si>
  <si>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</si>
  <si>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</si>
  <si>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</si>
  <si>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</si>
  <si>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</si>
  <si>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</si>
  <si>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</si>
  <si>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</si>
  <si>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</si>
  <si>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</si>
  <si>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</si>
  <si>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</si>
  <si>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</si>
  <si>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</si>
  <si>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</si>
  <si>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</si>
  <si>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</si>
  <si>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</si>
  <si>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</si>
  <si>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</si>
  <si>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</si>
  <si>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</si>
  <si>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</si>
  <si>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</si>
  <si>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 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</si>
  <si>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</si>
  <si>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</si>
  <si>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</si>
  <si>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</si>
  <si>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</si>
  <si>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</si>
  <si>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</si>
  <si>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</si>
  <si>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</si>
  <si>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</si>
  <si>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r>
      <t>Інші джерела власних надходжень бюджетних установ</t>
    </r>
    <r>
      <rPr>
        <sz val="12"/>
        <rFont val="Times New Roman"/>
        <family val="1"/>
        <charset val="204"/>
      </rPr>
      <t xml:space="preserve">  </t>
    </r>
  </si>
  <si>
    <t xml:space="preserve">Благодійні внески, гранти та дарунки 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</si>
  <si>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</si>
  <si>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</si>
  <si>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</si>
  <si>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</si>
  <si>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</si>
  <si>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</si>
  <si>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</si>
  <si>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</si>
  <si>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</si>
  <si>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</si>
  <si>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</si>
  <si>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</si>
  <si>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 - на пільгове медичне обслуговування громадян, які постраждали внаслідок Чорнобильської катастрофи</t>
  </si>
  <si>
    <t xml:space="preserve"> -  на компенсаційні виплати інвалідам на бензин, ремонт, техобслуговування автотранспорту та транспортне обслуговування</t>
  </si>
  <si>
    <t xml:space="preserve"> - на компенсаційні виплати на встановлення телефонів інвалідам 1-ї та 2-ї груп </t>
  </si>
  <si>
    <t xml:space="preserve">  - на поховання учасників бойових дій та інвалідів війни</t>
  </si>
  <si>
    <t>Всього доходів</t>
  </si>
  <si>
    <t>Начальник фінансового управління</t>
  </si>
  <si>
    <t>С. Ямчук</t>
  </si>
  <si>
    <t>Додаток 2</t>
  </si>
  <si>
    <t>до рішення</t>
  </si>
  <si>
    <t>від                 №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</si>
  <si>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</si>
  <si>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</si>
  <si>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</si>
  <si>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</si>
  <si>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</si>
  <si>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</si>
  <si>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</si>
  <si>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</si>
  <si>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</si>
  <si>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</si>
  <si>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</si>
  <si>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</si>
  <si>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</si>
  <si>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</si>
  <si>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0,0</t>
  </si>
  <si>
    <t>Додаток №6</t>
  </si>
  <si>
    <t xml:space="preserve">до рішення №      від  </t>
  </si>
  <si>
    <t>Кошторис доходів та видатків цільового фонду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</si>
  <si>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</si>
  <si>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</si>
  <si>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</si>
  <si>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</si>
  <si>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</si>
  <si>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</si>
  <si>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</si>
  <si>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</si>
  <si>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</si>
  <si>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2.1.4.</t>
  </si>
  <si>
    <t xml:space="preserve">Надходження коштів, що мають вноситися заявниками, у розмірі 10 відсотків початкової вартості продажу об"єкта малої приватизації, за участь у аукціоні, конкурсі 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</si>
  <si>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</si>
  <si>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</si>
  <si>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</si>
  <si>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Разом: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</si>
  <si>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</si>
  <si>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</si>
  <si>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</si>
  <si>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</si>
  <si>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</si>
  <si>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3.2.4.</t>
  </si>
  <si>
    <t>3.2.5.</t>
  </si>
  <si>
    <t>3.2.6.</t>
  </si>
  <si>
    <t>Виплата винагороди головам квартальних комітетів</t>
  </si>
  <si>
    <t>3.2.7.</t>
  </si>
  <si>
    <t>Оплата подарунків до ювілеїв, річниць, пам’ятних дат, професійних свят підприємств, організацій, установ та фізичних осіб</t>
  </si>
  <si>
    <t>3.2.8.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</si>
  <si>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</si>
  <si>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3.2.11.</t>
  </si>
  <si>
    <t>Здійснення заходів з приватизації, відчуження та передачі в оренду майна комунальної власності</t>
  </si>
  <si>
    <t>3.2.12.</t>
  </si>
  <si>
    <t>Повернення коштів, внесених заявниками за участь у аукціоні, конкурсі з продажу об'єктів малої приватизації у випадках, передбачених Законом України "Про приватизацію невеликих державних підприємств (малу приватизацію)"</t>
  </si>
  <si>
    <t>3.2.16.</t>
  </si>
  <si>
    <t>Інші видатки, що здійснюються згідно розпоряджень міського голови, рішень міської ради та її виконавчого комітету.</t>
  </si>
  <si>
    <t xml:space="preserve">Начальник фінансового управління                                                                                        </t>
  </si>
  <si>
    <t xml:space="preserve">   С.Ямчук</t>
  </si>
  <si>
    <t>Пальне (вироблене в Україні)</t>
  </si>
  <si>
    <t>Пальне  (ввезене на митну територію  України)</t>
  </si>
  <si>
    <t>Начальник фінансового управління                                                                                                                                                            С. Ямчук</t>
  </si>
  <si>
    <t xml:space="preserve">до рішення   №        від    </t>
  </si>
  <si>
    <t xml:space="preserve">Будівництво центру поводження з тваринами  КП “Надія” по вул. Заводській, 165 в м. Хмельницькому 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</si>
  <si>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</si>
  <si>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</si>
  <si>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</si>
  <si>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</si>
  <si>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</si>
  <si>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</si>
  <si>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</si>
  <si>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</si>
  <si>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</si>
  <si>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</si>
  <si>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</si>
  <si>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</si>
  <si>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</si>
  <si>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</si>
  <si>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</si>
  <si>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</si>
  <si>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</si>
  <si>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</si>
  <si>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</si>
  <si>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</si>
  <si>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</si>
  <si>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</si>
  <si>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</si>
  <si>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</si>
  <si>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</si>
  <si>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</si>
  <si>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</si>
  <si>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3131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</si>
  <si>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</si>
  <si>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</si>
  <si>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</si>
  <si>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</si>
  <si>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</si>
  <si>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</si>
  <si>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</si>
  <si>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</si>
  <si>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 xml:space="preserve"> Забезпечення діяльності музеїв i виставок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</si>
  <si>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</si>
  <si>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</si>
  <si>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</si>
  <si>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</si>
  <si>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</si>
  <si>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0960</t>
  </si>
  <si>
    <t>0829</t>
  </si>
  <si>
    <t>1113121</t>
  </si>
  <si>
    <t>3121</t>
  </si>
  <si>
    <t>1040</t>
  </si>
  <si>
    <t>Утримання та забезпечення діяльності центрів соціальних служб для сім’ї, дітей та молоді</t>
  </si>
  <si>
    <t>5011</t>
  </si>
  <si>
    <t>5012</t>
  </si>
  <si>
    <t>5022</t>
  </si>
  <si>
    <t>1113132</t>
  </si>
  <si>
    <t>3132</t>
  </si>
  <si>
    <t>3230</t>
  </si>
  <si>
    <t>1090</t>
  </si>
  <si>
    <t>5031</t>
  </si>
  <si>
    <t>5032</t>
  </si>
  <si>
    <t>5061</t>
  </si>
  <si>
    <t>0810</t>
  </si>
  <si>
    <t>5063</t>
  </si>
  <si>
    <t>7670</t>
  </si>
  <si>
    <t>Надання кредиту</t>
  </si>
  <si>
    <t>Повернення кредиту</t>
  </si>
  <si>
    <t>0611010</t>
  </si>
  <si>
    <t>1010</t>
  </si>
  <si>
    <t>1020</t>
  </si>
  <si>
    <t>0910</t>
  </si>
  <si>
    <t>Надання дошкільної освіти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</si>
  <si>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</si>
  <si>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0611020</t>
  </si>
  <si>
    <t>0921</t>
  </si>
  <si>
    <t>1030</t>
  </si>
  <si>
    <t>1070</t>
  </si>
  <si>
    <t>0611070</t>
  </si>
  <si>
    <t>0922</t>
  </si>
  <si>
    <t>0611090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</si>
  <si>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</si>
  <si>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</si>
  <si>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</si>
  <si>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</si>
  <si>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Методичне забезпечення діяльності навчальних закладів</t>
  </si>
  <si>
    <t>0611150</t>
  </si>
  <si>
    <t>1150</t>
  </si>
  <si>
    <t>0990</t>
  </si>
  <si>
    <t>2010</t>
  </si>
  <si>
    <t>0617640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</si>
  <si>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</si>
  <si>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</si>
  <si>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</si>
  <si>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</si>
  <si>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</si>
  <si>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</si>
  <si>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</si>
  <si>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</si>
  <si>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</si>
  <si>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</si>
  <si>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</si>
  <si>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</si>
  <si>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</si>
  <si>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</si>
  <si>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</si>
  <si>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</si>
  <si>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</si>
  <si>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</si>
  <si>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</si>
  <si>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</si>
  <si>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</si>
  <si>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</si>
  <si>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</si>
  <si>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</si>
  <si>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</si>
  <si>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</si>
  <si>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</si>
  <si>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</si>
  <si>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</si>
  <si>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</si>
  <si>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</si>
  <si>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</si>
  <si>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</si>
  <si>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</si>
  <si>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</si>
  <si>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</si>
  <si>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0210180</t>
  </si>
  <si>
    <t>Інша діяльність у сфері державного управління</t>
  </si>
  <si>
    <t>Надання пільг на оплату житлово-комунальних послуг окремим категоріям громадян відповідно до законодавства</t>
  </si>
  <si>
    <t>0813011</t>
  </si>
  <si>
    <t>3011</t>
  </si>
  <si>
    <t>3041</t>
  </si>
  <si>
    <t>3042</t>
  </si>
  <si>
    <t>3043</t>
  </si>
  <si>
    <t>3044</t>
  </si>
  <si>
    <t>3045</t>
  </si>
  <si>
    <t>3046</t>
  </si>
  <si>
    <t>3047</t>
  </si>
  <si>
    <t>Надання допомоги при усиновленні дитини</t>
  </si>
  <si>
    <t>0813041</t>
  </si>
  <si>
    <t>0813042</t>
  </si>
  <si>
    <t>0813043</t>
  </si>
  <si>
    <t>0813044</t>
  </si>
  <si>
    <t>0813045</t>
  </si>
  <si>
    <t>0813046</t>
  </si>
  <si>
    <t>0813047</t>
  </si>
  <si>
    <t>3050</t>
  </si>
  <si>
    <t>3090</t>
  </si>
  <si>
    <t>0813012</t>
  </si>
  <si>
    <t>3012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</si>
  <si>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</si>
  <si>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0813021</t>
  </si>
  <si>
    <t>3021</t>
  </si>
  <si>
    <t>0813022</t>
  </si>
  <si>
    <t>3022</t>
  </si>
  <si>
    <t>0813050</t>
  </si>
  <si>
    <t>0813090</t>
  </si>
  <si>
    <t>Заходи з організації рятування на водах</t>
  </si>
  <si>
    <t>1218120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</si>
  <si>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</si>
  <si>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</si>
  <si>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</si>
  <si>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</si>
  <si>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</si>
  <si>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</si>
  <si>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</si>
  <si>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</si>
  <si>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</si>
  <si>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</si>
  <si>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</si>
  <si>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</si>
  <si>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</si>
  <si>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0813230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</si>
  <si>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</si>
  <si>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</si>
  <si>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</si>
  <si>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</si>
  <si>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</si>
  <si>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</si>
  <si>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</si>
  <si>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</si>
  <si>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</si>
  <si>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</si>
  <si>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</si>
  <si>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</si>
  <si>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</si>
  <si>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</si>
  <si>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</si>
  <si>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</si>
  <si>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</si>
  <si>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</si>
  <si>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</si>
  <si>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</si>
  <si>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</si>
  <si>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</si>
  <si>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</si>
  <si>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 xml:space="preserve">Інша діяльність, пов’язана з експлуатацією об’єктів житлово-комунального господарства </t>
  </si>
  <si>
    <t>1216013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</si>
  <si>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</si>
  <si>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</si>
  <si>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</si>
  <si>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</si>
  <si>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</si>
  <si>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1217426</t>
  </si>
  <si>
    <t>7426</t>
  </si>
  <si>
    <t>Інші заходи у сфері електротранспорту</t>
  </si>
  <si>
    <t>0453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</si>
  <si>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</si>
  <si>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</si>
  <si>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</si>
  <si>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</si>
  <si>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</si>
  <si>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1218110</t>
  </si>
  <si>
    <t>8110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</si>
  <si>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</si>
  <si>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</si>
  <si>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</si>
  <si>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Членські внески до асоціацій органів місцевого самоврядування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</si>
  <si>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</si>
  <si>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</si>
  <si>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</si>
  <si>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</si>
  <si>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</si>
  <si>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</si>
  <si>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1217310</t>
  </si>
  <si>
    <t>7310</t>
  </si>
  <si>
    <r>
      <t>Будівництвоˈ об'єктів житлово-комунального господарства</t>
    </r>
    <r>
      <rPr>
        <sz val="36"/>
        <rFont val="Calibri"/>
        <family val="2"/>
        <charset val="204"/>
      </rPr>
      <t>ˈ</t>
    </r>
  </si>
  <si>
    <r>
      <t xml:space="preserve">1 </t>
    </r>
    <r>
      <rPr>
        <sz val="20"/>
        <rFont val="Times New Roman"/>
        <family val="1"/>
        <charset val="204"/>
      </rPr>
      <t>Будівни́цтво — спорудження нового об'єкта, реконструкція, розширення, добудова, реставрація об'єктів, виконання монтажних робіт за рахунок власних коштів місцевих бюджетів.</t>
    </r>
  </si>
  <si>
    <t>1217670</t>
  </si>
  <si>
    <t>Здійснення  заходів із землеустрою</t>
  </si>
  <si>
    <t>3617130</t>
  </si>
  <si>
    <t>7130</t>
  </si>
  <si>
    <t>0421</t>
  </si>
  <si>
    <t>1617350</t>
  </si>
  <si>
    <t>7350</t>
  </si>
  <si>
    <t>Розроблення схем планування та забудови територій (містобудівної документації)</t>
  </si>
  <si>
    <t>2818311</t>
  </si>
  <si>
    <t>8311</t>
  </si>
  <si>
    <t>2818330</t>
  </si>
  <si>
    <t>8330</t>
  </si>
  <si>
    <t xml:space="preserve">Інша діяльність у сфері екології та охорони природних ресурсів </t>
  </si>
  <si>
    <t>Будівництвоˈ  освітніх установ та закладів</t>
  </si>
  <si>
    <t>1517321</t>
  </si>
  <si>
    <t>7321</t>
  </si>
  <si>
    <t>1517325</t>
  </si>
  <si>
    <t>7325</t>
  </si>
  <si>
    <t>Будівництвоˈ споруд, установ та закладів фізичної культури і спорту</t>
  </si>
  <si>
    <t>Будівництвоˈ інших об'єктів соціальної та виробничої інфраструктури комунальної власності</t>
  </si>
  <si>
    <t>1517330</t>
  </si>
  <si>
    <t>7330</t>
  </si>
  <si>
    <t>Додаток  № 7</t>
  </si>
  <si>
    <t xml:space="preserve">до рішення № </t>
  </si>
  <si>
    <t xml:space="preserve">від    </t>
  </si>
  <si>
    <t>Перелік природоохоронних заходів,</t>
  </si>
  <si>
    <t>які будуть фінансуватися з міського фонду охорони</t>
  </si>
  <si>
    <t>№ п/п</t>
  </si>
  <si>
    <t>Код КПКВ</t>
  </si>
  <si>
    <t>Заходи, на які виділяються кошти</t>
  </si>
  <si>
    <t>ВСЬОГО</t>
  </si>
  <si>
    <t xml:space="preserve">С. Ямчук </t>
  </si>
  <si>
    <t>Будівництвоˈ об'єктів житлово-комунального господарства</t>
  </si>
  <si>
    <t>Реконструкція прв. Перемоги з улаштуванням виїзду на вул.Свободи</t>
  </si>
  <si>
    <t xml:space="preserve">Будівництво внутрішньоквартального проїзду від вул.Залізняка до будинку 16/2 по вул.Лісогринівецькій </t>
  </si>
  <si>
    <t>Розробка проектно-кошторисної документації на реконструкцію парку культури та відпочинку ім. М.Чекмана</t>
  </si>
  <si>
    <t>План зонування території міста Хмельницького (зонінг)</t>
  </si>
  <si>
    <t>Виготовлення актів добору земельної ділянки, яка або право на яку виставляються на земельні торги</t>
  </si>
  <si>
    <t>Проведення експертної грошової оцінки земельної ділянки несільськогосподарського призначення</t>
  </si>
  <si>
    <r>
      <t xml:space="preserve">1 </t>
    </r>
    <r>
      <rPr>
        <sz val="10"/>
        <rFont val="Times New Roman"/>
        <family val="1"/>
        <charset val="204"/>
      </rPr>
      <t>Будівни́цтво — спорудження нового об'єкта, реконструкція, розширення, добудова, реставрація об'єктів, виконання монтажних робіт за рахунок власних коштів місцевих бюджетів.</t>
    </r>
  </si>
  <si>
    <t>Реконструкція каналізаційно-насосної станції з мережами водопроводу та каналізації в мікрорайоні "Лезнево" м.Хмельницький</t>
  </si>
  <si>
    <t>0217670</t>
  </si>
  <si>
    <t>%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</si>
  <si>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 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</si>
  <si>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</si>
  <si>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</si>
  <si>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</si>
  <si>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Забезпечення діяльності інших закладів у сфері освіти</t>
  </si>
  <si>
    <t>0611161</t>
  </si>
  <si>
    <t>1161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</si>
  <si>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</si>
  <si>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</si>
  <si>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</si>
  <si>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</si>
  <si>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</si>
  <si>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</si>
  <si>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Надання допомоги по догляду за особами з інвалідністю I чи II групи внаслідок психічного розладу</t>
  </si>
  <si>
    <t>Видатки на поховання учасників бойових дій та осіб з інвалідністю внаслідок війни</t>
  </si>
  <si>
    <t xml:space="preserve">Надання реабілітаційних послуг особам з інвалідністю та дітям з інвалідністю 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</si>
  <si>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</si>
  <si>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</si>
  <si>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</si>
  <si>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0813172</t>
  </si>
  <si>
    <t>3172</t>
  </si>
  <si>
    <t>0813192</t>
  </si>
  <si>
    <t>3192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</si>
  <si>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</t>
  </si>
  <si>
    <t>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</si>
  <si>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</si>
  <si>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</si>
  <si>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</si>
  <si>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</si>
  <si>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</si>
  <si>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</si>
  <si>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 xml:space="preserve">Забезпечення діяльності інших закладів в галузі культури і мистецтва </t>
  </si>
  <si>
    <t>1014081</t>
  </si>
  <si>
    <t>4081</t>
  </si>
  <si>
    <t>1014082</t>
  </si>
  <si>
    <t>4082</t>
  </si>
  <si>
    <t>Інші заходи в галузі культури і мистецтва</t>
  </si>
  <si>
    <t>Інші програми та заходи у сфері освіти</t>
  </si>
  <si>
    <t>0611162</t>
  </si>
  <si>
    <t>1162</t>
  </si>
  <si>
    <t>7691</t>
  </si>
  <si>
    <t>0217691</t>
  </si>
  <si>
    <t>Заходи із запобігання та ліквідації надзвичайних ситуацій та наслідків стихійного лиха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</si>
  <si>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</si>
  <si>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</si>
  <si>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</si>
  <si>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</si>
  <si>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</si>
  <si>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Інші субвенції з місцевого  бюджету, в тому числі: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</si>
  <si>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</si>
  <si>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</si>
  <si>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</t>
  </si>
  <si>
    <t xml:space="preserve">  місцевого самоврядування і місцевими органами виконавчої влади</t>
  </si>
  <si>
    <t>Амбулаторно-поліклінічна допомога населенню, крім первинної медичної допомоги</t>
  </si>
  <si>
    <t>0726</t>
  </si>
  <si>
    <t>0813083</t>
  </si>
  <si>
    <t>3083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</si>
  <si>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</si>
  <si>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</si>
  <si>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</si>
  <si>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0813085</t>
  </si>
  <si>
    <t>3085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</si>
  <si>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</si>
  <si>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</si>
  <si>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</si>
  <si>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</si>
  <si>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</si>
  <si>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Встановлення телефонів особам з інвалідністю I і II груп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</si>
  <si>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</si>
  <si>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3180</t>
  </si>
  <si>
    <t>0813180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</si>
  <si>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</si>
  <si>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Проведення навчально-тренувальних зборів і змагань та заходів зі спорту осіб з інвалідністю</t>
  </si>
  <si>
    <t>2717370</t>
  </si>
  <si>
    <t>7370</t>
  </si>
  <si>
    <t>Будівництво на кладовищі надгробків на могилах загиблих учасників АТО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</si>
  <si>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</si>
  <si>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</si>
  <si>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</si>
  <si>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</si>
  <si>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</si>
  <si>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>Управління земельних ресурсів та земельної реформи департаменту архітектури, містобудування та земельних ресурсів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</si>
  <si>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(відповідальний розпорядник)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</si>
  <si>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</si>
  <si>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</si>
  <si>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</si>
  <si>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</si>
  <si>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</si>
  <si>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</si>
  <si>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</si>
  <si>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</si>
  <si>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</si>
  <si>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Обслуговування місцевого боргу</t>
  </si>
  <si>
    <t>0712144</t>
  </si>
  <si>
    <t>2144</t>
  </si>
  <si>
    <t>Централізовані заходи з лікування хворих на цукровий та
нецукровий діабет</t>
  </si>
  <si>
    <t>Відшкодування вартості лікарських засобів для лікування
окремих захворювань</t>
  </si>
  <si>
    <t>2146</t>
  </si>
  <si>
    <t>0712146</t>
  </si>
  <si>
    <t>1118841</t>
  </si>
  <si>
    <t>1118842</t>
  </si>
  <si>
    <t>8841</t>
  </si>
  <si>
    <t>8842</t>
  </si>
  <si>
    <t>9770</t>
  </si>
  <si>
    <t>Інші субвенції з місцевого бюджету</t>
  </si>
  <si>
    <t xml:space="preserve">Виготовлення проектно-кошторисної документації на будівництво багаторівневого паркінгу з вбудованими громадськими приміщеннями на вул. Проскурівського підпілля, 34 в м.Хмельницькому </t>
  </si>
  <si>
    <t>Програма створення та розвитку індустріального парку "Хмельницький"</t>
  </si>
  <si>
    <t>Виготовлення робочого проекту на спорудження пам'ятника "Скіфський курган - історія наших предків" по вул.Проспект Миру, 102 в м.Хмельницькому</t>
  </si>
  <si>
    <t>Програма підтримки книговидання місцевих авторів та популяризації української книги у м.Хмельницькому на 2018-2020 роки "Читай українською"</t>
  </si>
  <si>
    <t>6082</t>
  </si>
  <si>
    <t>Придбання житла для окремих категорій населення відповідно до законодавства</t>
  </si>
  <si>
    <t>0816082</t>
  </si>
  <si>
    <t>Створення цифрових інженерно-топографічних планів масштабу 1:2000 з цифровою точністю 1:500 та створення 3D будівель міста</t>
  </si>
  <si>
    <t>3617650</t>
  </si>
  <si>
    <t>7650</t>
  </si>
  <si>
    <t>Проведення експертної грошової оцінки земельної ділянки чи права на неї</t>
  </si>
  <si>
    <t>Проведення аерофототопографічної зйомки території міста Хмельницького</t>
  </si>
  <si>
    <t>Заходи з озеленення міста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</si>
  <si>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</si>
  <si>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</si>
  <si>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</si>
  <si>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Будівництво дошкільного навчального закладу на 120 місць по провулку Шостаковича, 28-А в м. Хмельницькому</t>
  </si>
  <si>
    <t>Реконструкція приміщень НВО №1 по вул. Старокостянтинівське шосе, 3Б в м. Хмельницькому (в тому числі коригування проектно-кошторисної документації)</t>
  </si>
  <si>
    <t xml:space="preserve">Будівництво Палацу спорту по вул.Прибузькій, 5/1А в м.Хмельницькому, в т.ч. виготовлення проектно-кошторисної документації </t>
  </si>
  <si>
    <t>Будівництво магістральної дороги на вул. Січових стрільців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</si>
  <si>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Кам"янецькій, 38 в м. Хмельницькому</t>
  </si>
  <si>
    <t>Внески до статутного капіталу ХКП "Спецкомунтранс" (придбання контейнерів)</t>
  </si>
  <si>
    <t>Будівництво свердловини для господарсько-питного водопостачання ПНЗ ДЮОК "Чайка"</t>
  </si>
  <si>
    <t xml:space="preserve">до рішення  №        від         2018 року </t>
  </si>
  <si>
    <t>Будівництво навчально-виховного комплексу на вул. Залізняка, 32 в м.Хмельницькому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</si>
  <si>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</t>
  </si>
  <si>
    <t>Виготовлення проектно-кошторисної документації  на будівництво переходу через залізницю в продовження Старокостянтинівського шосе в м.Хмельницькому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</si>
  <si>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</si>
  <si>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Додаток № 4
до рішення  №          від                     2018 року</t>
  </si>
  <si>
    <t xml:space="preserve">Додаток № 5
до рішення №              від                 2018 року
</t>
  </si>
  <si>
    <t>Виготовлення проектно-кошторисної документації на будівництво  вулиці від вулиці Степана Бандери до вулиці Західно-Окружної в м. Хмельницькому</t>
  </si>
  <si>
    <t>Виготовлення проектно-кошторисної документації на будівництво вулиці  Лісогринівецької (від вул. С.Бандери до Старокостянтинівського шосе) в м. Хмельницькому</t>
  </si>
  <si>
    <t>Організація та проведення громадських робіт</t>
  </si>
  <si>
    <t>0213210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</si>
  <si>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</si>
  <si>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</si>
  <si>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(відповідальний виконавець)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</si>
  <si>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</si>
  <si>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Я.Гальчевського, 34 в м.Хмельницькому 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</si>
  <si>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</si>
  <si>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</si>
  <si>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1119770</t>
  </si>
  <si>
    <t xml:space="preserve"> Реконструкція з добудовою приміщень Хмельницького ліцею №17 під спортивну залу на вул.Героїв Майдану, 5 в м.Хмельницькому (в т.ч. виготовлення проектно-кошторисної документації)</t>
  </si>
  <si>
    <t>1216012</t>
  </si>
  <si>
    <t>6012</t>
  </si>
  <si>
    <t>Забезпечення діяльності з виробництва, транспортування, постачання теплової енергії</t>
  </si>
  <si>
    <t>Програма «Здоров’я хмельничан» на 2017-2021 роки</t>
  </si>
  <si>
    <t>Керуючий справами виконавчого комітету</t>
  </si>
  <si>
    <t xml:space="preserve">   Ю. Сабій </t>
  </si>
  <si>
    <t>Ю. Сабій</t>
  </si>
  <si>
    <t xml:space="preserve">Керуючий справами виконавчого комітету                                                                                                                                               Ю.Сабій </t>
  </si>
  <si>
    <t xml:space="preserve">Керуючий справами виконавчого комітету  </t>
  </si>
  <si>
    <t xml:space="preserve">     Начальник фінансового управління</t>
  </si>
  <si>
    <t>Доходи  бюджету м. Хмельницького на 2019 рік</t>
  </si>
  <si>
    <t>на 2019 рік</t>
  </si>
  <si>
    <t>Залишок коштів на 01.01.2019 року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</si>
  <si>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</si>
  <si>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</si>
  <si>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</si>
  <si>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</si>
  <si>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</si>
  <si>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</si>
  <si>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</si>
  <si>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</si>
  <si>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 xml:space="preserve">Фінансування бюджету міста Хмельницького на 2019 рік </t>
  </si>
  <si>
    <t>видатків бюджету міста Хмельницького на 2019 рік</t>
  </si>
  <si>
    <t>(грн.)</t>
  </si>
  <si>
    <t>С.Ямчук</t>
  </si>
  <si>
    <t xml:space="preserve">                      Начальник фінансового управління                                                 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</si>
  <si>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</si>
  <si>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бюджету міста Хмельницького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</si>
  <si>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Кредитування бюджету міста Хмельницького у 2019 році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</si>
  <si>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</si>
  <si>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</si>
  <si>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</si>
  <si>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</si>
  <si>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</si>
  <si>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</si>
  <si>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Розподіл коштів бюджету розвитку за об'єктами у 2019 році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</si>
  <si>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</si>
  <si>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</si>
  <si>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</si>
  <si>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</si>
  <si>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</si>
  <si>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</si>
  <si>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</si>
  <si>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</si>
  <si>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</si>
  <si>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</si>
  <si>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</si>
  <si>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</si>
  <si>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Найменування об’єкта відповідно 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</si>
  <si>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</si>
  <si>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</si>
  <si>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</si>
  <si>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</si>
  <si>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навколишнього природного середовища у 2019 році</t>
  </si>
  <si>
    <t>Розподіл витрат бюджету міста Хмельницького на реалізацію місцевих/регіональних програм у 2019 році</t>
  </si>
  <si>
    <t>(грн)</t>
  </si>
  <si>
    <t>Сума, грн</t>
  </si>
  <si>
    <t xml:space="preserve">Відшкодування витрат, понесених комунальним підприємством "Чайка", на надання  лазневих послуг на пільгових умовах учасникам  бойових дій та інвалідам війни, які зареєстровані у м.Хмельницькому </t>
  </si>
  <si>
    <t>Найменування місцевої/регіональної програми</t>
  </si>
  <si>
    <t>Додаток №8</t>
  </si>
  <si>
    <t>Дата та номер документа, яким затверджено місцеву/регіональну програму</t>
  </si>
  <si>
    <t>Виготовлення проектно-кошторисної документації на будівництво міжквартального проїзду між вулицями Зарічанською та Прибузькою (повз стадіону Політехнічного коледжу) у м.Хмельницькому</t>
  </si>
  <si>
    <t>Наукові дослідження, проектні та проектно-конструкторські розроблення (виготовлення проекту на установлення обладнання для очищення газопилового потоку від забруднюючих речовин, що викидається в атмосферне повітря)</t>
  </si>
  <si>
    <t>Заходи щодо відновлення і підтримання сприятливого гідрологічного режиму та санітарного стану водойм міста - капітальний ремонт гідроспоруди на річці Південний Буг в районі вул.Трудової з розробкою проектно-кошторисної документації</t>
  </si>
  <si>
    <t>Придбання систем, приладів для здійснення контролю за якістю поверхневих та підземних вод на території міста (придбання муфельної печі ФНОЛ7.2/1100 для лабораторних досліджень питної води)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</si>
  <si>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</si>
  <si>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Розроблення проекту землеустрою щодо встановлення меж міста Хмельницького</t>
  </si>
  <si>
    <t xml:space="preserve">Створення цифрових інженерно-топографічних планів масштабу 1:2000 з цифровою точністю 1:500 території міста Хмельницький та створення 3D моделей будівель міста </t>
  </si>
  <si>
    <t>2017 - 2020 роки</t>
  </si>
  <si>
    <t>Рішення 6-ї сесії Хмельницької міської ради від 18.05.2016 року №16</t>
  </si>
  <si>
    <t xml:space="preserve">Програма
підтримки обдарованих дітей м.Хмельницького 
</t>
  </si>
  <si>
    <t>Рішення 19-ї сесії Хмельницької міської ради від 21.02.2001 року №6</t>
  </si>
  <si>
    <t>0817323</t>
  </si>
  <si>
    <t>7323</t>
  </si>
  <si>
    <t>Будівництвоˈ установ та закладів соціальної сфери</t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</si>
  <si>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</si>
  <si>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Рішення 11-ї сесії Хмельницької міської ради від 25.01.2017 року №20</t>
  </si>
  <si>
    <t>Рішення 20-ї сесії Хмельницької міської ради від 31.01.2018 року №82</t>
  </si>
  <si>
    <t>Рішення позачергової 10-ї сесії Хмельницької міської ради від 29.12.2016 року №1</t>
  </si>
  <si>
    <t>Внески до статутного капіталу комунального підприємства по будівництву, ремонту та експлуатації доріг (Придбання вакуумногодорожньо-прибирального причіпу)</t>
  </si>
  <si>
    <t>Внески до статутного капіталуХМКП "Муніципальна дружина" (Придбання нагрудних відеореєстраторів)</t>
  </si>
  <si>
    <t>Внески до статутного капіталу МКП "Хмельницькводоканал" (на виготовлення проектно-кошторисної документації з будівництва сучасних каналізаційних очисних споруд господарсько-побутових стоків м. Хмельницький, вул. Вінницьке шосе, 135)</t>
  </si>
  <si>
    <t>Оформлення передплати на газети організаціям інвалідів, ветеранів війни і праці, окремим категоріям громадян</t>
  </si>
  <si>
    <t>Робочий проект на реконструкцію приміщень відділення хірургії та неврології Хмельницької  дитячої лікарні за адресою: м.Хмельницький, вул.С. Разіна,1</t>
  </si>
  <si>
    <t>Робочий проект реконструкції покрівлі з влаштуванням шатрового даху корпусу №2 Хмельницької міської лікарні по пр. Проскурівський, 1 в м. Хмельницькому</t>
  </si>
  <si>
    <t>Робочиий проект на реконструкцію приміщень Хмельницької дитячої лікарні під відділення невідкладної допомоги та реанімації за адресою: м.Хмельницький, вул. С.Разіна,1</t>
  </si>
  <si>
    <t>Рішення позачергової 10-ї сесії Хмельницької міської ради від 29.12.2016 року №4</t>
  </si>
  <si>
    <t>Рішення 19-ї сесії Хмельницької міської ради від 27.12.2017 року №25</t>
  </si>
  <si>
    <t>Будівництво мережі каналізації ЗОШ №19 м.р. Ружична м.Хмельницький</t>
  </si>
  <si>
    <t>Спортивний майданчик на території СЗОШ І-ІІІ ступенів №6 по провулку Володимирський, 12,  м.Хмельницький - будівництво</t>
  </si>
  <si>
    <t>Рішення позачергової 10-ї сесії Хмельницької міської ради від 29.12.2016 року №2</t>
  </si>
  <si>
    <t>Проект програми економічного та соціального розвитку міста Хмельницького на 2019 рік</t>
  </si>
  <si>
    <t>1217413</t>
  </si>
  <si>
    <t>7413</t>
  </si>
  <si>
    <t>0451</t>
  </si>
  <si>
    <t>Інші заходи у сфері автотранспорту</t>
  </si>
  <si>
    <t>0810160</t>
  </si>
  <si>
    <t>0710160</t>
  </si>
  <si>
    <t>Програма утримання та розвитку житлово-комунального господарства та благоустрою м.Хмельницького на 2017-2020 роки</t>
  </si>
  <si>
    <t>Програма співфінансування робіт з капітального ремонту багатоквартирних житлових будинків міста Хмельницького на 2017-2022 роки</t>
  </si>
  <si>
    <t>Програма розвитку міського електротранспорту м. Хмельницького на 2016-2020 роки</t>
  </si>
  <si>
    <t>рішення позачергової десятої сесії Хмельницької міської ради від 29.12.2016 року № 6                    рішення двадцятої сесії Хмельницької міської ради від 31.01.2018 р. № 19</t>
  </si>
  <si>
    <t>Програма утримання та розвитку житлово-комунального господарства та благоустрою м.Хмельницького на 2017-2020 роки                      Програма сприяння впровадження відновлювальних джерел енергії власниками приватних житлових будинків м. Хмельницького на 2018-2029 роки</t>
  </si>
  <si>
    <t>рішення позачергової десятої сесії Хмельницької міської ради від 29.12.2016 року № 6                     рішення дев’ятнадцятої сесії Хмельницької міської ради від 27.12.2017 р. № 39</t>
  </si>
  <si>
    <t>Попередження виникнення надзвичайних ситуацій та забезпечення  пожежної і техногенної безпеки (об"єктів усіх форм власності,розвитку інфраструктури пожежно-рятувальних підрозділів у м.Хмельницькому на 2016-2020 роки</t>
  </si>
  <si>
    <t>Рішення позачергової 10-ї сесії Хмельницької міської ради від 29.12.2016 року № 6</t>
  </si>
  <si>
    <t>Рішення шістнадцятої сесії Хмельницької міської ради від 12.07.2017 року № 6</t>
  </si>
  <si>
    <t>Програми часткового відшкодування відсоткових ставок за залученими кредитами, що надаються фізичним особам, об’єднанням співвласників багатоквартирних будинків та житлово-будівельним кооперативам на заходи з підвищення енергоефективності на 2018-2021 роки</t>
  </si>
  <si>
    <t>Рішення 6-ї сесії Хмельницької міської ради від 18.05.2016 року № 37</t>
  </si>
  <si>
    <t>Рішення 19-ї сесії Хмельницької міської ради від 27.12.2017 р. № 40</t>
  </si>
  <si>
    <t>Програма відшкодування частини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Хмельницькому на 2018-2022 роки</t>
  </si>
  <si>
    <t>Рішення 4-ї сесії Хмельницької міськї ради від 27.01.2016 року №57</t>
  </si>
  <si>
    <t>1510160</t>
  </si>
  <si>
    <t>3610160</t>
  </si>
  <si>
    <t>1610160</t>
  </si>
  <si>
    <t>3710160</t>
  </si>
  <si>
    <t>1210160</t>
  </si>
  <si>
    <t>2810160</t>
  </si>
  <si>
    <t>Рішення 48-ї сесії Хмельницької міської ради від 04.03.2015 року №80</t>
  </si>
  <si>
    <t>Програма впровадження електронного урядування у Хмельницькій  міській раді на 2015-2020 роки (із змінами і доповненнями)</t>
  </si>
  <si>
    <t>Рішення 19-ї сесії Хмельницької міської ради від 27.12.2017 року №48</t>
  </si>
  <si>
    <t>Програма розвитку міського комунального підприємства "Муніципальна телерадіокомпанія "Місто"" на 2017-2020 роки (із змінами і доповненнями)</t>
  </si>
  <si>
    <t>0817691</t>
  </si>
  <si>
    <t>1217691</t>
  </si>
  <si>
    <t>Рішення 8-ї сесії Хмельницької міської ради від 21.09.2016 року №3</t>
  </si>
  <si>
    <t>Програма бюджетування за участі громадськості (Бюджет участі) міста Хмельницького на 2017-2019 роки (із змінами і доповненнями)</t>
  </si>
  <si>
    <t>Проект програми розвитку підприємництва м.Хмельницького</t>
  </si>
  <si>
    <t>Рішення 21-ї сесії Хмельницької міської ради від 11.04.2018 року №11</t>
  </si>
  <si>
    <t>Програма міжнародного співробітництва та промоції міста Хмельницького на 2016-2020 роки (із змінами і доповненнями)</t>
  </si>
  <si>
    <t>Рішення 7-ї сесії Хмельницької міської ради від 20.07.2016 року №76</t>
  </si>
  <si>
    <t>Проект програми фінансової підтримки комунальної установи Хмельницької міської ради "Агенція розвитку Хмельницького" на 2019-2021 роки</t>
  </si>
  <si>
    <t>Внески до статутного капіталуХМКП "Муніципальна дружина" (Придбання автомобіля)</t>
  </si>
  <si>
    <t>Внески до статутного капіталу ХКП "Спецкомунтранс" (придбання обладнання)</t>
  </si>
  <si>
    <t>Програма розвитку освіти міста Хмельницького на 2017-2021 роки (із змінами і доповненнями)</t>
  </si>
  <si>
    <t>Комплексна програма «Піклування» в м.Хмельницькому на 2017 - 2021 роки (із змінами і доповненнями)</t>
  </si>
  <si>
    <t>Програми соціальної підтримки учасників АТО, учасників Революції Гідності, бійців-добровольців АТО у м. Хмельницькому та членів їх сімей на 2018 - 2020 рр. (із змінами і доповненнями)</t>
  </si>
  <si>
    <t>Програми соціальної підтримки учасників АТО, учасників Революції Гідності, бійців-добровольців АТО у м. Хмельницькому та членів їх сімей на 2018 - 2020 рр.  (із змінами і доповненнями)</t>
  </si>
  <si>
    <t>Програма реалізації молодіжної політики та розвитку фізичної культури і спорту у м.Хмельницькому на 2017 - 2021 роки (із змінами і доповненнями)</t>
  </si>
  <si>
    <t>Програма охорони довкілля міста Хмельницького на 2016-2020 роки</t>
  </si>
  <si>
    <t>Рішення 5-ї сесії Хмельницької міської ради від 16.0.2016 року №31  (із змінами і доповненнями)</t>
  </si>
  <si>
    <t>у тому числі  бюджет розвитку</t>
  </si>
  <si>
    <t xml:space="preserve">Усього доходів </t>
  </si>
  <si>
    <t>Офіційні трансферти</t>
  </si>
  <si>
    <t>Внески до статутного капіталу МКП "Хмельницькводоканал" (на реконструкцію системи знезараження питної води ВНС-9 по проспекту Миру,36/2а у м Хмельницький)</t>
  </si>
  <si>
    <t xml:space="preserve">Внески до статутного капіталу МКП "Хмельницькводоканал" (на виготовлення проектно-кошторисної документації з реконструкції ГКНС з переоснащенням системи вентиляції, опалення, будівельних конструкцій і комунікацій </t>
  </si>
  <si>
    <t>Внески до статутного капіталу МКП "Хмельницькводоканал" (на виготовлення проектно-кошторисної документації на будівництво мереж каналізації від прв. Гавришка, 29/1 до вул. Вигодовського, 41 м-н Ружична м. Хмельницький</t>
  </si>
  <si>
    <t>План зонування території міста Хмельницький (зонінг)</t>
  </si>
  <si>
    <t>2019 рік</t>
  </si>
  <si>
    <t>Додаток 9 до рішення  </t>
  </si>
  <si>
    <t>ПЕРЕЛІК </t>
  </si>
  <si>
    <t>кредитів (позик),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</t>
  </si>
  <si>
    <t>Код Програмної класифікації видатків та кредитування місцевих бюджетів</t>
  </si>
  <si>
    <t>Код Типової програмної класифікації видатків та кредитування місцевих бюджетів</t>
  </si>
  <si>
    <t>Код Функціональної класифікації видатків та кредитування бюджету</t>
  </si>
  <si>
    <t>Найменування 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</si>
  <si>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кредитора</t>
  </si>
  <si>
    <t>Найменування інвестиційного проекту, що реалізується за рахунок кредиту (позики)</t>
  </si>
  <si>
    <t>Номер та дата договору</t>
  </si>
  <si>
    <t>Термін кредитування</t>
  </si>
  <si>
    <t>Загальний обсяг кредиту (позики)</t>
  </si>
  <si>
    <t>Обсяг залучення кредиту (позики) у плановому році, тис. гривень</t>
  </si>
  <si>
    <t>назва валюти, в якій залучається кредит (позика) </t>
  </si>
  <si>
    <t>загальний обсяг кредиту (позики), тис. одиниць </t>
  </si>
  <si>
    <t>загальний обсяг залучення кредиту (позики), тис. гривень </t>
  </si>
  <si>
    <t>Департамент освіти та науки ХМР</t>
  </si>
  <si>
    <t xml:space="preserve">НЕФКО </t>
  </si>
  <si>
    <t>Підвищення енергетичної ефективності закладів бюджетної сфери міста Хмельницького</t>
  </si>
  <si>
    <t xml:space="preserve"> № ESC 2/16 27.12.2016 р.</t>
  </si>
  <si>
    <t>5 років</t>
  </si>
  <si>
    <t>гривня</t>
  </si>
  <si>
    <t>×</t>
  </si>
  <si>
    <t xml:space="preserve">Керуючий справами виконавчого комітету </t>
  </si>
  <si>
    <t xml:space="preserve">Ю. Сабій 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</si>
  <si>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</si>
  <si>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 xml:space="preserve"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</t>
  </si>
  <si>
    <t>РІЗНИЦЯ</t>
  </si>
  <si>
    <t>0813210</t>
  </si>
  <si>
    <t>всього - 34 км, зроблено - 18 км</t>
  </si>
  <si>
    <t>2006 - 2020 роки</t>
  </si>
  <si>
    <t>2016 - 2019 роки</t>
  </si>
  <si>
    <t>2018 - 2019 роки</t>
  </si>
  <si>
    <t>2012 - 2019 роки</t>
  </si>
  <si>
    <t>2018 - 2020 роки</t>
  </si>
  <si>
    <t>2015 - 2019 роки</t>
  </si>
  <si>
    <t>2013 - 2020 роки</t>
  </si>
  <si>
    <t>Будівництво пандусу для забезпечення доступності до території стадіону та ігрових майданчиків Рекреаційного центру "Берег надії" за адресою вул. Підлісна 4/1, с. Головчинці Летичівського району Хмельницької області (в т.ч. виготовлення ПКД)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</si>
</sst>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125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i/>
      <sz val="37"/>
      <name val="Times New Roman"/>
      <family val="1"/>
      <charset val="204"/>
    </font>
    <font>
      <sz val="37"/>
      <name val="Times New Roman"/>
      <family val="1"/>
      <charset val="204"/>
    </font>
    <font>
      <b/>
      <i/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1"/>
      <color indexed="8"/>
      <name val="Times New Roman"/>
      <family val="1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28"/>
      <name val="Times New Roman Cyr"/>
      <family val="1"/>
      <charset val="204"/>
    </font>
    <font>
      <b/>
      <sz val="36"/>
      <name val="Times New Roman Cyr"/>
      <family val="1"/>
      <charset val="204"/>
    </font>
    <font>
      <sz val="20"/>
      <name val="Times New Roman Cyr"/>
      <family val="1"/>
      <charset val="204"/>
    </font>
    <font>
      <b/>
      <sz val="2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36"/>
      <name val="Arial Cyr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sz val="10"/>
      <color theme="9"/>
      <name val="Arial"/>
      <family val="2"/>
      <charset val="204"/>
    </font>
    <font>
      <b/>
      <sz val="48"/>
      <name val="Times New Roman Cyr"/>
      <family val="1"/>
      <charset val="204"/>
    </font>
    <font>
      <sz val="48"/>
      <name val="Arial Cyr"/>
      <charset val="204"/>
    </font>
    <font>
      <sz val="36"/>
      <name val="Calibri"/>
      <family val="2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name val="Times New Roman Cyr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10"/>
      <name val="Times New Roman CYR"/>
      <charset val="204"/>
    </font>
    <font>
      <b/>
      <i/>
      <sz val="37"/>
      <name val="Arial Cyr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34"/>
      <name val="Times New Roman"/>
      <family val="1"/>
      <charset val="204"/>
    </font>
    <font>
      <sz val="14"/>
      <name val="Arial"/>
      <family val="2"/>
      <charset val="204"/>
    </font>
    <font>
      <sz val="32"/>
      <color indexed="8"/>
      <name val="Times New Roman"/>
      <family val="1"/>
      <charset val="204"/>
    </font>
    <font>
      <sz val="72"/>
      <name val="Arial Cyr"/>
      <charset val="204"/>
    </font>
    <font>
      <i/>
      <sz val="36"/>
      <name val="Arial Cyr"/>
      <charset val="204"/>
    </font>
    <font>
      <sz val="4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 Unicode MS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FFFFCC"/>
        </stop>
      </gradientFill>
    </fill>
    <fill>
      <patternFill patternType="solid">
        <fgColor rgb="FFCC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CCFFFF"/>
        </stop>
      </gradientFill>
    </fill>
    <fill>
      <patternFill patternType="solid">
        <fgColor rgb="FF66FFFF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/>
    <xf numFmtId="0" fontId="2" fillId="0" borderId="0"/>
    <xf numFmtId="0" fontId="16" fillId="2" borderId="1" applyNumberFormat="0" applyAlignment="0" applyProtection="0"/>
    <xf numFmtId="0" fontId="24" fillId="3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50" fillId="0" borderId="0"/>
    <xf numFmtId="0" fontId="26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>
      <alignment vertical="top"/>
    </xf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50" fillId="0" borderId="0"/>
    <xf numFmtId="0" fontId="4" fillId="0" borderId="0"/>
    <xf numFmtId="0" fontId="68" fillId="0" borderId="0" applyNumberFormat="0" applyFont="0" applyFill="0" applyBorder="0" applyAlignment="0" applyProtection="0">
      <alignment vertical="top"/>
    </xf>
    <xf numFmtId="0" fontId="25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/>
    <xf numFmtId="0" fontId="25" fillId="0" borderId="0"/>
    <xf numFmtId="0" fontId="50" fillId="0" borderId="0"/>
    <xf numFmtId="0" fontId="22" fillId="0" borderId="6" applyNumberFormat="0" applyFill="0" applyAlignment="0" applyProtection="0"/>
    <xf numFmtId="0" fontId="27" fillId="4" borderId="0" applyNumberFormat="0" applyBorder="0" applyAlignment="0" applyProtection="0"/>
    <xf numFmtId="0" fontId="25" fillId="0" borderId="0"/>
    <xf numFmtId="0" fontId="23" fillId="0" borderId="0" applyNumberFormat="0" applyFill="0" applyBorder="0" applyAlignment="0" applyProtection="0"/>
    <xf numFmtId="0" fontId="2" fillId="0" borderId="0"/>
    <xf numFmtId="0" fontId="81" fillId="7" borderId="0" applyNumberFormat="0" applyBorder="0" applyAlignment="0" applyProtection="0"/>
    <xf numFmtId="0" fontId="81" fillId="8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3" borderId="0" applyNumberFormat="0" applyBorder="0" applyAlignment="0" applyProtection="0"/>
    <xf numFmtId="0" fontId="81" fillId="2" borderId="0" applyNumberFormat="0" applyBorder="0" applyAlignment="0" applyProtection="0"/>
    <xf numFmtId="0" fontId="81" fillId="11" borderId="0" applyNumberFormat="0" applyBorder="0" applyAlignment="0" applyProtection="0"/>
    <xf numFmtId="0" fontId="81" fillId="12" borderId="0" applyNumberFormat="0" applyBorder="0" applyAlignment="0" applyProtection="0"/>
    <xf numFmtId="0" fontId="81" fillId="13" borderId="0" applyNumberFormat="0" applyBorder="0" applyAlignment="0" applyProtection="0"/>
    <xf numFmtId="0" fontId="81" fillId="10" borderId="0" applyNumberFormat="0" applyBorder="0" applyAlignment="0" applyProtection="0"/>
    <xf numFmtId="0" fontId="81" fillId="11" borderId="0" applyNumberFormat="0" applyBorder="0" applyAlignment="0" applyProtection="0"/>
    <xf numFmtId="0" fontId="81" fillId="14" borderId="0" applyNumberFormat="0" applyBorder="0" applyAlignment="0" applyProtection="0"/>
    <xf numFmtId="0" fontId="82" fillId="15" borderId="0" applyNumberFormat="0" applyBorder="0" applyAlignment="0" applyProtection="0"/>
    <xf numFmtId="0" fontId="82" fillId="12" borderId="0" applyNumberFormat="0" applyBorder="0" applyAlignment="0" applyProtection="0"/>
    <xf numFmtId="0" fontId="82" fillId="13" borderId="0" applyNumberFormat="0" applyBorder="0" applyAlignment="0" applyProtection="0"/>
    <xf numFmtId="0" fontId="82" fillId="16" borderId="0" applyNumberFormat="0" applyBorder="0" applyAlignment="0" applyProtection="0"/>
    <xf numFmtId="0" fontId="82" fillId="17" borderId="0" applyNumberFormat="0" applyBorder="0" applyAlignment="0" applyProtection="0"/>
    <xf numFmtId="0" fontId="82" fillId="18" borderId="0" applyNumberFormat="0" applyBorder="0" applyAlignment="0" applyProtection="0"/>
    <xf numFmtId="0" fontId="82" fillId="19" borderId="0" applyNumberFormat="0" applyBorder="0" applyAlignment="0" applyProtection="0"/>
    <xf numFmtId="0" fontId="82" fillId="20" borderId="0" applyNumberFormat="0" applyBorder="0" applyAlignment="0" applyProtection="0"/>
    <xf numFmtId="0" fontId="82" fillId="21" borderId="0" applyNumberFormat="0" applyBorder="0" applyAlignment="0" applyProtection="0"/>
    <xf numFmtId="0" fontId="82" fillId="16" borderId="0" applyNumberFormat="0" applyBorder="0" applyAlignment="0" applyProtection="0"/>
    <xf numFmtId="0" fontId="82" fillId="17" borderId="0" applyNumberFormat="0" applyBorder="0" applyAlignment="0" applyProtection="0"/>
    <xf numFmtId="0" fontId="82" fillId="22" borderId="0" applyNumberFormat="0" applyBorder="0" applyAlignment="0" applyProtection="0"/>
    <xf numFmtId="0" fontId="16" fillId="2" borderId="1" applyNumberFormat="0" applyAlignment="0" applyProtection="0"/>
    <xf numFmtId="0" fontId="83" fillId="23" borderId="19" applyNumberFormat="0" applyAlignment="0" applyProtection="0"/>
    <xf numFmtId="0" fontId="84" fillId="23" borderId="1" applyNumberFormat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5" fillId="0" borderId="20" applyNumberFormat="0" applyFill="0" applyAlignment="0" applyProtection="0"/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86" fillId="4" borderId="0" applyNumberFormat="0" applyBorder="0" applyAlignment="0" applyProtection="0"/>
    <xf numFmtId="0" fontId="87" fillId="8" borderId="0" applyNumberFormat="0" applyBorder="0" applyAlignment="0" applyProtection="0"/>
    <xf numFmtId="0" fontId="88" fillId="0" borderId="0" applyNumberFormat="0" applyFill="0" applyBorder="0" applyAlignment="0" applyProtection="0"/>
    <xf numFmtId="0" fontId="81" fillId="24" borderId="21" applyNumberFormat="0" applyFont="0" applyAlignment="0" applyProtection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101" fillId="0" borderId="0"/>
    <xf numFmtId="0" fontId="2" fillId="0" borderId="0"/>
    <xf numFmtId="0" fontId="1" fillId="0" borderId="0"/>
  </cellStyleXfs>
  <cellXfs count="53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0" xfId="0" applyFill="1"/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49" fontId="37" fillId="0" borderId="7" xfId="0" applyNumberFormat="1" applyFont="1" applyBorder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/>
    </xf>
    <xf numFmtId="0" fontId="45" fillId="0" borderId="0" xfId="0" applyFont="1"/>
    <xf numFmtId="4" fontId="45" fillId="0" borderId="0" xfId="0" applyNumberFormat="1" applyFont="1"/>
    <xf numFmtId="0" fontId="8" fillId="0" borderId="0" xfId="35" applyNumberFormat="1" applyFont="1" applyFill="1" applyAlignment="1" applyProtection="1"/>
    <xf numFmtId="0" fontId="8" fillId="0" borderId="0" xfId="35" applyFont="1" applyFill="1"/>
    <xf numFmtId="0" fontId="4" fillId="0" borderId="0" xfId="35" applyNumberFormat="1" applyFont="1" applyFill="1" applyAlignment="1" applyProtection="1"/>
    <xf numFmtId="0" fontId="4" fillId="0" borderId="0" xfId="35" applyFont="1" applyFill="1"/>
    <xf numFmtId="0" fontId="4" fillId="0" borderId="0" xfId="35" applyNumberFormat="1" applyFont="1" applyFill="1" applyBorder="1" applyAlignment="1" applyProtection="1"/>
    <xf numFmtId="0" fontId="12" fillId="0" borderId="7" xfId="35" applyNumberFormat="1" applyFont="1" applyFill="1" applyBorder="1" applyAlignment="1" applyProtection="1">
      <alignment horizontal="center" vertical="center" wrapText="1"/>
    </xf>
    <xf numFmtId="0" fontId="29" fillId="0" borderId="7" xfId="35" applyFont="1" applyBorder="1" applyAlignment="1">
      <alignment horizontal="center" vertical="center" wrapText="1"/>
    </xf>
    <xf numFmtId="4" fontId="55" fillId="0" borderId="0" xfId="0" applyNumberFormat="1" applyFont="1" applyAlignment="1">
      <alignment vertical="center"/>
    </xf>
    <xf numFmtId="0" fontId="4" fillId="6" borderId="0" xfId="35" applyNumberFormat="1" applyFont="1" applyFill="1" applyAlignment="1" applyProtection="1"/>
    <xf numFmtId="4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4" fillId="0" borderId="0" xfId="39" applyNumberFormat="1" applyFont="1" applyFill="1" applyAlignment="1" applyProtection="1"/>
    <xf numFmtId="0" fontId="4" fillId="0" borderId="0" xfId="39" applyFont="1" applyFill="1"/>
    <xf numFmtId="0" fontId="28" fillId="0" borderId="0" xfId="39" applyNumberFormat="1" applyFont="1" applyFill="1" applyAlignment="1" applyProtection="1">
      <alignment horizontal="center" vertical="center"/>
    </xf>
    <xf numFmtId="0" fontId="4" fillId="0" borderId="0" xfId="39" applyNumberFormat="1" applyFont="1" applyFill="1" applyBorder="1" applyAlignment="1" applyProtection="1"/>
    <xf numFmtId="0" fontId="13" fillId="0" borderId="11" xfId="39" applyNumberFormat="1" applyFont="1" applyFill="1" applyBorder="1" applyAlignment="1" applyProtection="1">
      <alignment vertical="center"/>
    </xf>
    <xf numFmtId="0" fontId="4" fillId="0" borderId="0" xfId="39" applyNumberFormat="1" applyFont="1" applyFill="1" applyBorder="1" applyAlignment="1" applyProtection="1">
      <alignment vertical="center" wrapText="1"/>
    </xf>
    <xf numFmtId="0" fontId="4" fillId="0" borderId="0" xfId="39" applyNumberFormat="1" applyFont="1" applyFill="1" applyAlignment="1" applyProtection="1">
      <alignment vertical="center" wrapText="1"/>
    </xf>
    <xf numFmtId="0" fontId="4" fillId="0" borderId="0" xfId="39" applyFont="1" applyFill="1" applyAlignment="1">
      <alignment vertical="center" wrapText="1"/>
    </xf>
    <xf numFmtId="0" fontId="12" fillId="0" borderId="7" xfId="39" applyNumberFormat="1" applyFont="1" applyFill="1" applyBorder="1" applyAlignment="1" applyProtection="1">
      <alignment horizontal="center" vertical="center" wrapText="1"/>
    </xf>
    <xf numFmtId="0" fontId="28" fillId="0" borderId="0" xfId="39" applyNumberFormat="1" applyFont="1" applyFill="1" applyBorder="1" applyAlignment="1" applyProtection="1">
      <alignment wrapText="1"/>
    </xf>
    <xf numFmtId="0" fontId="28" fillId="0" borderId="0" xfId="39" applyNumberFormat="1" applyFont="1" applyFill="1" applyAlignment="1" applyProtection="1">
      <alignment wrapText="1"/>
    </xf>
    <xf numFmtId="0" fontId="28" fillId="0" borderId="0" xfId="39" applyFont="1" applyFill="1" applyAlignment="1">
      <alignment wrapText="1"/>
    </xf>
    <xf numFmtId="0" fontId="29" fillId="0" borderId="7" xfId="39" applyNumberFormat="1" applyFont="1" applyFill="1" applyBorder="1" applyAlignment="1" applyProtection="1">
      <alignment horizontal="center" vertical="center" wrapText="1"/>
    </xf>
    <xf numFmtId="0" fontId="29" fillId="0" borderId="7" xfId="39" applyNumberFormat="1" applyFont="1" applyFill="1" applyBorder="1" applyAlignment="1" applyProtection="1">
      <alignment horizontal="left" vertical="center" wrapText="1"/>
    </xf>
    <xf numFmtId="4" fontId="30" fillId="0" borderId="7" xfId="39" applyNumberFormat="1" applyFont="1" applyFill="1" applyBorder="1" applyAlignment="1">
      <alignment vertical="center" wrapText="1"/>
    </xf>
    <xf numFmtId="0" fontId="29" fillId="0" borderId="0" xfId="39" applyNumberFormat="1" applyFont="1" applyFill="1" applyBorder="1" applyAlignment="1" applyProtection="1">
      <alignment wrapText="1"/>
    </xf>
    <xf numFmtId="0" fontId="29" fillId="0" borderId="0" xfId="39" applyNumberFormat="1" applyFont="1" applyFill="1" applyAlignment="1" applyProtection="1">
      <alignment wrapText="1"/>
    </xf>
    <xf numFmtId="0" fontId="29" fillId="0" borderId="0" xfId="39" applyFont="1" applyFill="1" applyAlignment="1">
      <alignment wrapText="1"/>
    </xf>
    <xf numFmtId="0" fontId="28" fillId="0" borderId="7" xfId="39" applyNumberFormat="1" applyFont="1" applyFill="1" applyBorder="1" applyAlignment="1" applyProtection="1">
      <alignment horizontal="center" vertical="center" wrapText="1"/>
    </xf>
    <xf numFmtId="0" fontId="12" fillId="0" borderId="7" xfId="39" applyNumberFormat="1" applyFont="1" applyFill="1" applyBorder="1" applyAlignment="1" applyProtection="1">
      <alignment vertical="center" wrapText="1"/>
    </xf>
    <xf numFmtId="4" fontId="14" fillId="0" borderId="7" xfId="39" applyNumberFormat="1" applyFont="1" applyFill="1" applyBorder="1" applyAlignment="1">
      <alignment vertical="center" wrapText="1"/>
    </xf>
    <xf numFmtId="4" fontId="31" fillId="0" borderId="7" xfId="39" applyNumberFormat="1" applyFont="1" applyFill="1" applyBorder="1" applyAlignment="1">
      <alignment vertical="center" wrapText="1"/>
    </xf>
    <xf numFmtId="0" fontId="60" fillId="0" borderId="0" xfId="39" applyNumberFormat="1" applyFont="1" applyFill="1" applyBorder="1" applyAlignment="1" applyProtection="1">
      <alignment wrapText="1"/>
    </xf>
    <xf numFmtId="0" fontId="60" fillId="0" borderId="0" xfId="39" applyNumberFormat="1" applyFont="1" applyFill="1" applyAlignment="1" applyProtection="1">
      <alignment wrapText="1"/>
    </xf>
    <xf numFmtId="0" fontId="60" fillId="0" borderId="0" xfId="39" applyFont="1" applyFill="1" applyAlignment="1">
      <alignment wrapText="1"/>
    </xf>
    <xf numFmtId="0" fontId="34" fillId="0" borderId="7" xfId="39" applyNumberFormat="1" applyFont="1" applyFill="1" applyBorder="1" applyAlignment="1" applyProtection="1">
      <alignment vertical="center" wrapText="1"/>
    </xf>
    <xf numFmtId="4" fontId="35" fillId="0" borderId="7" xfId="39" applyNumberFormat="1" applyFont="1" applyFill="1" applyBorder="1" applyAlignment="1">
      <alignment vertical="center" wrapText="1"/>
    </xf>
    <xf numFmtId="0" fontId="60" fillId="0" borderId="7" xfId="39" applyNumberFormat="1" applyFont="1" applyFill="1" applyBorder="1" applyAlignment="1" applyProtection="1">
      <alignment horizontal="center" vertical="center" wrapText="1"/>
    </xf>
    <xf numFmtId="0" fontId="60" fillId="0" borderId="7" xfId="39" applyNumberFormat="1" applyFont="1" applyFill="1" applyBorder="1" applyAlignment="1" applyProtection="1">
      <alignment vertical="center" wrapText="1"/>
    </xf>
    <xf numFmtId="4" fontId="33" fillId="0" borderId="7" xfId="39" applyNumberFormat="1" applyFont="1" applyFill="1" applyBorder="1" applyAlignment="1">
      <alignment vertical="center" wrapText="1"/>
    </xf>
    <xf numFmtId="4" fontId="29" fillId="0" borderId="7" xfId="39" applyNumberFormat="1" applyFont="1" applyFill="1" applyBorder="1" applyAlignment="1" applyProtection="1">
      <alignment horizontal="right" vertical="center" wrapText="1"/>
    </xf>
    <xf numFmtId="4" fontId="28" fillId="0" borderId="7" xfId="39" applyNumberFormat="1" applyFont="1" applyFill="1" applyBorder="1" applyAlignment="1" applyProtection="1">
      <alignment horizontal="right" vertical="center" wrapText="1"/>
    </xf>
    <xf numFmtId="0" fontId="60" fillId="0" borderId="7" xfId="37" applyFont="1" applyFill="1" applyBorder="1" applyAlignment="1">
      <alignment horizontal="justify" vertical="top" wrapText="1"/>
    </xf>
    <xf numFmtId="4" fontId="28" fillId="0" borderId="7" xfId="39" applyNumberFormat="1" applyFont="1" applyFill="1" applyBorder="1" applyAlignment="1" applyProtection="1">
      <alignment vertical="center" wrapText="1"/>
    </xf>
    <xf numFmtId="4" fontId="36" fillId="0" borderId="7" xfId="39" applyNumberFormat="1" applyFont="1" applyFill="1" applyBorder="1" applyAlignment="1">
      <alignment vertical="center" wrapText="1"/>
    </xf>
    <xf numFmtId="0" fontId="4" fillId="0" borderId="0" xfId="39" applyNumberFormat="1" applyFont="1" applyFill="1" applyBorder="1" applyAlignment="1" applyProtection="1">
      <alignment wrapText="1"/>
    </xf>
    <xf numFmtId="0" fontId="4" fillId="0" borderId="0" xfId="39" applyNumberFormat="1" applyFont="1" applyFill="1" applyAlignment="1" applyProtection="1">
      <alignment wrapText="1"/>
    </xf>
    <xf numFmtId="0" fontId="4" fillId="0" borderId="0" xfId="39" applyFont="1" applyFill="1" applyAlignment="1">
      <alignment wrapText="1"/>
    </xf>
    <xf numFmtId="0" fontId="29" fillId="0" borderId="7" xfId="39" applyNumberFormat="1" applyFont="1" applyFill="1" applyBorder="1" applyAlignment="1" applyProtection="1">
      <alignment vertical="center" wrapText="1"/>
    </xf>
    <xf numFmtId="0" fontId="30" fillId="0" borderId="7" xfId="37" applyFont="1" applyFill="1" applyBorder="1" applyAlignment="1">
      <alignment horizontal="justify" vertical="top" wrapText="1"/>
    </xf>
    <xf numFmtId="4" fontId="32" fillId="0" borderId="7" xfId="39" applyNumberFormat="1" applyFont="1" applyFill="1" applyBorder="1" applyAlignment="1">
      <alignment vertical="center" wrapText="1"/>
    </xf>
    <xf numFmtId="0" fontId="33" fillId="0" borderId="7" xfId="37" applyFont="1" applyFill="1" applyBorder="1" applyAlignment="1">
      <alignment horizontal="justify" vertical="top" wrapText="1"/>
    </xf>
    <xf numFmtId="0" fontId="60" fillId="0" borderId="13" xfId="37" applyFont="1" applyFill="1" applyBorder="1" applyAlignment="1">
      <alignment horizontal="justify" vertical="top" wrapText="1"/>
    </xf>
    <xf numFmtId="0" fontId="61" fillId="0" borderId="7" xfId="37" applyFont="1" applyFill="1" applyBorder="1" applyAlignment="1">
      <alignment horizontal="justify" vertical="top" wrapText="1"/>
    </xf>
    <xf numFmtId="0" fontId="62" fillId="0" borderId="7" xfId="37" applyFont="1" applyFill="1" applyBorder="1" applyAlignment="1">
      <alignment horizontal="justify" vertical="top" wrapText="1"/>
    </xf>
    <xf numFmtId="0" fontId="34" fillId="0" borderId="7" xfId="39" applyNumberFormat="1" applyFont="1" applyFill="1" applyBorder="1" applyAlignment="1" applyProtection="1">
      <alignment horizontal="center" vertical="center" wrapText="1"/>
    </xf>
    <xf numFmtId="0" fontId="35" fillId="0" borderId="7" xfId="37" applyFont="1" applyFill="1" applyBorder="1" applyAlignment="1">
      <alignment horizontal="justify" vertical="top" wrapText="1"/>
    </xf>
    <xf numFmtId="0" fontId="33" fillId="0" borderId="7" xfId="37" applyFont="1" applyFill="1" applyBorder="1" applyAlignment="1">
      <alignment vertical="top" wrapText="1"/>
    </xf>
    <xf numFmtId="0" fontId="4" fillId="0" borderId="7" xfId="39" applyNumberFormat="1" applyFont="1" applyFill="1" applyBorder="1" applyAlignment="1" applyProtection="1">
      <alignment vertical="center" wrapText="1"/>
    </xf>
    <xf numFmtId="0" fontId="63" fillId="0" borderId="0" xfId="39" applyNumberFormat="1" applyFont="1" applyFill="1" applyBorder="1" applyAlignment="1" applyProtection="1">
      <alignment wrapText="1"/>
    </xf>
    <xf numFmtId="0" fontId="63" fillId="0" borderId="0" xfId="39" applyNumberFormat="1" applyFont="1" applyFill="1" applyAlignment="1" applyProtection="1">
      <alignment wrapText="1"/>
    </xf>
    <xf numFmtId="0" fontId="63" fillId="0" borderId="0" xfId="39" applyFont="1" applyFill="1" applyAlignment="1">
      <alignment wrapText="1"/>
    </xf>
    <xf numFmtId="0" fontId="62" fillId="0" borderId="7" xfId="39" applyNumberFormat="1" applyFont="1" applyFill="1" applyBorder="1" applyAlignment="1" applyProtection="1">
      <alignment horizontal="center" vertical="center" wrapText="1"/>
    </xf>
    <xf numFmtId="0" fontId="61" fillId="0" borderId="7" xfId="37" applyFont="1" applyFill="1" applyBorder="1" applyAlignment="1">
      <alignment vertical="top" wrapText="1"/>
    </xf>
    <xf numFmtId="4" fontId="61" fillId="0" borderId="7" xfId="39" applyNumberFormat="1" applyFont="1" applyFill="1" applyBorder="1" applyAlignment="1">
      <alignment vertical="center" wrapText="1"/>
    </xf>
    <xf numFmtId="4" fontId="64" fillId="0" borderId="7" xfId="39" applyNumberFormat="1" applyFont="1" applyFill="1" applyBorder="1" applyAlignment="1">
      <alignment vertical="center" wrapText="1"/>
    </xf>
    <xf numFmtId="0" fontId="65" fillId="0" borderId="7" xfId="37" applyFont="1" applyFill="1" applyBorder="1" applyAlignment="1">
      <alignment horizontal="justify" vertical="top" wrapText="1"/>
    </xf>
    <xf numFmtId="0" fontId="66" fillId="0" borderId="7" xfId="37" applyFont="1" applyFill="1" applyBorder="1" applyAlignment="1">
      <alignment horizontal="justify" vertical="top" wrapText="1"/>
    </xf>
    <xf numFmtId="0" fontId="28" fillId="0" borderId="7" xfId="39" applyNumberFormat="1" applyFont="1" applyFill="1" applyBorder="1" applyAlignment="1" applyProtection="1">
      <alignment vertical="center" wrapText="1"/>
    </xf>
    <xf numFmtId="0" fontId="67" fillId="0" borderId="7" xfId="37" applyFont="1" applyFill="1" applyBorder="1" applyAlignment="1">
      <alignment horizontal="justify" vertical="top" wrapText="1"/>
    </xf>
    <xf numFmtId="0" fontId="12" fillId="0" borderId="7" xfId="37" applyFont="1" applyFill="1" applyBorder="1" applyAlignment="1">
      <alignment horizontal="justify" vertical="top" wrapText="1"/>
    </xf>
    <xf numFmtId="0" fontId="10" fillId="0" borderId="7" xfId="37" applyFont="1" applyFill="1" applyBorder="1" applyAlignment="1">
      <alignment horizontal="justify" vertical="top" wrapText="1"/>
    </xf>
    <xf numFmtId="0" fontId="62" fillId="0" borderId="7" xfId="0" applyNumberFormat="1" applyFont="1" applyFill="1" applyBorder="1" applyAlignment="1" applyProtection="1">
      <alignment horizontal="left" vertical="center" wrapText="1"/>
    </xf>
    <xf numFmtId="0" fontId="60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39" applyNumberFormat="1" applyFont="1" applyFill="1" applyBorder="1" applyAlignment="1" applyProtection="1">
      <alignment horizontal="center" vertical="center" wrapText="1"/>
    </xf>
    <xf numFmtId="0" fontId="59" fillId="0" borderId="7" xfId="39" applyFont="1" applyFill="1" applyBorder="1" applyAlignment="1">
      <alignment vertical="center" wrapText="1"/>
    </xf>
    <xf numFmtId="0" fontId="9" fillId="0" borderId="0" xfId="39" applyNumberFormat="1" applyFont="1" applyFill="1" applyBorder="1" applyAlignment="1" applyProtection="1"/>
    <xf numFmtId="0" fontId="9" fillId="0" borderId="0" xfId="39" applyNumberFormat="1" applyFont="1" applyFill="1" applyAlignment="1" applyProtection="1"/>
    <xf numFmtId="0" fontId="9" fillId="0" borderId="0" xfId="39" applyFont="1" applyFill="1"/>
    <xf numFmtId="2" fontId="4" fillId="0" borderId="0" xfId="39" applyNumberFormat="1" applyFont="1" applyFill="1" applyBorder="1" applyAlignment="1" applyProtection="1"/>
    <xf numFmtId="4" fontId="4" fillId="0" borderId="0" xfId="39" applyNumberFormat="1" applyFont="1" applyFill="1" applyBorder="1" applyAlignment="1" applyProtection="1"/>
    <xf numFmtId="0" fontId="14" fillId="0" borderId="0" xfId="0" applyFont="1" applyFill="1" applyAlignment="1"/>
    <xf numFmtId="0" fontId="13" fillId="0" borderId="7" xfId="0" applyFont="1" applyFill="1" applyBorder="1" applyAlignment="1">
      <alignment horizontal="center" vertical="top" wrapText="1"/>
    </xf>
    <xf numFmtId="0" fontId="70" fillId="0" borderId="7" xfId="0" applyFont="1" applyFill="1" applyBorder="1" applyAlignment="1">
      <alignment horizontal="center" vertical="top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1" fillId="0" borderId="0" xfId="35" applyNumberFormat="1" applyFont="1" applyFill="1" applyAlignment="1" applyProtection="1"/>
    <xf numFmtId="0" fontId="71" fillId="0" borderId="0" xfId="35" applyFont="1" applyFill="1"/>
    <xf numFmtId="0" fontId="10" fillId="0" borderId="0" xfId="35" applyNumberFormat="1" applyFont="1" applyFill="1" applyAlignment="1" applyProtection="1">
      <alignment horizontal="center" vertical="center" wrapText="1"/>
    </xf>
    <xf numFmtId="0" fontId="13" fillId="0" borderId="0" xfId="35" applyNumberFormat="1" applyFont="1" applyFill="1" applyAlignment="1" applyProtection="1">
      <alignment horizontal="center" vertical="center" wrapText="1"/>
    </xf>
    <xf numFmtId="0" fontId="10" fillId="0" borderId="0" xfId="35" applyNumberFormat="1" applyFont="1" applyFill="1" applyAlignment="1" applyProtection="1">
      <alignment horizontal="center"/>
    </xf>
    <xf numFmtId="0" fontId="71" fillId="0" borderId="0" xfId="35" applyFont="1" applyFill="1" applyAlignment="1">
      <alignment horizontal="center"/>
    </xf>
    <xf numFmtId="0" fontId="13" fillId="0" borderId="0" xfId="35" applyFont="1" applyFill="1" applyAlignment="1">
      <alignment horizontal="right"/>
    </xf>
    <xf numFmtId="0" fontId="71" fillId="0" borderId="15" xfId="35" applyNumberFormat="1" applyFont="1" applyFill="1" applyBorder="1" applyAlignment="1" applyProtection="1"/>
    <xf numFmtId="0" fontId="71" fillId="0" borderId="16" xfId="35" applyNumberFormat="1" applyFont="1" applyFill="1" applyBorder="1" applyAlignment="1" applyProtection="1"/>
    <xf numFmtId="0" fontId="71" fillId="0" borderId="0" xfId="35" applyNumberFormat="1" applyFont="1" applyFill="1" applyBorder="1" applyAlignment="1" applyProtection="1"/>
    <xf numFmtId="0" fontId="60" fillId="0" borderId="0" xfId="35" applyNumberFormat="1" applyFont="1" applyFill="1" applyAlignment="1" applyProtection="1"/>
    <xf numFmtId="0" fontId="72" fillId="0" borderId="0" xfId="35" applyFont="1" applyFill="1"/>
    <xf numFmtId="0" fontId="73" fillId="0" borderId="0" xfId="36" applyNumberFormat="1" applyFont="1" applyFill="1" applyBorder="1" applyAlignment="1" applyProtection="1">
      <alignment vertical="top"/>
    </xf>
    <xf numFmtId="0" fontId="68" fillId="0" borderId="0" xfId="36" applyNumberFormat="1" applyFont="1" applyFill="1" applyBorder="1" applyAlignment="1" applyProtection="1">
      <alignment vertical="top"/>
    </xf>
    <xf numFmtId="0" fontId="73" fillId="0" borderId="0" xfId="36" applyNumberFormat="1" applyFont="1" applyFill="1" applyBorder="1" applyAlignment="1" applyProtection="1">
      <alignment horizontal="center" vertical="top"/>
    </xf>
    <xf numFmtId="0" fontId="9" fillId="0" borderId="0" xfId="36" applyNumberFormat="1" applyFont="1" applyFill="1" applyBorder="1" applyAlignment="1" applyProtection="1">
      <alignment horizontal="center" vertical="top"/>
    </xf>
    <xf numFmtId="2" fontId="68" fillId="0" borderId="0" xfId="36" applyNumberFormat="1" applyFont="1" applyFill="1" applyBorder="1" applyAlignment="1" applyProtection="1">
      <alignment horizontal="center" vertical="top"/>
    </xf>
    <xf numFmtId="2" fontId="73" fillId="0" borderId="7" xfId="36" applyNumberFormat="1" applyFont="1" applyFill="1" applyBorder="1" applyAlignment="1" applyProtection="1">
      <alignment horizontal="center" vertical="center"/>
    </xf>
    <xf numFmtId="2" fontId="9" fillId="0" borderId="0" xfId="36" applyNumberFormat="1" applyFont="1" applyFill="1" applyBorder="1" applyAlignment="1" applyProtection="1">
      <alignment horizontal="center" vertical="top"/>
    </xf>
    <xf numFmtId="2" fontId="8" fillId="0" borderId="7" xfId="36" applyNumberFormat="1" applyFont="1" applyFill="1" applyBorder="1" applyAlignment="1" applyProtection="1">
      <alignment horizontal="center" vertical="center" wrapText="1"/>
    </xf>
    <xf numFmtId="4" fontId="8" fillId="0" borderId="7" xfId="36" applyNumberFormat="1" applyFont="1" applyFill="1" applyBorder="1" applyAlignment="1" applyProtection="1">
      <alignment horizontal="center" vertical="center"/>
    </xf>
    <xf numFmtId="4" fontId="76" fillId="0" borderId="7" xfId="36" applyNumberFormat="1" applyFont="1" applyFill="1" applyBorder="1" applyAlignment="1" applyProtection="1">
      <alignment horizontal="center" vertical="center" wrapText="1"/>
    </xf>
    <xf numFmtId="0" fontId="75" fillId="0" borderId="0" xfId="36" applyNumberFormat="1" applyFont="1" applyFill="1" applyBorder="1" applyAlignment="1" applyProtection="1">
      <alignment horizontal="center" vertical="top" wrapText="1"/>
    </xf>
    <xf numFmtId="2" fontId="75" fillId="0" borderId="0" xfId="36" applyNumberFormat="1" applyFont="1" applyFill="1" applyBorder="1" applyAlignment="1" applyProtection="1">
      <alignment horizontal="center" vertical="top" wrapText="1"/>
    </xf>
    <xf numFmtId="165" fontId="8" fillId="0" borderId="0" xfId="36" applyNumberFormat="1" applyFont="1" applyFill="1" applyBorder="1" applyAlignment="1" applyProtection="1">
      <alignment horizontal="center" vertical="top"/>
    </xf>
    <xf numFmtId="0" fontId="77" fillId="0" borderId="0" xfId="38" applyNumberFormat="1" applyFont="1" applyFill="1" applyBorder="1" applyAlignment="1" applyProtection="1">
      <alignment horizontal="left" vertical="center" wrapText="1"/>
      <protection locked="0"/>
    </xf>
    <xf numFmtId="0" fontId="75" fillId="0" borderId="0" xfId="36" applyNumberFormat="1" applyFont="1" applyFill="1" applyBorder="1" applyAlignment="1" applyProtection="1">
      <alignment horizontal="left" vertical="top" wrapText="1"/>
    </xf>
    <xf numFmtId="4" fontId="43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0" applyFont="1"/>
    <xf numFmtId="4" fontId="45" fillId="0" borderId="0" xfId="0" applyNumberFormat="1" applyFont="1" applyFill="1"/>
    <xf numFmtId="0" fontId="11" fillId="0" borderId="0" xfId="39" applyNumberFormat="1" applyFont="1" applyFill="1" applyAlignment="1" applyProtection="1"/>
    <xf numFmtId="0" fontId="12" fillId="0" borderId="7" xfId="0" applyFont="1" applyFill="1" applyBorder="1" applyAlignment="1">
      <alignment horizontal="left" vertical="center" wrapText="1"/>
    </xf>
    <xf numFmtId="0" fontId="89" fillId="0" borderId="0" xfId="0" applyFont="1" applyAlignment="1">
      <alignment vertical="center"/>
    </xf>
    <xf numFmtId="4" fontId="89" fillId="0" borderId="0" xfId="0" applyNumberFormat="1" applyFont="1" applyAlignment="1">
      <alignment vertical="center"/>
    </xf>
    <xf numFmtId="2" fontId="90" fillId="0" borderId="0" xfId="36" applyNumberFormat="1" applyFont="1" applyFill="1" applyBorder="1" applyAlignment="1" applyProtection="1">
      <alignment horizontal="center" vertical="top"/>
    </xf>
    <xf numFmtId="4" fontId="4" fillId="0" borderId="0" xfId="35" applyNumberFormat="1" applyFont="1" applyFill="1"/>
    <xf numFmtId="4" fontId="91" fillId="0" borderId="0" xfId="0" applyNumberFormat="1" applyFont="1" applyAlignment="1">
      <alignment vertical="center"/>
    </xf>
    <xf numFmtId="4" fontId="92" fillId="0" borderId="0" xfId="0" applyNumberFormat="1" applyFont="1" applyAlignment="1">
      <alignment vertical="center"/>
    </xf>
    <xf numFmtId="0" fontId="94" fillId="0" borderId="0" xfId="0" applyFont="1" applyBorder="1" applyAlignment="1">
      <alignment horizontal="left" vertical="center"/>
    </xf>
    <xf numFmtId="0" fontId="96" fillId="0" borderId="0" xfId="0" applyFont="1" applyBorder="1" applyAlignment="1">
      <alignment horizontal="left" vertical="center"/>
    </xf>
    <xf numFmtId="0" fontId="53" fillId="0" borderId="0" xfId="0" applyFont="1"/>
    <xf numFmtId="0" fontId="4" fillId="0" borderId="0" xfId="0" applyFont="1"/>
    <xf numFmtId="0" fontId="4" fillId="0" borderId="0" xfId="0" applyFont="1" applyFill="1"/>
    <xf numFmtId="0" fontId="97" fillId="0" borderId="7" xfId="0" applyFont="1" applyFill="1" applyBorder="1" applyAlignment="1">
      <alignment horizontal="center" vertical="center" wrapText="1"/>
    </xf>
    <xf numFmtId="0" fontId="9" fillId="0" borderId="7" xfId="35" applyNumberFormat="1" applyFont="1" applyFill="1" applyBorder="1" applyAlignment="1" applyProtection="1">
      <alignment horizontal="center" vertical="center" wrapText="1"/>
    </xf>
    <xf numFmtId="0" fontId="97" fillId="0" borderId="7" xfId="0" applyFont="1" applyFill="1" applyBorder="1" applyAlignment="1">
      <alignment horizontal="center" vertical="center"/>
    </xf>
    <xf numFmtId="4" fontId="97" fillId="25" borderId="7" xfId="0" applyNumberFormat="1" applyFont="1" applyFill="1" applyBorder="1" applyAlignment="1">
      <alignment horizontal="center" vertical="center"/>
    </xf>
    <xf numFmtId="0" fontId="8" fillId="0" borderId="0" xfId="0" applyFont="1"/>
    <xf numFmtId="2" fontId="8" fillId="0" borderId="0" xfId="36" applyNumberFormat="1" applyFont="1" applyFill="1" applyBorder="1" applyAlignment="1" applyProtection="1">
      <alignment vertical="top"/>
    </xf>
    <xf numFmtId="0" fontId="97" fillId="0" borderId="0" xfId="0" applyFont="1" applyFill="1" applyBorder="1" applyAlignment="1">
      <alignment horizontal="center" vertical="center"/>
    </xf>
    <xf numFmtId="4" fontId="97" fillId="0" borderId="0" xfId="0" applyNumberFormat="1" applyFont="1" applyFill="1" applyBorder="1" applyAlignment="1">
      <alignment horizontal="center" vertical="center"/>
    </xf>
    <xf numFmtId="4" fontId="102" fillId="0" borderId="0" xfId="0" applyNumberFormat="1" applyFont="1" applyAlignment="1">
      <alignment vertical="center"/>
    </xf>
    <xf numFmtId="0" fontId="9" fillId="0" borderId="7" xfId="37" applyFont="1" applyFill="1" applyBorder="1" applyAlignment="1">
      <alignment horizontal="justify" vertical="top" wrapText="1"/>
    </xf>
    <xf numFmtId="0" fontId="28" fillId="0" borderId="7" xfId="37" applyFont="1" applyFill="1" applyBorder="1" applyAlignment="1">
      <alignment horizontal="justify" vertical="top" wrapText="1"/>
    </xf>
    <xf numFmtId="0" fontId="12" fillId="0" borderId="7" xfId="0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4" fillId="26" borderId="0" xfId="35" applyFont="1" applyFill="1"/>
    <xf numFmtId="0" fontId="4" fillId="0" borderId="0" xfId="35" applyNumberFormat="1" applyFont="1" applyFill="1" applyAlignment="1" applyProtection="1">
      <alignment horizontal="center" vertical="center"/>
    </xf>
    <xf numFmtId="0" fontId="103" fillId="0" borderId="0" xfId="35" applyFont="1" applyFill="1"/>
    <xf numFmtId="4" fontId="78" fillId="0" borderId="0" xfId="0" applyNumberFormat="1" applyFont="1" applyAlignment="1">
      <alignment horizontal="left" vertical="center"/>
    </xf>
    <xf numFmtId="4" fontId="41" fillId="0" borderId="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7" xfId="0" applyNumberFormat="1" applyFont="1" applyFill="1" applyBorder="1" applyAlignment="1">
      <alignment horizontal="center" vertical="center"/>
    </xf>
    <xf numFmtId="0" fontId="29" fillId="29" borderId="7" xfId="35" applyFont="1" applyFill="1" applyBorder="1" applyAlignment="1">
      <alignment horizontal="center" vertical="center" wrapText="1"/>
    </xf>
    <xf numFmtId="4" fontId="29" fillId="29" borderId="7" xfId="35" applyNumberFormat="1" applyFont="1" applyFill="1" applyBorder="1" applyAlignment="1" applyProtection="1">
      <alignment horizontal="center" vertical="center"/>
    </xf>
    <xf numFmtId="4" fontId="30" fillId="29" borderId="7" xfId="35" applyNumberFormat="1" applyFont="1" applyFill="1" applyBorder="1" applyAlignment="1">
      <alignment horizontal="center" vertical="center"/>
    </xf>
    <xf numFmtId="2" fontId="68" fillId="29" borderId="7" xfId="36" applyNumberFormat="1" applyFont="1" applyFill="1" applyBorder="1" applyAlignment="1" applyProtection="1">
      <alignment horizontal="center" vertical="center" wrapText="1"/>
    </xf>
    <xf numFmtId="4" fontId="76" fillId="29" borderId="7" xfId="36" applyNumberFormat="1" applyFont="1" applyFill="1" applyBorder="1" applyAlignment="1" applyProtection="1">
      <alignment horizontal="center" vertical="center"/>
    </xf>
    <xf numFmtId="2" fontId="8" fillId="29" borderId="7" xfId="36" applyNumberFormat="1" applyFont="1" applyFill="1" applyBorder="1" applyAlignment="1" applyProtection="1">
      <alignment horizontal="center" vertical="center" wrapText="1"/>
    </xf>
    <xf numFmtId="4" fontId="76" fillId="29" borderId="7" xfId="36" applyNumberFormat="1" applyFont="1" applyFill="1" applyBorder="1" applyAlignment="1" applyProtection="1">
      <alignment horizontal="center" vertical="center" wrapText="1"/>
    </xf>
    <xf numFmtId="4" fontId="97" fillId="29" borderId="7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4" fontId="39" fillId="0" borderId="0" xfId="0" applyNumberFormat="1" applyFont="1" applyFill="1" applyAlignment="1">
      <alignment horizontal="left" vertical="center"/>
    </xf>
    <xf numFmtId="4" fontId="41" fillId="27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43" fillId="0" borderId="7" xfId="38" applyNumberFormat="1" applyFont="1" applyFill="1" applyBorder="1" applyAlignment="1" applyProtection="1">
      <alignment horizontal="center" vertical="center" wrapText="1"/>
    </xf>
    <xf numFmtId="4" fontId="41" fillId="27" borderId="0" xfId="0" applyNumberFormat="1" applyFont="1" applyFill="1" applyBorder="1" applyAlignment="1">
      <alignment horizontal="left" vertical="center" wrapText="1"/>
    </xf>
    <xf numFmtId="0" fontId="4" fillId="28" borderId="0" xfId="35" applyFont="1" applyFill="1"/>
    <xf numFmtId="49" fontId="28" fillId="30" borderId="7" xfId="0" applyNumberFormat="1" applyFont="1" applyFill="1" applyBorder="1" applyAlignment="1">
      <alignment horizontal="center" vertical="center" wrapText="1"/>
    </xf>
    <xf numFmtId="164" fontId="31" fillId="30" borderId="7" xfId="30" applyNumberFormat="1" applyFont="1" applyFill="1" applyBorder="1" applyAlignment="1">
      <alignment horizontal="center" vertical="center"/>
    </xf>
    <xf numFmtId="164" fontId="31" fillId="30" borderId="7" xfId="30" applyNumberFormat="1" applyFont="1" applyFill="1" applyBorder="1" applyAlignment="1">
      <alignment horizontal="center" vertical="center" wrapText="1"/>
    </xf>
    <xf numFmtId="4" fontId="31" fillId="30" borderId="7" xfId="30" applyNumberFormat="1" applyFont="1" applyFill="1" applyBorder="1" applyAlignment="1">
      <alignment horizontal="center" vertical="center"/>
    </xf>
    <xf numFmtId="0" fontId="28" fillId="30" borderId="7" xfId="40" applyFont="1" applyFill="1" applyBorder="1" applyAlignment="1">
      <alignment horizontal="center" vertical="center" wrapText="1"/>
    </xf>
    <xf numFmtId="0" fontId="48" fillId="0" borderId="7" xfId="39" applyNumberFormat="1" applyFont="1" applyFill="1" applyBorder="1" applyAlignment="1" applyProtection="1">
      <alignment horizontal="center" vertical="center" wrapText="1"/>
    </xf>
    <xf numFmtId="0" fontId="48" fillId="0" borderId="0" xfId="39" applyNumberFormat="1" applyFont="1" applyFill="1" applyBorder="1" applyAlignment="1" applyProtection="1">
      <alignment wrapText="1"/>
    </xf>
    <xf numFmtId="0" fontId="48" fillId="0" borderId="0" xfId="39" applyNumberFormat="1" applyFont="1" applyFill="1" applyAlignment="1" applyProtection="1">
      <alignment wrapText="1"/>
    </xf>
    <xf numFmtId="0" fontId="48" fillId="0" borderId="0" xfId="39" applyFont="1" applyFill="1" applyAlignment="1">
      <alignment wrapText="1"/>
    </xf>
    <xf numFmtId="0" fontId="104" fillId="0" borderId="0" xfId="0" applyFont="1"/>
    <xf numFmtId="49" fontId="28" fillId="0" borderId="7" xfId="0" applyNumberFormat="1" applyFont="1" applyFill="1" applyBorder="1" applyAlignment="1">
      <alignment horizontal="center" vertical="center" wrapText="1"/>
    </xf>
    <xf numFmtId="164" fontId="31" fillId="0" borderId="7" xfId="30" applyNumberFormat="1" applyFont="1" applyFill="1" applyBorder="1" applyAlignment="1">
      <alignment horizontal="center" vertical="center"/>
    </xf>
    <xf numFmtId="164" fontId="31" fillId="0" borderId="7" xfId="30" applyNumberFormat="1" applyFont="1" applyFill="1" applyBorder="1" applyAlignment="1">
      <alignment horizontal="center" vertical="center" wrapText="1"/>
    </xf>
    <xf numFmtId="4" fontId="31" fillId="0" borderId="7" xfId="30" applyNumberFormat="1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 wrapText="1"/>
    </xf>
    <xf numFmtId="49" fontId="49" fillId="0" borderId="7" xfId="0" applyNumberFormat="1" applyFont="1" applyFill="1" applyBorder="1" applyAlignment="1">
      <alignment horizontal="center" vertical="center" wrapText="1"/>
    </xf>
    <xf numFmtId="164" fontId="52" fillId="0" borderId="7" xfId="3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164" fontId="28" fillId="0" borderId="7" xfId="30" applyNumberFormat="1" applyFont="1" applyFill="1" applyBorder="1" applyAlignment="1">
      <alignment horizontal="center" vertical="center"/>
    </xf>
    <xf numFmtId="4" fontId="28" fillId="0" borderId="7" xfId="30" applyNumberFormat="1" applyFont="1" applyFill="1" applyBorder="1" applyAlignment="1">
      <alignment horizontal="center" vertical="center"/>
    </xf>
    <xf numFmtId="0" fontId="28" fillId="0" borderId="7" xfId="40" applyFont="1" applyFill="1" applyBorder="1" applyAlignment="1">
      <alignment horizontal="center" vertical="center" wrapText="1"/>
    </xf>
    <xf numFmtId="0" fontId="98" fillId="0" borderId="7" xfId="0" applyFont="1" applyFill="1" applyBorder="1" applyAlignment="1">
      <alignment horizontal="center" vertical="center"/>
    </xf>
    <xf numFmtId="0" fontId="98" fillId="0" borderId="7" xfId="0" applyFont="1" applyFill="1" applyBorder="1" applyAlignment="1">
      <alignment horizontal="left" vertical="center" wrapText="1"/>
    </xf>
    <xf numFmtId="4" fontId="9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4" fontId="49" fillId="0" borderId="7" xfId="30" applyNumberFormat="1" applyFont="1" applyFill="1" applyBorder="1" applyAlignment="1">
      <alignment horizontal="center" vertical="center"/>
    </xf>
    <xf numFmtId="49" fontId="99" fillId="0" borderId="7" xfId="0" applyNumberFormat="1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7" xfId="46" applyFont="1" applyFill="1" applyBorder="1" applyAlignment="1">
      <alignment horizontal="center" vertical="center" wrapText="1"/>
    </xf>
    <xf numFmtId="0" fontId="28" fillId="0" borderId="7" xfId="38" applyNumberFormat="1" applyFont="1" applyFill="1" applyBorder="1" applyAlignment="1" applyProtection="1">
      <alignment horizontal="center" vertical="center" wrapText="1"/>
      <protection locked="0"/>
    </xf>
    <xf numFmtId="49" fontId="49" fillId="0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28" fillId="0" borderId="7" xfId="41" applyFont="1" applyFill="1" applyBorder="1" applyAlignment="1">
      <alignment horizontal="center" vertical="center" wrapText="1"/>
    </xf>
    <xf numFmtId="4" fontId="31" fillId="0" borderId="10" xfId="30" applyNumberFormat="1" applyFont="1" applyFill="1" applyBorder="1" applyAlignment="1">
      <alignment horizontal="center" vertical="center"/>
    </xf>
    <xf numFmtId="0" fontId="28" fillId="0" borderId="7" xfId="85" applyFont="1" applyFill="1" applyBorder="1" applyAlignment="1">
      <alignment horizontal="center" vertical="center" wrapText="1"/>
    </xf>
    <xf numFmtId="0" fontId="28" fillId="0" borderId="8" xfId="85" applyFont="1" applyFill="1" applyBorder="1" applyAlignment="1">
      <alignment horizontal="center" vertical="center" wrapText="1"/>
    </xf>
    <xf numFmtId="0" fontId="43" fillId="0" borderId="0" xfId="0" applyFont="1"/>
    <xf numFmtId="49" fontId="49" fillId="0" borderId="7" xfId="0" applyNumberFormat="1" applyFont="1" applyFill="1" applyBorder="1" applyAlignment="1">
      <alignment horizontal="center" vertical="center" wrapText="1"/>
    </xf>
    <xf numFmtId="0" fontId="28" fillId="0" borderId="0" xfId="35" applyFont="1" applyFill="1" applyBorder="1" applyAlignment="1">
      <alignment horizontal="center" vertical="center" wrapText="1"/>
    </xf>
    <xf numFmtId="4" fontId="29" fillId="0" borderId="0" xfId="35" applyNumberFormat="1" applyFont="1" applyFill="1" applyBorder="1" applyAlignment="1" applyProtection="1">
      <alignment horizontal="center" vertical="center"/>
    </xf>
    <xf numFmtId="0" fontId="105" fillId="0" borderId="0" xfId="0" applyFont="1" applyAlignment="1">
      <alignment vertical="center"/>
    </xf>
    <xf numFmtId="4" fontId="106" fillId="0" borderId="0" xfId="0" applyNumberFormat="1" applyFont="1" applyAlignment="1">
      <alignment vertical="center"/>
    </xf>
    <xf numFmtId="4" fontId="107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4" fontId="10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51" fillId="0" borderId="0" xfId="35" applyFont="1" applyFill="1"/>
    <xf numFmtId="0" fontId="8" fillId="0" borderId="0" xfId="0" applyFont="1" applyFill="1"/>
    <xf numFmtId="0" fontId="98" fillId="0" borderId="0" xfId="0" applyFont="1" applyFill="1" applyBorder="1" applyAlignment="1">
      <alignment horizontal="center" vertical="center"/>
    </xf>
    <xf numFmtId="4" fontId="98" fillId="0" borderId="0" xfId="0" applyNumberFormat="1" applyFont="1" applyFill="1" applyBorder="1" applyAlignment="1">
      <alignment horizontal="center" vertical="center"/>
    </xf>
    <xf numFmtId="4" fontId="98" fillId="0" borderId="0" xfId="0" applyNumberFormat="1" applyFont="1" applyFill="1" applyBorder="1" applyAlignment="1">
      <alignment horizontal="left" vertical="center"/>
    </xf>
    <xf numFmtId="0" fontId="98" fillId="0" borderId="0" xfId="0" applyFont="1" applyFill="1" applyBorder="1" applyAlignment="1">
      <alignment horizontal="right" vertical="center"/>
    </xf>
    <xf numFmtId="2" fontId="11" fillId="0" borderId="0" xfId="36" applyNumberFormat="1" applyFont="1" applyFill="1" applyBorder="1" applyAlignment="1" applyProtection="1">
      <alignment vertical="top"/>
    </xf>
    <xf numFmtId="0" fontId="11" fillId="0" borderId="0" xfId="36" applyNumberFormat="1" applyFont="1" applyFill="1" applyBorder="1" applyAlignment="1" applyProtection="1">
      <alignment vertical="top"/>
    </xf>
    <xf numFmtId="0" fontId="8" fillId="0" borderId="0" xfId="39" applyNumberFormat="1" applyFont="1" applyFill="1" applyAlignment="1" applyProtection="1"/>
    <xf numFmtId="0" fontId="62" fillId="0" borderId="7" xfId="39" applyNumberFormat="1" applyFont="1" applyFill="1" applyBorder="1" applyAlignment="1" applyProtection="1">
      <alignment vertical="center" wrapText="1"/>
    </xf>
    <xf numFmtId="0" fontId="4" fillId="0" borderId="0" xfId="0" applyFont="1" applyAlignment="1"/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0" fontId="10" fillId="0" borderId="0" xfId="35" applyNumberFormat="1" applyFont="1" applyFill="1" applyAlignment="1" applyProtection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9" fontId="39" fillId="26" borderId="7" xfId="0" applyNumberFormat="1" applyFont="1" applyFill="1" applyBorder="1" applyAlignment="1">
      <alignment horizontal="center" vertical="center"/>
    </xf>
    <xf numFmtId="49" fontId="39" fillId="26" borderId="7" xfId="0" applyNumberFormat="1" applyFont="1" applyFill="1" applyBorder="1" applyAlignment="1">
      <alignment horizontal="center" vertical="center" wrapText="1"/>
    </xf>
    <xf numFmtId="4" fontId="41" fillId="26" borderId="7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/>
    </xf>
    <xf numFmtId="4" fontId="43" fillId="26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0" fillId="0" borderId="0" xfId="0" applyFont="1"/>
    <xf numFmtId="0" fontId="4" fillId="0" borderId="11" xfId="35" applyNumberFormat="1" applyFont="1" applyFill="1" applyBorder="1" applyAlignment="1" applyProtection="1">
      <alignment horizontal="right" vertical="center"/>
    </xf>
    <xf numFmtId="0" fontId="29" fillId="29" borderId="7" xfId="35" applyFont="1" applyFill="1" applyBorder="1" applyAlignment="1">
      <alignment horizontal="left" vertical="center" wrapText="1"/>
    </xf>
    <xf numFmtId="0" fontId="37" fillId="29" borderId="7" xfId="0" applyFont="1" applyFill="1" applyBorder="1" applyAlignment="1">
      <alignment horizontal="center" vertical="center"/>
    </xf>
    <xf numFmtId="0" fontId="37" fillId="29" borderId="7" xfId="0" applyFont="1" applyFill="1" applyBorder="1" applyAlignment="1">
      <alignment horizontal="left" vertical="center"/>
    </xf>
    <xf numFmtId="49" fontId="29" fillId="29" borderId="7" xfId="35" applyNumberFormat="1" applyFont="1" applyFill="1" applyBorder="1" applyAlignment="1">
      <alignment horizontal="center" vertical="center" wrapText="1"/>
    </xf>
    <xf numFmtId="0" fontId="108" fillId="0" borderId="7" xfId="35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8" fillId="0" borderId="0" xfId="36" applyNumberFormat="1" applyFont="1" applyFill="1" applyBorder="1" applyAlignment="1" applyProtection="1">
      <alignment horizontal="right" vertical="top"/>
    </xf>
    <xf numFmtId="0" fontId="37" fillId="0" borderId="7" xfId="0" applyFont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9" fontId="31" fillId="0" borderId="10" xfId="3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49" fontId="28" fillId="0" borderId="8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 wrapText="1"/>
    </xf>
    <xf numFmtId="4" fontId="42" fillId="0" borderId="7" xfId="0" applyNumberFormat="1" applyFont="1" applyFill="1" applyBorder="1" applyAlignment="1">
      <alignment horizontal="center" vertical="center" wrapText="1"/>
    </xf>
    <xf numFmtId="0" fontId="40" fillId="31" borderId="7" xfId="0" applyFont="1" applyFill="1" applyBorder="1" applyAlignment="1">
      <alignment horizontal="center" vertical="center" wrapText="1"/>
    </xf>
    <xf numFmtId="49" fontId="40" fillId="31" borderId="7" xfId="0" applyNumberFormat="1" applyFont="1" applyFill="1" applyBorder="1" applyAlignment="1">
      <alignment horizontal="center" vertical="center" wrapText="1"/>
    </xf>
    <xf numFmtId="4" fontId="44" fillId="31" borderId="7" xfId="0" applyNumberFormat="1" applyFont="1" applyFill="1" applyBorder="1" applyAlignment="1">
      <alignment horizontal="center" vertical="center" wrapText="1"/>
    </xf>
    <xf numFmtId="4" fontId="41" fillId="31" borderId="7" xfId="0" applyNumberFormat="1" applyFont="1" applyFill="1" applyBorder="1" applyAlignment="1">
      <alignment horizontal="center" vertical="center" wrapText="1"/>
    </xf>
    <xf numFmtId="0" fontId="37" fillId="31" borderId="7" xfId="0" applyFont="1" applyFill="1" applyBorder="1" applyAlignment="1">
      <alignment horizontal="center" vertical="center" wrapText="1"/>
    </xf>
    <xf numFmtId="49" fontId="37" fillId="31" borderId="7" xfId="0" applyNumberFormat="1" applyFont="1" applyFill="1" applyBorder="1" applyAlignment="1">
      <alignment horizontal="center" vertical="center" wrapText="1"/>
    </xf>
    <xf numFmtId="4" fontId="44" fillId="28" borderId="9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/>
    </xf>
    <xf numFmtId="49" fontId="28" fillId="0" borderId="7" xfId="35" applyNumberFormat="1" applyFont="1" applyBorder="1" applyAlignment="1">
      <alignment horizontal="center" vertical="center" wrapText="1"/>
    </xf>
    <xf numFmtId="0" fontId="28" fillId="0" borderId="7" xfId="35" applyFont="1" applyBorder="1" applyAlignment="1">
      <alignment horizontal="center" vertical="center" wrapText="1"/>
    </xf>
    <xf numFmtId="4" fontId="28" fillId="0" borderId="7" xfId="35" applyNumberFormat="1" applyFont="1" applyBorder="1" applyAlignment="1">
      <alignment horizontal="center" vertical="center"/>
    </xf>
    <xf numFmtId="4" fontId="28" fillId="0" borderId="7" xfId="35" applyNumberFormat="1" applyFont="1" applyFill="1" applyBorder="1" applyAlignment="1" applyProtection="1">
      <alignment horizontal="center" vertical="center"/>
    </xf>
    <xf numFmtId="49" fontId="29" fillId="0" borderId="7" xfId="35" applyNumberFormat="1" applyFont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" fontId="29" fillId="0" borderId="7" xfId="35" applyNumberFormat="1" applyFont="1" applyBorder="1" applyAlignment="1">
      <alignment horizontal="center" vertical="center"/>
    </xf>
    <xf numFmtId="49" fontId="48" fillId="0" borderId="7" xfId="35" applyNumberFormat="1" applyFont="1" applyBorder="1" applyAlignment="1">
      <alignment horizontal="center" vertical="center" wrapText="1"/>
    </xf>
    <xf numFmtId="49" fontId="48" fillId="0" borderId="7" xfId="0" applyNumberFormat="1" applyFont="1" applyFill="1" applyBorder="1" applyAlignment="1">
      <alignment horizontal="center" vertical="center" wrapText="1"/>
    </xf>
    <xf numFmtId="4" fontId="48" fillId="0" borderId="7" xfId="35" applyNumberFormat="1" applyFont="1" applyBorder="1" applyAlignment="1">
      <alignment horizontal="center" vertical="center"/>
    </xf>
    <xf numFmtId="4" fontId="43" fillId="0" borderId="8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0" fontId="39" fillId="0" borderId="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7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horizontal="center" vertical="center" wrapText="1"/>
    </xf>
    <xf numFmtId="49" fontId="39" fillId="0" borderId="15" xfId="0" applyNumberFormat="1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4" fontId="41" fillId="0" borderId="14" xfId="0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49" fontId="48" fillId="31" borderId="7" xfId="0" applyNumberFormat="1" applyFont="1" applyFill="1" applyBorder="1" applyAlignment="1">
      <alignment horizontal="center" vertical="center" wrapText="1"/>
    </xf>
    <xf numFmtId="0" fontId="48" fillId="31" borderId="7" xfId="38" applyNumberFormat="1" applyFont="1" applyFill="1" applyBorder="1" applyAlignment="1" applyProtection="1">
      <alignment horizontal="center" vertical="center" wrapText="1"/>
      <protection locked="0"/>
    </xf>
    <xf numFmtId="164" fontId="36" fillId="31" borderId="7" xfId="30" applyNumberFormat="1" applyFont="1" applyFill="1" applyBorder="1" applyAlignment="1">
      <alignment horizontal="center" vertical="center"/>
    </xf>
    <xf numFmtId="164" fontId="31" fillId="31" borderId="7" xfId="30" applyNumberFormat="1" applyFont="1" applyFill="1" applyBorder="1" applyAlignment="1">
      <alignment horizontal="center" vertical="center"/>
    </xf>
    <xf numFmtId="4" fontId="32" fillId="31" borderId="7" xfId="30" applyNumberFormat="1" applyFont="1" applyFill="1" applyBorder="1" applyAlignment="1">
      <alignment horizontal="center" vertical="center"/>
    </xf>
    <xf numFmtId="49" fontId="29" fillId="31" borderId="7" xfId="0" applyNumberFormat="1" applyFont="1" applyFill="1" applyBorder="1" applyAlignment="1">
      <alignment horizontal="center" vertical="center" wrapText="1"/>
    </xf>
    <xf numFmtId="0" fontId="29" fillId="31" borderId="7" xfId="38" applyNumberFormat="1" applyFont="1" applyFill="1" applyBorder="1" applyAlignment="1" applyProtection="1">
      <alignment horizontal="center" vertical="center" wrapText="1"/>
      <protection locked="0"/>
    </xf>
    <xf numFmtId="4" fontId="30" fillId="31" borderId="7" xfId="30" applyNumberFormat="1" applyFont="1" applyFill="1" applyBorder="1" applyAlignment="1">
      <alignment horizontal="center" vertical="center"/>
    </xf>
    <xf numFmtId="2" fontId="9" fillId="0" borderId="0" xfId="38" applyNumberFormat="1" applyFont="1" applyFill="1" applyBorder="1" applyAlignment="1" applyProtection="1">
      <alignment vertical="center" wrapText="1"/>
      <protection locked="0"/>
    </xf>
    <xf numFmtId="2" fontId="110" fillId="0" borderId="0" xfId="0" applyNumberFormat="1" applyFont="1" applyAlignment="1">
      <alignment horizontal="center" vertical="center"/>
    </xf>
    <xf numFmtId="164" fontId="111" fillId="0" borderId="7" xfId="30" applyNumberFormat="1" applyFont="1" applyFill="1" applyBorder="1" applyAlignment="1">
      <alignment horizontal="center" vertical="center" wrapText="1"/>
    </xf>
    <xf numFmtId="4" fontId="39" fillId="0" borderId="7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4" fontId="48" fillId="31" borderId="7" xfId="0" applyNumberFormat="1" applyFont="1" applyFill="1" applyBorder="1" applyAlignment="1">
      <alignment horizontal="center" vertical="center" wrapText="1"/>
    </xf>
    <xf numFmtId="4" fontId="29" fillId="31" borderId="7" xfId="0" applyNumberFormat="1" applyFont="1" applyFill="1" applyBorder="1" applyAlignment="1">
      <alignment horizontal="center" vertical="center" wrapText="1"/>
    </xf>
    <xf numFmtId="49" fontId="39" fillId="0" borderId="7" xfId="35" applyNumberFormat="1" applyFont="1" applyFill="1" applyBorder="1" applyAlignment="1">
      <alignment horizontal="center" vertical="center" wrapText="1"/>
    </xf>
    <xf numFmtId="0" fontId="39" fillId="0" borderId="7" xfId="35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 wrapText="1"/>
    </xf>
    <xf numFmtId="4" fontId="43" fillId="26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" fontId="41" fillId="32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38" fillId="0" borderId="7" xfId="0" applyNumberFormat="1" applyFont="1" applyFill="1" applyBorder="1" applyAlignment="1">
      <alignment horizontal="center" vertical="center" wrapText="1"/>
    </xf>
    <xf numFmtId="49" fontId="29" fillId="31" borderId="7" xfId="0" applyNumberFormat="1" applyFont="1" applyFill="1" applyBorder="1" applyAlignment="1">
      <alignment horizontal="center" vertical="center"/>
    </xf>
    <xf numFmtId="49" fontId="28" fillId="31" borderId="7" xfId="0" applyNumberFormat="1" applyFont="1" applyFill="1" applyBorder="1" applyAlignment="1">
      <alignment horizontal="center" vertical="center"/>
    </xf>
    <xf numFmtId="0" fontId="40" fillId="31" borderId="7" xfId="38" applyNumberFormat="1" applyFont="1" applyFill="1" applyBorder="1" applyAlignment="1" applyProtection="1">
      <alignment horizontal="center" vertical="center" wrapText="1"/>
      <protection locked="0"/>
    </xf>
    <xf numFmtId="0" fontId="37" fillId="31" borderId="7" xfId="38" applyNumberFormat="1" applyFont="1" applyFill="1" applyBorder="1" applyAlignment="1" applyProtection="1">
      <alignment horizontal="center" vertical="center" wrapText="1"/>
      <protection locked="0"/>
    </xf>
    <xf numFmtId="4" fontId="37" fillId="31" borderId="7" xfId="0" applyNumberFormat="1" applyFont="1" applyFill="1" applyBorder="1" applyAlignment="1">
      <alignment horizontal="center" vertical="center" wrapText="1"/>
    </xf>
    <xf numFmtId="4" fontId="42" fillId="0" borderId="8" xfId="0" applyNumberFormat="1" applyFont="1" applyFill="1" applyBorder="1" applyAlignment="1">
      <alignment horizontal="center" vertical="center" wrapText="1"/>
    </xf>
    <xf numFmtId="4" fontId="41" fillId="0" borderId="7" xfId="38" applyNumberFormat="1" applyFont="1" applyFill="1" applyBorder="1" applyAlignment="1" applyProtection="1">
      <alignment horizontal="center" vertical="center" wrapText="1"/>
    </xf>
    <xf numFmtId="0" fontId="39" fillId="0" borderId="8" xfId="38" applyNumberFormat="1" applyFont="1" applyFill="1" applyBorder="1" applyAlignment="1" applyProtection="1">
      <alignment horizontal="center" vertical="center" wrapText="1"/>
      <protection locked="0"/>
    </xf>
    <xf numFmtId="49" fontId="40" fillId="31" borderId="7" xfId="0" applyNumberFormat="1" applyFont="1" applyFill="1" applyBorder="1" applyAlignment="1">
      <alignment horizontal="center" vertical="center"/>
    </xf>
    <xf numFmtId="49" fontId="38" fillId="31" borderId="7" xfId="0" applyNumberFormat="1" applyFont="1" applyFill="1" applyBorder="1" applyAlignment="1">
      <alignment horizontal="center" vertical="center"/>
    </xf>
    <xf numFmtId="4" fontId="44" fillId="31" borderId="7" xfId="38" applyNumberFormat="1" applyFont="1" applyFill="1" applyBorder="1" applyAlignment="1" applyProtection="1">
      <alignment horizontal="center" vertical="center" wrapText="1"/>
      <protection locked="0"/>
    </xf>
    <xf numFmtId="0" fontId="111" fillId="33" borderId="7" xfId="0" applyFont="1" applyFill="1" applyBorder="1" applyAlignment="1">
      <alignment horizontal="center" vertical="center" wrapText="1"/>
    </xf>
    <xf numFmtId="0" fontId="111" fillId="33" borderId="7" xfId="0" applyFont="1" applyFill="1" applyBorder="1" applyAlignment="1">
      <alignment horizontal="left" vertical="center" wrapText="1"/>
    </xf>
    <xf numFmtId="4" fontId="39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39" fillId="0" borderId="7" xfId="0" applyFont="1" applyFill="1" applyBorder="1" applyAlignment="1">
      <alignment vertical="center" wrapText="1"/>
    </xf>
    <xf numFmtId="0" fontId="111" fillId="0" borderId="7" xfId="0" applyFont="1" applyFill="1" applyBorder="1" applyAlignment="1">
      <alignment horizontal="center" vertical="center" wrapText="1"/>
    </xf>
    <xf numFmtId="0" fontId="112" fillId="0" borderId="7" xfId="0" applyFont="1" applyFill="1" applyBorder="1" applyAlignment="1">
      <alignment horizontal="center" vertical="center" wrapText="1"/>
    </xf>
    <xf numFmtId="0" fontId="39" fillId="0" borderId="9" xfId="38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35" applyFont="1" applyFill="1" applyBorder="1" applyAlignment="1">
      <alignment horizontal="center" vertical="center" wrapText="1"/>
    </xf>
    <xf numFmtId="2" fontId="113" fillId="0" borderId="0" xfId="36" applyNumberFormat="1" applyFont="1" applyFill="1" applyBorder="1" applyAlignment="1" applyProtection="1">
      <alignment horizontal="center" vertical="top"/>
    </xf>
    <xf numFmtId="4" fontId="44" fillId="31" borderId="7" xfId="0" applyNumberFormat="1" applyFont="1" applyFill="1" applyBorder="1" applyAlignment="1">
      <alignment horizontal="center" vertical="center"/>
    </xf>
    <xf numFmtId="0" fontId="114" fillId="0" borderId="7" xfId="0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0" fontId="29" fillId="31" borderId="7" xfId="35" applyFont="1" applyFill="1" applyBorder="1" applyAlignment="1">
      <alignment horizontal="center" vertical="center" wrapText="1"/>
    </xf>
    <xf numFmtId="4" fontId="48" fillId="31" borderId="7" xfId="35" applyNumberFormat="1" applyFont="1" applyFill="1" applyBorder="1" applyAlignment="1">
      <alignment horizontal="center" vertical="center" wrapText="1"/>
    </xf>
    <xf numFmtId="4" fontId="29" fillId="31" borderId="7" xfId="35" applyNumberFormat="1" applyFont="1" applyFill="1" applyBorder="1" applyAlignment="1">
      <alignment horizontal="center" vertical="center" wrapText="1"/>
    </xf>
    <xf numFmtId="49" fontId="28" fillId="31" borderId="7" xfId="35" applyNumberFormat="1" applyFont="1" applyFill="1" applyBorder="1" applyAlignment="1">
      <alignment horizontal="center" vertical="center" wrapText="1"/>
    </xf>
    <xf numFmtId="164" fontId="14" fillId="31" borderId="7" xfId="30" applyNumberFormat="1" applyFont="1" applyFill="1" applyBorder="1" applyAlignment="1">
      <alignment horizontal="center" vertical="center"/>
    </xf>
    <xf numFmtId="164" fontId="30" fillId="31" borderId="7" xfId="30" applyNumberFormat="1" applyFont="1" applyFill="1" applyBorder="1" applyAlignment="1">
      <alignment horizontal="center" vertical="center"/>
    </xf>
    <xf numFmtId="49" fontId="29" fillId="31" borderId="7" xfId="35" applyNumberFormat="1" applyFont="1" applyFill="1" applyBorder="1" applyAlignment="1">
      <alignment horizontal="center" vertical="center" wrapText="1"/>
    </xf>
    <xf numFmtId="0" fontId="48" fillId="31" borderId="7" xfId="0" applyFont="1" applyFill="1" applyBorder="1" applyAlignment="1">
      <alignment horizontal="center" vertical="center" wrapText="1"/>
    </xf>
    <xf numFmtId="0" fontId="29" fillId="31" borderId="7" xfId="0" applyFont="1" applyFill="1" applyBorder="1" applyAlignment="1">
      <alignment horizontal="center" vertical="center" wrapText="1"/>
    </xf>
    <xf numFmtId="4" fontId="41" fillId="31" borderId="7" xfId="0" applyNumberFormat="1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" fontId="41" fillId="0" borderId="7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0" fontId="9" fillId="0" borderId="7" xfId="3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center"/>
    </xf>
    <xf numFmtId="0" fontId="61" fillId="0" borderId="7" xfId="0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/>
    </xf>
    <xf numFmtId="4" fontId="44" fillId="29" borderId="7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4" fillId="0" borderId="7" xfId="0" applyNumberFormat="1" applyFont="1" applyFill="1" applyBorder="1" applyAlignment="1">
      <alignment horizontal="center" vertical="center" wrapText="1"/>
    </xf>
    <xf numFmtId="0" fontId="115" fillId="0" borderId="0" xfId="0" applyFont="1" applyFill="1"/>
    <xf numFmtId="0" fontId="115" fillId="0" borderId="0" xfId="0" applyFont="1"/>
    <xf numFmtId="0" fontId="115" fillId="0" borderId="0" xfId="36" applyNumberFormat="1" applyFont="1" applyFill="1" applyBorder="1" applyAlignment="1" applyProtection="1">
      <alignment vertical="top"/>
    </xf>
    <xf numFmtId="0" fontId="115" fillId="0" borderId="0" xfId="35" applyFont="1" applyFill="1"/>
    <xf numFmtId="0" fontId="43" fillId="0" borderId="0" xfId="36" applyNumberFormat="1" applyFont="1" applyFill="1" applyBorder="1" applyAlignment="1" applyProtection="1">
      <alignment vertical="top"/>
    </xf>
    <xf numFmtId="0" fontId="43" fillId="0" borderId="0" xfId="35" applyNumberFormat="1" applyFont="1" applyFill="1" applyAlignment="1" applyProtection="1">
      <alignment horizontal="center" vertical="center"/>
    </xf>
    <xf numFmtId="0" fontId="43" fillId="0" borderId="0" xfId="35" applyFont="1" applyFill="1"/>
    <xf numFmtId="4" fontId="116" fillId="0" borderId="0" xfId="0" applyNumberFormat="1" applyFont="1" applyAlignment="1">
      <alignment horizontal="center" vertical="center"/>
    </xf>
    <xf numFmtId="4" fontId="117" fillId="0" borderId="0" xfId="0" applyNumberFormat="1" applyFont="1" applyAlignment="1">
      <alignment vertical="center"/>
    </xf>
    <xf numFmtId="9" fontId="28" fillId="0" borderId="7" xfId="0" applyNumberFormat="1" applyFont="1" applyFill="1" applyBorder="1" applyAlignment="1">
      <alignment horizontal="center" vertical="center" wrapText="1"/>
    </xf>
    <xf numFmtId="9" fontId="31" fillId="0" borderId="7" xfId="30" applyNumberFormat="1" applyFont="1" applyFill="1" applyBorder="1" applyAlignment="1">
      <alignment horizontal="center" vertical="center"/>
    </xf>
    <xf numFmtId="0" fontId="118" fillId="0" borderId="0" xfId="87" applyFont="1" applyAlignment="1">
      <alignment vertical="center"/>
    </xf>
    <xf numFmtId="0" fontId="1" fillId="0" borderId="0" xfId="87"/>
    <xf numFmtId="0" fontId="118" fillId="0" borderId="0" xfId="87" applyFont="1" applyAlignment="1">
      <alignment horizontal="center" vertical="center" wrapText="1"/>
    </xf>
    <xf numFmtId="0" fontId="120" fillId="0" borderId="7" xfId="87" applyFont="1" applyBorder="1" applyAlignment="1">
      <alignment horizontal="center" vertical="center" wrapText="1"/>
    </xf>
    <xf numFmtId="0" fontId="121" fillId="0" borderId="7" xfId="87" applyFont="1" applyBorder="1" applyAlignment="1">
      <alignment horizontal="center" vertical="center" wrapText="1"/>
    </xf>
    <xf numFmtId="49" fontId="118" fillId="0" borderId="7" xfId="87" applyNumberFormat="1" applyFont="1" applyBorder="1" applyAlignment="1">
      <alignment horizontal="center" vertical="center" wrapText="1"/>
    </xf>
    <xf numFmtId="0" fontId="118" fillId="0" borderId="7" xfId="87" applyFont="1" applyBorder="1" applyAlignment="1">
      <alignment horizontal="center" vertical="center" wrapText="1"/>
    </xf>
    <xf numFmtId="166" fontId="118" fillId="0" borderId="7" xfId="87" applyNumberFormat="1" applyFont="1" applyBorder="1" applyAlignment="1">
      <alignment horizontal="center" vertical="center" wrapText="1"/>
    </xf>
    <xf numFmtId="0" fontId="122" fillId="0" borderId="7" xfId="87" applyFont="1" applyBorder="1" applyAlignment="1">
      <alignment horizontal="center" vertical="center" wrapText="1"/>
    </xf>
    <xf numFmtId="0" fontId="123" fillId="0" borderId="7" xfId="87" applyFont="1" applyBorder="1" applyAlignment="1">
      <alignment horizontal="center" vertical="center" wrapText="1"/>
    </xf>
    <xf numFmtId="0" fontId="124" fillId="0" borderId="0" xfId="87" applyFont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" fontId="41" fillId="0" borderId="7" xfId="0" applyNumberFormat="1" applyFont="1" applyFill="1" applyBorder="1" applyAlignment="1">
      <alignment horizontal="center" vertical="center" wrapText="1"/>
    </xf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59" fillId="0" borderId="0" xfId="39" applyNumberFormat="1" applyFont="1" applyFill="1" applyBorder="1" applyAlignment="1" applyProtection="1">
      <alignment horizontal="center" vertical="center"/>
    </xf>
    <xf numFmtId="0" fontId="59" fillId="0" borderId="0" xfId="39" applyFont="1" applyFill="1" applyBorder="1" applyAlignment="1">
      <alignment horizontal="center" vertical="center"/>
    </xf>
    <xf numFmtId="0" fontId="59" fillId="0" borderId="0" xfId="39" applyNumberFormat="1" applyFont="1" applyFill="1" applyAlignment="1" applyProtection="1">
      <alignment horizontal="center" vertical="center"/>
    </xf>
    <xf numFmtId="0" fontId="59" fillId="0" borderId="0" xfId="39" applyFont="1" applyFill="1" applyAlignment="1">
      <alignment horizontal="center" vertical="center"/>
    </xf>
    <xf numFmtId="0" fontId="9" fillId="0" borderId="7" xfId="39" applyNumberFormat="1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9" fillId="0" borderId="0" xfId="0" applyFont="1" applyFill="1" applyAlignment="1">
      <alignment horizontal="center"/>
    </xf>
    <xf numFmtId="0" fontId="61" fillId="0" borderId="7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37" fillId="0" borderId="8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9" fontId="39" fillId="0" borderId="8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" fontId="39" fillId="0" borderId="8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9" fillId="0" borderId="0" xfId="0" applyFont="1" applyAlignment="1"/>
    <xf numFmtId="4" fontId="41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 wrapText="1"/>
    </xf>
    <xf numFmtId="0" fontId="94" fillId="0" borderId="12" xfId="0" applyFont="1" applyBorder="1" applyAlignment="1">
      <alignment horizontal="left" vertical="center"/>
    </xf>
    <xf numFmtId="0" fontId="96" fillId="0" borderId="12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08" fillId="0" borderId="7" xfId="35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8" fillId="0" borderId="0" xfId="0" applyFont="1" applyAlignment="1"/>
    <xf numFmtId="0" fontId="28" fillId="0" borderId="0" xfId="35" applyNumberFormat="1" applyFont="1" applyFill="1" applyAlignment="1" applyProtection="1">
      <alignment horizontal="center" vertical="center" wrapText="1"/>
    </xf>
    <xf numFmtId="0" fontId="10" fillId="0" borderId="0" xfId="35" applyNumberFormat="1" applyFont="1" applyFill="1" applyAlignment="1" applyProtection="1">
      <alignment horizontal="center" vertical="center" wrapText="1"/>
    </xf>
    <xf numFmtId="0" fontId="9" fillId="0" borderId="7" xfId="35" applyNumberFormat="1" applyFont="1" applyFill="1" applyBorder="1" applyAlignment="1" applyProtection="1">
      <alignment horizontal="center" vertical="center" wrapText="1"/>
    </xf>
    <xf numFmtId="0" fontId="71" fillId="0" borderId="0" xfId="35" applyFont="1" applyFill="1" applyAlignment="1"/>
    <xf numFmtId="0" fontId="12" fillId="0" borderId="7" xfId="35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0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8" fillId="0" borderId="0" xfId="35" applyNumberFormat="1" applyFont="1" applyFill="1" applyAlignment="1" applyProtection="1">
      <alignment horizontal="center" vertical="center"/>
    </xf>
    <xf numFmtId="0" fontId="46" fillId="0" borderId="0" xfId="35" applyNumberFormat="1" applyFont="1" applyFill="1" applyBorder="1" applyAlignment="1" applyProtection="1">
      <alignment horizontal="center" vertical="center" wrapText="1"/>
    </xf>
    <xf numFmtId="0" fontId="10" fillId="0" borderId="0" xfId="35" applyNumberFormat="1" applyFont="1" applyFill="1" applyBorder="1" applyAlignment="1" applyProtection="1">
      <alignment horizontal="center" vertical="center" wrapText="1"/>
    </xf>
    <xf numFmtId="164" fontId="52" fillId="30" borderId="8" xfId="30" applyNumberFormat="1" applyFont="1" applyFill="1" applyBorder="1" applyAlignment="1">
      <alignment horizontal="center" vertical="center"/>
    </xf>
    <xf numFmtId="0" fontId="0" fillId="30" borderId="10" xfId="0" applyFill="1" applyBorder="1" applyAlignment="1"/>
    <xf numFmtId="0" fontId="73" fillId="0" borderId="0" xfId="36" applyNumberFormat="1" applyFont="1" applyFill="1" applyBorder="1" applyAlignment="1" applyProtection="1">
      <alignment horizontal="center"/>
    </xf>
    <xf numFmtId="0" fontId="7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3" fillId="0" borderId="0" xfId="36" applyNumberFormat="1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2" fontId="75" fillId="0" borderId="7" xfId="36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11" fillId="0" borderId="0" xfId="36" applyNumberFormat="1" applyFont="1" applyFill="1" applyBorder="1" applyAlignment="1" applyProtection="1">
      <alignment horizontal="left" vertical="top" wrapText="1"/>
    </xf>
    <xf numFmtId="2" fontId="9" fillId="0" borderId="17" xfId="36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2" fontId="73" fillId="0" borderId="17" xfId="36" applyNumberFormat="1" applyFont="1" applyFill="1" applyBorder="1" applyAlignment="1" applyProtection="1">
      <alignment horizontal="center" vertical="center"/>
    </xf>
    <xf numFmtId="2" fontId="73" fillId="29" borderId="7" xfId="36" applyNumberFormat="1" applyFont="1" applyFill="1" applyBorder="1" applyAlignment="1" applyProtection="1">
      <alignment horizontal="center" vertical="center" wrapText="1"/>
    </xf>
    <xf numFmtId="2" fontId="73" fillId="0" borderId="7" xfId="36" applyNumberFormat="1" applyFont="1" applyFill="1" applyBorder="1" applyAlignment="1" applyProtection="1">
      <alignment horizontal="center" vertical="center" wrapText="1"/>
    </xf>
    <xf numFmtId="0" fontId="68" fillId="0" borderId="0" xfId="36" applyNumberFormat="1" applyFont="1" applyFill="1" applyBorder="1" applyAlignment="1" applyProtection="1">
      <alignment vertical="top"/>
    </xf>
    <xf numFmtId="0" fontId="8" fillId="0" borderId="0" xfId="36" applyNumberFormat="1" applyFont="1" applyFill="1" applyBorder="1" applyAlignment="1" applyProtection="1">
      <alignment horizontal="center" vertical="center" wrapText="1"/>
    </xf>
    <xf numFmtId="0" fontId="74" fillId="0" borderId="0" xfId="0" applyFont="1" applyAlignment="1">
      <alignment horizontal="center" vertical="center"/>
    </xf>
    <xf numFmtId="2" fontId="9" fillId="29" borderId="7" xfId="36" applyNumberFormat="1" applyFont="1" applyFill="1" applyBorder="1" applyAlignment="1" applyProtection="1">
      <alignment horizontal="center" vertical="center"/>
    </xf>
    <xf numFmtId="2" fontId="75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7" fillId="29" borderId="17" xfId="0" applyFont="1" applyFill="1" applyBorder="1" applyAlignment="1">
      <alignment horizontal="center" vertical="center"/>
    </xf>
    <xf numFmtId="0" fontId="97" fillId="29" borderId="18" xfId="0" applyFont="1" applyFill="1" applyBorder="1" applyAlignment="1">
      <alignment horizontal="center" vertical="center"/>
    </xf>
    <xf numFmtId="0" fontId="97" fillId="29" borderId="14" xfId="0" applyFont="1" applyFill="1" applyBorder="1" applyAlignment="1">
      <alignment horizontal="center" vertical="center"/>
    </xf>
    <xf numFmtId="0" fontId="8" fillId="0" borderId="0" xfId="36" applyNumberFormat="1" applyFont="1" applyFill="1" applyBorder="1" applyAlignment="1" applyProtection="1">
      <alignment horizontal="left" vertical="top" wrapText="1"/>
    </xf>
    <xf numFmtId="0" fontId="9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4" fontId="43" fillId="0" borderId="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111" fillId="0" borderId="8" xfId="30" applyNumberFormat="1" applyFont="1" applyFill="1" applyBorder="1" applyAlignment="1">
      <alignment horizontal="center" vertical="center" wrapText="1"/>
    </xf>
    <xf numFmtId="49" fontId="38" fillId="0" borderId="8" xfId="0" applyNumberFormat="1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43" fillId="0" borderId="8" xfId="38" applyNumberFormat="1" applyFont="1" applyFill="1" applyBorder="1" applyAlignment="1" applyProtection="1">
      <alignment horizontal="center" vertical="center" wrapText="1"/>
    </xf>
    <xf numFmtId="4" fontId="42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120" fillId="0" borderId="7" xfId="87" applyFont="1" applyBorder="1" applyAlignment="1">
      <alignment horizontal="center" vertical="center" wrapText="1"/>
    </xf>
    <xf numFmtId="0" fontId="118" fillId="0" borderId="0" xfId="87" applyFont="1" applyAlignment="1">
      <alignment horizontal="right" vertical="center"/>
    </xf>
    <xf numFmtId="0" fontId="119" fillId="0" borderId="0" xfId="87" applyFont="1" applyAlignment="1">
      <alignment horizontal="center" vertical="center"/>
    </xf>
    <xf numFmtId="49" fontId="119" fillId="34" borderId="0" xfId="87" applyNumberFormat="1" applyFont="1" applyFill="1" applyBorder="1" applyAlignment="1">
      <alignment horizontal="center" vertical="center" wrapText="1"/>
    </xf>
    <xf numFmtId="4" fontId="28" fillId="0" borderId="10" xfId="30" applyNumberFormat="1" applyFont="1" applyFill="1" applyBorder="1" applyAlignment="1">
      <alignment horizontal="center" vertical="center"/>
    </xf>
    <xf numFmtId="9" fontId="28" fillId="0" borderId="10" xfId="30" applyNumberFormat="1" applyFont="1" applyFill="1" applyBorder="1" applyAlignment="1">
      <alignment horizontal="center" vertical="center"/>
    </xf>
    <xf numFmtId="9" fontId="49" fillId="0" borderId="7" xfId="30" applyNumberFormat="1" applyFont="1" applyFill="1" applyBorder="1" applyAlignment="1">
      <alignment horizontal="center" vertical="center"/>
    </xf>
  </cellXfs>
  <cellStyles count="88">
    <cellStyle name="20% - Акцент1" xfId="47" xr:uid="{00000000-0005-0000-0000-000000000000}"/>
    <cellStyle name="20% - Акцент2" xfId="48" xr:uid="{00000000-0005-0000-0000-000001000000}"/>
    <cellStyle name="20% - Акцент3" xfId="49" xr:uid="{00000000-0005-0000-0000-000002000000}"/>
    <cellStyle name="20% - Акцент4" xfId="50" xr:uid="{00000000-0005-0000-0000-000003000000}"/>
    <cellStyle name="20% - Акцент5" xfId="51" xr:uid="{00000000-0005-0000-0000-000004000000}"/>
    <cellStyle name="20% - Акцент6" xfId="52" xr:uid="{00000000-0005-0000-0000-000005000000}"/>
    <cellStyle name="40% - Акцент1" xfId="53" xr:uid="{00000000-0005-0000-0000-000006000000}"/>
    <cellStyle name="40% - Акцент2" xfId="54" xr:uid="{00000000-0005-0000-0000-000007000000}"/>
    <cellStyle name="40% - Акцент3" xfId="55" xr:uid="{00000000-0005-0000-0000-000008000000}"/>
    <cellStyle name="40% - Акцент4" xfId="56" xr:uid="{00000000-0005-0000-0000-000009000000}"/>
    <cellStyle name="40% - Акцент5" xfId="57" xr:uid="{00000000-0005-0000-0000-00000A000000}"/>
    <cellStyle name="40% - Акцент6" xfId="58" xr:uid="{00000000-0005-0000-0000-00000B000000}"/>
    <cellStyle name="60% - Акцент1" xfId="59" xr:uid="{00000000-0005-0000-0000-00000C000000}"/>
    <cellStyle name="60% - Акцент2" xfId="60" xr:uid="{00000000-0005-0000-0000-00000D000000}"/>
    <cellStyle name="60% - Акцент3" xfId="61" xr:uid="{00000000-0005-0000-0000-00000E000000}"/>
    <cellStyle name="60% - Акцент4" xfId="62" xr:uid="{00000000-0005-0000-0000-00000F000000}"/>
    <cellStyle name="60% - Акцент5" xfId="63" xr:uid="{00000000-0005-0000-0000-000010000000}"/>
    <cellStyle name="60% - Акцент6" xfId="64" xr:uid="{00000000-0005-0000-0000-000011000000}"/>
    <cellStyle name="Excel Built-in Обычный_УКБ до бюджету 2016р ост" xfId="85" xr:uid="{00000000-0005-0000-0000-000012000000}"/>
    <cellStyle name="Normal_meresha_07" xfId="1" xr:uid="{00000000-0005-0000-0000-000013000000}"/>
    <cellStyle name="Акцент1" xfId="65" xr:uid="{00000000-0005-0000-0000-000014000000}"/>
    <cellStyle name="Акцент2" xfId="66" xr:uid="{00000000-0005-0000-0000-000015000000}"/>
    <cellStyle name="Акцент3" xfId="67" xr:uid="{00000000-0005-0000-0000-000016000000}"/>
    <cellStyle name="Акцент4" xfId="68" xr:uid="{00000000-0005-0000-0000-000017000000}"/>
    <cellStyle name="Акцент5" xfId="69" xr:uid="{00000000-0005-0000-0000-000018000000}"/>
    <cellStyle name="Акцент6" xfId="70" xr:uid="{00000000-0005-0000-0000-000019000000}"/>
    <cellStyle name="Ввід" xfId="2" xr:uid="{00000000-0005-0000-0000-00001A000000}"/>
    <cellStyle name="Ввод " xfId="71" xr:uid="{00000000-0005-0000-0000-00001B000000}"/>
    <cellStyle name="Вывод" xfId="72" xr:uid="{00000000-0005-0000-0000-00001C000000}"/>
    <cellStyle name="Вычисление" xfId="73" xr:uid="{00000000-0005-0000-0000-00001D000000}"/>
    <cellStyle name="Гіперпосилання 2" xfId="74" xr:uid="{00000000-0005-0000-0000-00001E000000}"/>
    <cellStyle name="Добре" xfId="3" xr:uid="{00000000-0005-0000-0000-00001F000000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 xr:uid="{00000000-0005-0000-0000-000025000000}"/>
    <cellStyle name="Звичайний 11" xfId="9" xr:uid="{00000000-0005-0000-0000-000026000000}"/>
    <cellStyle name="Звичайний 12" xfId="10" xr:uid="{00000000-0005-0000-0000-000027000000}"/>
    <cellStyle name="Звичайний 13" xfId="11" xr:uid="{00000000-0005-0000-0000-000028000000}"/>
    <cellStyle name="Звичайний 14" xfId="12" xr:uid="{00000000-0005-0000-0000-000029000000}"/>
    <cellStyle name="Звичайний 15" xfId="13" xr:uid="{00000000-0005-0000-0000-00002A000000}"/>
    <cellStyle name="Звичайний 16" xfId="14" xr:uid="{00000000-0005-0000-0000-00002B000000}"/>
    <cellStyle name="Звичайний 17" xfId="15" xr:uid="{00000000-0005-0000-0000-00002C000000}"/>
    <cellStyle name="Звичайний 18" xfId="16" xr:uid="{00000000-0005-0000-0000-00002D000000}"/>
    <cellStyle name="Звичайний 19" xfId="17" xr:uid="{00000000-0005-0000-0000-00002E000000}"/>
    <cellStyle name="Звичайний 2" xfId="18" xr:uid="{00000000-0005-0000-0000-00002F000000}"/>
    <cellStyle name="Звичайний 2 2" xfId="19" xr:uid="{00000000-0005-0000-0000-000030000000}"/>
    <cellStyle name="Звичайний 20" xfId="20" xr:uid="{00000000-0005-0000-0000-000031000000}"/>
    <cellStyle name="Звичайний 21" xfId="87" xr:uid="{00000000-0005-0000-0000-000032000000}"/>
    <cellStyle name="Звичайний 3" xfId="21" xr:uid="{00000000-0005-0000-0000-000033000000}"/>
    <cellStyle name="Звичайний 3 2" xfId="22" xr:uid="{00000000-0005-0000-0000-000034000000}"/>
    <cellStyle name="Звичайний 4" xfId="23" xr:uid="{00000000-0005-0000-0000-000035000000}"/>
    <cellStyle name="Звичайний 4 2" xfId="24" xr:uid="{00000000-0005-0000-0000-000036000000}"/>
    <cellStyle name="Звичайний 5" xfId="25" xr:uid="{00000000-0005-0000-0000-000037000000}"/>
    <cellStyle name="Звичайний 6" xfId="26" xr:uid="{00000000-0005-0000-0000-000038000000}"/>
    <cellStyle name="Звичайний 7" xfId="27" xr:uid="{00000000-0005-0000-0000-000039000000}"/>
    <cellStyle name="Звичайний 8" xfId="28" xr:uid="{00000000-0005-0000-0000-00003A000000}"/>
    <cellStyle name="Звичайний 9" xfId="29" xr:uid="{00000000-0005-0000-0000-00003B000000}"/>
    <cellStyle name="Звичайний_Додаток _ 3 зм_ни 4575" xfId="30" xr:uid="{00000000-0005-0000-0000-00003C000000}"/>
    <cellStyle name="Зв'язана клітинка" xfId="42" xr:uid="{00000000-0005-0000-0000-00003D000000}"/>
    <cellStyle name="Итог" xfId="75" xr:uid="{00000000-0005-0000-0000-00003E000000}"/>
    <cellStyle name="Контрольна клітинка" xfId="31" xr:uid="{00000000-0005-0000-0000-00003F000000}"/>
    <cellStyle name="Контрольная ячейка" xfId="76" xr:uid="{00000000-0005-0000-0000-000040000000}"/>
    <cellStyle name="Назва" xfId="32" xr:uid="{00000000-0005-0000-0000-000041000000}"/>
    <cellStyle name="Название" xfId="77" xr:uid="{00000000-0005-0000-0000-000042000000}"/>
    <cellStyle name="Нейтральный" xfId="78" xr:uid="{00000000-0005-0000-0000-000043000000}"/>
    <cellStyle name="Обычный 2" xfId="33" xr:uid="{00000000-0005-0000-0000-000044000000}"/>
    <cellStyle name="Обычный 2 2" xfId="34" xr:uid="{00000000-0005-0000-0000-000045000000}"/>
    <cellStyle name="Обычный 3" xfId="35" xr:uid="{00000000-0005-0000-0000-000046000000}"/>
    <cellStyle name="Обычный 4 3" xfId="86" xr:uid="{00000000-0005-0000-0000-000047000000}"/>
    <cellStyle name="Обычный_Plan_kapbud_2006 уточн." xfId="36" xr:uid="{00000000-0005-0000-0000-000048000000}"/>
    <cellStyle name="Обычный_дод.1" xfId="37" xr:uid="{00000000-0005-0000-0000-000049000000}"/>
    <cellStyle name="Обычный_Додаток 2 до бюджету 2000 року" xfId="38" xr:uid="{00000000-0005-0000-0000-00004A000000}"/>
    <cellStyle name="Обычный_Додаток №1" xfId="39" xr:uid="{00000000-0005-0000-0000-00004B000000}"/>
    <cellStyle name="Обычный_КАПІТАЛЬНІ  ВКЛАДЕННЯ 2015 2 2" xfId="46" xr:uid="{00000000-0005-0000-0000-00004C000000}"/>
    <cellStyle name="Обычный_УЖКГ бюджет 2016 Після Ямчука 2" xfId="40" xr:uid="{00000000-0005-0000-0000-00004D000000}"/>
    <cellStyle name="Обычный_УКБ до бюджету 2016р ост" xfId="41" xr:uid="{00000000-0005-0000-0000-00004E000000}"/>
    <cellStyle name="Плохой" xfId="79" xr:uid="{00000000-0005-0000-0000-00004F000000}"/>
    <cellStyle name="Пояснение" xfId="80" xr:uid="{00000000-0005-0000-0000-000050000000}"/>
    <cellStyle name="Примечание" xfId="81" xr:uid="{00000000-0005-0000-0000-000051000000}"/>
    <cellStyle name="Связанная ячейка" xfId="82" xr:uid="{00000000-0005-0000-0000-000052000000}"/>
    <cellStyle name="Середній" xfId="43" xr:uid="{00000000-0005-0000-0000-000053000000}"/>
    <cellStyle name="Стиль 1" xfId="44" xr:uid="{00000000-0005-0000-0000-000054000000}"/>
    <cellStyle name="Текст попередження" xfId="45" xr:uid="{00000000-0005-0000-0000-000055000000}"/>
    <cellStyle name="Текст предупреждения" xfId="83" xr:uid="{00000000-0005-0000-0000-000056000000}"/>
    <cellStyle name="Хороший" xfId="84" xr:uid="{00000000-0005-0000-0000-000057000000}"/>
  </cellStyles>
  <dxfs count="0"/>
  <tableStyles count="0" defaultTableStyle="TableStyleMedium2" defaultPivotStyle="PivotStyleLight16"/>
  <colors>
    <mruColors>
      <color rgb="FFCCFFFF"/>
      <color rgb="FFFFFFCC"/>
      <color rgb="FF99FF99"/>
      <color rgb="FF66FFFF"/>
      <color rgb="FFFF99FF"/>
      <color rgb="FFFFFF99"/>
      <color rgb="FF66FFCC"/>
      <color rgb="FFFF9900"/>
      <color rgb="FFFB0592"/>
      <color rgb="FF2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50"/>
  <sheetViews>
    <sheetView showZeros="0" view="pageBreakPreview" topLeftCell="A57" zoomScaleSheetLayoutView="100" workbookViewId="0">
      <selection activeCell="D68" sqref="D68"/>
    </sheetView>
  </sheetViews>
  <sheetFormatPr defaultColWidth="6.85546875" defaultRowHeight="12.75" x14ac:dyDescent="0.2"/>
  <cols>
    <col min="1" max="1" width="10.140625" style="29" customWidth="1"/>
    <col min="2" max="2" width="40.42578125" style="29" customWidth="1"/>
    <col min="3" max="4" width="17.28515625" style="29" customWidth="1"/>
    <col min="5" max="5" width="15.7109375" style="29" customWidth="1"/>
    <col min="6" max="6" width="14.5703125" style="29" customWidth="1"/>
    <col min="7" max="11" width="7.85546875" style="29" customWidth="1"/>
    <col min="12" max="243" width="7.85546875" style="30" customWidth="1"/>
    <col min="244" max="252" width="7.85546875" style="29" customWidth="1"/>
    <col min="253" max="16384" width="6.85546875" style="30"/>
  </cols>
  <sheetData>
    <row r="1" spans="1:252" ht="15.75" x14ac:dyDescent="0.2">
      <c r="D1" s="425" t="s">
        <v>92</v>
      </c>
      <c r="E1" s="426"/>
      <c r="F1" s="426"/>
      <c r="G1" s="426"/>
    </row>
    <row r="2" spans="1:252" ht="15.75" x14ac:dyDescent="0.2">
      <c r="C2" s="31"/>
      <c r="D2" s="425" t="s">
        <v>232</v>
      </c>
      <c r="E2" s="427"/>
      <c r="F2" s="427"/>
      <c r="G2" s="427"/>
      <c r="L2" s="29"/>
    </row>
    <row r="3" spans="1:252" ht="6" customHeight="1" x14ac:dyDescent="0.2">
      <c r="C3" s="31"/>
      <c r="D3" s="425"/>
      <c r="E3" s="427"/>
      <c r="F3" s="427"/>
      <c r="G3" s="427"/>
      <c r="L3" s="29"/>
    </row>
    <row r="4" spans="1:252" ht="20.25" hidden="1" x14ac:dyDescent="0.2">
      <c r="A4" s="428"/>
      <c r="B4" s="429"/>
      <c r="C4" s="429"/>
      <c r="D4" s="429"/>
      <c r="E4" s="429"/>
      <c r="F4" s="32"/>
      <c r="G4" s="32"/>
    </row>
    <row r="5" spans="1:252" ht="25.5" customHeight="1" x14ac:dyDescent="0.2">
      <c r="A5" s="430" t="s">
        <v>659</v>
      </c>
      <c r="B5" s="431"/>
      <c r="C5" s="431"/>
      <c r="D5" s="431"/>
      <c r="E5" s="431"/>
      <c r="G5" s="32"/>
    </row>
    <row r="6" spans="1:252" ht="10.5" customHeight="1" x14ac:dyDescent="0.2">
      <c r="B6" s="33"/>
      <c r="C6" s="33"/>
      <c r="D6" s="33"/>
      <c r="E6" s="33"/>
      <c r="F6" s="33" t="s">
        <v>93</v>
      </c>
      <c r="G6" s="32"/>
    </row>
    <row r="7" spans="1:252" s="36" customFormat="1" ht="31.7" customHeight="1" x14ac:dyDescent="0.2">
      <c r="A7" s="432" t="s">
        <v>94</v>
      </c>
      <c r="B7" s="432" t="s">
        <v>95</v>
      </c>
      <c r="C7" s="432" t="s">
        <v>667</v>
      </c>
      <c r="D7" s="432" t="s">
        <v>25</v>
      </c>
      <c r="E7" s="432" t="s">
        <v>84</v>
      </c>
      <c r="F7" s="432"/>
      <c r="G7" s="34"/>
      <c r="H7" s="35"/>
      <c r="I7" s="35"/>
      <c r="J7" s="35"/>
      <c r="K7" s="35"/>
      <c r="IJ7" s="35"/>
      <c r="IK7" s="35"/>
      <c r="IL7" s="35"/>
      <c r="IM7" s="35"/>
      <c r="IN7" s="35"/>
      <c r="IO7" s="35"/>
      <c r="IP7" s="35"/>
      <c r="IQ7" s="35"/>
      <c r="IR7" s="35"/>
    </row>
    <row r="8" spans="1:252" s="40" customFormat="1" ht="38.25" x14ac:dyDescent="0.25">
      <c r="A8" s="432"/>
      <c r="B8" s="432"/>
      <c r="C8" s="432"/>
      <c r="D8" s="432"/>
      <c r="E8" s="384" t="s">
        <v>667</v>
      </c>
      <c r="F8" s="37" t="s">
        <v>789</v>
      </c>
      <c r="G8" s="38"/>
      <c r="H8" s="39"/>
      <c r="I8" s="39"/>
      <c r="J8" s="39"/>
      <c r="K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s="40" customFormat="1" ht="15.75" x14ac:dyDescent="0.25">
      <c r="A9" s="384">
        <v>1</v>
      </c>
      <c r="B9" s="384">
        <v>2</v>
      </c>
      <c r="C9" s="384">
        <v>3</v>
      </c>
      <c r="D9" s="384">
        <v>4</v>
      </c>
      <c r="E9" s="384">
        <v>5</v>
      </c>
      <c r="F9" s="37">
        <v>6</v>
      </c>
      <c r="G9" s="38"/>
      <c r="H9" s="39"/>
      <c r="I9" s="39"/>
      <c r="J9" s="39"/>
      <c r="K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s="46" customFormat="1" ht="14.25" x14ac:dyDescent="0.2">
      <c r="A10" s="41">
        <v>10000000</v>
      </c>
      <c r="B10" s="42" t="s">
        <v>96</v>
      </c>
      <c r="C10" s="43">
        <f>SUM(D10,E10)</f>
        <v>1600760595</v>
      </c>
      <c r="D10" s="43">
        <f>SUM(D11,D19,D20,D21,D22,D40)</f>
        <v>1600260595</v>
      </c>
      <c r="E10" s="43">
        <v>500000</v>
      </c>
      <c r="F10" s="43"/>
      <c r="G10" s="44"/>
      <c r="H10" s="45"/>
      <c r="I10" s="45"/>
      <c r="J10" s="45"/>
      <c r="K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pans="1:252" s="53" customFormat="1" ht="25.5" x14ac:dyDescent="0.2">
      <c r="A11" s="47">
        <v>11000000</v>
      </c>
      <c r="B11" s="48" t="s">
        <v>97</v>
      </c>
      <c r="C11" s="49">
        <f t="shared" ref="C11:C79" si="0">SUM(D11,E11)</f>
        <v>1005285095</v>
      </c>
      <c r="D11" s="49">
        <f>SUM(D12,D17)</f>
        <v>1005285095</v>
      </c>
      <c r="E11" s="50"/>
      <c r="F11" s="50"/>
      <c r="G11" s="51"/>
      <c r="H11" s="52"/>
      <c r="I11" s="52"/>
      <c r="J11" s="52"/>
      <c r="K11" s="52"/>
      <c r="IJ11" s="52"/>
      <c r="IK11" s="52"/>
      <c r="IL11" s="52"/>
      <c r="IM11" s="52"/>
      <c r="IN11" s="52"/>
      <c r="IO11" s="52"/>
      <c r="IP11" s="52"/>
      <c r="IQ11" s="52"/>
      <c r="IR11" s="52"/>
    </row>
    <row r="12" spans="1:252" s="53" customFormat="1" ht="14.25" x14ac:dyDescent="0.2">
      <c r="A12" s="41">
        <v>11010000</v>
      </c>
      <c r="B12" s="54" t="s">
        <v>98</v>
      </c>
      <c r="C12" s="49">
        <f t="shared" si="0"/>
        <v>1003644595</v>
      </c>
      <c r="D12" s="55">
        <f>SUM(D13:D16)</f>
        <v>1003644595</v>
      </c>
      <c r="E12" s="43"/>
      <c r="F12" s="43"/>
      <c r="G12" s="51"/>
      <c r="H12" s="52"/>
      <c r="I12" s="52"/>
      <c r="J12" s="52"/>
      <c r="K12" s="52"/>
      <c r="IJ12" s="52"/>
      <c r="IK12" s="52"/>
      <c r="IL12" s="52"/>
      <c r="IM12" s="52"/>
      <c r="IN12" s="52"/>
      <c r="IO12" s="52"/>
      <c r="IP12" s="52"/>
      <c r="IQ12" s="52"/>
      <c r="IR12" s="52"/>
    </row>
    <row r="13" spans="1:252" s="53" customFormat="1" ht="36" x14ac:dyDescent="0.2">
      <c r="A13" s="56">
        <v>11010100</v>
      </c>
      <c r="B13" s="57" t="s">
        <v>99</v>
      </c>
      <c r="C13" s="43">
        <f t="shared" si="0"/>
        <v>854144595</v>
      </c>
      <c r="D13" s="58">
        <v>854144595</v>
      </c>
      <c r="E13" s="58"/>
      <c r="F13" s="58"/>
      <c r="G13" s="51"/>
      <c r="H13" s="52"/>
      <c r="I13" s="52"/>
      <c r="J13" s="52"/>
      <c r="K13" s="52"/>
      <c r="IJ13" s="52"/>
      <c r="IK13" s="52"/>
      <c r="IL13" s="52"/>
      <c r="IM13" s="52"/>
      <c r="IN13" s="52"/>
      <c r="IO13" s="52"/>
      <c r="IP13" s="52"/>
      <c r="IQ13" s="52"/>
      <c r="IR13" s="52"/>
    </row>
    <row r="14" spans="1:252" s="53" customFormat="1" ht="60" x14ac:dyDescent="0.2">
      <c r="A14" s="56">
        <v>11010200</v>
      </c>
      <c r="B14" s="57" t="s">
        <v>100</v>
      </c>
      <c r="C14" s="43">
        <f t="shared" si="0"/>
        <v>124000000</v>
      </c>
      <c r="D14" s="58">
        <v>124000000</v>
      </c>
      <c r="E14" s="58"/>
      <c r="F14" s="58"/>
      <c r="G14" s="51"/>
      <c r="H14" s="52"/>
      <c r="I14" s="52"/>
      <c r="J14" s="52"/>
      <c r="K14" s="52"/>
      <c r="IJ14" s="52"/>
      <c r="IK14" s="52"/>
      <c r="IL14" s="52"/>
      <c r="IM14" s="52"/>
      <c r="IN14" s="52"/>
      <c r="IO14" s="52"/>
      <c r="IP14" s="52"/>
      <c r="IQ14" s="52"/>
      <c r="IR14" s="52"/>
    </row>
    <row r="15" spans="1:252" s="53" customFormat="1" ht="36" x14ac:dyDescent="0.2">
      <c r="A15" s="56">
        <v>11010400</v>
      </c>
      <c r="B15" s="57" t="s">
        <v>101</v>
      </c>
      <c r="C15" s="43">
        <f t="shared" si="0"/>
        <v>13000000</v>
      </c>
      <c r="D15" s="58">
        <v>13000000</v>
      </c>
      <c r="E15" s="58"/>
      <c r="F15" s="58"/>
      <c r="G15" s="51"/>
      <c r="H15" s="52"/>
      <c r="I15" s="52"/>
      <c r="J15" s="52"/>
      <c r="K15" s="52"/>
      <c r="IJ15" s="52"/>
      <c r="IK15" s="52"/>
      <c r="IL15" s="52"/>
      <c r="IM15" s="52"/>
      <c r="IN15" s="52"/>
      <c r="IO15" s="52"/>
      <c r="IP15" s="52"/>
      <c r="IQ15" s="52"/>
      <c r="IR15" s="52"/>
    </row>
    <row r="16" spans="1:252" s="39" customFormat="1" ht="36" x14ac:dyDescent="0.25">
      <c r="A16" s="56">
        <v>11010500</v>
      </c>
      <c r="B16" s="57" t="s">
        <v>102</v>
      </c>
      <c r="C16" s="43">
        <f t="shared" si="0"/>
        <v>12500000</v>
      </c>
      <c r="D16" s="58">
        <v>12500000</v>
      </c>
      <c r="E16" s="58"/>
      <c r="F16" s="58"/>
      <c r="G16" s="38"/>
    </row>
    <row r="17" spans="1:252" s="46" customFormat="1" ht="15" x14ac:dyDescent="0.2">
      <c r="A17" s="47">
        <v>11020000</v>
      </c>
      <c r="B17" s="54" t="s">
        <v>103</v>
      </c>
      <c r="C17" s="43">
        <f t="shared" si="0"/>
        <v>1640500</v>
      </c>
      <c r="D17" s="59">
        <v>1640500</v>
      </c>
      <c r="E17" s="60"/>
      <c r="F17" s="60"/>
      <c r="G17" s="44"/>
      <c r="H17" s="45"/>
      <c r="I17" s="45"/>
      <c r="J17" s="45"/>
      <c r="K17" s="45"/>
      <c r="IJ17" s="45"/>
      <c r="IK17" s="45"/>
      <c r="IL17" s="45"/>
      <c r="IM17" s="45"/>
      <c r="IN17" s="45"/>
      <c r="IO17" s="45"/>
      <c r="IP17" s="45"/>
      <c r="IQ17" s="45"/>
      <c r="IR17" s="45"/>
    </row>
    <row r="18" spans="1:252" s="40" customFormat="1" ht="24" x14ac:dyDescent="0.25">
      <c r="A18" s="56">
        <v>11020200</v>
      </c>
      <c r="B18" s="61" t="s">
        <v>104</v>
      </c>
      <c r="C18" s="43">
        <f t="shared" si="0"/>
        <v>1640500</v>
      </c>
      <c r="D18" s="50">
        <v>1640500</v>
      </c>
      <c r="E18" s="62"/>
      <c r="F18" s="50"/>
      <c r="G18" s="38"/>
      <c r="H18" s="39"/>
      <c r="I18" s="39"/>
      <c r="J18" s="39"/>
      <c r="K18" s="39"/>
      <c r="IJ18" s="39"/>
      <c r="IK18" s="39"/>
      <c r="IL18" s="39"/>
      <c r="IM18" s="39"/>
      <c r="IN18" s="39"/>
      <c r="IO18" s="39"/>
      <c r="IP18" s="39"/>
      <c r="IQ18" s="39"/>
      <c r="IR18" s="39"/>
    </row>
    <row r="19" spans="1:252" s="66" customFormat="1" ht="26.45" customHeight="1" x14ac:dyDescent="0.2">
      <c r="A19" s="37">
        <v>14021900</v>
      </c>
      <c r="B19" s="48" t="s">
        <v>229</v>
      </c>
      <c r="C19" s="49">
        <f>SUM(D19,E19)</f>
        <v>12350000</v>
      </c>
      <c r="D19" s="49">
        <v>12350000</v>
      </c>
      <c r="E19" s="63"/>
      <c r="F19" s="63"/>
      <c r="G19" s="64"/>
      <c r="H19" s="65"/>
      <c r="I19" s="65"/>
      <c r="J19" s="65"/>
      <c r="K19" s="65"/>
      <c r="IJ19" s="65"/>
      <c r="IK19" s="65"/>
      <c r="IL19" s="65"/>
      <c r="IM19" s="65"/>
      <c r="IN19" s="65"/>
      <c r="IO19" s="65"/>
      <c r="IP19" s="65"/>
      <c r="IQ19" s="65"/>
      <c r="IR19" s="65"/>
    </row>
    <row r="20" spans="1:252" s="66" customFormat="1" ht="22.7" customHeight="1" x14ac:dyDescent="0.2">
      <c r="A20" s="37">
        <v>14031900</v>
      </c>
      <c r="B20" s="48" t="s">
        <v>230</v>
      </c>
      <c r="C20" s="49">
        <v>57865000</v>
      </c>
      <c r="D20" s="49">
        <v>57865000</v>
      </c>
      <c r="E20" s="63"/>
      <c r="F20" s="63"/>
      <c r="G20" s="64"/>
      <c r="H20" s="65"/>
      <c r="I20" s="65"/>
      <c r="J20" s="65"/>
      <c r="K20" s="65"/>
      <c r="IJ20" s="65"/>
      <c r="IK20" s="65"/>
      <c r="IL20" s="65"/>
      <c r="IM20" s="65"/>
      <c r="IN20" s="65"/>
      <c r="IO20" s="65"/>
      <c r="IP20" s="65"/>
      <c r="IQ20" s="65"/>
      <c r="IR20" s="65"/>
    </row>
    <row r="21" spans="1:252" s="66" customFormat="1" ht="39.75" customHeight="1" x14ac:dyDescent="0.2">
      <c r="A21" s="37">
        <v>14040000</v>
      </c>
      <c r="B21" s="48" t="s">
        <v>105</v>
      </c>
      <c r="C21" s="49">
        <v>78500000</v>
      </c>
      <c r="D21" s="49">
        <v>78500000</v>
      </c>
      <c r="E21" s="63"/>
      <c r="F21" s="63"/>
      <c r="G21" s="64"/>
      <c r="H21" s="65"/>
      <c r="I21" s="65"/>
      <c r="J21" s="65"/>
      <c r="K21" s="65"/>
      <c r="IJ21" s="65"/>
      <c r="IK21" s="65"/>
      <c r="IL21" s="65"/>
      <c r="IM21" s="65"/>
      <c r="IN21" s="65"/>
      <c r="IO21" s="65"/>
      <c r="IP21" s="65"/>
      <c r="IQ21" s="65"/>
      <c r="IR21" s="65"/>
    </row>
    <row r="22" spans="1:252" s="40" customFormat="1" ht="15" x14ac:dyDescent="0.25">
      <c r="A22" s="41">
        <v>18000000</v>
      </c>
      <c r="B22" s="67" t="s">
        <v>106</v>
      </c>
      <c r="C22" s="43">
        <f t="shared" si="0"/>
        <v>446260500</v>
      </c>
      <c r="D22" s="43">
        <f>SUM(D23,D34,D37)</f>
        <v>446260500</v>
      </c>
      <c r="E22" s="43"/>
      <c r="F22" s="43"/>
      <c r="G22" s="38"/>
      <c r="H22" s="39"/>
      <c r="I22" s="39"/>
      <c r="J22" s="39"/>
      <c r="K22" s="39"/>
      <c r="IJ22" s="39"/>
      <c r="IK22" s="39"/>
      <c r="IL22" s="39"/>
      <c r="IM22" s="39"/>
      <c r="IN22" s="39"/>
      <c r="IO22" s="39"/>
      <c r="IP22" s="39"/>
      <c r="IQ22" s="39"/>
      <c r="IR22" s="39"/>
    </row>
    <row r="23" spans="1:252" s="40" customFormat="1" ht="15" x14ac:dyDescent="0.25">
      <c r="A23" s="47">
        <v>18010000</v>
      </c>
      <c r="B23" s="68" t="s">
        <v>107</v>
      </c>
      <c r="C23" s="43">
        <f t="shared" si="0"/>
        <v>171660500</v>
      </c>
      <c r="D23" s="69">
        <f>SUM(D24:D33)</f>
        <v>171660500</v>
      </c>
      <c r="E23" s="50"/>
      <c r="F23" s="50"/>
      <c r="G23" s="38"/>
      <c r="H23" s="39"/>
      <c r="I23" s="39"/>
      <c r="J23" s="39"/>
      <c r="K23" s="39"/>
      <c r="IJ23" s="39"/>
      <c r="IK23" s="39"/>
      <c r="IL23" s="39"/>
      <c r="IM23" s="39"/>
      <c r="IN23" s="39"/>
      <c r="IO23" s="39"/>
      <c r="IP23" s="39"/>
      <c r="IQ23" s="39"/>
      <c r="IR23" s="39"/>
    </row>
    <row r="24" spans="1:252" s="40" customFormat="1" ht="36" x14ac:dyDescent="0.25">
      <c r="A24" s="47">
        <v>18010100</v>
      </c>
      <c r="B24" s="70" t="s">
        <v>108</v>
      </c>
      <c r="C24" s="43">
        <f t="shared" si="0"/>
        <v>175500</v>
      </c>
      <c r="D24" s="50">
        <v>175500</v>
      </c>
      <c r="E24" s="50"/>
      <c r="F24" s="50"/>
      <c r="G24" s="38"/>
      <c r="H24" s="39"/>
      <c r="I24" s="39"/>
      <c r="J24" s="39"/>
      <c r="K24" s="39"/>
      <c r="IJ24" s="39"/>
      <c r="IK24" s="39"/>
      <c r="IL24" s="39"/>
      <c r="IM24" s="39"/>
      <c r="IN24" s="39"/>
      <c r="IO24" s="39"/>
      <c r="IP24" s="39"/>
      <c r="IQ24" s="39"/>
      <c r="IR24" s="39"/>
    </row>
    <row r="25" spans="1:252" s="40" customFormat="1" ht="36" x14ac:dyDescent="0.25">
      <c r="A25" s="47">
        <v>18010200</v>
      </c>
      <c r="B25" s="70" t="s">
        <v>109</v>
      </c>
      <c r="C25" s="43">
        <f>D25</f>
        <v>10750000</v>
      </c>
      <c r="D25" s="50">
        <v>10750000</v>
      </c>
      <c r="E25" s="50"/>
      <c r="F25" s="50"/>
      <c r="G25" s="38"/>
      <c r="H25" s="39"/>
      <c r="I25" s="39"/>
      <c r="J25" s="39"/>
      <c r="K25" s="39"/>
      <c r="IJ25" s="39"/>
      <c r="IK25" s="39"/>
      <c r="IL25" s="39"/>
      <c r="IM25" s="39"/>
      <c r="IN25" s="39"/>
      <c r="IO25" s="39"/>
      <c r="IP25" s="39"/>
      <c r="IQ25" s="39"/>
      <c r="IR25" s="39"/>
    </row>
    <row r="26" spans="1:252" s="40" customFormat="1" ht="36" x14ac:dyDescent="0.25">
      <c r="A26" s="47">
        <v>18010300</v>
      </c>
      <c r="B26" s="70" t="s">
        <v>110</v>
      </c>
      <c r="C26" s="43">
        <f t="shared" si="0"/>
        <v>825000</v>
      </c>
      <c r="D26" s="50">
        <v>825000</v>
      </c>
      <c r="E26" s="50"/>
      <c r="F26" s="50"/>
      <c r="G26" s="38"/>
      <c r="H26" s="39"/>
      <c r="I26" s="39"/>
      <c r="J26" s="39"/>
      <c r="K26" s="39"/>
      <c r="IJ26" s="39"/>
      <c r="IK26" s="39"/>
      <c r="IL26" s="39"/>
      <c r="IM26" s="39"/>
      <c r="IN26" s="39"/>
      <c r="IO26" s="39"/>
      <c r="IP26" s="39"/>
      <c r="IQ26" s="39"/>
      <c r="IR26" s="39"/>
    </row>
    <row r="27" spans="1:252" s="40" customFormat="1" ht="36" x14ac:dyDescent="0.25">
      <c r="A27" s="47">
        <v>18010400</v>
      </c>
      <c r="B27" s="70" t="s">
        <v>111</v>
      </c>
      <c r="C27" s="43">
        <f t="shared" si="0"/>
        <v>7950000</v>
      </c>
      <c r="D27" s="50">
        <v>7950000</v>
      </c>
      <c r="E27" s="50"/>
      <c r="F27" s="50"/>
      <c r="G27" s="38"/>
      <c r="H27" s="39"/>
      <c r="I27" s="39"/>
      <c r="J27" s="39"/>
      <c r="K27" s="39"/>
      <c r="IJ27" s="39"/>
      <c r="IK27" s="39"/>
      <c r="IL27" s="39"/>
      <c r="IM27" s="39"/>
      <c r="IN27" s="39"/>
      <c r="IO27" s="39"/>
      <c r="IP27" s="39"/>
      <c r="IQ27" s="39"/>
      <c r="IR27" s="39"/>
    </row>
    <row r="28" spans="1:252" s="40" customFormat="1" ht="15" x14ac:dyDescent="0.25">
      <c r="A28" s="47">
        <v>18010500</v>
      </c>
      <c r="B28" s="71" t="s">
        <v>112</v>
      </c>
      <c r="C28" s="43">
        <f t="shared" si="0"/>
        <v>34600000</v>
      </c>
      <c r="D28" s="50">
        <v>34600000</v>
      </c>
      <c r="E28" s="50"/>
      <c r="F28" s="50"/>
      <c r="G28" s="38"/>
      <c r="H28" s="39"/>
      <c r="I28" s="39"/>
      <c r="J28" s="39"/>
      <c r="K28" s="39"/>
      <c r="IJ28" s="39"/>
      <c r="IK28" s="39"/>
      <c r="IL28" s="39"/>
      <c r="IM28" s="39"/>
      <c r="IN28" s="39"/>
      <c r="IO28" s="39"/>
      <c r="IP28" s="39"/>
      <c r="IQ28" s="39"/>
      <c r="IR28" s="39"/>
    </row>
    <row r="29" spans="1:252" s="40" customFormat="1" ht="15" x14ac:dyDescent="0.25">
      <c r="A29" s="47">
        <v>18010600</v>
      </c>
      <c r="B29" s="70" t="s">
        <v>113</v>
      </c>
      <c r="C29" s="43">
        <f t="shared" si="0"/>
        <v>85660000</v>
      </c>
      <c r="D29" s="50">
        <v>85660000</v>
      </c>
      <c r="E29" s="50"/>
      <c r="F29" s="50"/>
      <c r="G29" s="38"/>
      <c r="H29" s="39"/>
      <c r="I29" s="39"/>
      <c r="J29" s="39"/>
      <c r="K29" s="39"/>
      <c r="IJ29" s="39"/>
      <c r="IK29" s="39"/>
      <c r="IL29" s="39"/>
      <c r="IM29" s="39"/>
      <c r="IN29" s="39"/>
      <c r="IO29" s="39"/>
      <c r="IP29" s="39"/>
      <c r="IQ29" s="39"/>
      <c r="IR29" s="39"/>
    </row>
    <row r="30" spans="1:252" s="40" customFormat="1" ht="15" x14ac:dyDescent="0.25">
      <c r="A30" s="47">
        <v>18010700</v>
      </c>
      <c r="B30" s="70" t="s">
        <v>114</v>
      </c>
      <c r="C30" s="43">
        <f t="shared" si="0"/>
        <v>2000000</v>
      </c>
      <c r="D30" s="50">
        <v>2000000</v>
      </c>
      <c r="E30" s="50"/>
      <c r="F30" s="50"/>
      <c r="G30" s="38"/>
      <c r="H30" s="39"/>
      <c r="I30" s="39"/>
      <c r="J30" s="39"/>
      <c r="K30" s="39"/>
      <c r="IJ30" s="39"/>
      <c r="IK30" s="39"/>
      <c r="IL30" s="39"/>
      <c r="IM30" s="39"/>
      <c r="IN30" s="39"/>
      <c r="IO30" s="39"/>
      <c r="IP30" s="39"/>
      <c r="IQ30" s="39"/>
      <c r="IR30" s="39"/>
    </row>
    <row r="31" spans="1:252" s="40" customFormat="1" ht="15" x14ac:dyDescent="0.25">
      <c r="A31" s="47">
        <v>18010900</v>
      </c>
      <c r="B31" s="70" t="s">
        <v>115</v>
      </c>
      <c r="C31" s="43">
        <f t="shared" si="0"/>
        <v>25200000</v>
      </c>
      <c r="D31" s="50">
        <v>25200000</v>
      </c>
      <c r="E31" s="50"/>
      <c r="F31" s="50"/>
      <c r="G31" s="38"/>
      <c r="H31" s="39"/>
      <c r="I31" s="39"/>
      <c r="J31" s="39"/>
      <c r="K31" s="39"/>
      <c r="IJ31" s="39"/>
      <c r="IK31" s="39"/>
      <c r="IL31" s="39"/>
      <c r="IM31" s="39"/>
      <c r="IN31" s="39"/>
      <c r="IO31" s="39"/>
      <c r="IP31" s="39"/>
      <c r="IQ31" s="39"/>
      <c r="IR31" s="39"/>
    </row>
    <row r="32" spans="1:252" s="46" customFormat="1" ht="15" x14ac:dyDescent="0.2">
      <c r="A32" s="47">
        <v>18011000</v>
      </c>
      <c r="B32" s="70" t="s">
        <v>116</v>
      </c>
      <c r="C32" s="43">
        <f t="shared" si="0"/>
        <v>2900000</v>
      </c>
      <c r="D32" s="50">
        <v>2900000</v>
      </c>
      <c r="E32" s="50"/>
      <c r="F32" s="50"/>
      <c r="G32" s="44"/>
      <c r="H32" s="45"/>
      <c r="I32" s="45"/>
      <c r="J32" s="45"/>
      <c r="K32" s="45"/>
      <c r="IJ32" s="45"/>
      <c r="IK32" s="45"/>
      <c r="IL32" s="45"/>
      <c r="IM32" s="45"/>
      <c r="IN32" s="45"/>
      <c r="IO32" s="45"/>
      <c r="IP32" s="45"/>
      <c r="IQ32" s="45"/>
      <c r="IR32" s="45"/>
    </row>
    <row r="33" spans="1:252" s="40" customFormat="1" ht="15" x14ac:dyDescent="0.25">
      <c r="A33" s="47">
        <v>18011100</v>
      </c>
      <c r="B33" s="70" t="s">
        <v>117</v>
      </c>
      <c r="C33" s="43">
        <f t="shared" si="0"/>
        <v>1600000</v>
      </c>
      <c r="D33" s="50">
        <v>1600000</v>
      </c>
      <c r="E33" s="50"/>
      <c r="F33" s="50"/>
      <c r="G33" s="38"/>
      <c r="H33" s="39"/>
      <c r="I33" s="39"/>
      <c r="J33" s="39"/>
      <c r="K33" s="39"/>
      <c r="IJ33" s="39"/>
      <c r="IK33" s="39"/>
      <c r="IL33" s="39"/>
      <c r="IM33" s="39"/>
      <c r="IN33" s="39"/>
      <c r="IO33" s="39"/>
      <c r="IP33" s="39"/>
      <c r="IQ33" s="39"/>
      <c r="IR33" s="39"/>
    </row>
    <row r="34" spans="1:252" s="40" customFormat="1" ht="15" x14ac:dyDescent="0.25">
      <c r="A34" s="41">
        <v>1803000</v>
      </c>
      <c r="B34" s="72" t="s">
        <v>118</v>
      </c>
      <c r="C34" s="43">
        <f t="shared" si="0"/>
        <v>250000</v>
      </c>
      <c r="D34" s="43">
        <f>SUM(D35:D36)</f>
        <v>250000</v>
      </c>
      <c r="E34" s="43"/>
      <c r="F34" s="43"/>
      <c r="G34" s="38"/>
      <c r="H34" s="39"/>
      <c r="I34" s="39"/>
      <c r="J34" s="39"/>
      <c r="K34" s="39"/>
      <c r="IJ34" s="39"/>
      <c r="IK34" s="39"/>
      <c r="IL34" s="39"/>
      <c r="IM34" s="39"/>
      <c r="IN34" s="39"/>
      <c r="IO34" s="39"/>
      <c r="IP34" s="39"/>
      <c r="IQ34" s="39"/>
      <c r="IR34" s="39"/>
    </row>
    <row r="35" spans="1:252" s="40" customFormat="1" ht="15" x14ac:dyDescent="0.25">
      <c r="A35" s="47">
        <v>18030100</v>
      </c>
      <c r="B35" s="70" t="s">
        <v>119</v>
      </c>
      <c r="C35" s="43">
        <f t="shared" si="0"/>
        <v>130000</v>
      </c>
      <c r="D35" s="50">
        <v>130000</v>
      </c>
      <c r="E35" s="50"/>
      <c r="F35" s="50"/>
      <c r="G35" s="38"/>
      <c r="H35" s="39"/>
      <c r="I35" s="39"/>
      <c r="J35" s="39"/>
      <c r="K35" s="39"/>
      <c r="IJ35" s="39"/>
      <c r="IK35" s="39"/>
      <c r="IL35" s="39"/>
      <c r="IM35" s="39"/>
      <c r="IN35" s="39"/>
      <c r="IO35" s="39"/>
      <c r="IP35" s="39"/>
      <c r="IQ35" s="39"/>
      <c r="IR35" s="39"/>
    </row>
    <row r="36" spans="1:252" s="40" customFormat="1" ht="15" x14ac:dyDescent="0.25">
      <c r="A36" s="47">
        <v>18030200</v>
      </c>
      <c r="B36" s="70" t="s">
        <v>120</v>
      </c>
      <c r="C36" s="43">
        <f t="shared" si="0"/>
        <v>120000</v>
      </c>
      <c r="D36" s="50">
        <v>120000</v>
      </c>
      <c r="E36" s="50"/>
      <c r="F36" s="50"/>
      <c r="G36" s="38"/>
      <c r="H36" s="39"/>
      <c r="I36" s="39"/>
      <c r="J36" s="39"/>
      <c r="K36" s="39"/>
      <c r="IJ36" s="39"/>
      <c r="IK36" s="39"/>
      <c r="IL36" s="39"/>
      <c r="IM36" s="39"/>
      <c r="IN36" s="39"/>
      <c r="IO36" s="39"/>
      <c r="IP36" s="39"/>
      <c r="IQ36" s="39"/>
      <c r="IR36" s="39"/>
    </row>
    <row r="37" spans="1:252" s="40" customFormat="1" ht="15" x14ac:dyDescent="0.25">
      <c r="A37" s="41">
        <v>18050000</v>
      </c>
      <c r="B37" s="68" t="s">
        <v>121</v>
      </c>
      <c r="C37" s="43">
        <f t="shared" si="0"/>
        <v>274350000</v>
      </c>
      <c r="D37" s="43">
        <f>SUM(D38:D39)</f>
        <v>274350000</v>
      </c>
      <c r="E37" s="50"/>
      <c r="F37" s="50"/>
      <c r="G37" s="38"/>
      <c r="H37" s="39"/>
      <c r="I37" s="39"/>
      <c r="J37" s="39"/>
      <c r="K37" s="39"/>
      <c r="IJ37" s="39"/>
      <c r="IK37" s="39"/>
      <c r="IL37" s="39"/>
      <c r="IM37" s="39"/>
      <c r="IN37" s="39"/>
      <c r="IO37" s="39"/>
      <c r="IP37" s="39"/>
      <c r="IQ37" s="39"/>
      <c r="IR37" s="39"/>
    </row>
    <row r="38" spans="1:252" s="40" customFormat="1" ht="17.45" customHeight="1" x14ac:dyDescent="0.25">
      <c r="A38" s="47">
        <v>18050300</v>
      </c>
      <c r="B38" s="57" t="s">
        <v>122</v>
      </c>
      <c r="C38" s="49">
        <f t="shared" si="0"/>
        <v>52550000</v>
      </c>
      <c r="D38" s="50">
        <v>52550000</v>
      </c>
      <c r="E38" s="50"/>
      <c r="F38" s="50"/>
      <c r="G38" s="38"/>
      <c r="H38" s="39"/>
      <c r="I38" s="39"/>
      <c r="J38" s="39"/>
      <c r="K38" s="39"/>
      <c r="IJ38" s="39"/>
      <c r="IK38" s="39"/>
      <c r="IL38" s="39"/>
      <c r="IM38" s="39"/>
      <c r="IN38" s="39"/>
      <c r="IO38" s="39"/>
      <c r="IP38" s="39"/>
      <c r="IQ38" s="39"/>
      <c r="IR38" s="39"/>
    </row>
    <row r="39" spans="1:252" s="46" customFormat="1" ht="15" x14ac:dyDescent="0.2">
      <c r="A39" s="47">
        <v>18050400</v>
      </c>
      <c r="B39" s="70" t="s">
        <v>123</v>
      </c>
      <c r="C39" s="49">
        <f t="shared" si="0"/>
        <v>221800000</v>
      </c>
      <c r="D39" s="50">
        <v>221800000</v>
      </c>
      <c r="E39" s="50"/>
      <c r="F39" s="50"/>
      <c r="G39" s="44"/>
      <c r="H39" s="45"/>
      <c r="I39" s="45"/>
      <c r="J39" s="45"/>
      <c r="K39" s="45"/>
      <c r="IJ39" s="45"/>
      <c r="IK39" s="45"/>
      <c r="IL39" s="45"/>
      <c r="IM39" s="45"/>
      <c r="IN39" s="45"/>
      <c r="IO39" s="45"/>
      <c r="IP39" s="45"/>
      <c r="IQ39" s="45"/>
      <c r="IR39" s="45"/>
    </row>
    <row r="40" spans="1:252" s="40" customFormat="1" ht="15" x14ac:dyDescent="0.25">
      <c r="A40" s="41">
        <v>1901000</v>
      </c>
      <c r="B40" s="67" t="s">
        <v>124</v>
      </c>
      <c r="C40" s="43">
        <f t="shared" si="0"/>
        <v>500000</v>
      </c>
      <c r="D40" s="43">
        <f>SUM(D41:D43)</f>
        <v>0</v>
      </c>
      <c r="E40" s="43">
        <v>500000</v>
      </c>
      <c r="F40" s="43"/>
      <c r="G40" s="38"/>
      <c r="H40" s="39"/>
      <c r="I40" s="39"/>
      <c r="J40" s="39"/>
      <c r="K40" s="39"/>
      <c r="IJ40" s="39"/>
      <c r="IK40" s="39"/>
      <c r="IL40" s="39"/>
      <c r="IM40" s="39"/>
      <c r="IN40" s="39"/>
      <c r="IO40" s="39"/>
      <c r="IP40" s="39"/>
      <c r="IQ40" s="39"/>
      <c r="IR40" s="39"/>
    </row>
    <row r="41" spans="1:252" s="40" customFormat="1" ht="36" x14ac:dyDescent="0.25">
      <c r="A41" s="47">
        <v>19010100</v>
      </c>
      <c r="B41" s="57" t="s">
        <v>125</v>
      </c>
      <c r="C41" s="43">
        <f t="shared" si="0"/>
        <v>205000</v>
      </c>
      <c r="D41" s="50"/>
      <c r="E41" s="50">
        <v>205000</v>
      </c>
      <c r="F41" s="50"/>
      <c r="G41" s="38"/>
      <c r="H41" s="39"/>
      <c r="I41" s="39"/>
      <c r="J41" s="39"/>
      <c r="K41" s="39"/>
      <c r="IJ41" s="39"/>
      <c r="IK41" s="39"/>
      <c r="IL41" s="39"/>
      <c r="IM41" s="39"/>
      <c r="IN41" s="39"/>
      <c r="IO41" s="39"/>
      <c r="IP41" s="39"/>
      <c r="IQ41" s="39"/>
      <c r="IR41" s="39"/>
    </row>
    <row r="42" spans="1:252" s="66" customFormat="1" ht="24" x14ac:dyDescent="0.2">
      <c r="A42" s="47">
        <v>19010200</v>
      </c>
      <c r="B42" s="57" t="s">
        <v>126</v>
      </c>
      <c r="C42" s="43">
        <f t="shared" si="0"/>
        <v>110000</v>
      </c>
      <c r="D42" s="50"/>
      <c r="E42" s="50">
        <v>110000</v>
      </c>
      <c r="F42" s="50"/>
      <c r="G42" s="64"/>
      <c r="H42" s="65"/>
      <c r="I42" s="65"/>
      <c r="J42" s="65"/>
      <c r="K42" s="65"/>
      <c r="IJ42" s="65"/>
      <c r="IK42" s="65"/>
      <c r="IL42" s="65"/>
      <c r="IM42" s="65"/>
      <c r="IN42" s="65"/>
      <c r="IO42" s="65"/>
      <c r="IP42" s="65"/>
      <c r="IQ42" s="65"/>
      <c r="IR42" s="65"/>
    </row>
    <row r="43" spans="1:252" s="40" customFormat="1" ht="36" x14ac:dyDescent="0.25">
      <c r="A43" s="47">
        <v>19010300</v>
      </c>
      <c r="B43" s="57" t="s">
        <v>127</v>
      </c>
      <c r="C43" s="43">
        <f t="shared" si="0"/>
        <v>185000</v>
      </c>
      <c r="D43" s="50"/>
      <c r="E43" s="50">
        <v>185000</v>
      </c>
      <c r="F43" s="50"/>
      <c r="G43" s="38"/>
      <c r="H43" s="39"/>
      <c r="I43" s="39"/>
      <c r="J43" s="39"/>
      <c r="K43" s="39"/>
      <c r="IJ43" s="39"/>
      <c r="IK43" s="39"/>
      <c r="IL43" s="39"/>
      <c r="IM43" s="39"/>
      <c r="IN43" s="39"/>
      <c r="IO43" s="39"/>
      <c r="IP43" s="39"/>
      <c r="IQ43" s="39"/>
      <c r="IR43" s="39"/>
    </row>
    <row r="44" spans="1:252" s="40" customFormat="1" ht="15" x14ac:dyDescent="0.25">
      <c r="A44" s="41">
        <v>20000000</v>
      </c>
      <c r="B44" s="42" t="s">
        <v>128</v>
      </c>
      <c r="C44" s="43">
        <f t="shared" si="0"/>
        <v>214168285</v>
      </c>
      <c r="D44" s="49">
        <f>SUM(D45,D46,D47,D50,D51,D60,D64)</f>
        <v>72920000</v>
      </c>
      <c r="E44" s="49">
        <f>SUM(E45,E51,E60,E56,E64)</f>
        <v>141248285</v>
      </c>
      <c r="F44" s="49">
        <f>SUM(F45,F51,F60,F56)</f>
        <v>12000000</v>
      </c>
      <c r="G44" s="38"/>
      <c r="H44" s="39"/>
      <c r="I44" s="39"/>
      <c r="J44" s="39"/>
      <c r="K44" s="39"/>
      <c r="IJ44" s="39"/>
      <c r="IK44" s="39"/>
      <c r="IL44" s="39"/>
      <c r="IM44" s="39"/>
      <c r="IN44" s="39"/>
      <c r="IO44" s="39"/>
      <c r="IP44" s="39"/>
      <c r="IQ44" s="39"/>
      <c r="IR44" s="39"/>
    </row>
    <row r="45" spans="1:252" s="40" customFormat="1" ht="41.25" customHeight="1" x14ac:dyDescent="0.25">
      <c r="A45" s="47">
        <v>21010300</v>
      </c>
      <c r="B45" s="73" t="s">
        <v>129</v>
      </c>
      <c r="C45" s="43">
        <f t="shared" si="0"/>
        <v>1000000</v>
      </c>
      <c r="D45" s="50">
        <v>1000000</v>
      </c>
      <c r="E45" s="50"/>
      <c r="F45" s="50"/>
      <c r="G45" s="38"/>
      <c r="H45" s="39"/>
      <c r="I45" s="39"/>
      <c r="J45" s="39"/>
      <c r="K45" s="39"/>
      <c r="IJ45" s="39"/>
      <c r="IK45" s="39"/>
      <c r="IL45" s="39"/>
      <c r="IM45" s="39"/>
      <c r="IN45" s="39"/>
      <c r="IO45" s="39"/>
      <c r="IP45" s="39"/>
      <c r="IQ45" s="39"/>
      <c r="IR45" s="39"/>
    </row>
    <row r="46" spans="1:252" s="40" customFormat="1" ht="27" customHeight="1" x14ac:dyDescent="0.25">
      <c r="A46" s="47">
        <v>21050000</v>
      </c>
      <c r="B46" s="73" t="s">
        <v>130</v>
      </c>
      <c r="C46" s="43">
        <v>12500000</v>
      </c>
      <c r="D46" s="50">
        <v>12500000</v>
      </c>
      <c r="E46" s="50"/>
      <c r="F46" s="50"/>
      <c r="G46" s="38"/>
      <c r="H46" s="39"/>
      <c r="I46" s="39"/>
      <c r="J46" s="39"/>
      <c r="K46" s="39"/>
      <c r="IJ46" s="39"/>
      <c r="IK46" s="39"/>
      <c r="IL46" s="39"/>
      <c r="IM46" s="39"/>
      <c r="IN46" s="39"/>
      <c r="IO46" s="39"/>
      <c r="IP46" s="39"/>
      <c r="IQ46" s="39"/>
      <c r="IR46" s="39"/>
    </row>
    <row r="47" spans="1:252" s="66" customFormat="1" ht="27" x14ac:dyDescent="0.2">
      <c r="A47" s="74">
        <v>21800000</v>
      </c>
      <c r="B47" s="75" t="s">
        <v>131</v>
      </c>
      <c r="C47" s="49">
        <f>SUM(D47,E47)</f>
        <v>2300000</v>
      </c>
      <c r="D47" s="55">
        <f>SUM(D48:D49)</f>
        <v>2300000</v>
      </c>
      <c r="E47" s="55"/>
      <c r="F47" s="55"/>
      <c r="G47" s="64"/>
      <c r="H47" s="65"/>
      <c r="I47" s="65"/>
      <c r="J47" s="65"/>
      <c r="K47" s="65"/>
      <c r="IJ47" s="65"/>
      <c r="IK47" s="65"/>
      <c r="IL47" s="65"/>
      <c r="IM47" s="65"/>
      <c r="IN47" s="65"/>
      <c r="IO47" s="65"/>
      <c r="IP47" s="65"/>
      <c r="IQ47" s="65"/>
      <c r="IR47" s="65"/>
    </row>
    <row r="48" spans="1:252" s="40" customFormat="1" ht="15" x14ac:dyDescent="0.25">
      <c r="A48" s="56">
        <v>21081100</v>
      </c>
      <c r="B48" s="76" t="s">
        <v>132</v>
      </c>
      <c r="C48" s="43">
        <f>SUM(D48,E48)</f>
        <v>1300000</v>
      </c>
      <c r="D48" s="50">
        <v>1300000</v>
      </c>
      <c r="E48" s="50"/>
      <c r="F48" s="50"/>
      <c r="G48" s="38"/>
      <c r="H48" s="39"/>
      <c r="I48" s="39"/>
      <c r="J48" s="39"/>
      <c r="K48" s="39"/>
      <c r="IJ48" s="39"/>
      <c r="IK48" s="39"/>
      <c r="IL48" s="39"/>
      <c r="IM48" s="39"/>
      <c r="IN48" s="39"/>
      <c r="IO48" s="39"/>
      <c r="IP48" s="39"/>
      <c r="IQ48" s="39"/>
      <c r="IR48" s="39"/>
    </row>
    <row r="49" spans="1:252" s="40" customFormat="1" ht="36" x14ac:dyDescent="0.25">
      <c r="A49" s="47">
        <v>21081500</v>
      </c>
      <c r="B49" s="57" t="s">
        <v>133</v>
      </c>
      <c r="C49" s="43">
        <f>SUM(D49,E49)</f>
        <v>1000000</v>
      </c>
      <c r="D49" s="50">
        <v>1000000</v>
      </c>
      <c r="E49" s="50"/>
      <c r="F49" s="50"/>
      <c r="G49" s="38"/>
      <c r="H49" s="39"/>
      <c r="I49" s="39"/>
      <c r="J49" s="39"/>
      <c r="K49" s="39"/>
      <c r="IJ49" s="39"/>
      <c r="IK49" s="39"/>
      <c r="IL49" s="39"/>
      <c r="IM49" s="39"/>
      <c r="IN49" s="39"/>
      <c r="IO49" s="39"/>
      <c r="IP49" s="39"/>
      <c r="IQ49" s="39"/>
      <c r="IR49" s="39"/>
    </row>
    <row r="50" spans="1:252" s="192" customFormat="1" ht="15" x14ac:dyDescent="0.25">
      <c r="A50" s="189">
        <v>21081700</v>
      </c>
      <c r="B50" s="240" t="s">
        <v>645</v>
      </c>
      <c r="C50" s="69">
        <f>SUM(D50,E50)</f>
        <v>9000000</v>
      </c>
      <c r="D50" s="69">
        <v>9000000</v>
      </c>
      <c r="E50" s="69"/>
      <c r="F50" s="69"/>
      <c r="G50" s="190"/>
      <c r="H50" s="191"/>
      <c r="I50" s="191"/>
      <c r="J50" s="191"/>
      <c r="K50" s="191"/>
      <c r="IJ50" s="191"/>
      <c r="IK50" s="191"/>
      <c r="IL50" s="191"/>
      <c r="IM50" s="191"/>
      <c r="IN50" s="191"/>
      <c r="IO50" s="191"/>
      <c r="IP50" s="191"/>
      <c r="IQ50" s="191"/>
      <c r="IR50" s="191"/>
    </row>
    <row r="51" spans="1:252" s="40" customFormat="1" ht="27" x14ac:dyDescent="0.25">
      <c r="A51" s="41">
        <v>22000000</v>
      </c>
      <c r="B51" s="54" t="s">
        <v>134</v>
      </c>
      <c r="C51" s="43">
        <f t="shared" si="0"/>
        <v>41120000</v>
      </c>
      <c r="D51" s="50">
        <f>SUM(D52:D56)</f>
        <v>41120000</v>
      </c>
      <c r="E51" s="50"/>
      <c r="F51" s="50"/>
      <c r="G51" s="38"/>
      <c r="H51" s="39"/>
      <c r="I51" s="39"/>
      <c r="J51" s="39"/>
      <c r="K51" s="39"/>
      <c r="IJ51" s="39"/>
      <c r="IK51" s="39"/>
      <c r="IL51" s="39"/>
      <c r="IM51" s="39"/>
      <c r="IN51" s="39"/>
      <c r="IO51" s="39"/>
      <c r="IP51" s="39"/>
      <c r="IQ51" s="39"/>
      <c r="IR51" s="39"/>
    </row>
    <row r="52" spans="1:252" s="40" customFormat="1" ht="38.25" x14ac:dyDescent="0.25">
      <c r="A52" s="47">
        <v>22010300</v>
      </c>
      <c r="B52" s="77" t="s">
        <v>234</v>
      </c>
      <c r="C52" s="43">
        <v>905000</v>
      </c>
      <c r="D52" s="50">
        <v>905000</v>
      </c>
      <c r="E52" s="50"/>
      <c r="F52" s="50"/>
      <c r="G52" s="38"/>
      <c r="H52" s="39"/>
      <c r="I52" s="39"/>
      <c r="J52" s="39"/>
      <c r="K52" s="39"/>
      <c r="IJ52" s="39"/>
      <c r="IK52" s="39"/>
      <c r="IL52" s="39"/>
      <c r="IM52" s="39"/>
      <c r="IN52" s="39"/>
      <c r="IO52" s="39"/>
      <c r="IP52" s="39"/>
      <c r="IQ52" s="39"/>
      <c r="IR52" s="39"/>
    </row>
    <row r="53" spans="1:252" s="40" customFormat="1" ht="25.5" x14ac:dyDescent="0.25">
      <c r="A53" s="47">
        <v>22012600</v>
      </c>
      <c r="B53" s="77" t="s">
        <v>135</v>
      </c>
      <c r="C53" s="43">
        <v>1080000</v>
      </c>
      <c r="D53" s="50">
        <v>1080000</v>
      </c>
      <c r="E53" s="50"/>
      <c r="F53" s="50"/>
      <c r="G53" s="38"/>
      <c r="H53" s="39"/>
      <c r="I53" s="39"/>
      <c r="J53" s="39"/>
      <c r="K53" s="39"/>
      <c r="IJ53" s="39"/>
      <c r="IK53" s="39"/>
      <c r="IL53" s="39"/>
      <c r="IM53" s="39"/>
      <c r="IN53" s="39"/>
      <c r="IO53" s="39"/>
      <c r="IP53" s="39"/>
      <c r="IQ53" s="39"/>
      <c r="IR53" s="39"/>
    </row>
    <row r="54" spans="1:252" s="80" customFormat="1" ht="15" x14ac:dyDescent="0.2">
      <c r="A54" s="47">
        <v>22012500</v>
      </c>
      <c r="B54" s="57" t="s">
        <v>136</v>
      </c>
      <c r="C54" s="43">
        <f t="shared" si="0"/>
        <v>28485000</v>
      </c>
      <c r="D54" s="50">
        <v>28485000</v>
      </c>
      <c r="E54" s="50"/>
      <c r="F54" s="50"/>
      <c r="G54" s="78"/>
      <c r="H54" s="79"/>
      <c r="I54" s="79"/>
      <c r="J54" s="79"/>
      <c r="K54" s="79"/>
      <c r="IJ54" s="79"/>
      <c r="IK54" s="79"/>
      <c r="IL54" s="79"/>
      <c r="IM54" s="79"/>
      <c r="IN54" s="79"/>
      <c r="IO54" s="79"/>
      <c r="IP54" s="79"/>
      <c r="IQ54" s="79"/>
      <c r="IR54" s="79"/>
    </row>
    <row r="55" spans="1:252" s="40" customFormat="1" ht="36" x14ac:dyDescent="0.25">
      <c r="A55" s="56">
        <v>22080400</v>
      </c>
      <c r="B55" s="76" t="s">
        <v>137</v>
      </c>
      <c r="C55" s="43">
        <f t="shared" si="0"/>
        <v>9800000</v>
      </c>
      <c r="D55" s="50">
        <v>9800000</v>
      </c>
      <c r="E55" s="50"/>
      <c r="F55" s="50"/>
      <c r="G55" s="38"/>
      <c r="H55" s="39"/>
      <c r="I55" s="39"/>
      <c r="J55" s="39"/>
      <c r="K55" s="39"/>
      <c r="IJ55" s="39"/>
      <c r="IK55" s="39"/>
      <c r="IL55" s="39"/>
      <c r="IM55" s="39"/>
      <c r="IN55" s="39"/>
      <c r="IO55" s="39"/>
      <c r="IP55" s="39"/>
      <c r="IQ55" s="39"/>
      <c r="IR55" s="39"/>
    </row>
    <row r="56" spans="1:252" s="40" customFormat="1" ht="15" x14ac:dyDescent="0.25">
      <c r="A56" s="81">
        <v>22090000</v>
      </c>
      <c r="B56" s="82" t="s">
        <v>138</v>
      </c>
      <c r="C56" s="43">
        <f t="shared" si="0"/>
        <v>850000</v>
      </c>
      <c r="D56" s="83">
        <f>SUM(D57:D59)</f>
        <v>850000</v>
      </c>
      <c r="E56" s="84"/>
      <c r="F56" s="84"/>
      <c r="G56" s="38"/>
      <c r="H56" s="39"/>
      <c r="I56" s="39"/>
      <c r="J56" s="39"/>
      <c r="K56" s="39"/>
      <c r="IJ56" s="39"/>
      <c r="IK56" s="39"/>
      <c r="IL56" s="39"/>
      <c r="IM56" s="39"/>
      <c r="IN56" s="39"/>
      <c r="IO56" s="39"/>
      <c r="IP56" s="39"/>
      <c r="IQ56" s="39"/>
      <c r="IR56" s="39"/>
    </row>
    <row r="57" spans="1:252" s="40" customFormat="1" ht="36" x14ac:dyDescent="0.25">
      <c r="A57" s="56">
        <v>22090100</v>
      </c>
      <c r="B57" s="70" t="s">
        <v>139</v>
      </c>
      <c r="C57" s="43">
        <f t="shared" si="0"/>
        <v>235000</v>
      </c>
      <c r="D57" s="50">
        <v>235000</v>
      </c>
      <c r="E57" s="50"/>
      <c r="F57" s="50"/>
      <c r="G57" s="38"/>
      <c r="H57" s="39"/>
      <c r="I57" s="39"/>
      <c r="J57" s="39"/>
      <c r="K57" s="39"/>
      <c r="IJ57" s="39"/>
      <c r="IK57" s="39"/>
      <c r="IL57" s="39"/>
      <c r="IM57" s="39"/>
      <c r="IN57" s="39"/>
      <c r="IO57" s="39"/>
      <c r="IP57" s="39"/>
      <c r="IQ57" s="39"/>
      <c r="IR57" s="39"/>
    </row>
    <row r="58" spans="1:252" s="40" customFormat="1" ht="15" x14ac:dyDescent="0.25">
      <c r="A58" s="56">
        <v>22090200</v>
      </c>
      <c r="B58" s="70" t="s">
        <v>140</v>
      </c>
      <c r="C58" s="43">
        <f t="shared" si="0"/>
        <v>115000</v>
      </c>
      <c r="D58" s="50">
        <v>115000</v>
      </c>
      <c r="E58" s="50"/>
      <c r="F58" s="50"/>
      <c r="G58" s="38"/>
      <c r="H58" s="39"/>
      <c r="I58" s="39"/>
      <c r="J58" s="39"/>
      <c r="K58" s="39"/>
      <c r="IJ58" s="39"/>
      <c r="IK58" s="39"/>
      <c r="IL58" s="39"/>
      <c r="IM58" s="39"/>
      <c r="IN58" s="39"/>
      <c r="IO58" s="39"/>
      <c r="IP58" s="39"/>
      <c r="IQ58" s="39"/>
      <c r="IR58" s="39"/>
    </row>
    <row r="59" spans="1:252" s="53" customFormat="1" ht="36" x14ac:dyDescent="0.2">
      <c r="A59" s="56">
        <v>22090400</v>
      </c>
      <c r="B59" s="70" t="s">
        <v>141</v>
      </c>
      <c r="C59" s="43">
        <f t="shared" si="0"/>
        <v>500000</v>
      </c>
      <c r="D59" s="50">
        <v>500000</v>
      </c>
      <c r="E59" s="50"/>
      <c r="F59" s="50"/>
      <c r="G59" s="51"/>
      <c r="H59" s="52"/>
      <c r="I59" s="52"/>
      <c r="J59" s="52"/>
      <c r="K59" s="52"/>
      <c r="IJ59" s="52"/>
      <c r="IK59" s="52"/>
      <c r="IL59" s="52"/>
      <c r="IM59" s="52"/>
      <c r="IN59" s="52"/>
      <c r="IO59" s="52"/>
      <c r="IP59" s="52"/>
      <c r="IQ59" s="52"/>
      <c r="IR59" s="52"/>
    </row>
    <row r="60" spans="1:252" s="40" customFormat="1" ht="15" x14ac:dyDescent="0.25">
      <c r="A60" s="41">
        <v>24000000</v>
      </c>
      <c r="B60" s="82" t="s">
        <v>142</v>
      </c>
      <c r="C60" s="43">
        <f t="shared" si="0"/>
        <v>19000000</v>
      </c>
      <c r="D60" s="59">
        <f>D61+D62+D63</f>
        <v>7000000</v>
      </c>
      <c r="E60" s="59">
        <f>E61+E63</f>
        <v>12000000</v>
      </c>
      <c r="F60" s="43">
        <v>12000000</v>
      </c>
      <c r="G60" s="38"/>
      <c r="H60" s="39"/>
      <c r="I60" s="39"/>
      <c r="J60" s="39"/>
      <c r="K60" s="39"/>
      <c r="IJ60" s="39"/>
      <c r="IK60" s="39"/>
      <c r="IL60" s="39"/>
      <c r="IM60" s="39"/>
      <c r="IN60" s="39"/>
      <c r="IO60" s="39"/>
      <c r="IP60" s="39"/>
      <c r="IQ60" s="39"/>
      <c r="IR60" s="39"/>
    </row>
    <row r="61" spans="1:252" s="40" customFormat="1" ht="15" x14ac:dyDescent="0.25">
      <c r="A61" s="56">
        <v>24060300</v>
      </c>
      <c r="B61" s="57" t="s">
        <v>143</v>
      </c>
      <c r="C61" s="43">
        <f t="shared" si="0"/>
        <v>6000000</v>
      </c>
      <c r="D61" s="60">
        <v>6000000</v>
      </c>
      <c r="E61" s="60"/>
      <c r="F61" s="60"/>
      <c r="G61" s="38"/>
      <c r="H61" s="39"/>
      <c r="I61" s="39"/>
      <c r="J61" s="39"/>
      <c r="K61" s="39"/>
      <c r="IJ61" s="39"/>
      <c r="IK61" s="39"/>
      <c r="IL61" s="39"/>
      <c r="IM61" s="39"/>
      <c r="IN61" s="39"/>
      <c r="IO61" s="39"/>
      <c r="IP61" s="39"/>
      <c r="IQ61" s="39"/>
      <c r="IR61" s="39"/>
    </row>
    <row r="62" spans="1:252" s="40" customFormat="1" ht="60" x14ac:dyDescent="0.25">
      <c r="A62" s="56">
        <v>24062200</v>
      </c>
      <c r="B62" s="57" t="s">
        <v>646</v>
      </c>
      <c r="C62" s="43">
        <f t="shared" si="0"/>
        <v>1000000</v>
      </c>
      <c r="D62" s="60">
        <v>1000000</v>
      </c>
      <c r="E62" s="60"/>
      <c r="F62" s="60"/>
      <c r="G62" s="38"/>
      <c r="H62" s="39"/>
      <c r="I62" s="39"/>
      <c r="J62" s="39"/>
      <c r="K62" s="39"/>
      <c r="IJ62" s="39"/>
      <c r="IK62" s="39"/>
      <c r="IL62" s="39"/>
      <c r="IM62" s="39"/>
      <c r="IN62" s="39"/>
      <c r="IO62" s="39"/>
      <c r="IP62" s="39"/>
      <c r="IQ62" s="39"/>
      <c r="IR62" s="39"/>
    </row>
    <row r="63" spans="1:252" s="46" customFormat="1" ht="24" x14ac:dyDescent="0.2">
      <c r="A63" s="56">
        <v>24170000</v>
      </c>
      <c r="B63" s="61" t="s">
        <v>144</v>
      </c>
      <c r="C63" s="43">
        <f t="shared" si="0"/>
        <v>12000000</v>
      </c>
      <c r="D63" s="60"/>
      <c r="E63" s="60">
        <v>12000000</v>
      </c>
      <c r="F63" s="60">
        <v>12000000</v>
      </c>
      <c r="G63" s="44"/>
      <c r="H63" s="45"/>
      <c r="I63" s="45"/>
      <c r="J63" s="45"/>
      <c r="K63" s="45"/>
      <c r="IJ63" s="45"/>
      <c r="IK63" s="45"/>
      <c r="IL63" s="45"/>
      <c r="IM63" s="45"/>
      <c r="IN63" s="45"/>
      <c r="IO63" s="45"/>
      <c r="IP63" s="45"/>
      <c r="IQ63" s="45"/>
      <c r="IR63" s="45"/>
    </row>
    <row r="64" spans="1:252" s="40" customFormat="1" ht="15" x14ac:dyDescent="0.25">
      <c r="A64" s="41">
        <v>25000000</v>
      </c>
      <c r="B64" s="48" t="s">
        <v>145</v>
      </c>
      <c r="C64" s="43">
        <f t="shared" si="0"/>
        <v>129248285</v>
      </c>
      <c r="D64" s="59">
        <f>SUM(D65,D70)</f>
        <v>0</v>
      </c>
      <c r="E64" s="59">
        <f>SUM(E65,E70)</f>
        <v>129248285</v>
      </c>
      <c r="F64" s="59"/>
      <c r="G64" s="38"/>
      <c r="H64" s="39"/>
      <c r="I64" s="39"/>
      <c r="J64" s="39"/>
      <c r="K64" s="39"/>
      <c r="IJ64" s="39"/>
      <c r="IK64" s="39"/>
      <c r="IL64" s="39"/>
      <c r="IM64" s="39"/>
      <c r="IN64" s="39"/>
      <c r="IO64" s="39"/>
      <c r="IP64" s="39"/>
      <c r="IQ64" s="39"/>
      <c r="IR64" s="39"/>
    </row>
    <row r="65" spans="1:252" s="40" customFormat="1" ht="38.25" x14ac:dyDescent="0.25">
      <c r="A65" s="47">
        <v>25010000</v>
      </c>
      <c r="B65" s="85" t="s">
        <v>146</v>
      </c>
      <c r="C65" s="43">
        <f t="shared" si="0"/>
        <v>129248285</v>
      </c>
      <c r="D65" s="60">
        <v>0</v>
      </c>
      <c r="E65" s="60">
        <f>SUM(E66:E69)</f>
        <v>129248285</v>
      </c>
      <c r="F65" s="60"/>
      <c r="G65" s="38"/>
      <c r="H65" s="39"/>
      <c r="I65" s="39"/>
      <c r="J65" s="39"/>
      <c r="K65" s="39"/>
      <c r="IJ65" s="39"/>
      <c r="IK65" s="39"/>
      <c r="IL65" s="39"/>
      <c r="IM65" s="39"/>
      <c r="IN65" s="39"/>
      <c r="IO65" s="39"/>
      <c r="IP65" s="39"/>
      <c r="IQ65" s="39"/>
      <c r="IR65" s="39"/>
    </row>
    <row r="66" spans="1:252" s="40" customFormat="1" ht="25.5" x14ac:dyDescent="0.25">
      <c r="A66" s="47">
        <v>25010100</v>
      </c>
      <c r="B66" s="86" t="s">
        <v>147</v>
      </c>
      <c r="C66" s="43">
        <v>114464844</v>
      </c>
      <c r="D66" s="60">
        <v>0</v>
      </c>
      <c r="E66" s="60">
        <v>114464844</v>
      </c>
      <c r="F66" s="60"/>
      <c r="G66" s="38"/>
      <c r="H66" s="39"/>
      <c r="I66" s="39"/>
      <c r="J66" s="39"/>
      <c r="K66" s="39"/>
      <c r="IJ66" s="39"/>
      <c r="IK66" s="39"/>
      <c r="IL66" s="39"/>
      <c r="IM66" s="39"/>
      <c r="IN66" s="39"/>
      <c r="IO66" s="39"/>
      <c r="IP66" s="39"/>
      <c r="IQ66" s="39"/>
      <c r="IR66" s="39"/>
    </row>
    <row r="67" spans="1:252" s="40" customFormat="1" ht="25.5" x14ac:dyDescent="0.25">
      <c r="A67" s="47">
        <v>25010200</v>
      </c>
      <c r="B67" s="86" t="s">
        <v>148</v>
      </c>
      <c r="C67" s="43">
        <f t="shared" si="0"/>
        <v>9892745</v>
      </c>
      <c r="D67" s="60">
        <v>0</v>
      </c>
      <c r="E67" s="60">
        <v>9892745</v>
      </c>
      <c r="F67" s="60"/>
      <c r="G67" s="38"/>
      <c r="H67" s="39"/>
      <c r="I67" s="39"/>
      <c r="J67" s="39"/>
      <c r="K67" s="39"/>
      <c r="IJ67" s="39"/>
      <c r="IK67" s="39"/>
      <c r="IL67" s="39"/>
      <c r="IM67" s="39"/>
      <c r="IN67" s="39"/>
      <c r="IO67" s="39"/>
      <c r="IP67" s="39"/>
      <c r="IQ67" s="39"/>
      <c r="IR67" s="39"/>
    </row>
    <row r="68" spans="1:252" s="40" customFormat="1" ht="15" x14ac:dyDescent="0.25">
      <c r="A68" s="47">
        <v>25010300</v>
      </c>
      <c r="B68" s="86" t="s">
        <v>149</v>
      </c>
      <c r="C68" s="43">
        <f t="shared" si="0"/>
        <v>4853346</v>
      </c>
      <c r="D68" s="60">
        <v>0</v>
      </c>
      <c r="E68" s="60">
        <v>4853346</v>
      </c>
      <c r="F68" s="60"/>
      <c r="G68" s="38"/>
      <c r="H68" s="39"/>
      <c r="I68" s="39"/>
      <c r="J68" s="39"/>
      <c r="K68" s="39"/>
      <c r="IJ68" s="39"/>
      <c r="IK68" s="39"/>
      <c r="IL68" s="39"/>
      <c r="IM68" s="39"/>
      <c r="IN68" s="39"/>
      <c r="IO68" s="39"/>
      <c r="IP68" s="39"/>
      <c r="IQ68" s="39"/>
      <c r="IR68" s="39"/>
    </row>
    <row r="69" spans="1:252" s="40" customFormat="1" ht="38.25" x14ac:dyDescent="0.25">
      <c r="A69" s="47">
        <v>25010400</v>
      </c>
      <c r="B69" s="86" t="s">
        <v>150</v>
      </c>
      <c r="C69" s="43">
        <f t="shared" si="0"/>
        <v>37350</v>
      </c>
      <c r="D69" s="60">
        <v>0</v>
      </c>
      <c r="E69" s="60">
        <v>37350</v>
      </c>
      <c r="F69" s="60"/>
      <c r="G69" s="38"/>
      <c r="H69" s="39"/>
      <c r="I69" s="39"/>
      <c r="J69" s="39"/>
      <c r="K69" s="39"/>
      <c r="IJ69" s="39"/>
      <c r="IK69" s="39"/>
      <c r="IL69" s="39"/>
      <c r="IM69" s="39"/>
      <c r="IN69" s="39"/>
      <c r="IO69" s="39"/>
      <c r="IP69" s="39"/>
      <c r="IQ69" s="39"/>
      <c r="IR69" s="39"/>
    </row>
    <row r="70" spans="1:252" s="40" customFormat="1" ht="28.5" x14ac:dyDescent="0.25">
      <c r="A70" s="47">
        <v>25020000</v>
      </c>
      <c r="B70" s="85" t="s">
        <v>151</v>
      </c>
      <c r="C70" s="43">
        <f t="shared" si="0"/>
        <v>0</v>
      </c>
      <c r="D70" s="60">
        <v>0</v>
      </c>
      <c r="E70" s="60">
        <v>0</v>
      </c>
      <c r="F70" s="60"/>
      <c r="G70" s="38"/>
      <c r="H70" s="39"/>
      <c r="I70" s="39"/>
      <c r="J70" s="39"/>
      <c r="K70" s="39"/>
      <c r="IJ70" s="39"/>
      <c r="IK70" s="39"/>
      <c r="IL70" s="39"/>
      <c r="IM70" s="39"/>
      <c r="IN70" s="39"/>
      <c r="IO70" s="39"/>
      <c r="IP70" s="39"/>
      <c r="IQ70" s="39"/>
      <c r="IR70" s="39"/>
    </row>
    <row r="71" spans="1:252" s="66" customFormat="1" ht="15" x14ac:dyDescent="0.2">
      <c r="A71" s="47">
        <v>25020100</v>
      </c>
      <c r="B71" s="86" t="s">
        <v>152</v>
      </c>
      <c r="C71" s="43">
        <f t="shared" si="0"/>
        <v>0</v>
      </c>
      <c r="D71" s="60">
        <v>0</v>
      </c>
      <c r="E71" s="60">
        <v>0</v>
      </c>
      <c r="F71" s="60"/>
      <c r="G71" s="64"/>
      <c r="H71" s="65"/>
      <c r="I71" s="65"/>
      <c r="J71" s="65"/>
      <c r="K71" s="65"/>
      <c r="IJ71" s="65"/>
      <c r="IK71" s="65"/>
      <c r="IL71" s="65"/>
      <c r="IM71" s="65"/>
      <c r="IN71" s="65"/>
      <c r="IO71" s="65"/>
      <c r="IP71" s="65"/>
      <c r="IQ71" s="65"/>
      <c r="IR71" s="65"/>
    </row>
    <row r="72" spans="1:252" s="40" customFormat="1" ht="89.25" hidden="1" x14ac:dyDescent="0.25">
      <c r="A72" s="47">
        <v>25020200</v>
      </c>
      <c r="B72" s="86" t="s">
        <v>153</v>
      </c>
      <c r="C72" s="43">
        <f t="shared" si="0"/>
        <v>0</v>
      </c>
      <c r="D72" s="60"/>
      <c r="E72" s="60">
        <v>0</v>
      </c>
      <c r="F72" s="60"/>
      <c r="G72" s="38"/>
      <c r="H72" s="39"/>
      <c r="I72" s="39"/>
      <c r="J72" s="39"/>
      <c r="K72" s="39"/>
      <c r="IJ72" s="39"/>
      <c r="IK72" s="39"/>
      <c r="IL72" s="39"/>
      <c r="IM72" s="39"/>
      <c r="IN72" s="39"/>
      <c r="IO72" s="39"/>
      <c r="IP72" s="39"/>
      <c r="IQ72" s="39"/>
      <c r="IR72" s="39"/>
    </row>
    <row r="73" spans="1:252" s="53" customFormat="1" ht="14.25" x14ac:dyDescent="0.2">
      <c r="A73" s="41">
        <v>30000000</v>
      </c>
      <c r="B73" s="42" t="s">
        <v>154</v>
      </c>
      <c r="C73" s="43">
        <f t="shared" si="0"/>
        <v>6459905</v>
      </c>
      <c r="D73" s="59">
        <f>SUM(D74)</f>
        <v>60000</v>
      </c>
      <c r="E73" s="59">
        <f>SUM(E74,E77)</f>
        <v>6399905</v>
      </c>
      <c r="F73" s="59">
        <f>SUM(F74,F77)</f>
        <v>6399905</v>
      </c>
      <c r="G73" s="51"/>
      <c r="H73" s="52"/>
      <c r="I73" s="52"/>
      <c r="J73" s="52"/>
      <c r="K73" s="52"/>
      <c r="IJ73" s="52"/>
      <c r="IK73" s="52"/>
      <c r="IL73" s="52"/>
      <c r="IM73" s="52"/>
      <c r="IN73" s="52"/>
      <c r="IO73" s="52"/>
      <c r="IP73" s="52"/>
      <c r="IQ73" s="52"/>
      <c r="IR73" s="52"/>
    </row>
    <row r="74" spans="1:252" s="40" customFormat="1" ht="30" x14ac:dyDescent="0.25">
      <c r="A74" s="47">
        <v>31000000</v>
      </c>
      <c r="B74" s="87" t="s">
        <v>155</v>
      </c>
      <c r="C74" s="43">
        <f t="shared" si="0"/>
        <v>660000</v>
      </c>
      <c r="D74" s="69">
        <v>60000</v>
      </c>
      <c r="E74" s="69">
        <f>SUM(E76)</f>
        <v>600000</v>
      </c>
      <c r="F74" s="69">
        <f>SUM(F76)</f>
        <v>600000</v>
      </c>
      <c r="G74" s="38"/>
      <c r="H74" s="39"/>
      <c r="I74" s="39"/>
      <c r="J74" s="39"/>
      <c r="K74" s="39"/>
      <c r="IJ74" s="39"/>
      <c r="IK74" s="39"/>
      <c r="IL74" s="39"/>
      <c r="IM74" s="39"/>
      <c r="IN74" s="39"/>
      <c r="IO74" s="39"/>
      <c r="IP74" s="39"/>
      <c r="IQ74" s="39"/>
      <c r="IR74" s="39"/>
    </row>
    <row r="75" spans="1:252" s="40" customFormat="1" ht="60" x14ac:dyDescent="0.25">
      <c r="A75" s="56">
        <v>31010200</v>
      </c>
      <c r="B75" s="61" t="s">
        <v>156</v>
      </c>
      <c r="C75" s="43">
        <f>SUM(D75,E75)</f>
        <v>60000</v>
      </c>
      <c r="D75" s="60">
        <v>60000</v>
      </c>
      <c r="E75" s="60"/>
      <c r="F75" s="60"/>
      <c r="G75" s="38"/>
      <c r="H75" s="39"/>
      <c r="I75" s="39"/>
      <c r="J75" s="39"/>
      <c r="K75" s="39"/>
      <c r="IJ75" s="39"/>
      <c r="IK75" s="39"/>
      <c r="IL75" s="39"/>
      <c r="IM75" s="39"/>
      <c r="IN75" s="39"/>
      <c r="IO75" s="39"/>
      <c r="IP75" s="39"/>
      <c r="IQ75" s="39"/>
      <c r="IR75" s="39"/>
    </row>
    <row r="76" spans="1:252" s="40" customFormat="1" ht="36" x14ac:dyDescent="0.25">
      <c r="A76" s="56">
        <v>31030000</v>
      </c>
      <c r="B76" s="88" t="s">
        <v>157</v>
      </c>
      <c r="C76" s="43">
        <f t="shared" si="0"/>
        <v>600000</v>
      </c>
      <c r="D76" s="58"/>
      <c r="E76" s="58">
        <v>600000</v>
      </c>
      <c r="F76" s="58">
        <v>600000</v>
      </c>
      <c r="G76" s="38"/>
      <c r="H76" s="39"/>
      <c r="I76" s="39"/>
      <c r="J76" s="39"/>
      <c r="K76" s="39"/>
      <c r="IJ76" s="39"/>
      <c r="IK76" s="39"/>
      <c r="IL76" s="39"/>
      <c r="IM76" s="39"/>
      <c r="IN76" s="39"/>
      <c r="IO76" s="39"/>
      <c r="IP76" s="39"/>
      <c r="IQ76" s="39"/>
      <c r="IR76" s="39"/>
    </row>
    <row r="77" spans="1:252" s="40" customFormat="1" ht="30" x14ac:dyDescent="0.25">
      <c r="A77" s="47">
        <v>33000000</v>
      </c>
      <c r="B77" s="87" t="s">
        <v>158</v>
      </c>
      <c r="C77" s="43">
        <f t="shared" si="0"/>
        <v>5799905</v>
      </c>
      <c r="D77" s="69"/>
      <c r="E77" s="69">
        <f>SUM(E78)</f>
        <v>5799905</v>
      </c>
      <c r="F77" s="69">
        <f>SUM(F78)</f>
        <v>5799905</v>
      </c>
      <c r="G77" s="38"/>
      <c r="H77" s="39"/>
      <c r="I77" s="39"/>
      <c r="J77" s="39"/>
      <c r="K77" s="39"/>
      <c r="IJ77" s="39"/>
      <c r="IK77" s="39"/>
      <c r="IL77" s="39"/>
      <c r="IM77" s="39"/>
      <c r="IN77" s="39"/>
      <c r="IO77" s="39"/>
      <c r="IP77" s="39"/>
      <c r="IQ77" s="39"/>
      <c r="IR77" s="39"/>
    </row>
    <row r="78" spans="1:252" s="40" customFormat="1" ht="15" x14ac:dyDescent="0.25">
      <c r="A78" s="47">
        <v>33010000</v>
      </c>
      <c r="B78" s="87" t="s">
        <v>159</v>
      </c>
      <c r="C78" s="43">
        <f t="shared" si="0"/>
        <v>5799905</v>
      </c>
      <c r="D78" s="50"/>
      <c r="E78" s="50">
        <f>SUM(E79,E80)</f>
        <v>5799905</v>
      </c>
      <c r="F78" s="50">
        <f>SUM(F79,F80)</f>
        <v>5799905</v>
      </c>
      <c r="G78" s="38"/>
      <c r="H78" s="39"/>
      <c r="I78" s="39"/>
      <c r="J78" s="39"/>
      <c r="K78" s="39"/>
      <c r="IJ78" s="39"/>
      <c r="IK78" s="39"/>
      <c r="IL78" s="39"/>
      <c r="IM78" s="39"/>
      <c r="IN78" s="39"/>
      <c r="IO78" s="39"/>
      <c r="IP78" s="39"/>
      <c r="IQ78" s="39"/>
      <c r="IR78" s="39"/>
    </row>
    <row r="79" spans="1:252" s="40" customFormat="1" ht="48" x14ac:dyDescent="0.25">
      <c r="A79" s="47">
        <v>33010100</v>
      </c>
      <c r="B79" s="88" t="s">
        <v>548</v>
      </c>
      <c r="C79" s="43">
        <f t="shared" si="0"/>
        <v>3085990</v>
      </c>
      <c r="D79" s="50"/>
      <c r="E79" s="50">
        <v>3085990</v>
      </c>
      <c r="F79" s="50">
        <v>3085990</v>
      </c>
      <c r="G79" s="38"/>
      <c r="H79" s="39"/>
      <c r="I79" s="39"/>
      <c r="J79" s="39"/>
      <c r="K79" s="39"/>
      <c r="IJ79" s="39"/>
      <c r="IK79" s="39"/>
      <c r="IL79" s="39"/>
      <c r="IM79" s="39"/>
      <c r="IN79" s="39"/>
      <c r="IO79" s="39"/>
      <c r="IP79" s="39"/>
      <c r="IQ79" s="39"/>
      <c r="IR79" s="39"/>
    </row>
    <row r="80" spans="1:252" s="40" customFormat="1" ht="48" x14ac:dyDescent="0.25">
      <c r="A80" s="47">
        <v>33010200</v>
      </c>
      <c r="B80" s="88" t="s">
        <v>160</v>
      </c>
      <c r="C80" s="43">
        <f t="shared" ref="C80:C100" si="1">SUM(D80,E80)</f>
        <v>2713915</v>
      </c>
      <c r="D80" s="50"/>
      <c r="E80" s="50">
        <v>2713915</v>
      </c>
      <c r="F80" s="50">
        <v>2713915</v>
      </c>
      <c r="G80" s="38"/>
      <c r="H80" s="39"/>
      <c r="I80" s="39"/>
      <c r="J80" s="39"/>
      <c r="K80" s="39"/>
      <c r="IJ80" s="39"/>
      <c r="IK80" s="39"/>
      <c r="IL80" s="39"/>
      <c r="IM80" s="39"/>
      <c r="IN80" s="39"/>
      <c r="IO80" s="39"/>
      <c r="IP80" s="39"/>
      <c r="IQ80" s="39"/>
      <c r="IR80" s="39"/>
    </row>
    <row r="81" spans="1:252" s="40" customFormat="1" ht="53.45" customHeight="1" x14ac:dyDescent="0.25">
      <c r="A81" s="41">
        <v>50110000</v>
      </c>
      <c r="B81" s="89" t="s">
        <v>161</v>
      </c>
      <c r="C81" s="43">
        <v>4212100</v>
      </c>
      <c r="D81" s="50"/>
      <c r="E81" s="43">
        <v>4212100</v>
      </c>
      <c r="F81" s="50"/>
      <c r="G81" s="38"/>
      <c r="H81" s="39"/>
      <c r="I81" s="39"/>
      <c r="J81" s="39"/>
      <c r="K81" s="39"/>
      <c r="IJ81" s="39"/>
      <c r="IK81" s="39"/>
      <c r="IL81" s="39"/>
      <c r="IM81" s="39"/>
      <c r="IN81" s="39"/>
      <c r="IO81" s="39"/>
      <c r="IP81" s="39"/>
      <c r="IQ81" s="39"/>
      <c r="IR81" s="39"/>
    </row>
    <row r="82" spans="1:252" s="46" customFormat="1" ht="18.75" x14ac:dyDescent="0.2">
      <c r="A82" s="41"/>
      <c r="B82" s="90" t="s">
        <v>790</v>
      </c>
      <c r="C82" s="43">
        <f t="shared" si="1"/>
        <v>1825600885</v>
      </c>
      <c r="D82" s="59">
        <f>D10+D44+D73</f>
        <v>1673240595</v>
      </c>
      <c r="E82" s="59">
        <f>E10+E44+E73+E81</f>
        <v>152360290</v>
      </c>
      <c r="F82" s="59">
        <f>F10+F44+F64+F73</f>
        <v>18399905</v>
      </c>
      <c r="G82" s="44"/>
      <c r="H82" s="45"/>
      <c r="I82" s="45"/>
      <c r="J82" s="45"/>
      <c r="K82" s="45"/>
      <c r="IJ82" s="45"/>
      <c r="IK82" s="45"/>
      <c r="IL82" s="45"/>
      <c r="IM82" s="45"/>
      <c r="IN82" s="45"/>
      <c r="IO82" s="45"/>
      <c r="IP82" s="45"/>
      <c r="IQ82" s="45"/>
      <c r="IR82" s="45"/>
    </row>
    <row r="83" spans="1:252" s="46" customFormat="1" ht="18.75" x14ac:dyDescent="0.2">
      <c r="A83" s="41">
        <v>4000000</v>
      </c>
      <c r="B83" s="90" t="s">
        <v>791</v>
      </c>
      <c r="C83" s="43">
        <v>1164381462</v>
      </c>
      <c r="D83" s="59">
        <f>SUM(D84,D86)</f>
        <v>1164381462</v>
      </c>
      <c r="E83" s="59"/>
      <c r="F83" s="59"/>
      <c r="G83" s="44"/>
      <c r="H83" s="45"/>
      <c r="I83" s="45"/>
      <c r="J83" s="45"/>
      <c r="K83" s="45"/>
      <c r="IJ83" s="45"/>
      <c r="IK83" s="45"/>
      <c r="IL83" s="45"/>
      <c r="IM83" s="45"/>
      <c r="IN83" s="45"/>
      <c r="IO83" s="45"/>
      <c r="IP83" s="45"/>
      <c r="IQ83" s="45"/>
      <c r="IR83" s="45"/>
    </row>
    <row r="84" spans="1:252" s="46" customFormat="1" ht="31.5" x14ac:dyDescent="0.2">
      <c r="A84" s="41">
        <v>41040000</v>
      </c>
      <c r="B84" s="158" t="s">
        <v>551</v>
      </c>
      <c r="C84" s="43">
        <v>0</v>
      </c>
      <c r="D84" s="59">
        <v>0</v>
      </c>
      <c r="E84" s="59"/>
      <c r="F84" s="59"/>
      <c r="G84" s="44"/>
      <c r="H84" s="45"/>
      <c r="I84" s="45"/>
      <c r="J84" s="45"/>
      <c r="K84" s="45"/>
      <c r="IJ84" s="45"/>
      <c r="IK84" s="45"/>
      <c r="IL84" s="45"/>
      <c r="IM84" s="45"/>
      <c r="IN84" s="45"/>
      <c r="IO84" s="45"/>
      <c r="IP84" s="45"/>
      <c r="IQ84" s="45"/>
      <c r="IR84" s="45"/>
    </row>
    <row r="85" spans="1:252" s="46" customFormat="1" ht="78.75" customHeight="1" x14ac:dyDescent="0.2">
      <c r="A85" s="47">
        <v>41040200</v>
      </c>
      <c r="B85" s="159" t="s">
        <v>550</v>
      </c>
      <c r="C85" s="43">
        <v>0</v>
      </c>
      <c r="D85" s="59">
        <v>0</v>
      </c>
      <c r="E85" s="59"/>
      <c r="F85" s="59"/>
      <c r="G85" s="44"/>
      <c r="H85" s="45"/>
      <c r="I85" s="45"/>
      <c r="J85" s="45"/>
      <c r="K85" s="45"/>
      <c r="IJ85" s="45"/>
      <c r="IK85" s="45"/>
      <c r="IL85" s="45"/>
      <c r="IM85" s="45"/>
      <c r="IN85" s="45"/>
      <c r="IO85" s="45"/>
      <c r="IP85" s="45"/>
      <c r="IQ85" s="45"/>
      <c r="IR85" s="45"/>
    </row>
    <row r="86" spans="1:252" s="46" customFormat="1" ht="14.25" x14ac:dyDescent="0.2">
      <c r="A86" s="41">
        <v>40000000</v>
      </c>
      <c r="B86" s="67" t="s">
        <v>162</v>
      </c>
      <c r="C86" s="43">
        <f t="shared" si="1"/>
        <v>1164381462</v>
      </c>
      <c r="D86" s="59">
        <f>SUM(D87:D95)</f>
        <v>1164381462</v>
      </c>
      <c r="E86" s="59">
        <f>SUM(E87:E95)</f>
        <v>0</v>
      </c>
      <c r="F86" s="43">
        <v>0</v>
      </c>
      <c r="G86" s="44"/>
      <c r="H86" s="45"/>
      <c r="I86" s="45"/>
      <c r="J86" s="45"/>
      <c r="K86" s="45"/>
      <c r="IJ86" s="45"/>
      <c r="IK86" s="45"/>
      <c r="IL86" s="45"/>
      <c r="IM86" s="45"/>
      <c r="IN86" s="45"/>
      <c r="IO86" s="45"/>
      <c r="IP86" s="45"/>
      <c r="IQ86" s="45"/>
      <c r="IR86" s="45"/>
    </row>
    <row r="87" spans="1:252" s="46" customFormat="1" ht="25.5" x14ac:dyDescent="0.2">
      <c r="A87" s="47">
        <v>41033900</v>
      </c>
      <c r="B87" s="77" t="s">
        <v>163</v>
      </c>
      <c r="C87" s="43">
        <f t="shared" si="1"/>
        <v>368264000</v>
      </c>
      <c r="D87" s="50">
        <v>368264000</v>
      </c>
      <c r="E87" s="43"/>
      <c r="F87" s="43"/>
      <c r="G87" s="44"/>
      <c r="H87" s="45"/>
      <c r="I87" s="45"/>
      <c r="J87" s="45"/>
      <c r="K87" s="45"/>
      <c r="IJ87" s="45"/>
      <c r="IK87" s="45"/>
      <c r="IL87" s="45"/>
      <c r="IM87" s="45"/>
      <c r="IN87" s="45"/>
      <c r="IO87" s="45"/>
      <c r="IP87" s="45"/>
      <c r="IQ87" s="45"/>
      <c r="IR87" s="45"/>
    </row>
    <row r="88" spans="1:252" s="46" customFormat="1" ht="25.5" x14ac:dyDescent="0.2">
      <c r="A88" s="47">
        <v>41034200</v>
      </c>
      <c r="B88" s="77" t="s">
        <v>164</v>
      </c>
      <c r="C88" s="43">
        <f t="shared" si="1"/>
        <v>192216600</v>
      </c>
      <c r="D88" s="50">
        <v>192216600</v>
      </c>
      <c r="E88" s="43"/>
      <c r="F88" s="43"/>
      <c r="G88" s="44"/>
      <c r="H88" s="45"/>
      <c r="I88" s="45"/>
      <c r="J88" s="45"/>
      <c r="K88" s="45"/>
      <c r="IJ88" s="45"/>
      <c r="IK88" s="45"/>
      <c r="IL88" s="45"/>
      <c r="IM88" s="45"/>
      <c r="IN88" s="45"/>
      <c r="IO88" s="45"/>
      <c r="IP88" s="45"/>
      <c r="IQ88" s="45"/>
      <c r="IR88" s="45"/>
    </row>
    <row r="89" spans="1:252" s="46" customFormat="1" ht="193.7" customHeight="1" x14ac:dyDescent="0.2">
      <c r="A89" s="41">
        <v>41050300</v>
      </c>
      <c r="B89" s="77" t="s">
        <v>501</v>
      </c>
      <c r="C89" s="43">
        <f t="shared" si="1"/>
        <v>354029500</v>
      </c>
      <c r="D89" s="50">
        <v>354029500</v>
      </c>
      <c r="E89" s="43"/>
      <c r="F89" s="43"/>
      <c r="G89" s="44"/>
      <c r="H89" s="45"/>
      <c r="I89" s="45"/>
      <c r="J89" s="45"/>
      <c r="K89" s="45"/>
      <c r="IJ89" s="45"/>
      <c r="IK89" s="45"/>
      <c r="IL89" s="45"/>
      <c r="IM89" s="45"/>
      <c r="IN89" s="45"/>
      <c r="IO89" s="45"/>
      <c r="IP89" s="45"/>
      <c r="IQ89" s="45"/>
      <c r="IR89" s="45"/>
    </row>
    <row r="90" spans="1:252" s="46" customFormat="1" ht="117" customHeight="1" x14ac:dyDescent="0.2">
      <c r="A90" s="41">
        <v>41050100</v>
      </c>
      <c r="B90" s="77" t="s">
        <v>502</v>
      </c>
      <c r="C90" s="43">
        <v>237190900</v>
      </c>
      <c r="D90" s="50">
        <v>237190900</v>
      </c>
      <c r="E90" s="43"/>
      <c r="F90" s="43"/>
      <c r="G90" s="44"/>
      <c r="H90" s="45"/>
      <c r="I90" s="45"/>
      <c r="J90" s="45"/>
      <c r="K90" s="45"/>
      <c r="IJ90" s="45"/>
      <c r="IK90" s="45"/>
      <c r="IL90" s="45"/>
      <c r="IM90" s="45"/>
      <c r="IN90" s="45"/>
      <c r="IO90" s="45"/>
      <c r="IP90" s="45"/>
      <c r="IQ90" s="45"/>
      <c r="IR90" s="45"/>
    </row>
    <row r="91" spans="1:252" s="46" customFormat="1" ht="65.25" customHeight="1" x14ac:dyDescent="0.2">
      <c r="A91" s="41">
        <v>41050200</v>
      </c>
      <c r="B91" s="77" t="s">
        <v>503</v>
      </c>
      <c r="C91" s="43">
        <f t="shared" si="1"/>
        <v>49300</v>
      </c>
      <c r="D91" s="50">
        <v>49300</v>
      </c>
      <c r="E91" s="43"/>
      <c r="F91" s="43"/>
      <c r="G91" s="44"/>
      <c r="H91" s="45"/>
      <c r="I91" s="45"/>
      <c r="J91" s="45"/>
      <c r="K91" s="45"/>
      <c r="IJ91" s="45"/>
      <c r="IK91" s="45"/>
      <c r="IL91" s="45"/>
      <c r="IM91" s="45"/>
      <c r="IN91" s="45"/>
      <c r="IO91" s="45"/>
      <c r="IP91" s="45"/>
      <c r="IQ91" s="45"/>
      <c r="IR91" s="45"/>
    </row>
    <row r="92" spans="1:252" s="46" customFormat="1" ht="154.5" customHeight="1" x14ac:dyDescent="0.2">
      <c r="A92" s="41">
        <v>41050700</v>
      </c>
      <c r="B92" s="77" t="s">
        <v>504</v>
      </c>
      <c r="C92" s="43">
        <f t="shared" si="1"/>
        <v>1030700</v>
      </c>
      <c r="D92" s="50">
        <v>1030700</v>
      </c>
      <c r="E92" s="43"/>
      <c r="F92" s="43"/>
      <c r="G92" s="44"/>
      <c r="H92" s="45"/>
      <c r="I92" s="45"/>
      <c r="J92" s="45"/>
      <c r="K92" s="45"/>
      <c r="IJ92" s="45"/>
      <c r="IK92" s="45"/>
      <c r="IL92" s="45"/>
      <c r="IM92" s="45"/>
      <c r="IN92" s="45"/>
      <c r="IO92" s="45"/>
      <c r="IP92" s="45"/>
      <c r="IQ92" s="45"/>
      <c r="IR92" s="45"/>
    </row>
    <row r="93" spans="1:252" s="46" customFormat="1" ht="49.7" customHeight="1" x14ac:dyDescent="0.2">
      <c r="A93" s="41">
        <v>41051500</v>
      </c>
      <c r="B93" s="77" t="s">
        <v>822</v>
      </c>
      <c r="C93" s="43">
        <f t="shared" si="1"/>
        <v>9399200</v>
      </c>
      <c r="D93" s="50">
        <v>9399200</v>
      </c>
      <c r="E93" s="43"/>
      <c r="F93" s="43"/>
      <c r="G93" s="44"/>
      <c r="H93" s="45"/>
      <c r="I93" s="45"/>
      <c r="J93" s="45"/>
      <c r="K93" s="45"/>
      <c r="IJ93" s="45"/>
      <c r="IK93" s="45"/>
      <c r="IL93" s="45"/>
      <c r="IM93" s="45"/>
      <c r="IN93" s="45"/>
      <c r="IO93" s="45"/>
      <c r="IP93" s="45"/>
      <c r="IQ93" s="45"/>
      <c r="IR93" s="45"/>
    </row>
    <row r="94" spans="1:252" s="46" customFormat="1" ht="58.7" customHeight="1" x14ac:dyDescent="0.2">
      <c r="A94" s="41">
        <v>41052000</v>
      </c>
      <c r="B94" s="77" t="s">
        <v>823</v>
      </c>
      <c r="C94" s="43">
        <f t="shared" si="1"/>
        <v>1734200</v>
      </c>
      <c r="D94" s="50">
        <v>1734200</v>
      </c>
      <c r="E94" s="43"/>
      <c r="F94" s="43"/>
      <c r="G94" s="44"/>
      <c r="H94" s="45"/>
      <c r="I94" s="45"/>
      <c r="J94" s="45"/>
      <c r="K94" s="45"/>
      <c r="IJ94" s="45"/>
      <c r="IK94" s="45"/>
      <c r="IL94" s="45"/>
      <c r="IM94" s="45"/>
      <c r="IN94" s="45"/>
      <c r="IO94" s="45"/>
      <c r="IP94" s="45"/>
      <c r="IQ94" s="45"/>
      <c r="IR94" s="45"/>
    </row>
    <row r="95" spans="1:252" s="46" customFormat="1" ht="17.45" customHeight="1" x14ac:dyDescent="0.2">
      <c r="A95" s="41">
        <v>41053900</v>
      </c>
      <c r="B95" s="91" t="s">
        <v>549</v>
      </c>
      <c r="C95" s="43">
        <f t="shared" si="1"/>
        <v>467062</v>
      </c>
      <c r="D95" s="59">
        <f>SUM(D96:D99)</f>
        <v>467062</v>
      </c>
      <c r="E95" s="43"/>
      <c r="F95" s="43"/>
      <c r="G95" s="44"/>
      <c r="H95" s="45"/>
      <c r="I95" s="45"/>
      <c r="J95" s="45"/>
      <c r="K95" s="45"/>
      <c r="IJ95" s="45"/>
      <c r="IK95" s="45"/>
      <c r="IL95" s="45"/>
      <c r="IM95" s="45"/>
      <c r="IN95" s="45"/>
      <c r="IO95" s="45"/>
      <c r="IP95" s="45"/>
      <c r="IQ95" s="45"/>
      <c r="IR95" s="45"/>
    </row>
    <row r="96" spans="1:252" s="46" customFormat="1" ht="36" x14ac:dyDescent="0.2">
      <c r="A96" s="41"/>
      <c r="B96" s="92" t="s">
        <v>165</v>
      </c>
      <c r="C96" s="43">
        <f t="shared" si="1"/>
        <v>179080</v>
      </c>
      <c r="D96" s="50">
        <v>179080</v>
      </c>
      <c r="E96" s="43"/>
      <c r="F96" s="43"/>
      <c r="G96" s="44"/>
      <c r="H96" s="45"/>
      <c r="I96" s="45"/>
      <c r="J96" s="45"/>
      <c r="K96" s="45"/>
      <c r="IJ96" s="45"/>
      <c r="IK96" s="45"/>
      <c r="IL96" s="45"/>
      <c r="IM96" s="45"/>
      <c r="IN96" s="45"/>
      <c r="IO96" s="45"/>
      <c r="IP96" s="45"/>
      <c r="IQ96" s="45"/>
      <c r="IR96" s="45"/>
    </row>
    <row r="97" spans="1:252" s="46" customFormat="1" ht="36" x14ac:dyDescent="0.2">
      <c r="A97" s="41"/>
      <c r="B97" s="92" t="s">
        <v>166</v>
      </c>
      <c r="C97" s="43">
        <f t="shared" si="1"/>
        <v>135534</v>
      </c>
      <c r="D97" s="50">
        <v>135534</v>
      </c>
      <c r="E97" s="43"/>
      <c r="F97" s="43"/>
      <c r="G97" s="44"/>
      <c r="H97" s="45"/>
      <c r="I97" s="45"/>
      <c r="J97" s="45"/>
      <c r="K97" s="45"/>
      <c r="IJ97" s="45"/>
      <c r="IK97" s="45"/>
      <c r="IL97" s="45"/>
      <c r="IM97" s="45"/>
      <c r="IN97" s="45"/>
      <c r="IO97" s="45"/>
      <c r="IP97" s="45"/>
      <c r="IQ97" s="45"/>
      <c r="IR97" s="45"/>
    </row>
    <row r="98" spans="1:252" s="66" customFormat="1" ht="24" x14ac:dyDescent="0.2">
      <c r="A98" s="41"/>
      <c r="B98" s="92" t="s">
        <v>167</v>
      </c>
      <c r="C98" s="43">
        <f t="shared" si="1"/>
        <v>168</v>
      </c>
      <c r="D98" s="50">
        <v>168</v>
      </c>
      <c r="E98" s="43"/>
      <c r="F98" s="43"/>
      <c r="G98" s="64"/>
      <c r="H98" s="65"/>
      <c r="I98" s="65"/>
      <c r="J98" s="65"/>
      <c r="K98" s="65"/>
      <c r="IJ98" s="65"/>
      <c r="IK98" s="65"/>
      <c r="IL98" s="65"/>
      <c r="IM98" s="65"/>
      <c r="IN98" s="65"/>
      <c r="IO98" s="65"/>
      <c r="IP98" s="65"/>
      <c r="IQ98" s="65"/>
      <c r="IR98" s="65"/>
    </row>
    <row r="99" spans="1:252" ht="24" x14ac:dyDescent="0.2">
      <c r="A99" s="41"/>
      <c r="B99" s="92" t="s">
        <v>168</v>
      </c>
      <c r="C99" s="43">
        <f t="shared" si="1"/>
        <v>152280</v>
      </c>
      <c r="D99" s="50">
        <v>152280</v>
      </c>
      <c r="E99" s="43"/>
      <c r="F99" s="43"/>
      <c r="G99" s="32"/>
    </row>
    <row r="100" spans="1:252" s="97" customFormat="1" ht="20.25" x14ac:dyDescent="0.25">
      <c r="A100" s="93"/>
      <c r="B100" s="94" t="s">
        <v>169</v>
      </c>
      <c r="C100" s="43">
        <f t="shared" si="1"/>
        <v>2989982347</v>
      </c>
      <c r="D100" s="59">
        <f>SUM(D82,D84,D86)</f>
        <v>2837622057</v>
      </c>
      <c r="E100" s="59">
        <f>SUM(E82,E86)</f>
        <v>152360290</v>
      </c>
      <c r="F100" s="59">
        <f>SUM(F82:F86)</f>
        <v>18399905</v>
      </c>
      <c r="G100" s="95"/>
      <c r="H100" s="96"/>
      <c r="I100" s="96"/>
      <c r="J100" s="96"/>
      <c r="K100" s="96"/>
      <c r="IJ100" s="96"/>
      <c r="IK100" s="96"/>
      <c r="IL100" s="96"/>
      <c r="IM100" s="96"/>
      <c r="IN100" s="96"/>
      <c r="IO100" s="96"/>
      <c r="IP100" s="96"/>
      <c r="IQ100" s="96"/>
      <c r="IR100" s="96"/>
    </row>
    <row r="101" spans="1:252" x14ac:dyDescent="0.2">
      <c r="G101" s="32"/>
    </row>
    <row r="102" spans="1:252" ht="15" customHeight="1" x14ac:dyDescent="0.25">
      <c r="B102" s="239" t="s">
        <v>820</v>
      </c>
      <c r="E102" s="239" t="s">
        <v>655</v>
      </c>
      <c r="G102" s="32"/>
    </row>
    <row r="103" spans="1:252" ht="1.5" hidden="1" customHeight="1" x14ac:dyDescent="0.25">
      <c r="B103" s="239"/>
      <c r="E103" s="239"/>
      <c r="G103" s="32"/>
    </row>
    <row r="104" spans="1:252" ht="15.75" x14ac:dyDescent="0.25">
      <c r="A104" s="96"/>
      <c r="B104" s="239" t="s">
        <v>170</v>
      </c>
      <c r="C104" s="239"/>
      <c r="D104" s="239"/>
      <c r="E104" s="239" t="s">
        <v>171</v>
      </c>
      <c r="F104" s="96"/>
      <c r="G104" s="32"/>
    </row>
    <row r="105" spans="1:252" x14ac:dyDescent="0.2">
      <c r="A105" s="32"/>
      <c r="B105" s="32"/>
      <c r="C105" s="32"/>
      <c r="D105" s="32"/>
      <c r="E105" s="32"/>
      <c r="F105" s="32"/>
      <c r="G105" s="32"/>
    </row>
    <row r="106" spans="1:252" x14ac:dyDescent="0.2">
      <c r="A106" s="32"/>
      <c r="B106" s="32"/>
      <c r="C106" s="32"/>
      <c r="D106" s="98"/>
      <c r="E106" s="32"/>
      <c r="F106" s="32"/>
      <c r="G106" s="32"/>
    </row>
    <row r="107" spans="1:252" x14ac:dyDescent="0.2">
      <c r="A107" s="32"/>
      <c r="B107" s="32"/>
      <c r="C107" s="32"/>
      <c r="D107" s="99"/>
      <c r="E107" s="32"/>
      <c r="F107" s="32"/>
      <c r="G107" s="32"/>
    </row>
    <row r="108" spans="1:252" x14ac:dyDescent="0.2">
      <c r="A108" s="32"/>
      <c r="B108" s="32"/>
      <c r="C108" s="32"/>
      <c r="D108" s="32"/>
      <c r="E108" s="32"/>
      <c r="F108" s="32"/>
      <c r="G108" s="32"/>
    </row>
    <row r="150" spans="5:5" ht="18.75" x14ac:dyDescent="0.3">
      <c r="E150" s="136"/>
    </row>
  </sheetData>
  <mergeCells count="10">
    <mergeCell ref="A7:A8"/>
    <mergeCell ref="B7:B8"/>
    <mergeCell ref="C7:C8"/>
    <mergeCell ref="D7:D8"/>
    <mergeCell ref="E7:F7"/>
    <mergeCell ref="D1:G1"/>
    <mergeCell ref="D2:G2"/>
    <mergeCell ref="D3:G3"/>
    <mergeCell ref="A4:E4"/>
    <mergeCell ref="A5:E5"/>
  </mergeCells>
  <hyperlinks>
    <hyperlink ref="B74" location="_ftn1" display="_ftn1" xr:uid="{00000000-0004-0000-0000-000000000000}"/>
    <hyperlink ref="B73" location="_ftn1" display="_ftn1" xr:uid="{00000000-0004-0000-0000-000001000000}"/>
    <hyperlink ref="B59" location="_ftn1" display="_ftn1" xr:uid="{00000000-0004-0000-0000-000002000000}"/>
    <hyperlink ref="B15" location="_ftn1" display="_ftn1" xr:uid="{00000000-0004-0000-0000-000003000000}"/>
    <hyperlink ref="B14" location="_ftn1" display="_ftn1" xr:uid="{00000000-0004-0000-0000-000004000000}"/>
    <hyperlink ref="B42" location="_ftn1" display="_ftn1" xr:uid="{00000000-0004-0000-0000-000005000000}"/>
    <hyperlink ref="B77" location="_ftn1" display="_ftn1" xr:uid="{00000000-0004-0000-0000-000006000000}"/>
    <hyperlink ref="B78" location="_ftn1" display="_ftn1" xr:uid="{00000000-0004-0000-0000-000007000000}"/>
    <hyperlink ref="B47" location="_ftn1" display="_ftn1" xr:uid="{00000000-0004-0000-0000-000008000000}"/>
    <hyperlink ref="B48" location="_ftn1" display="_ftn1" xr:uid="{00000000-0004-0000-0000-000009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5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188"/>
  <sheetViews>
    <sheetView view="pageBreakPreview" zoomScale="25" zoomScaleNormal="25" zoomScaleSheetLayoutView="25" zoomScalePageLayoutView="10" workbookViewId="0">
      <pane ySplit="11" topLeftCell="A73" activePane="bottomLeft" state="frozen"/>
      <selection activeCell="K127" sqref="K127:K128"/>
      <selection pane="bottomLeft" activeCell="A6" sqref="A6:Q6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6" customWidth="1"/>
    <col min="6" max="6" width="58.5703125" style="1" customWidth="1"/>
    <col min="7" max="7" width="55.42578125" style="1" customWidth="1"/>
    <col min="8" max="8" width="48.140625" style="1" customWidth="1"/>
    <col min="9" max="9" width="32.7109375" style="1" customWidth="1"/>
    <col min="10" max="10" width="50.5703125" style="6" customWidth="1"/>
    <col min="11" max="11" width="52.5703125" style="6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45.28515625" style="1" hidden="1" customWidth="1"/>
    <col min="16" max="16" width="52.7109375" style="1" bestFit="1" customWidth="1"/>
    <col min="17" max="17" width="86.28515625" style="6" customWidth="1"/>
    <col min="18" max="18" width="52.140625" customWidth="1"/>
    <col min="19" max="19" width="66.42578125" bestFit="1" customWidth="1"/>
    <col min="21" max="21" width="24.7109375" bestFit="1" customWidth="1"/>
  </cols>
  <sheetData>
    <row r="1" spans="1:19" ht="45.75" x14ac:dyDescent="0.2">
      <c r="D1" s="420"/>
      <c r="E1" s="421"/>
      <c r="F1" s="419"/>
      <c r="G1" s="421"/>
      <c r="H1" s="421"/>
      <c r="I1" s="421"/>
      <c r="J1" s="421"/>
      <c r="K1" s="421"/>
      <c r="L1" s="421"/>
      <c r="M1" s="421"/>
      <c r="N1" s="421"/>
      <c r="O1" s="460" t="s">
        <v>89</v>
      </c>
      <c r="P1" s="460"/>
      <c r="Q1" s="460"/>
    </row>
    <row r="2" spans="1:19" ht="45.75" x14ac:dyDescent="0.2">
      <c r="A2" s="420"/>
      <c r="B2" s="420"/>
      <c r="C2" s="420"/>
      <c r="D2" s="420"/>
      <c r="E2" s="421"/>
      <c r="F2" s="419"/>
      <c r="G2" s="421"/>
      <c r="H2" s="421"/>
      <c r="I2" s="421"/>
      <c r="J2" s="421"/>
      <c r="K2" s="421"/>
      <c r="L2" s="421"/>
      <c r="M2" s="421"/>
      <c r="N2" s="421"/>
      <c r="O2" s="460" t="s">
        <v>629</v>
      </c>
      <c r="P2" s="460"/>
      <c r="Q2" s="461"/>
    </row>
    <row r="3" spans="1:19" ht="40.700000000000003" customHeight="1" x14ac:dyDescent="0.2">
      <c r="A3" s="420"/>
      <c r="B3" s="420"/>
      <c r="C3" s="420"/>
      <c r="D3" s="420"/>
      <c r="E3" s="421"/>
      <c r="F3" s="419"/>
      <c r="G3" s="421"/>
      <c r="H3" s="421"/>
      <c r="I3" s="421"/>
      <c r="J3" s="421"/>
      <c r="K3" s="421"/>
      <c r="L3" s="421"/>
      <c r="M3" s="421"/>
      <c r="N3" s="421"/>
      <c r="O3" s="460"/>
      <c r="P3" s="460"/>
      <c r="Q3" s="461"/>
    </row>
    <row r="4" spans="1:19" ht="45.75" hidden="1" x14ac:dyDescent="0.2">
      <c r="A4" s="420"/>
      <c r="B4" s="420"/>
      <c r="C4" s="420"/>
      <c r="D4" s="420"/>
      <c r="E4" s="421"/>
      <c r="F4" s="419"/>
      <c r="G4" s="421"/>
      <c r="H4" s="421"/>
      <c r="I4" s="421"/>
      <c r="J4" s="421"/>
      <c r="K4" s="421"/>
      <c r="L4" s="421"/>
      <c r="M4" s="421"/>
      <c r="N4" s="421"/>
      <c r="O4" s="420"/>
      <c r="P4" s="420"/>
      <c r="Q4" s="419"/>
    </row>
    <row r="5" spans="1:19" ht="45" x14ac:dyDescent="0.2">
      <c r="A5" s="463" t="s">
        <v>88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</row>
    <row r="6" spans="1:19" ht="45" x14ac:dyDescent="0.2">
      <c r="A6" s="463" t="s">
        <v>671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</row>
    <row r="7" spans="1:19" ht="53.45" customHeight="1" x14ac:dyDescent="0.2">
      <c r="A7" s="421"/>
      <c r="B7" s="421"/>
      <c r="C7" s="421"/>
      <c r="D7" s="421"/>
      <c r="E7" s="421"/>
      <c r="F7" s="419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11" t="s">
        <v>672</v>
      </c>
    </row>
    <row r="8" spans="1:19" ht="62.45" customHeight="1" x14ac:dyDescent="0.2">
      <c r="A8" s="465" t="s">
        <v>29</v>
      </c>
      <c r="B8" s="465" t="s">
        <v>675</v>
      </c>
      <c r="C8" s="465" t="s">
        <v>682</v>
      </c>
      <c r="D8" s="465" t="s">
        <v>676</v>
      </c>
      <c r="E8" s="462" t="s">
        <v>25</v>
      </c>
      <c r="F8" s="462"/>
      <c r="G8" s="462"/>
      <c r="H8" s="462"/>
      <c r="I8" s="462"/>
      <c r="J8" s="469" t="s">
        <v>84</v>
      </c>
      <c r="K8" s="470"/>
      <c r="L8" s="470"/>
      <c r="M8" s="470"/>
      <c r="N8" s="470"/>
      <c r="O8" s="470"/>
      <c r="P8" s="471"/>
      <c r="Q8" s="462" t="s">
        <v>24</v>
      </c>
    </row>
    <row r="9" spans="1:19" ht="255" customHeight="1" x14ac:dyDescent="0.2">
      <c r="A9" s="466"/>
      <c r="B9" s="468"/>
      <c r="C9" s="468"/>
      <c r="D9" s="466"/>
      <c r="E9" s="464" t="s">
        <v>668</v>
      </c>
      <c r="F9" s="464" t="s">
        <v>85</v>
      </c>
      <c r="G9" s="464" t="s">
        <v>26</v>
      </c>
      <c r="H9" s="464"/>
      <c r="I9" s="464" t="s">
        <v>87</v>
      </c>
      <c r="J9" s="464" t="s">
        <v>668</v>
      </c>
      <c r="K9" s="464" t="s">
        <v>669</v>
      </c>
      <c r="L9" s="464" t="s">
        <v>85</v>
      </c>
      <c r="M9" s="464" t="s">
        <v>26</v>
      </c>
      <c r="N9" s="464"/>
      <c r="O9" s="464" t="s">
        <v>87</v>
      </c>
      <c r="P9" s="464" t="s">
        <v>87</v>
      </c>
      <c r="Q9" s="462"/>
    </row>
    <row r="10" spans="1:19" ht="135" x14ac:dyDescent="0.2">
      <c r="A10" s="467"/>
      <c r="B10" s="467"/>
      <c r="C10" s="467"/>
      <c r="D10" s="467"/>
      <c r="E10" s="464"/>
      <c r="F10" s="464"/>
      <c r="G10" s="416" t="s">
        <v>86</v>
      </c>
      <c r="H10" s="416" t="s">
        <v>28</v>
      </c>
      <c r="I10" s="464"/>
      <c r="J10" s="464"/>
      <c r="K10" s="464"/>
      <c r="L10" s="464"/>
      <c r="M10" s="416" t="s">
        <v>86</v>
      </c>
      <c r="N10" s="416" t="s">
        <v>28</v>
      </c>
      <c r="O10" s="464"/>
      <c r="P10" s="464"/>
      <c r="Q10" s="462"/>
    </row>
    <row r="11" spans="1:19" s="2" customFormat="1" ht="111" customHeight="1" x14ac:dyDescent="0.2">
      <c r="A11" s="12" t="s">
        <v>4</v>
      </c>
      <c r="B11" s="12" t="s">
        <v>5</v>
      </c>
      <c r="C11" s="12" t="s">
        <v>27</v>
      </c>
      <c r="D11" s="12" t="s">
        <v>7</v>
      </c>
      <c r="E11" s="12" t="s">
        <v>685</v>
      </c>
      <c r="F11" s="12" t="s">
        <v>686</v>
      </c>
      <c r="G11" s="12" t="s">
        <v>687</v>
      </c>
      <c r="H11" s="12" t="s">
        <v>688</v>
      </c>
      <c r="I11" s="12" t="s">
        <v>689</v>
      </c>
      <c r="J11" s="12" t="s">
        <v>690</v>
      </c>
      <c r="K11" s="12" t="s">
        <v>691</v>
      </c>
      <c r="L11" s="12" t="s">
        <v>692</v>
      </c>
      <c r="M11" s="12" t="s">
        <v>693</v>
      </c>
      <c r="N11" s="12" t="s">
        <v>694</v>
      </c>
      <c r="O11" s="12" t="s">
        <v>695</v>
      </c>
      <c r="P11" s="12" t="s">
        <v>695</v>
      </c>
      <c r="Q11" s="12" t="s">
        <v>696</v>
      </c>
    </row>
    <row r="12" spans="1:19" s="2" customFormat="1" ht="135" x14ac:dyDescent="0.2">
      <c r="A12" s="282" t="s">
        <v>235</v>
      </c>
      <c r="B12" s="282"/>
      <c r="C12" s="282"/>
      <c r="D12" s="347" t="s">
        <v>237</v>
      </c>
      <c r="E12" s="365">
        <f>E13</f>
        <v>85998150</v>
      </c>
      <c r="F12" s="365">
        <f t="shared" ref="F12:Q12" si="0">F13</f>
        <v>85998150</v>
      </c>
      <c r="G12" s="365">
        <f t="shared" si="0"/>
        <v>54985000</v>
      </c>
      <c r="H12" s="365">
        <f t="shared" si="0"/>
        <v>2450700</v>
      </c>
      <c r="I12" s="365">
        <f t="shared" si="0"/>
        <v>0</v>
      </c>
      <c r="J12" s="365">
        <f t="shared" si="0"/>
        <v>3985100</v>
      </c>
      <c r="K12" s="365">
        <f t="shared" si="0"/>
        <v>1710000</v>
      </c>
      <c r="L12" s="365">
        <f t="shared" si="0"/>
        <v>2225100</v>
      </c>
      <c r="M12" s="365">
        <f t="shared" si="0"/>
        <v>0</v>
      </c>
      <c r="N12" s="365">
        <f t="shared" si="0"/>
        <v>0</v>
      </c>
      <c r="O12" s="365">
        <f t="shared" si="0"/>
        <v>50000</v>
      </c>
      <c r="P12" s="365">
        <f>K12+O12</f>
        <v>1760000</v>
      </c>
      <c r="Q12" s="365">
        <f t="shared" si="0"/>
        <v>89983250</v>
      </c>
    </row>
    <row r="13" spans="1:19" s="2" customFormat="1" ht="135" x14ac:dyDescent="0.2">
      <c r="A13" s="286" t="s">
        <v>236</v>
      </c>
      <c r="B13" s="286"/>
      <c r="C13" s="286"/>
      <c r="D13" s="348" t="s">
        <v>238</v>
      </c>
      <c r="E13" s="284">
        <f>SUM(E14:E21)</f>
        <v>85998150</v>
      </c>
      <c r="F13" s="284">
        <f>SUM(F14:F21)</f>
        <v>85998150</v>
      </c>
      <c r="G13" s="284">
        <f>SUM(G14:G21)</f>
        <v>54985000</v>
      </c>
      <c r="H13" s="284">
        <f>SUM(H14:H21)</f>
        <v>2450700</v>
      </c>
      <c r="I13" s="284">
        <f>SUM(I14:I21)</f>
        <v>0</v>
      </c>
      <c r="J13" s="284">
        <f>L13+P13</f>
        <v>3985100</v>
      </c>
      <c r="K13" s="284">
        <f>SUM(K14:K21)</f>
        <v>1710000</v>
      </c>
      <c r="L13" s="284">
        <f>SUM(L14:L21)</f>
        <v>2225100</v>
      </c>
      <c r="M13" s="284">
        <f>SUM(M14:M21)</f>
        <v>0</v>
      </c>
      <c r="N13" s="284">
        <f>SUM(N14:N21)</f>
        <v>0</v>
      </c>
      <c r="O13" s="284">
        <f>SUM(O14:O21)</f>
        <v>50000</v>
      </c>
      <c r="P13" s="378">
        <f t="shared" ref="P13:P76" si="1">K13+O13</f>
        <v>1760000</v>
      </c>
      <c r="Q13" s="284">
        <f>E13+J13</f>
        <v>89983250</v>
      </c>
      <c r="R13" s="166" t="b">
        <f>Q14+Q15+Q16+Q17+Q20+Q21+Q18=Q13</f>
        <v>1</v>
      </c>
      <c r="S13" s="166" t="b">
        <f>K13='dod5'!I6</f>
        <v>1</v>
      </c>
    </row>
    <row r="14" spans="1:19" ht="320.25" x14ac:dyDescent="0.2">
      <c r="A14" s="424" t="s">
        <v>340</v>
      </c>
      <c r="B14" s="424" t="s">
        <v>341</v>
      </c>
      <c r="C14" s="424" t="s">
        <v>342</v>
      </c>
      <c r="D14" s="424" t="s">
        <v>339</v>
      </c>
      <c r="E14" s="422">
        <f t="shared" ref="E14:E21" si="2">F14</f>
        <v>77586750</v>
      </c>
      <c r="F14" s="133">
        <v>77586750</v>
      </c>
      <c r="G14" s="133">
        <v>54985000</v>
      </c>
      <c r="H14" s="133">
        <v>2450700</v>
      </c>
      <c r="I14" s="133"/>
      <c r="J14" s="422">
        <f>L14+P14</f>
        <v>210000</v>
      </c>
      <c r="K14" s="133">
        <v>210000</v>
      </c>
      <c r="L14" s="181"/>
      <c r="M14" s="351"/>
      <c r="N14" s="351"/>
      <c r="O14" s="338">
        <v>0</v>
      </c>
      <c r="P14" s="388">
        <f t="shared" si="1"/>
        <v>210000</v>
      </c>
      <c r="Q14" s="422">
        <f>+J14+E14</f>
        <v>77796750</v>
      </c>
    </row>
    <row r="15" spans="1:19" ht="91.5" x14ac:dyDescent="0.2">
      <c r="A15" s="424" t="s">
        <v>356</v>
      </c>
      <c r="B15" s="424" t="s">
        <v>71</v>
      </c>
      <c r="C15" s="424" t="s">
        <v>70</v>
      </c>
      <c r="D15" s="424" t="s">
        <v>357</v>
      </c>
      <c r="E15" s="422">
        <f t="shared" si="2"/>
        <v>1305000</v>
      </c>
      <c r="F15" s="338">
        <v>1305000</v>
      </c>
      <c r="G15" s="338"/>
      <c r="H15" s="338"/>
      <c r="I15" s="338"/>
      <c r="J15" s="422">
        <f t="shared" ref="J15:J21" si="3">L15+P15</f>
        <v>0</v>
      </c>
      <c r="K15" s="338"/>
      <c r="L15" s="338"/>
      <c r="M15" s="338"/>
      <c r="N15" s="338"/>
      <c r="O15" s="338"/>
      <c r="P15" s="388">
        <f t="shared" si="1"/>
        <v>0</v>
      </c>
      <c r="Q15" s="422">
        <f>E15+J15</f>
        <v>1305000</v>
      </c>
    </row>
    <row r="16" spans="1:19" ht="91.5" x14ac:dyDescent="0.2">
      <c r="A16" s="424" t="s">
        <v>346</v>
      </c>
      <c r="B16" s="424" t="s">
        <v>347</v>
      </c>
      <c r="C16" s="424" t="s">
        <v>348</v>
      </c>
      <c r="D16" s="424" t="s">
        <v>345</v>
      </c>
      <c r="E16" s="422">
        <f t="shared" si="2"/>
        <v>3236400</v>
      </c>
      <c r="F16" s="338">
        <v>3236400</v>
      </c>
      <c r="G16" s="338">
        <f>H16+I16</f>
        <v>0</v>
      </c>
      <c r="H16" s="338"/>
      <c r="I16" s="338"/>
      <c r="J16" s="422">
        <f t="shared" si="3"/>
        <v>1500000</v>
      </c>
      <c r="K16" s="338">
        <v>1500000</v>
      </c>
      <c r="L16" s="338"/>
      <c r="M16" s="338"/>
      <c r="N16" s="338"/>
      <c r="O16" s="338"/>
      <c r="P16" s="388">
        <f t="shared" si="1"/>
        <v>1500000</v>
      </c>
      <c r="Q16" s="422">
        <f>+J16+E16</f>
        <v>4736400</v>
      </c>
    </row>
    <row r="17" spans="1:21" ht="137.25" x14ac:dyDescent="0.2">
      <c r="A17" s="424" t="s">
        <v>448</v>
      </c>
      <c r="B17" s="424" t="s">
        <v>449</v>
      </c>
      <c r="C17" s="424" t="s">
        <v>257</v>
      </c>
      <c r="D17" s="423" t="s">
        <v>447</v>
      </c>
      <c r="E17" s="422">
        <f t="shared" si="2"/>
        <v>165000</v>
      </c>
      <c r="F17" s="338">
        <v>165000</v>
      </c>
      <c r="G17" s="338"/>
      <c r="H17" s="338"/>
      <c r="I17" s="338"/>
      <c r="J17" s="422">
        <f t="shared" si="3"/>
        <v>0</v>
      </c>
      <c r="K17" s="338"/>
      <c r="L17" s="338"/>
      <c r="M17" s="338"/>
      <c r="N17" s="338"/>
      <c r="O17" s="338"/>
      <c r="P17" s="388">
        <f t="shared" si="1"/>
        <v>0</v>
      </c>
      <c r="Q17" s="422">
        <f>+J17+E17</f>
        <v>165000</v>
      </c>
    </row>
    <row r="18" spans="1:21" s="146" customFormat="1" ht="409.5" x14ac:dyDescent="0.2">
      <c r="A18" s="444" t="s">
        <v>542</v>
      </c>
      <c r="B18" s="444" t="s">
        <v>541</v>
      </c>
      <c r="C18" s="444" t="s">
        <v>257</v>
      </c>
      <c r="D18" s="352" t="s">
        <v>552</v>
      </c>
      <c r="E18" s="442">
        <f t="shared" si="2"/>
        <v>0</v>
      </c>
      <c r="F18" s="446"/>
      <c r="G18" s="446"/>
      <c r="H18" s="446"/>
      <c r="I18" s="446"/>
      <c r="J18" s="449">
        <f t="shared" si="3"/>
        <v>2275100</v>
      </c>
      <c r="K18" s="446"/>
      <c r="L18" s="446">
        <v>2225100</v>
      </c>
      <c r="M18" s="446"/>
      <c r="N18" s="446"/>
      <c r="O18" s="446">
        <v>50000</v>
      </c>
      <c r="P18" s="450">
        <f t="shared" si="1"/>
        <v>50000</v>
      </c>
      <c r="Q18" s="442">
        <f>E18+J18</f>
        <v>2275100</v>
      </c>
      <c r="R18" s="400">
        <f>Q18</f>
        <v>2275100</v>
      </c>
    </row>
    <row r="19" spans="1:21" s="146" customFormat="1" ht="137.25" x14ac:dyDescent="0.2">
      <c r="A19" s="445"/>
      <c r="B19" s="445"/>
      <c r="C19" s="445"/>
      <c r="D19" s="362" t="s">
        <v>553</v>
      </c>
      <c r="E19" s="443"/>
      <c r="F19" s="447"/>
      <c r="G19" s="447"/>
      <c r="H19" s="447"/>
      <c r="I19" s="447"/>
      <c r="J19" s="441"/>
      <c r="K19" s="445"/>
      <c r="L19" s="447"/>
      <c r="M19" s="447"/>
      <c r="N19" s="447"/>
      <c r="O19" s="447"/>
      <c r="P19" s="451"/>
      <c r="Q19" s="443"/>
    </row>
    <row r="20" spans="1:21" ht="91.5" x14ac:dyDescent="0.2">
      <c r="A20" s="424" t="s">
        <v>349</v>
      </c>
      <c r="B20" s="424" t="s">
        <v>350</v>
      </c>
      <c r="C20" s="424" t="s">
        <v>351</v>
      </c>
      <c r="D20" s="423" t="s">
        <v>352</v>
      </c>
      <c r="E20" s="422">
        <f>F20</f>
        <v>3515000</v>
      </c>
      <c r="F20" s="338">
        <v>3515000</v>
      </c>
      <c r="G20" s="338"/>
      <c r="H20" s="338"/>
      <c r="I20" s="338"/>
      <c r="J20" s="422">
        <f t="shared" si="3"/>
        <v>0</v>
      </c>
      <c r="K20" s="338"/>
      <c r="L20" s="338"/>
      <c r="M20" s="338"/>
      <c r="N20" s="338"/>
      <c r="O20" s="338"/>
      <c r="P20" s="388">
        <f t="shared" si="1"/>
        <v>0</v>
      </c>
      <c r="Q20" s="422">
        <f>E20+J20</f>
        <v>3515000</v>
      </c>
    </row>
    <row r="21" spans="1:21" ht="274.5" x14ac:dyDescent="0.2">
      <c r="A21" s="424" t="s">
        <v>353</v>
      </c>
      <c r="B21" s="424" t="s">
        <v>354</v>
      </c>
      <c r="C21" s="424" t="s">
        <v>71</v>
      </c>
      <c r="D21" s="424" t="s">
        <v>355</v>
      </c>
      <c r="E21" s="422">
        <f t="shared" si="2"/>
        <v>190000</v>
      </c>
      <c r="F21" s="338">
        <v>190000</v>
      </c>
      <c r="G21" s="338"/>
      <c r="H21" s="338"/>
      <c r="I21" s="338"/>
      <c r="J21" s="422">
        <f t="shared" si="3"/>
        <v>0</v>
      </c>
      <c r="K21" s="338"/>
      <c r="L21" s="338"/>
      <c r="M21" s="338"/>
      <c r="N21" s="338"/>
      <c r="O21" s="338"/>
      <c r="P21" s="388">
        <f t="shared" si="1"/>
        <v>0</v>
      </c>
      <c r="Q21" s="422">
        <f>E21+J21</f>
        <v>190000</v>
      </c>
    </row>
    <row r="22" spans="1:21" ht="135" x14ac:dyDescent="0.2">
      <c r="A22" s="282" t="s">
        <v>239</v>
      </c>
      <c r="B22" s="282"/>
      <c r="C22" s="282"/>
      <c r="D22" s="347" t="s">
        <v>0</v>
      </c>
      <c r="E22" s="365">
        <f>E23</f>
        <v>955304293</v>
      </c>
      <c r="F22" s="365">
        <f t="shared" ref="F22:G22" si="4">F23</f>
        <v>955304293</v>
      </c>
      <c r="G22" s="365">
        <f t="shared" si="4"/>
        <v>644533535</v>
      </c>
      <c r="H22" s="365">
        <f>H23</f>
        <v>68543703</v>
      </c>
      <c r="I22" s="365">
        <f t="shared" ref="I22" si="5">I23</f>
        <v>0</v>
      </c>
      <c r="J22" s="365">
        <f>J23</f>
        <v>116070990</v>
      </c>
      <c r="K22" s="365">
        <f>K23</f>
        <v>13109000</v>
      </c>
      <c r="L22" s="365">
        <f>L23</f>
        <v>101650540</v>
      </c>
      <c r="M22" s="365">
        <f t="shared" ref="M22" si="6">M23</f>
        <v>26627480</v>
      </c>
      <c r="N22" s="365">
        <f>N23</f>
        <v>8054210</v>
      </c>
      <c r="O22" s="283">
        <f t="shared" ref="O22:Q22" si="7">O23</f>
        <v>1311450</v>
      </c>
      <c r="P22" s="365">
        <f>K22+O22</f>
        <v>14420450</v>
      </c>
      <c r="Q22" s="283">
        <f t="shared" si="7"/>
        <v>1071375283</v>
      </c>
    </row>
    <row r="23" spans="1:21" ht="135" x14ac:dyDescent="0.2">
      <c r="A23" s="286" t="s">
        <v>240</v>
      </c>
      <c r="B23" s="286"/>
      <c r="C23" s="286"/>
      <c r="D23" s="348" t="s">
        <v>1</v>
      </c>
      <c r="E23" s="284">
        <f>SUM(E24:E32)</f>
        <v>955304293</v>
      </c>
      <c r="F23" s="284">
        <f t="shared" ref="F23:O23" si="8">SUM(F24:F32)</f>
        <v>955304293</v>
      </c>
      <c r="G23" s="284">
        <f>SUM(G24:G32)</f>
        <v>644533535</v>
      </c>
      <c r="H23" s="284">
        <f t="shared" si="8"/>
        <v>68543703</v>
      </c>
      <c r="I23" s="284">
        <f t="shared" si="8"/>
        <v>0</v>
      </c>
      <c r="J23" s="284">
        <f>L23+P23</f>
        <v>116070990</v>
      </c>
      <c r="K23" s="284">
        <f t="shared" si="8"/>
        <v>13109000</v>
      </c>
      <c r="L23" s="284">
        <f t="shared" si="8"/>
        <v>101650540</v>
      </c>
      <c r="M23" s="284">
        <f t="shared" si="8"/>
        <v>26627480</v>
      </c>
      <c r="N23" s="284">
        <f t="shared" si="8"/>
        <v>8054210</v>
      </c>
      <c r="O23" s="284">
        <f t="shared" si="8"/>
        <v>1311450</v>
      </c>
      <c r="P23" s="378">
        <f t="shared" si="1"/>
        <v>14420450</v>
      </c>
      <c r="Q23" s="284">
        <f>E23+J23</f>
        <v>1071375283</v>
      </c>
      <c r="R23" s="166" t="b">
        <f>Q23=Q24+Q25+Q26+Q27+Q28+Q29+Q30+Q31+Q32</f>
        <v>1</v>
      </c>
      <c r="S23" s="166" t="b">
        <f>K23='dod5'!I11</f>
        <v>1</v>
      </c>
    </row>
    <row r="24" spans="1:21" ht="46.5" x14ac:dyDescent="0.55000000000000004">
      <c r="A24" s="424" t="s">
        <v>297</v>
      </c>
      <c r="B24" s="424" t="s">
        <v>298</v>
      </c>
      <c r="C24" s="424" t="s">
        <v>300</v>
      </c>
      <c r="D24" s="424" t="s">
        <v>301</v>
      </c>
      <c r="E24" s="422">
        <f>F24</f>
        <v>259096280</v>
      </c>
      <c r="F24" s="338">
        <f>165508870+36411952+4442800+121320+24563500+1338350+273720+18519120+1241048+6540100+35500+100000</f>
        <v>259096280</v>
      </c>
      <c r="G24" s="338">
        <v>165508870</v>
      </c>
      <c r="H24" s="338">
        <f>18519120+1241048+6540100</f>
        <v>26300268</v>
      </c>
      <c r="I24" s="338"/>
      <c r="J24" s="422">
        <f t="shared" ref="J24:J85" si="9">L24+P24</f>
        <v>42872420</v>
      </c>
      <c r="K24" s="338">
        <f>252000+2500000</f>
        <v>2752000</v>
      </c>
      <c r="L24" s="338">
        <v>39787420</v>
      </c>
      <c r="M24" s="338">
        <v>7603840</v>
      </c>
      <c r="N24" s="338">
        <v>826450</v>
      </c>
      <c r="O24" s="338">
        <v>333000</v>
      </c>
      <c r="P24" s="388">
        <f t="shared" si="1"/>
        <v>3085000</v>
      </c>
      <c r="Q24" s="422">
        <f t="shared" ref="Q24:Q32" si="10">E24+J24</f>
        <v>301968700</v>
      </c>
      <c r="R24" s="15"/>
      <c r="S24" s="15"/>
    </row>
    <row r="25" spans="1:21" ht="366" x14ac:dyDescent="0.55000000000000004">
      <c r="A25" s="424" t="s">
        <v>303</v>
      </c>
      <c r="B25" s="424" t="s">
        <v>299</v>
      </c>
      <c r="C25" s="424" t="s">
        <v>304</v>
      </c>
      <c r="D25" s="424" t="s">
        <v>633</v>
      </c>
      <c r="E25" s="422">
        <f t="shared" ref="E25:E31" si="11">F25</f>
        <v>531289067</v>
      </c>
      <c r="F25" s="338">
        <f>377515910+83053501+7371100+178740+32183400+3499459+415560+30995614+945670+7256140+593970+178740+8163+2093100-15000000</f>
        <v>531289067</v>
      </c>
      <c r="G25" s="338">
        <v>377515910</v>
      </c>
      <c r="H25" s="338">
        <f>30995614+945670+7256140+593970-15000000</f>
        <v>24791394</v>
      </c>
      <c r="I25" s="338"/>
      <c r="J25" s="422">
        <f t="shared" si="9"/>
        <v>44968360</v>
      </c>
      <c r="K25" s="338">
        <f>171000+2450000+400000</f>
        <v>3021000</v>
      </c>
      <c r="L25" s="338">
        <v>41102910</v>
      </c>
      <c r="M25" s="338">
        <v>13732800</v>
      </c>
      <c r="N25" s="338">
        <v>963180</v>
      </c>
      <c r="O25" s="338">
        <v>844450</v>
      </c>
      <c r="P25" s="388">
        <f t="shared" si="1"/>
        <v>3865450</v>
      </c>
      <c r="Q25" s="422">
        <f t="shared" si="10"/>
        <v>576257427</v>
      </c>
      <c r="R25" s="15"/>
      <c r="S25" s="15"/>
      <c r="U25" s="134"/>
    </row>
    <row r="26" spans="1:21" ht="366" x14ac:dyDescent="0.2">
      <c r="A26" s="424" t="s">
        <v>307</v>
      </c>
      <c r="B26" s="424" t="s">
        <v>306</v>
      </c>
      <c r="C26" s="424" t="s">
        <v>308</v>
      </c>
      <c r="D26" s="424" t="s">
        <v>32</v>
      </c>
      <c r="E26" s="422">
        <f t="shared" si="11"/>
        <v>16875606</v>
      </c>
      <c r="F26" s="338">
        <f>11987275+2637201+297700+3970+635400+74400+12000+1090080+19380+107800+5400+5000</f>
        <v>16875606</v>
      </c>
      <c r="G26" s="338">
        <v>11987275</v>
      </c>
      <c r="H26" s="338">
        <f>1090080+19380+107800</f>
        <v>1217260</v>
      </c>
      <c r="I26" s="338"/>
      <c r="J26" s="422">
        <f t="shared" si="9"/>
        <v>59000</v>
      </c>
      <c r="K26" s="338">
        <v>9000</v>
      </c>
      <c r="L26" s="338">
        <v>50000</v>
      </c>
      <c r="M26" s="338"/>
      <c r="N26" s="338">
        <v>29400</v>
      </c>
      <c r="O26" s="338"/>
      <c r="P26" s="388">
        <f t="shared" si="1"/>
        <v>9000</v>
      </c>
      <c r="Q26" s="422">
        <f t="shared" si="10"/>
        <v>16934606</v>
      </c>
    </row>
    <row r="27" spans="1:21" ht="183" x14ac:dyDescent="0.2">
      <c r="A27" s="424" t="s">
        <v>309</v>
      </c>
      <c r="B27" s="424" t="s">
        <v>288</v>
      </c>
      <c r="C27" s="424" t="s">
        <v>276</v>
      </c>
      <c r="D27" s="424" t="s">
        <v>33</v>
      </c>
      <c r="E27" s="422">
        <f t="shared" si="11"/>
        <v>27335937</v>
      </c>
      <c r="F27" s="338">
        <f>19190813+4221979+572200+13650+0+820000+23640+304700+1254870+46020+589810+263715+3840+30500+200</f>
        <v>27335937</v>
      </c>
      <c r="G27" s="338">
        <v>19190813</v>
      </c>
      <c r="H27" s="338">
        <f>1254870+46020+589810+263715</f>
        <v>2154415</v>
      </c>
      <c r="I27" s="338"/>
      <c r="J27" s="422">
        <f t="shared" si="9"/>
        <v>7031670</v>
      </c>
      <c r="K27" s="338">
        <f>18000+2000000+300000</f>
        <v>2318000</v>
      </c>
      <c r="L27" s="338">
        <v>4579670</v>
      </c>
      <c r="M27" s="338">
        <v>1037200</v>
      </c>
      <c r="N27" s="338">
        <v>348290</v>
      </c>
      <c r="O27" s="338">
        <v>134000</v>
      </c>
      <c r="P27" s="388">
        <f t="shared" si="1"/>
        <v>2452000</v>
      </c>
      <c r="Q27" s="422">
        <f t="shared" si="10"/>
        <v>34367607</v>
      </c>
    </row>
    <row r="28" spans="1:21" ht="137.25" x14ac:dyDescent="0.2">
      <c r="A28" s="424" t="s">
        <v>310</v>
      </c>
      <c r="B28" s="424" t="s">
        <v>311</v>
      </c>
      <c r="C28" s="424" t="s">
        <v>312</v>
      </c>
      <c r="D28" s="424" t="s">
        <v>313</v>
      </c>
      <c r="E28" s="422">
        <f t="shared" si="11"/>
        <v>99743470</v>
      </c>
      <c r="F28" s="338">
        <f>55361620+12179557+98200+14420+3078726+14900+65640+8051698+582633+3183200+1360000+15250000+502876</f>
        <v>99743470</v>
      </c>
      <c r="G28" s="338">
        <v>55361620</v>
      </c>
      <c r="H28" s="338">
        <f>8051698+582633+3183200+1360000</f>
        <v>13177531</v>
      </c>
      <c r="I28" s="338"/>
      <c r="J28" s="422">
        <f t="shared" si="9"/>
        <v>15728160</v>
      </c>
      <c r="K28" s="338"/>
      <c r="L28" s="338">
        <v>15728160</v>
      </c>
      <c r="M28" s="338">
        <v>4054000</v>
      </c>
      <c r="N28" s="338">
        <v>5883570</v>
      </c>
      <c r="O28" s="338"/>
      <c r="P28" s="388">
        <f t="shared" si="1"/>
        <v>0</v>
      </c>
      <c r="Q28" s="422">
        <f t="shared" si="10"/>
        <v>115471630</v>
      </c>
    </row>
    <row r="29" spans="1:21" ht="91.5" x14ac:dyDescent="0.2">
      <c r="A29" s="424" t="s">
        <v>315</v>
      </c>
      <c r="B29" s="424" t="s">
        <v>316</v>
      </c>
      <c r="C29" s="424" t="s">
        <v>317</v>
      </c>
      <c r="D29" s="424" t="s">
        <v>314</v>
      </c>
      <c r="E29" s="422">
        <f t="shared" si="11"/>
        <v>4604366</v>
      </c>
      <c r="F29" s="338">
        <f>3056197+672364+210900+430000+3120+40000+126900+4845+57140+400+2500</f>
        <v>4604366</v>
      </c>
      <c r="G29" s="338">
        <v>3056197</v>
      </c>
      <c r="H29" s="338">
        <f>126900+4845+57140</f>
        <v>188885</v>
      </c>
      <c r="I29" s="338"/>
      <c r="J29" s="422">
        <f t="shared" si="9"/>
        <v>73740</v>
      </c>
      <c r="K29" s="338"/>
      <c r="L29" s="338">
        <v>73740</v>
      </c>
      <c r="M29" s="338"/>
      <c r="N29" s="338"/>
      <c r="O29" s="338"/>
      <c r="P29" s="388">
        <f t="shared" si="1"/>
        <v>0</v>
      </c>
      <c r="Q29" s="422">
        <f t="shared" si="10"/>
        <v>4678106</v>
      </c>
    </row>
    <row r="30" spans="1:21" s="146" customFormat="1" ht="91.5" x14ac:dyDescent="0.2">
      <c r="A30" s="423" t="s">
        <v>506</v>
      </c>
      <c r="B30" s="423" t="s">
        <v>507</v>
      </c>
      <c r="C30" s="423" t="s">
        <v>317</v>
      </c>
      <c r="D30" s="423" t="s">
        <v>505</v>
      </c>
      <c r="E30" s="422">
        <f t="shared" si="11"/>
        <v>16210607</v>
      </c>
      <c r="F30" s="338">
        <f>11912850+2620827+577800+1200+362900+12480+440620+8475+262150+2705+4360+400+3840</f>
        <v>16210607</v>
      </c>
      <c r="G30" s="338">
        <v>11912850</v>
      </c>
      <c r="H30" s="338">
        <f>440620+8475+262150+2705</f>
        <v>713950</v>
      </c>
      <c r="I30" s="418"/>
      <c r="J30" s="422">
        <f t="shared" si="9"/>
        <v>337640</v>
      </c>
      <c r="K30" s="338">
        <v>9000</v>
      </c>
      <c r="L30" s="338">
        <v>328640</v>
      </c>
      <c r="M30" s="338">
        <v>199640</v>
      </c>
      <c r="N30" s="338">
        <v>3320</v>
      </c>
      <c r="O30" s="338"/>
      <c r="P30" s="388">
        <f t="shared" si="1"/>
        <v>9000</v>
      </c>
      <c r="Q30" s="422">
        <f t="shared" si="10"/>
        <v>16548247</v>
      </c>
    </row>
    <row r="31" spans="1:21" s="146" customFormat="1" ht="91.5" x14ac:dyDescent="0.2">
      <c r="A31" s="423" t="s">
        <v>539</v>
      </c>
      <c r="B31" s="423" t="s">
        <v>540</v>
      </c>
      <c r="C31" s="423" t="s">
        <v>317</v>
      </c>
      <c r="D31" s="424" t="s">
        <v>538</v>
      </c>
      <c r="E31" s="417">
        <f t="shared" si="11"/>
        <v>148960</v>
      </c>
      <c r="F31" s="418">
        <v>148960</v>
      </c>
      <c r="G31" s="418"/>
      <c r="H31" s="418"/>
      <c r="I31" s="418"/>
      <c r="J31" s="422">
        <f t="shared" si="9"/>
        <v>0</v>
      </c>
      <c r="K31" s="418"/>
      <c r="L31" s="418"/>
      <c r="M31" s="418"/>
      <c r="N31" s="418"/>
      <c r="O31" s="418"/>
      <c r="P31" s="388">
        <f t="shared" si="1"/>
        <v>0</v>
      </c>
      <c r="Q31" s="422">
        <f t="shared" si="10"/>
        <v>148960</v>
      </c>
    </row>
    <row r="32" spans="1:21" s="146" customFormat="1" ht="46.5" x14ac:dyDescent="0.2">
      <c r="A32" s="424" t="s">
        <v>319</v>
      </c>
      <c r="B32" s="424" t="s">
        <v>320</v>
      </c>
      <c r="C32" s="424" t="s">
        <v>321</v>
      </c>
      <c r="D32" s="424" t="s">
        <v>67</v>
      </c>
      <c r="E32" s="417"/>
      <c r="F32" s="418"/>
      <c r="G32" s="418"/>
      <c r="H32" s="418"/>
      <c r="I32" s="418"/>
      <c r="J32" s="422">
        <f t="shared" si="9"/>
        <v>5000000</v>
      </c>
      <c r="K32" s="418">
        <v>5000000</v>
      </c>
      <c r="L32" s="418"/>
      <c r="M32" s="418"/>
      <c r="N32" s="418"/>
      <c r="O32" s="418"/>
      <c r="P32" s="388">
        <f t="shared" si="1"/>
        <v>5000000</v>
      </c>
      <c r="Q32" s="422">
        <f t="shared" si="10"/>
        <v>5000000</v>
      </c>
    </row>
    <row r="33" spans="1:23" ht="135" x14ac:dyDescent="0.2">
      <c r="A33" s="353" t="s">
        <v>241</v>
      </c>
      <c r="B33" s="354"/>
      <c r="C33" s="354"/>
      <c r="D33" s="347" t="s">
        <v>36</v>
      </c>
      <c r="E33" s="365">
        <f>E34</f>
        <v>335180818</v>
      </c>
      <c r="F33" s="365">
        <f t="shared" ref="F33:G33" si="12">F34</f>
        <v>335180818</v>
      </c>
      <c r="G33" s="365">
        <f t="shared" si="12"/>
        <v>3641900</v>
      </c>
      <c r="H33" s="365">
        <f>H34</f>
        <v>212270</v>
      </c>
      <c r="I33" s="365">
        <f t="shared" ref="I33" si="13">I34</f>
        <v>0</v>
      </c>
      <c r="J33" s="365">
        <f>J34</f>
        <v>22172971</v>
      </c>
      <c r="K33" s="365">
        <f>K34</f>
        <v>5499500</v>
      </c>
      <c r="L33" s="365">
        <f>L34</f>
        <v>15931071</v>
      </c>
      <c r="M33" s="365">
        <f t="shared" ref="M33" si="14">M34</f>
        <v>0</v>
      </c>
      <c r="N33" s="365">
        <f>N34</f>
        <v>0</v>
      </c>
      <c r="O33" s="355">
        <f t="shared" ref="O33:Q33" si="15">O34</f>
        <v>742400</v>
      </c>
      <c r="P33" s="365">
        <f t="shared" si="1"/>
        <v>6241900</v>
      </c>
      <c r="Q33" s="355">
        <f t="shared" si="15"/>
        <v>357353789</v>
      </c>
    </row>
    <row r="34" spans="1:23" ht="135" x14ac:dyDescent="0.2">
      <c r="A34" s="286" t="s">
        <v>242</v>
      </c>
      <c r="B34" s="286"/>
      <c r="C34" s="286"/>
      <c r="D34" s="348" t="s">
        <v>59</v>
      </c>
      <c r="E34" s="284">
        <f>SUM(E35:E44)</f>
        <v>335180818</v>
      </c>
      <c r="F34" s="284">
        <f t="shared" ref="F34:O34" si="16">SUM(F35:F44)</f>
        <v>335180818</v>
      </c>
      <c r="G34" s="284">
        <f t="shared" si="16"/>
        <v>3641900</v>
      </c>
      <c r="H34" s="284">
        <f t="shared" si="16"/>
        <v>212270</v>
      </c>
      <c r="I34" s="284">
        <f t="shared" si="16"/>
        <v>0</v>
      </c>
      <c r="J34" s="284">
        <f>L34+P34</f>
        <v>22172971</v>
      </c>
      <c r="K34" s="284">
        <f>SUM(K35:K44)</f>
        <v>5499500</v>
      </c>
      <c r="L34" s="284">
        <f t="shared" si="16"/>
        <v>15931071</v>
      </c>
      <c r="M34" s="284">
        <f t="shared" si="16"/>
        <v>0</v>
      </c>
      <c r="N34" s="284">
        <f t="shared" si="16"/>
        <v>0</v>
      </c>
      <c r="O34" s="284">
        <f t="shared" si="16"/>
        <v>742400</v>
      </c>
      <c r="P34" s="378">
        <f>K34+O34</f>
        <v>6241900</v>
      </c>
      <c r="Q34" s="284">
        <f>E34+J34</f>
        <v>357353789</v>
      </c>
      <c r="R34" s="166" t="b">
        <f>Q34=Q36+Q37+Q38+Q39+Q40+Q41+Q42+Q43+Q44+Q35</f>
        <v>1</v>
      </c>
      <c r="S34" s="166" t="b">
        <f>K34='dod5'!I21</f>
        <v>1</v>
      </c>
    </row>
    <row r="35" spans="1:23" ht="228.75" x14ac:dyDescent="0.2">
      <c r="A35" s="424" t="s">
        <v>746</v>
      </c>
      <c r="B35" s="424" t="s">
        <v>344</v>
      </c>
      <c r="C35" s="424" t="s">
        <v>342</v>
      </c>
      <c r="D35" s="424" t="s">
        <v>343</v>
      </c>
      <c r="E35" s="422">
        <f>F35</f>
        <v>2501100</v>
      </c>
      <c r="F35" s="338">
        <v>2501100</v>
      </c>
      <c r="G35" s="338">
        <v>1884600</v>
      </c>
      <c r="H35" s="338">
        <v>101500</v>
      </c>
      <c r="I35" s="338"/>
      <c r="J35" s="422">
        <f t="shared" si="9"/>
        <v>0</v>
      </c>
      <c r="K35" s="422"/>
      <c r="L35" s="422"/>
      <c r="M35" s="422"/>
      <c r="N35" s="422"/>
      <c r="O35" s="422"/>
      <c r="P35" s="388">
        <f t="shared" si="1"/>
        <v>0</v>
      </c>
      <c r="Q35" s="422">
        <f t="shared" ref="Q35:Q44" si="17">E35+J35</f>
        <v>2501100</v>
      </c>
      <c r="R35" s="166"/>
      <c r="S35" s="166"/>
    </row>
    <row r="36" spans="1:23" ht="91.5" x14ac:dyDescent="0.2">
      <c r="A36" s="424" t="s">
        <v>322</v>
      </c>
      <c r="B36" s="424" t="s">
        <v>318</v>
      </c>
      <c r="C36" s="424" t="s">
        <v>323</v>
      </c>
      <c r="D36" s="424" t="s">
        <v>37</v>
      </c>
      <c r="E36" s="422">
        <f>F36</f>
        <v>190671412</v>
      </c>
      <c r="F36" s="338">
        <v>190671412</v>
      </c>
      <c r="G36" s="338"/>
      <c r="H36" s="338"/>
      <c r="I36" s="338"/>
      <c r="J36" s="422">
        <f t="shared" si="9"/>
        <v>9050900</v>
      </c>
      <c r="K36" s="338">
        <v>4532900</v>
      </c>
      <c r="L36" s="338">
        <v>4218000</v>
      </c>
      <c r="M36" s="338"/>
      <c r="N36" s="338"/>
      <c r="O36" s="338">
        <v>300000</v>
      </c>
      <c r="P36" s="388">
        <f t="shared" si="1"/>
        <v>4832900</v>
      </c>
      <c r="Q36" s="422">
        <f t="shared" si="17"/>
        <v>199722312</v>
      </c>
    </row>
    <row r="37" spans="1:23" ht="137.25" x14ac:dyDescent="0.2">
      <c r="A37" s="424" t="s">
        <v>324</v>
      </c>
      <c r="B37" s="424" t="s">
        <v>325</v>
      </c>
      <c r="C37" s="424" t="s">
        <v>326</v>
      </c>
      <c r="D37" s="424" t="s">
        <v>327</v>
      </c>
      <c r="E37" s="422">
        <f t="shared" ref="E37:E44" si="18">F37</f>
        <v>59783500</v>
      </c>
      <c r="F37" s="338">
        <v>59783500</v>
      </c>
      <c r="G37" s="338"/>
      <c r="H37" s="338"/>
      <c r="I37" s="338"/>
      <c r="J37" s="422">
        <f t="shared" si="9"/>
        <v>1164271</v>
      </c>
      <c r="K37" s="338">
        <v>126000</v>
      </c>
      <c r="L37" s="338">
        <v>1038271</v>
      </c>
      <c r="M37" s="338"/>
      <c r="N37" s="338"/>
      <c r="O37" s="338"/>
      <c r="P37" s="388">
        <f>K37+O37</f>
        <v>126000</v>
      </c>
      <c r="Q37" s="422">
        <f t="shared" si="17"/>
        <v>60947771</v>
      </c>
    </row>
    <row r="38" spans="1:23" ht="137.25" x14ac:dyDescent="0.2">
      <c r="A38" s="424" t="s">
        <v>328</v>
      </c>
      <c r="B38" s="424" t="s">
        <v>329</v>
      </c>
      <c r="C38" s="424" t="s">
        <v>330</v>
      </c>
      <c r="D38" s="424" t="s">
        <v>554</v>
      </c>
      <c r="E38" s="422">
        <f t="shared" si="18"/>
        <v>57684870</v>
      </c>
      <c r="F38" s="338">
        <v>57684870</v>
      </c>
      <c r="G38" s="338"/>
      <c r="H38" s="338"/>
      <c r="I38" s="338"/>
      <c r="J38" s="422">
        <f t="shared" si="9"/>
        <v>6437900</v>
      </c>
      <c r="K38" s="338">
        <f>939600-99000</f>
        <v>840600</v>
      </c>
      <c r="L38" s="338">
        <v>5254900</v>
      </c>
      <c r="M38" s="338"/>
      <c r="N38" s="338"/>
      <c r="O38" s="338">
        <v>342400</v>
      </c>
      <c r="P38" s="388">
        <f t="shared" si="1"/>
        <v>1183000</v>
      </c>
      <c r="Q38" s="422">
        <f t="shared" si="17"/>
        <v>64122770</v>
      </c>
    </row>
    <row r="39" spans="1:23" ht="91.5" x14ac:dyDescent="0.2">
      <c r="A39" s="424" t="s">
        <v>331</v>
      </c>
      <c r="B39" s="424" t="s">
        <v>332</v>
      </c>
      <c r="C39" s="424" t="s">
        <v>333</v>
      </c>
      <c r="D39" s="424" t="s">
        <v>334</v>
      </c>
      <c r="E39" s="422">
        <f t="shared" si="18"/>
        <v>9871950</v>
      </c>
      <c r="F39" s="338">
        <v>9871950</v>
      </c>
      <c r="G39" s="338"/>
      <c r="H39" s="338"/>
      <c r="I39" s="338"/>
      <c r="J39" s="422">
        <f t="shared" si="9"/>
        <v>5497900</v>
      </c>
      <c r="K39" s="338"/>
      <c r="L39" s="338">
        <v>5397900</v>
      </c>
      <c r="M39" s="338"/>
      <c r="N39" s="338"/>
      <c r="O39" s="338">
        <v>100000</v>
      </c>
      <c r="P39" s="388">
        <f t="shared" si="1"/>
        <v>100000</v>
      </c>
      <c r="Q39" s="422">
        <f t="shared" si="17"/>
        <v>15369850</v>
      </c>
    </row>
    <row r="40" spans="1:23" ht="183" x14ac:dyDescent="0.2">
      <c r="A40" s="424" t="s">
        <v>335</v>
      </c>
      <c r="B40" s="423" t="s">
        <v>336</v>
      </c>
      <c r="C40" s="423" t="s">
        <v>555</v>
      </c>
      <c r="D40" s="424" t="s">
        <v>337</v>
      </c>
      <c r="E40" s="422">
        <f t="shared" si="18"/>
        <v>8891316</v>
      </c>
      <c r="F40" s="338">
        <v>8891316</v>
      </c>
      <c r="G40" s="338"/>
      <c r="H40" s="338"/>
      <c r="I40" s="338"/>
      <c r="J40" s="422">
        <f t="shared" si="9"/>
        <v>0</v>
      </c>
      <c r="K40" s="338"/>
      <c r="L40" s="338"/>
      <c r="M40" s="338"/>
      <c r="N40" s="338"/>
      <c r="O40" s="338"/>
      <c r="P40" s="388">
        <f t="shared" si="1"/>
        <v>0</v>
      </c>
      <c r="Q40" s="422">
        <f t="shared" si="17"/>
        <v>8891316</v>
      </c>
    </row>
    <row r="41" spans="1:23" ht="183" hidden="1" x14ac:dyDescent="0.2">
      <c r="A41" s="424" t="s">
        <v>594</v>
      </c>
      <c r="B41" s="424" t="s">
        <v>595</v>
      </c>
      <c r="C41" s="423" t="s">
        <v>338</v>
      </c>
      <c r="D41" s="306" t="s">
        <v>596</v>
      </c>
      <c r="E41" s="422">
        <f t="shared" si="18"/>
        <v>0</v>
      </c>
      <c r="F41" s="338"/>
      <c r="G41" s="338"/>
      <c r="H41" s="338"/>
      <c r="I41" s="338"/>
      <c r="J41" s="422">
        <f t="shared" si="9"/>
        <v>0</v>
      </c>
      <c r="K41" s="338"/>
      <c r="L41" s="338"/>
      <c r="M41" s="338"/>
      <c r="N41" s="338"/>
      <c r="O41" s="338"/>
      <c r="P41" s="388">
        <f t="shared" si="1"/>
        <v>0</v>
      </c>
      <c r="Q41" s="422">
        <f t="shared" si="17"/>
        <v>0</v>
      </c>
    </row>
    <row r="42" spans="1:23" ht="183" hidden="1" x14ac:dyDescent="0.2">
      <c r="A42" s="424" t="s">
        <v>599</v>
      </c>
      <c r="B42" s="424" t="s">
        <v>598</v>
      </c>
      <c r="C42" s="423" t="s">
        <v>338</v>
      </c>
      <c r="D42" s="306" t="s">
        <v>597</v>
      </c>
      <c r="E42" s="422">
        <f t="shared" si="18"/>
        <v>0</v>
      </c>
      <c r="F42" s="338"/>
      <c r="G42" s="338"/>
      <c r="H42" s="338"/>
      <c r="I42" s="338"/>
      <c r="J42" s="422">
        <f t="shared" si="9"/>
        <v>0</v>
      </c>
      <c r="K42" s="338"/>
      <c r="L42" s="338"/>
      <c r="M42" s="338"/>
      <c r="N42" s="338"/>
      <c r="O42" s="338"/>
      <c r="P42" s="388">
        <f t="shared" si="1"/>
        <v>0</v>
      </c>
      <c r="Q42" s="422">
        <f t="shared" si="17"/>
        <v>0</v>
      </c>
    </row>
    <row r="43" spans="1:23" s="146" customFormat="1" ht="137.25" x14ac:dyDescent="0.2">
      <c r="A43" s="424" t="s">
        <v>510</v>
      </c>
      <c r="B43" s="424" t="s">
        <v>512</v>
      </c>
      <c r="C43" s="423" t="s">
        <v>338</v>
      </c>
      <c r="D43" s="306" t="s">
        <v>508</v>
      </c>
      <c r="E43" s="422">
        <f t="shared" si="18"/>
        <v>2416670</v>
      </c>
      <c r="F43" s="338">
        <v>2416670</v>
      </c>
      <c r="G43" s="338">
        <v>1757300</v>
      </c>
      <c r="H43" s="338">
        <v>110770</v>
      </c>
      <c r="I43" s="338"/>
      <c r="J43" s="422">
        <f t="shared" si="9"/>
        <v>22000</v>
      </c>
      <c r="K43" s="338"/>
      <c r="L43" s="338">
        <v>22000</v>
      </c>
      <c r="M43" s="338"/>
      <c r="N43" s="338"/>
      <c r="O43" s="338"/>
      <c r="P43" s="388">
        <f t="shared" si="1"/>
        <v>0</v>
      </c>
      <c r="Q43" s="422">
        <f t="shared" si="17"/>
        <v>2438670</v>
      </c>
    </row>
    <row r="44" spans="1:23" s="146" customFormat="1" ht="91.5" x14ac:dyDescent="0.2">
      <c r="A44" s="424" t="s">
        <v>511</v>
      </c>
      <c r="B44" s="424" t="s">
        <v>513</v>
      </c>
      <c r="C44" s="423" t="s">
        <v>338</v>
      </c>
      <c r="D44" s="306" t="s">
        <v>509</v>
      </c>
      <c r="E44" s="422">
        <f t="shared" si="18"/>
        <v>3360000</v>
      </c>
      <c r="F44" s="338">
        <v>3360000</v>
      </c>
      <c r="G44" s="338"/>
      <c r="H44" s="338"/>
      <c r="I44" s="338"/>
      <c r="J44" s="422">
        <f t="shared" si="9"/>
        <v>0</v>
      </c>
      <c r="K44" s="338"/>
      <c r="L44" s="338"/>
      <c r="M44" s="338"/>
      <c r="N44" s="338"/>
      <c r="O44" s="338"/>
      <c r="P44" s="388">
        <f t="shared" si="1"/>
        <v>0</v>
      </c>
      <c r="Q44" s="422">
        <f t="shared" si="17"/>
        <v>3360000</v>
      </c>
    </row>
    <row r="45" spans="1:23" ht="225" x14ac:dyDescent="0.2">
      <c r="A45" s="282" t="s">
        <v>243</v>
      </c>
      <c r="B45" s="282"/>
      <c r="C45" s="282"/>
      <c r="D45" s="347" t="s">
        <v>60</v>
      </c>
      <c r="E45" s="365">
        <f>E46</f>
        <v>783412946</v>
      </c>
      <c r="F45" s="365">
        <f t="shared" ref="F45:G45" si="19">F46</f>
        <v>783412946</v>
      </c>
      <c r="G45" s="365">
        <f t="shared" si="19"/>
        <v>45023549</v>
      </c>
      <c r="H45" s="365">
        <f>H46</f>
        <v>1897264</v>
      </c>
      <c r="I45" s="365">
        <f t="shared" ref="I45" si="20">I46</f>
        <v>0</v>
      </c>
      <c r="J45" s="365">
        <f>J46</f>
        <v>8150400</v>
      </c>
      <c r="K45" s="365">
        <f>K46</f>
        <v>7475000</v>
      </c>
      <c r="L45" s="365">
        <f>L46</f>
        <v>675400</v>
      </c>
      <c r="M45" s="365">
        <f t="shared" ref="M45" si="21">M46</f>
        <v>60000</v>
      </c>
      <c r="N45" s="365">
        <f>N46</f>
        <v>4000</v>
      </c>
      <c r="O45" s="283">
        <f t="shared" ref="O45" si="22">O46</f>
        <v>0</v>
      </c>
      <c r="P45" s="365">
        <f t="shared" si="1"/>
        <v>7475000</v>
      </c>
      <c r="Q45" s="283">
        <f>Q46</f>
        <v>791563346</v>
      </c>
    </row>
    <row r="46" spans="1:23" ht="225" x14ac:dyDescent="0.2">
      <c r="A46" s="286" t="s">
        <v>244</v>
      </c>
      <c r="B46" s="286"/>
      <c r="C46" s="286"/>
      <c r="D46" s="348" t="s">
        <v>61</v>
      </c>
      <c r="E46" s="284">
        <f>SUM(E47:E86)</f>
        <v>783412946</v>
      </c>
      <c r="F46" s="284">
        <f t="shared" ref="F46:O46" si="23">SUM(F47:F86)</f>
        <v>783412946</v>
      </c>
      <c r="G46" s="284">
        <f>SUM(G47:G86)</f>
        <v>45023549</v>
      </c>
      <c r="H46" s="284">
        <f t="shared" si="23"/>
        <v>1897264</v>
      </c>
      <c r="I46" s="284">
        <f t="shared" si="23"/>
        <v>0</v>
      </c>
      <c r="J46" s="284">
        <f>L46+P46</f>
        <v>8150400</v>
      </c>
      <c r="K46" s="284">
        <f t="shared" si="23"/>
        <v>7475000</v>
      </c>
      <c r="L46" s="284">
        <f t="shared" si="23"/>
        <v>675400</v>
      </c>
      <c r="M46" s="284">
        <f t="shared" si="23"/>
        <v>60000</v>
      </c>
      <c r="N46" s="284">
        <f t="shared" si="23"/>
        <v>4000</v>
      </c>
      <c r="O46" s="284">
        <f t="shared" si="23"/>
        <v>0</v>
      </c>
      <c r="P46" s="378">
        <f t="shared" si="1"/>
        <v>7475000</v>
      </c>
      <c r="Q46" s="284">
        <f>E46+J46</f>
        <v>791563346</v>
      </c>
      <c r="R46" s="179" t="b">
        <f>Q46=Q48+Q49+Q50+Q51+Q52+Q53+Q54+Q55+Q56+Q57+Q58+Q59+Q60+Q61+Q62+Q63+Q64+Q65+Q66+Q67+Q68+Q69+Q70+Q71+Q72+Q73+Q74+Q75+Q76+Q77+Q79+Q81+Q82+Q83+Q78+Q84+Q47+Q85</f>
        <v>1</v>
      </c>
      <c r="S46" s="182" t="b">
        <f>K46='dod5'!I30</f>
        <v>1</v>
      </c>
      <c r="T46" s="180"/>
      <c r="U46" s="179"/>
      <c r="V46" s="180"/>
      <c r="W46" s="180"/>
    </row>
    <row r="47" spans="1:23" ht="228.75" x14ac:dyDescent="0.2">
      <c r="A47" s="424" t="s">
        <v>745</v>
      </c>
      <c r="B47" s="424" t="s">
        <v>344</v>
      </c>
      <c r="C47" s="424" t="s">
        <v>342</v>
      </c>
      <c r="D47" s="424" t="s">
        <v>343</v>
      </c>
      <c r="E47" s="417">
        <f t="shared" ref="E47:E51" si="24">F47</f>
        <v>35993100</v>
      </c>
      <c r="F47" s="338">
        <v>35993100</v>
      </c>
      <c r="G47" s="338">
        <v>26800000</v>
      </c>
      <c r="H47" s="338">
        <v>991000</v>
      </c>
      <c r="I47" s="338"/>
      <c r="J47" s="422">
        <f t="shared" si="9"/>
        <v>450000</v>
      </c>
      <c r="K47" s="338">
        <v>450000</v>
      </c>
      <c r="L47" s="338"/>
      <c r="M47" s="338"/>
      <c r="N47" s="338"/>
      <c r="O47" s="338"/>
      <c r="P47" s="388">
        <f t="shared" si="1"/>
        <v>450000</v>
      </c>
      <c r="Q47" s="417">
        <f t="shared" ref="Q47:Q72" si="25">E47+J47</f>
        <v>36443100</v>
      </c>
      <c r="R47" s="179"/>
      <c r="S47" s="182"/>
      <c r="T47" s="180"/>
      <c r="U47" s="179"/>
      <c r="V47" s="180"/>
      <c r="W47" s="180"/>
    </row>
    <row r="48" spans="1:23" ht="183" x14ac:dyDescent="0.2">
      <c r="A48" s="423" t="s">
        <v>359</v>
      </c>
      <c r="B48" s="423" t="s">
        <v>360</v>
      </c>
      <c r="C48" s="423" t="s">
        <v>305</v>
      </c>
      <c r="D48" s="309" t="s">
        <v>358</v>
      </c>
      <c r="E48" s="417">
        <f t="shared" si="24"/>
        <v>44000000</v>
      </c>
      <c r="F48" s="418">
        <v>44000000</v>
      </c>
      <c r="G48" s="418"/>
      <c r="H48" s="418"/>
      <c r="I48" s="418"/>
      <c r="J48" s="422">
        <f t="shared" si="9"/>
        <v>0</v>
      </c>
      <c r="K48" s="418"/>
      <c r="L48" s="418"/>
      <c r="M48" s="418"/>
      <c r="N48" s="418"/>
      <c r="O48" s="418"/>
      <c r="P48" s="388">
        <f t="shared" si="1"/>
        <v>0</v>
      </c>
      <c r="Q48" s="417">
        <f t="shared" si="25"/>
        <v>44000000</v>
      </c>
    </row>
    <row r="49" spans="1:17" ht="183" x14ac:dyDescent="0.2">
      <c r="A49" s="310" t="s">
        <v>378</v>
      </c>
      <c r="B49" s="423" t="s">
        <v>379</v>
      </c>
      <c r="C49" s="423" t="s">
        <v>79</v>
      </c>
      <c r="D49" s="424" t="s">
        <v>8</v>
      </c>
      <c r="E49" s="314">
        <f t="shared" si="24"/>
        <v>200838400</v>
      </c>
      <c r="F49" s="338">
        <v>200838400</v>
      </c>
      <c r="G49" s="338"/>
      <c r="H49" s="338"/>
      <c r="I49" s="338"/>
      <c r="J49" s="422">
        <f t="shared" si="9"/>
        <v>0</v>
      </c>
      <c r="K49" s="418"/>
      <c r="L49" s="338"/>
      <c r="M49" s="338"/>
      <c r="N49" s="338"/>
      <c r="O49" s="338"/>
      <c r="P49" s="388">
        <f t="shared" si="1"/>
        <v>0</v>
      </c>
      <c r="Q49" s="422">
        <f t="shared" si="25"/>
        <v>200838400</v>
      </c>
    </row>
    <row r="50" spans="1:17" ht="274.5" x14ac:dyDescent="0.2">
      <c r="A50" s="424" t="s">
        <v>381</v>
      </c>
      <c r="B50" s="424" t="s">
        <v>382</v>
      </c>
      <c r="C50" s="424" t="s">
        <v>305</v>
      </c>
      <c r="D50" s="311" t="s">
        <v>380</v>
      </c>
      <c r="E50" s="417">
        <f t="shared" si="24"/>
        <v>3000</v>
      </c>
      <c r="F50" s="418">
        <v>3000</v>
      </c>
      <c r="G50" s="418"/>
      <c r="H50" s="418"/>
      <c r="I50" s="418"/>
      <c r="J50" s="422">
        <f t="shared" si="9"/>
        <v>0</v>
      </c>
      <c r="K50" s="418"/>
      <c r="L50" s="418"/>
      <c r="M50" s="418"/>
      <c r="N50" s="418"/>
      <c r="O50" s="418"/>
      <c r="P50" s="388">
        <f t="shared" si="1"/>
        <v>0</v>
      </c>
      <c r="Q50" s="417">
        <f t="shared" si="25"/>
        <v>3000</v>
      </c>
    </row>
    <row r="51" spans="1:17" ht="228.75" x14ac:dyDescent="0.2">
      <c r="A51" s="424" t="s">
        <v>383</v>
      </c>
      <c r="B51" s="424" t="s">
        <v>384</v>
      </c>
      <c r="C51" s="311">
        <v>1060</v>
      </c>
      <c r="D51" s="312" t="s">
        <v>19</v>
      </c>
      <c r="E51" s="422">
        <f t="shared" si="24"/>
        <v>44700</v>
      </c>
      <c r="F51" s="338">
        <v>44700</v>
      </c>
      <c r="G51" s="338"/>
      <c r="H51" s="338"/>
      <c r="I51" s="338"/>
      <c r="J51" s="422">
        <f t="shared" si="9"/>
        <v>0</v>
      </c>
      <c r="K51" s="338"/>
      <c r="L51" s="338"/>
      <c r="M51" s="338"/>
      <c r="N51" s="338"/>
      <c r="O51" s="338"/>
      <c r="P51" s="388">
        <f>K51+O51</f>
        <v>0</v>
      </c>
      <c r="Q51" s="422">
        <f t="shared" si="25"/>
        <v>44700</v>
      </c>
    </row>
    <row r="52" spans="1:17" s="146" customFormat="1" ht="137.25" x14ac:dyDescent="0.2">
      <c r="A52" s="423" t="s">
        <v>409</v>
      </c>
      <c r="B52" s="423" t="s">
        <v>410</v>
      </c>
      <c r="C52" s="423" t="s">
        <v>305</v>
      </c>
      <c r="D52" s="313" t="s">
        <v>411</v>
      </c>
      <c r="E52" s="417">
        <f>F52</f>
        <v>322970</v>
      </c>
      <c r="F52" s="418">
        <v>322970</v>
      </c>
      <c r="G52" s="418"/>
      <c r="H52" s="418"/>
      <c r="I52" s="418"/>
      <c r="J52" s="422">
        <f t="shared" si="9"/>
        <v>100000</v>
      </c>
      <c r="K52" s="418">
        <v>100000</v>
      </c>
      <c r="L52" s="418"/>
      <c r="M52" s="418"/>
      <c r="N52" s="418"/>
      <c r="O52" s="418"/>
      <c r="P52" s="388">
        <f t="shared" si="1"/>
        <v>100000</v>
      </c>
      <c r="Q52" s="417">
        <f t="shared" si="25"/>
        <v>422970</v>
      </c>
    </row>
    <row r="53" spans="1:17" s="146" customFormat="1" ht="137.25" x14ac:dyDescent="0.2">
      <c r="A53" s="424" t="s">
        <v>412</v>
      </c>
      <c r="B53" s="424" t="s">
        <v>413</v>
      </c>
      <c r="C53" s="424" t="s">
        <v>306</v>
      </c>
      <c r="D53" s="424" t="s">
        <v>16</v>
      </c>
      <c r="E53" s="422">
        <f t="shared" ref="E53:E85" si="26">F53</f>
        <v>1360000</v>
      </c>
      <c r="F53" s="338">
        <v>1360000</v>
      </c>
      <c r="G53" s="338"/>
      <c r="H53" s="338"/>
      <c r="I53" s="338"/>
      <c r="J53" s="422">
        <f t="shared" si="9"/>
        <v>0</v>
      </c>
      <c r="K53" s="338"/>
      <c r="L53" s="338"/>
      <c r="M53" s="338"/>
      <c r="N53" s="338"/>
      <c r="O53" s="338"/>
      <c r="P53" s="388">
        <f t="shared" si="1"/>
        <v>0</v>
      </c>
      <c r="Q53" s="422">
        <f t="shared" si="25"/>
        <v>1360000</v>
      </c>
    </row>
    <row r="54" spans="1:17" s="146" customFormat="1" ht="183" x14ac:dyDescent="0.2">
      <c r="A54" s="424" t="s">
        <v>415</v>
      </c>
      <c r="B54" s="424" t="s">
        <v>416</v>
      </c>
      <c r="C54" s="424" t="s">
        <v>306</v>
      </c>
      <c r="D54" s="423" t="s">
        <v>17</v>
      </c>
      <c r="E54" s="422">
        <f t="shared" si="26"/>
        <v>8000000</v>
      </c>
      <c r="F54" s="338">
        <v>8000000</v>
      </c>
      <c r="G54" s="338"/>
      <c r="H54" s="338"/>
      <c r="I54" s="338"/>
      <c r="J54" s="422">
        <f t="shared" si="9"/>
        <v>0</v>
      </c>
      <c r="K54" s="338"/>
      <c r="L54" s="338"/>
      <c r="M54" s="338"/>
      <c r="N54" s="338"/>
      <c r="O54" s="338"/>
      <c r="P54" s="388">
        <f t="shared" si="1"/>
        <v>0</v>
      </c>
      <c r="Q54" s="422">
        <f t="shared" si="25"/>
        <v>8000000</v>
      </c>
    </row>
    <row r="55" spans="1:17" s="146" customFormat="1" ht="183" x14ac:dyDescent="0.2">
      <c r="A55" s="423" t="s">
        <v>417</v>
      </c>
      <c r="B55" s="423" t="s">
        <v>414</v>
      </c>
      <c r="C55" s="423" t="s">
        <v>306</v>
      </c>
      <c r="D55" s="423" t="s">
        <v>18</v>
      </c>
      <c r="E55" s="422">
        <f t="shared" si="26"/>
        <v>600000</v>
      </c>
      <c r="F55" s="338">
        <v>600000</v>
      </c>
      <c r="G55" s="338"/>
      <c r="H55" s="338"/>
      <c r="I55" s="338"/>
      <c r="J55" s="422">
        <f t="shared" si="9"/>
        <v>0</v>
      </c>
      <c r="K55" s="338"/>
      <c r="L55" s="338"/>
      <c r="M55" s="338"/>
      <c r="N55" s="338"/>
      <c r="O55" s="338"/>
      <c r="P55" s="388">
        <f t="shared" si="1"/>
        <v>0</v>
      </c>
      <c r="Q55" s="422">
        <f t="shared" si="25"/>
        <v>600000</v>
      </c>
    </row>
    <row r="56" spans="1:17" s="146" customFormat="1" ht="183" x14ac:dyDescent="0.2">
      <c r="A56" s="423" t="s">
        <v>418</v>
      </c>
      <c r="B56" s="423" t="s">
        <v>419</v>
      </c>
      <c r="C56" s="423" t="s">
        <v>306</v>
      </c>
      <c r="D56" s="423" t="s">
        <v>21</v>
      </c>
      <c r="E56" s="422">
        <f t="shared" si="26"/>
        <v>82000000</v>
      </c>
      <c r="F56" s="338">
        <v>82000000</v>
      </c>
      <c r="G56" s="338"/>
      <c r="H56" s="338"/>
      <c r="I56" s="338"/>
      <c r="J56" s="422">
        <f t="shared" si="9"/>
        <v>0</v>
      </c>
      <c r="K56" s="338"/>
      <c r="L56" s="338"/>
      <c r="M56" s="338"/>
      <c r="N56" s="338"/>
      <c r="O56" s="338"/>
      <c r="P56" s="388">
        <f t="shared" si="1"/>
        <v>0</v>
      </c>
      <c r="Q56" s="422">
        <f t="shared" si="25"/>
        <v>82000000</v>
      </c>
    </row>
    <row r="57" spans="1:17" s="146" customFormat="1" ht="91.5" x14ac:dyDescent="0.2">
      <c r="A57" s="424" t="s">
        <v>369</v>
      </c>
      <c r="B57" s="424" t="s">
        <v>361</v>
      </c>
      <c r="C57" s="424" t="s">
        <v>280</v>
      </c>
      <c r="D57" s="424" t="s">
        <v>10</v>
      </c>
      <c r="E57" s="422">
        <f t="shared" si="26"/>
        <v>2814000</v>
      </c>
      <c r="F57" s="338">
        <v>2814000</v>
      </c>
      <c r="G57" s="338"/>
      <c r="H57" s="338"/>
      <c r="I57" s="338"/>
      <c r="J57" s="422">
        <f t="shared" si="9"/>
        <v>0</v>
      </c>
      <c r="K57" s="338"/>
      <c r="L57" s="338"/>
      <c r="M57" s="338"/>
      <c r="N57" s="338"/>
      <c r="O57" s="338"/>
      <c r="P57" s="388">
        <f t="shared" si="1"/>
        <v>0</v>
      </c>
      <c r="Q57" s="422">
        <f t="shared" si="25"/>
        <v>2814000</v>
      </c>
    </row>
    <row r="58" spans="1:17" s="146" customFormat="1" ht="91.5" x14ac:dyDescent="0.2">
      <c r="A58" s="424" t="s">
        <v>370</v>
      </c>
      <c r="B58" s="424" t="s">
        <v>362</v>
      </c>
      <c r="C58" s="424" t="s">
        <v>280</v>
      </c>
      <c r="D58" s="424" t="s">
        <v>368</v>
      </c>
      <c r="E58" s="422">
        <f>F58</f>
        <v>371520</v>
      </c>
      <c r="F58" s="338">
        <v>371520</v>
      </c>
      <c r="G58" s="338"/>
      <c r="H58" s="338"/>
      <c r="I58" s="338"/>
      <c r="J58" s="422">
        <f t="shared" si="9"/>
        <v>0</v>
      </c>
      <c r="K58" s="338"/>
      <c r="L58" s="338"/>
      <c r="M58" s="338"/>
      <c r="N58" s="338"/>
      <c r="O58" s="338"/>
      <c r="P58" s="388">
        <f t="shared" si="1"/>
        <v>0</v>
      </c>
      <c r="Q58" s="422">
        <f t="shared" si="25"/>
        <v>371520</v>
      </c>
    </row>
    <row r="59" spans="1:17" s="146" customFormat="1" ht="91.5" x14ac:dyDescent="0.2">
      <c r="A59" s="424" t="s">
        <v>371</v>
      </c>
      <c r="B59" s="424" t="s">
        <v>363</v>
      </c>
      <c r="C59" s="424" t="s">
        <v>280</v>
      </c>
      <c r="D59" s="424" t="s">
        <v>11</v>
      </c>
      <c r="E59" s="422">
        <f t="shared" si="26"/>
        <v>157736000</v>
      </c>
      <c r="F59" s="338">
        <v>157736000</v>
      </c>
      <c r="G59" s="338"/>
      <c r="H59" s="338"/>
      <c r="I59" s="338"/>
      <c r="J59" s="422">
        <f t="shared" si="9"/>
        <v>0</v>
      </c>
      <c r="K59" s="338"/>
      <c r="L59" s="338"/>
      <c r="M59" s="338"/>
      <c r="N59" s="338"/>
      <c r="O59" s="338"/>
      <c r="P59" s="388">
        <f t="shared" si="1"/>
        <v>0</v>
      </c>
      <c r="Q59" s="422">
        <f t="shared" si="25"/>
        <v>157736000</v>
      </c>
    </row>
    <row r="60" spans="1:17" s="146" customFormat="1" ht="137.25" x14ac:dyDescent="0.2">
      <c r="A60" s="424" t="s">
        <v>372</v>
      </c>
      <c r="B60" s="424" t="s">
        <v>364</v>
      </c>
      <c r="C60" s="424" t="s">
        <v>280</v>
      </c>
      <c r="D60" s="424" t="s">
        <v>12</v>
      </c>
      <c r="E60" s="422">
        <f t="shared" si="26"/>
        <v>4266000</v>
      </c>
      <c r="F60" s="338">
        <v>4266000</v>
      </c>
      <c r="G60" s="338"/>
      <c r="H60" s="338"/>
      <c r="I60" s="338"/>
      <c r="J60" s="422">
        <f t="shared" si="9"/>
        <v>0</v>
      </c>
      <c r="K60" s="338"/>
      <c r="L60" s="338"/>
      <c r="M60" s="338"/>
      <c r="N60" s="338"/>
      <c r="O60" s="338"/>
      <c r="P60" s="388">
        <f t="shared" si="1"/>
        <v>0</v>
      </c>
      <c r="Q60" s="422">
        <f t="shared" si="25"/>
        <v>4266000</v>
      </c>
    </row>
    <row r="61" spans="1:17" s="146" customFormat="1" ht="91.5" x14ac:dyDescent="0.2">
      <c r="A61" s="424" t="s">
        <v>373</v>
      </c>
      <c r="B61" s="424" t="s">
        <v>365</v>
      </c>
      <c r="C61" s="424" t="s">
        <v>280</v>
      </c>
      <c r="D61" s="424" t="s">
        <v>13</v>
      </c>
      <c r="E61" s="422">
        <f t="shared" si="26"/>
        <v>27062400</v>
      </c>
      <c r="F61" s="338">
        <v>27062400</v>
      </c>
      <c r="G61" s="338"/>
      <c r="H61" s="338"/>
      <c r="I61" s="338"/>
      <c r="J61" s="422">
        <f t="shared" si="9"/>
        <v>0</v>
      </c>
      <c r="K61" s="338"/>
      <c r="L61" s="338"/>
      <c r="M61" s="338"/>
      <c r="N61" s="338"/>
      <c r="O61" s="338"/>
      <c r="P61" s="388">
        <f t="shared" si="1"/>
        <v>0</v>
      </c>
      <c r="Q61" s="422">
        <f t="shared" si="25"/>
        <v>27062400</v>
      </c>
    </row>
    <row r="62" spans="1:17" s="146" customFormat="1" ht="91.5" x14ac:dyDescent="0.2">
      <c r="A62" s="424" t="s">
        <v>374</v>
      </c>
      <c r="B62" s="424" t="s">
        <v>366</v>
      </c>
      <c r="C62" s="424" t="s">
        <v>280</v>
      </c>
      <c r="D62" s="424" t="s">
        <v>14</v>
      </c>
      <c r="E62" s="422">
        <f t="shared" si="26"/>
        <v>2700000</v>
      </c>
      <c r="F62" s="338">
        <v>2700000</v>
      </c>
      <c r="G62" s="338"/>
      <c r="H62" s="338"/>
      <c r="I62" s="338"/>
      <c r="J62" s="422">
        <f t="shared" si="9"/>
        <v>0</v>
      </c>
      <c r="K62" s="338"/>
      <c r="L62" s="338"/>
      <c r="M62" s="338"/>
      <c r="N62" s="338"/>
      <c r="O62" s="338"/>
      <c r="P62" s="388">
        <f t="shared" si="1"/>
        <v>0</v>
      </c>
      <c r="Q62" s="422">
        <f t="shared" si="25"/>
        <v>2700000</v>
      </c>
    </row>
    <row r="63" spans="1:17" s="146" customFormat="1" ht="137.25" x14ac:dyDescent="0.2">
      <c r="A63" s="424" t="s">
        <v>375</v>
      </c>
      <c r="B63" s="424" t="s">
        <v>367</v>
      </c>
      <c r="C63" s="424" t="s">
        <v>280</v>
      </c>
      <c r="D63" s="424" t="s">
        <v>15</v>
      </c>
      <c r="E63" s="422">
        <f t="shared" si="26"/>
        <v>39337958</v>
      </c>
      <c r="F63" s="338">
        <v>39337958</v>
      </c>
      <c r="G63" s="338"/>
      <c r="H63" s="338"/>
      <c r="I63" s="338"/>
      <c r="J63" s="422">
        <f t="shared" si="9"/>
        <v>0</v>
      </c>
      <c r="K63" s="338"/>
      <c r="L63" s="338"/>
      <c r="M63" s="338"/>
      <c r="N63" s="338"/>
      <c r="O63" s="338"/>
      <c r="P63" s="388">
        <f t="shared" si="1"/>
        <v>0</v>
      </c>
      <c r="Q63" s="422">
        <f t="shared" si="25"/>
        <v>39337958</v>
      </c>
    </row>
    <row r="64" spans="1:17" ht="183" x14ac:dyDescent="0.2">
      <c r="A64" s="424" t="s">
        <v>385</v>
      </c>
      <c r="B64" s="424" t="s">
        <v>376</v>
      </c>
      <c r="C64" s="424" t="s">
        <v>306</v>
      </c>
      <c r="D64" s="424" t="s">
        <v>9</v>
      </c>
      <c r="E64" s="422">
        <f t="shared" si="26"/>
        <v>179080</v>
      </c>
      <c r="F64" s="338">
        <v>179080</v>
      </c>
      <c r="G64" s="338"/>
      <c r="H64" s="338"/>
      <c r="I64" s="338"/>
      <c r="J64" s="422">
        <f t="shared" si="9"/>
        <v>0</v>
      </c>
      <c r="K64" s="422"/>
      <c r="L64" s="338"/>
      <c r="M64" s="338"/>
      <c r="N64" s="338"/>
      <c r="O64" s="338"/>
      <c r="P64" s="388">
        <f t="shared" si="1"/>
        <v>0</v>
      </c>
      <c r="Q64" s="422">
        <f t="shared" si="25"/>
        <v>179080</v>
      </c>
    </row>
    <row r="65" spans="1:17" s="146" customFormat="1" ht="183" x14ac:dyDescent="0.2">
      <c r="A65" s="424" t="s">
        <v>559</v>
      </c>
      <c r="B65" s="424" t="s">
        <v>560</v>
      </c>
      <c r="C65" s="424" t="s">
        <v>298</v>
      </c>
      <c r="D65" s="424" t="s">
        <v>558</v>
      </c>
      <c r="E65" s="422">
        <f t="shared" si="26"/>
        <v>78472603.400000006</v>
      </c>
      <c r="F65" s="338">
        <v>78472603.400000006</v>
      </c>
      <c r="G65" s="338"/>
      <c r="H65" s="338"/>
      <c r="I65" s="338"/>
      <c r="J65" s="422">
        <f t="shared" si="9"/>
        <v>0</v>
      </c>
      <c r="K65" s="338"/>
      <c r="L65" s="338"/>
      <c r="M65" s="338"/>
      <c r="N65" s="338"/>
      <c r="O65" s="338"/>
      <c r="P65" s="388">
        <f t="shared" si="1"/>
        <v>0</v>
      </c>
      <c r="Q65" s="422">
        <f t="shared" si="25"/>
        <v>78472603.400000006</v>
      </c>
    </row>
    <row r="66" spans="1:17" s="146" customFormat="1" ht="228.75" x14ac:dyDescent="0.2">
      <c r="A66" s="424" t="s">
        <v>619</v>
      </c>
      <c r="B66" s="424" t="s">
        <v>620</v>
      </c>
      <c r="C66" s="424" t="s">
        <v>298</v>
      </c>
      <c r="D66" s="424" t="s">
        <v>621</v>
      </c>
      <c r="E66" s="422">
        <f t="shared" si="26"/>
        <v>25694626.600000001</v>
      </c>
      <c r="F66" s="338">
        <v>25694626.600000001</v>
      </c>
      <c r="G66" s="338"/>
      <c r="H66" s="338"/>
      <c r="I66" s="338"/>
      <c r="J66" s="422">
        <f t="shared" si="9"/>
        <v>0</v>
      </c>
      <c r="K66" s="338"/>
      <c r="L66" s="338"/>
      <c r="M66" s="338"/>
      <c r="N66" s="338"/>
      <c r="O66" s="338"/>
      <c r="P66" s="388">
        <f t="shared" si="1"/>
        <v>0</v>
      </c>
      <c r="Q66" s="422">
        <f t="shared" si="25"/>
        <v>25694626.600000001</v>
      </c>
    </row>
    <row r="67" spans="1:17" s="146" customFormat="1" ht="183" x14ac:dyDescent="0.2">
      <c r="A67" s="424" t="s">
        <v>556</v>
      </c>
      <c r="B67" s="424" t="s">
        <v>557</v>
      </c>
      <c r="C67" s="424" t="s">
        <v>298</v>
      </c>
      <c r="D67" s="424" t="s">
        <v>514</v>
      </c>
      <c r="E67" s="422">
        <f t="shared" si="26"/>
        <v>14110200</v>
      </c>
      <c r="F67" s="338">
        <v>14110200</v>
      </c>
      <c r="G67" s="338"/>
      <c r="H67" s="338"/>
      <c r="I67" s="338"/>
      <c r="J67" s="422">
        <f t="shared" si="9"/>
        <v>0</v>
      </c>
      <c r="K67" s="338"/>
      <c r="L67" s="338"/>
      <c r="M67" s="338"/>
      <c r="N67" s="338"/>
      <c r="O67" s="338"/>
      <c r="P67" s="388">
        <f t="shared" si="1"/>
        <v>0</v>
      </c>
      <c r="Q67" s="422">
        <f t="shared" si="25"/>
        <v>14110200</v>
      </c>
    </row>
    <row r="68" spans="1:17" s="146" customFormat="1" ht="274.5" x14ac:dyDescent="0.2">
      <c r="A68" s="424" t="s">
        <v>563</v>
      </c>
      <c r="B68" s="424" t="s">
        <v>564</v>
      </c>
      <c r="C68" s="424" t="s">
        <v>298</v>
      </c>
      <c r="D68" s="424" t="s">
        <v>565</v>
      </c>
      <c r="E68" s="422">
        <f t="shared" si="26"/>
        <v>1200000</v>
      </c>
      <c r="F68" s="338">
        <v>1200000</v>
      </c>
      <c r="G68" s="338"/>
      <c r="H68" s="338"/>
      <c r="I68" s="338"/>
      <c r="J68" s="422">
        <f t="shared" si="9"/>
        <v>0</v>
      </c>
      <c r="K68" s="338"/>
      <c r="L68" s="338"/>
      <c r="M68" s="338"/>
      <c r="N68" s="338"/>
      <c r="O68" s="338"/>
      <c r="P68" s="388">
        <f t="shared" si="1"/>
        <v>0</v>
      </c>
      <c r="Q68" s="422">
        <f t="shared" si="25"/>
        <v>1200000</v>
      </c>
    </row>
    <row r="69" spans="1:17" s="146" customFormat="1" ht="320.25" x14ac:dyDescent="0.2">
      <c r="A69" s="424" t="s">
        <v>561</v>
      </c>
      <c r="B69" s="424" t="s">
        <v>562</v>
      </c>
      <c r="C69" s="424" t="s">
        <v>298</v>
      </c>
      <c r="D69" s="424" t="s">
        <v>566</v>
      </c>
      <c r="E69" s="422">
        <f t="shared" si="26"/>
        <v>264192</v>
      </c>
      <c r="F69" s="338">
        <v>264192</v>
      </c>
      <c r="G69" s="338"/>
      <c r="H69" s="338"/>
      <c r="I69" s="338"/>
      <c r="J69" s="422">
        <f t="shared" si="9"/>
        <v>0</v>
      </c>
      <c r="K69" s="338"/>
      <c r="L69" s="338"/>
      <c r="M69" s="338"/>
      <c r="N69" s="338"/>
      <c r="O69" s="338"/>
      <c r="P69" s="388">
        <f t="shared" si="1"/>
        <v>0</v>
      </c>
      <c r="Q69" s="422">
        <f t="shared" si="25"/>
        <v>264192</v>
      </c>
    </row>
    <row r="70" spans="1:17" ht="163.5" customHeight="1" x14ac:dyDescent="0.2">
      <c r="A70" s="424" t="s">
        <v>386</v>
      </c>
      <c r="B70" s="424" t="s">
        <v>377</v>
      </c>
      <c r="C70" s="424" t="s">
        <v>305</v>
      </c>
      <c r="D70" s="424" t="s">
        <v>515</v>
      </c>
      <c r="E70" s="422">
        <f t="shared" si="26"/>
        <v>152280</v>
      </c>
      <c r="F70" s="338">
        <v>152280</v>
      </c>
      <c r="G70" s="338"/>
      <c r="H70" s="338"/>
      <c r="I70" s="338"/>
      <c r="J70" s="422">
        <f t="shared" si="9"/>
        <v>0</v>
      </c>
      <c r="K70" s="422"/>
      <c r="L70" s="338"/>
      <c r="M70" s="338"/>
      <c r="N70" s="338"/>
      <c r="O70" s="338"/>
      <c r="P70" s="388">
        <f t="shared" si="1"/>
        <v>0</v>
      </c>
      <c r="Q70" s="422">
        <f t="shared" si="25"/>
        <v>152280</v>
      </c>
    </row>
    <row r="71" spans="1:17" ht="301.7" customHeight="1" x14ac:dyDescent="0.2">
      <c r="A71" s="424" t="s">
        <v>407</v>
      </c>
      <c r="B71" s="424" t="s">
        <v>405</v>
      </c>
      <c r="C71" s="424" t="s">
        <v>299</v>
      </c>
      <c r="D71" s="424" t="s">
        <v>35</v>
      </c>
      <c r="E71" s="422">
        <f t="shared" si="26"/>
        <v>17332984</v>
      </c>
      <c r="F71" s="338">
        <v>17332984</v>
      </c>
      <c r="G71" s="338">
        <v>11859350</v>
      </c>
      <c r="H71" s="338">
        <v>241174</v>
      </c>
      <c r="I71" s="338"/>
      <c r="J71" s="422">
        <f t="shared" si="9"/>
        <v>284400</v>
      </c>
      <c r="K71" s="338">
        <v>175000</v>
      </c>
      <c r="L71" s="338">
        <v>109400</v>
      </c>
      <c r="M71" s="338">
        <v>60000</v>
      </c>
      <c r="N71" s="338">
        <v>4000</v>
      </c>
      <c r="O71" s="338"/>
      <c r="P71" s="388">
        <f t="shared" si="1"/>
        <v>175000</v>
      </c>
      <c r="Q71" s="422">
        <f t="shared" si="25"/>
        <v>17617384</v>
      </c>
    </row>
    <row r="72" spans="1:17" ht="137.25" x14ac:dyDescent="0.2">
      <c r="A72" s="424" t="s">
        <v>408</v>
      </c>
      <c r="B72" s="424" t="s">
        <v>406</v>
      </c>
      <c r="C72" s="424" t="s">
        <v>298</v>
      </c>
      <c r="D72" s="424" t="s">
        <v>516</v>
      </c>
      <c r="E72" s="422">
        <f t="shared" si="26"/>
        <v>5162423</v>
      </c>
      <c r="F72" s="338">
        <v>5162423</v>
      </c>
      <c r="G72" s="338">
        <v>3617760</v>
      </c>
      <c r="H72" s="338">
        <v>286645</v>
      </c>
      <c r="I72" s="338"/>
      <c r="J72" s="422">
        <f t="shared" si="9"/>
        <v>0</v>
      </c>
      <c r="K72" s="338"/>
      <c r="L72" s="338"/>
      <c r="M72" s="338"/>
      <c r="N72" s="338"/>
      <c r="O72" s="338"/>
      <c r="P72" s="388">
        <f>K72+O72</f>
        <v>0</v>
      </c>
      <c r="Q72" s="422">
        <f t="shared" si="25"/>
        <v>5162423</v>
      </c>
    </row>
    <row r="73" spans="1:17" ht="409.5" x14ac:dyDescent="0.2">
      <c r="A73" s="424" t="s">
        <v>403</v>
      </c>
      <c r="B73" s="424" t="s">
        <v>404</v>
      </c>
      <c r="C73" s="424" t="s">
        <v>298</v>
      </c>
      <c r="D73" s="424" t="s">
        <v>517</v>
      </c>
      <c r="E73" s="422">
        <f t="shared" si="26"/>
        <v>1554600</v>
      </c>
      <c r="F73" s="338">
        <v>1554600</v>
      </c>
      <c r="G73" s="338"/>
      <c r="H73" s="338"/>
      <c r="I73" s="338"/>
      <c r="J73" s="422">
        <f t="shared" si="9"/>
        <v>0</v>
      </c>
      <c r="K73" s="422"/>
      <c r="L73" s="338"/>
      <c r="M73" s="338"/>
      <c r="N73" s="338"/>
      <c r="O73" s="338"/>
      <c r="P73" s="388">
        <f t="shared" si="1"/>
        <v>0</v>
      </c>
      <c r="Q73" s="422">
        <f>+J73+E73</f>
        <v>1554600</v>
      </c>
    </row>
    <row r="74" spans="1:17" ht="274.5" x14ac:dyDescent="0.2">
      <c r="A74" s="424" t="s">
        <v>518</v>
      </c>
      <c r="B74" s="424" t="s">
        <v>519</v>
      </c>
      <c r="C74" s="424" t="s">
        <v>298</v>
      </c>
      <c r="D74" s="424" t="s">
        <v>567</v>
      </c>
      <c r="E74" s="422">
        <f t="shared" si="26"/>
        <v>135534</v>
      </c>
      <c r="F74" s="338">
        <v>135534</v>
      </c>
      <c r="G74" s="457"/>
      <c r="H74" s="338"/>
      <c r="I74" s="338"/>
      <c r="J74" s="422">
        <f t="shared" si="9"/>
        <v>0</v>
      </c>
      <c r="K74" s="338"/>
      <c r="L74" s="338"/>
      <c r="M74" s="338"/>
      <c r="N74" s="338"/>
      <c r="O74" s="338"/>
      <c r="P74" s="388">
        <f t="shared" si="1"/>
        <v>0</v>
      </c>
      <c r="Q74" s="422">
        <f>+J74+E74</f>
        <v>135534</v>
      </c>
    </row>
    <row r="75" spans="1:17" ht="112.7" customHeight="1" x14ac:dyDescent="0.2">
      <c r="A75" s="424" t="s">
        <v>520</v>
      </c>
      <c r="B75" s="424" t="s">
        <v>521</v>
      </c>
      <c r="C75" s="424" t="s">
        <v>298</v>
      </c>
      <c r="D75" s="424" t="s">
        <v>568</v>
      </c>
      <c r="E75" s="422">
        <f t="shared" si="26"/>
        <v>168</v>
      </c>
      <c r="F75" s="338">
        <v>168</v>
      </c>
      <c r="G75" s="529"/>
      <c r="H75" s="338"/>
      <c r="I75" s="338"/>
      <c r="J75" s="422">
        <f t="shared" si="9"/>
        <v>0</v>
      </c>
      <c r="K75" s="338"/>
      <c r="L75" s="338"/>
      <c r="M75" s="338"/>
      <c r="N75" s="338"/>
      <c r="O75" s="338"/>
      <c r="P75" s="388">
        <f t="shared" si="1"/>
        <v>0</v>
      </c>
      <c r="Q75" s="422">
        <f>+J75+E75</f>
        <v>168</v>
      </c>
    </row>
    <row r="76" spans="1:17" ht="366" x14ac:dyDescent="0.2">
      <c r="A76" s="424" t="s">
        <v>571</v>
      </c>
      <c r="B76" s="424" t="s">
        <v>570</v>
      </c>
      <c r="C76" s="424" t="s">
        <v>79</v>
      </c>
      <c r="D76" s="424" t="s">
        <v>569</v>
      </c>
      <c r="E76" s="422">
        <f t="shared" si="26"/>
        <v>1808500</v>
      </c>
      <c r="F76" s="338">
        <v>1808500</v>
      </c>
      <c r="G76" s="338"/>
      <c r="H76" s="338"/>
      <c r="I76" s="338"/>
      <c r="J76" s="422">
        <f t="shared" si="9"/>
        <v>0</v>
      </c>
      <c r="K76" s="422"/>
      <c r="L76" s="338"/>
      <c r="M76" s="338"/>
      <c r="N76" s="338"/>
      <c r="O76" s="338"/>
      <c r="P76" s="388">
        <f t="shared" si="1"/>
        <v>0</v>
      </c>
      <c r="Q76" s="422">
        <f>E76+J76</f>
        <v>1808500</v>
      </c>
    </row>
    <row r="77" spans="1:17" ht="228.75" x14ac:dyDescent="0.2">
      <c r="A77" s="424" t="s">
        <v>522</v>
      </c>
      <c r="B77" s="424" t="s">
        <v>523</v>
      </c>
      <c r="C77" s="424" t="s">
        <v>305</v>
      </c>
      <c r="D77" s="424" t="s">
        <v>572</v>
      </c>
      <c r="E77" s="422">
        <f t="shared" si="26"/>
        <v>550000</v>
      </c>
      <c r="F77" s="338">
        <v>550000</v>
      </c>
      <c r="G77" s="338"/>
      <c r="H77" s="338"/>
      <c r="I77" s="338"/>
      <c r="J77" s="422">
        <f t="shared" si="9"/>
        <v>0</v>
      </c>
      <c r="K77" s="338"/>
      <c r="L77" s="338"/>
      <c r="M77" s="338"/>
      <c r="N77" s="338"/>
      <c r="O77" s="338"/>
      <c r="P77" s="388">
        <f t="shared" ref="P77:P85" si="27">K77+O77</f>
        <v>0</v>
      </c>
      <c r="Q77" s="422">
        <f>E77+J77</f>
        <v>550000</v>
      </c>
    </row>
    <row r="78" spans="1:17" ht="91.5" x14ac:dyDescent="0.2">
      <c r="A78" s="424" t="s">
        <v>639</v>
      </c>
      <c r="B78" s="424" t="s">
        <v>640</v>
      </c>
      <c r="C78" s="424" t="s">
        <v>641</v>
      </c>
      <c r="D78" s="424" t="s">
        <v>638</v>
      </c>
      <c r="E78" s="422">
        <f t="shared" si="26"/>
        <v>250000</v>
      </c>
      <c r="F78" s="338">
        <v>250000</v>
      </c>
      <c r="G78" s="338">
        <v>205000</v>
      </c>
      <c r="H78" s="338"/>
      <c r="I78" s="338"/>
      <c r="J78" s="422">
        <f t="shared" si="9"/>
        <v>0</v>
      </c>
      <c r="K78" s="338"/>
      <c r="L78" s="338"/>
      <c r="M78" s="338"/>
      <c r="N78" s="338"/>
      <c r="O78" s="338"/>
      <c r="P78" s="388">
        <f t="shared" si="27"/>
        <v>0</v>
      </c>
      <c r="Q78" s="422">
        <f>E78+J78</f>
        <v>250000</v>
      </c>
    </row>
    <row r="79" spans="1:17" ht="409.5" x14ac:dyDescent="0.2">
      <c r="A79" s="444" t="s">
        <v>402</v>
      </c>
      <c r="B79" s="444" t="s">
        <v>287</v>
      </c>
      <c r="C79" s="452" t="s">
        <v>280</v>
      </c>
      <c r="D79" s="303" t="s">
        <v>524</v>
      </c>
      <c r="E79" s="455">
        <f>F79</f>
        <v>1030700</v>
      </c>
      <c r="F79" s="457">
        <v>1030700</v>
      </c>
      <c r="G79" s="457"/>
      <c r="H79" s="457"/>
      <c r="I79" s="457"/>
      <c r="J79" s="449">
        <f t="shared" si="9"/>
        <v>0</v>
      </c>
      <c r="K79" s="449"/>
      <c r="L79" s="457"/>
      <c r="M79" s="457"/>
      <c r="N79" s="457"/>
      <c r="O79" s="457"/>
      <c r="P79" s="450">
        <f t="shared" si="27"/>
        <v>0</v>
      </c>
      <c r="Q79" s="449">
        <f>E79+J79</f>
        <v>1030700</v>
      </c>
    </row>
    <row r="80" spans="1:17" ht="327.75" customHeight="1" x14ac:dyDescent="0.2">
      <c r="A80" s="445"/>
      <c r="B80" s="445"/>
      <c r="C80" s="453"/>
      <c r="D80" s="308" t="s">
        <v>525</v>
      </c>
      <c r="E80" s="456"/>
      <c r="F80" s="445"/>
      <c r="G80" s="445"/>
      <c r="H80" s="445"/>
      <c r="I80" s="445"/>
      <c r="J80" s="441"/>
      <c r="K80" s="441"/>
      <c r="L80" s="445"/>
      <c r="M80" s="445"/>
      <c r="N80" s="445"/>
      <c r="O80" s="445"/>
      <c r="P80" s="451"/>
      <c r="Q80" s="472"/>
    </row>
    <row r="81" spans="1:19" ht="183" x14ac:dyDescent="0.2">
      <c r="A81" s="424" t="s">
        <v>526</v>
      </c>
      <c r="B81" s="424" t="s">
        <v>528</v>
      </c>
      <c r="C81" s="424" t="s">
        <v>288</v>
      </c>
      <c r="D81" s="306" t="s">
        <v>530</v>
      </c>
      <c r="E81" s="422">
        <f t="shared" si="26"/>
        <v>4578467</v>
      </c>
      <c r="F81" s="338">
        <v>4578467</v>
      </c>
      <c r="G81" s="133">
        <v>2541439</v>
      </c>
      <c r="H81" s="133">
        <v>378445</v>
      </c>
      <c r="I81" s="338"/>
      <c r="J81" s="422">
        <f t="shared" si="9"/>
        <v>2030000</v>
      </c>
      <c r="K81" s="338">
        <f>1380000+650000</f>
        <v>2030000</v>
      </c>
      <c r="L81" s="338"/>
      <c r="M81" s="338"/>
      <c r="N81" s="338"/>
      <c r="O81" s="338"/>
      <c r="P81" s="388">
        <f t="shared" si="27"/>
        <v>2030000</v>
      </c>
      <c r="Q81" s="422">
        <f>E81+J81</f>
        <v>6608467</v>
      </c>
    </row>
    <row r="82" spans="1:19" ht="137.25" x14ac:dyDescent="0.2">
      <c r="A82" s="424" t="s">
        <v>527</v>
      </c>
      <c r="B82" s="424" t="s">
        <v>529</v>
      </c>
      <c r="C82" s="424" t="s">
        <v>288</v>
      </c>
      <c r="D82" s="306" t="s">
        <v>531</v>
      </c>
      <c r="E82" s="422">
        <f t="shared" si="26"/>
        <v>23486540</v>
      </c>
      <c r="F82" s="338">
        <v>23486540</v>
      </c>
      <c r="G82" s="338"/>
      <c r="H82" s="338"/>
      <c r="I82" s="338"/>
      <c r="J82" s="422">
        <f t="shared" si="9"/>
        <v>220000</v>
      </c>
      <c r="K82" s="338">
        <v>220000</v>
      </c>
      <c r="L82" s="338"/>
      <c r="M82" s="338"/>
      <c r="N82" s="338"/>
      <c r="O82" s="338"/>
      <c r="P82" s="388">
        <f t="shared" si="27"/>
        <v>220000</v>
      </c>
      <c r="Q82" s="422">
        <f>E82+J82</f>
        <v>23706540</v>
      </c>
    </row>
    <row r="83" spans="1:19" ht="137.25" x14ac:dyDescent="0.2">
      <c r="A83" s="424" t="s">
        <v>612</v>
      </c>
      <c r="B83" s="424" t="s">
        <v>610</v>
      </c>
      <c r="C83" s="424" t="s">
        <v>545</v>
      </c>
      <c r="D83" s="306" t="s">
        <v>611</v>
      </c>
      <c r="E83" s="422">
        <f t="shared" si="26"/>
        <v>0</v>
      </c>
      <c r="F83" s="338"/>
      <c r="G83" s="338"/>
      <c r="H83" s="338"/>
      <c r="I83" s="338"/>
      <c r="J83" s="422">
        <f t="shared" si="9"/>
        <v>3500000</v>
      </c>
      <c r="K83" s="338">
        <v>3500000</v>
      </c>
      <c r="L83" s="338"/>
      <c r="M83" s="338"/>
      <c r="N83" s="338"/>
      <c r="O83" s="338"/>
      <c r="P83" s="388">
        <f t="shared" si="27"/>
        <v>3500000</v>
      </c>
      <c r="Q83" s="422">
        <f>E83+J83</f>
        <v>3500000</v>
      </c>
    </row>
    <row r="84" spans="1:19" ht="91.5" x14ac:dyDescent="0.2">
      <c r="A84" s="424" t="s">
        <v>721</v>
      </c>
      <c r="B84" s="424" t="s">
        <v>722</v>
      </c>
      <c r="C84" s="424" t="s">
        <v>453</v>
      </c>
      <c r="D84" s="306" t="s">
        <v>723</v>
      </c>
      <c r="E84" s="422">
        <f t="shared" si="26"/>
        <v>0</v>
      </c>
      <c r="F84" s="338"/>
      <c r="G84" s="338"/>
      <c r="H84" s="338"/>
      <c r="I84" s="338"/>
      <c r="J84" s="422">
        <f t="shared" si="9"/>
        <v>1000000</v>
      </c>
      <c r="K84" s="338">
        <v>1000000</v>
      </c>
      <c r="L84" s="338"/>
      <c r="M84" s="338"/>
      <c r="N84" s="338"/>
      <c r="O84" s="338"/>
      <c r="P84" s="388">
        <f t="shared" si="27"/>
        <v>1000000</v>
      </c>
      <c r="Q84" s="422">
        <f>E84+J84</f>
        <v>1000000</v>
      </c>
    </row>
    <row r="85" spans="1:19" ht="409.5" x14ac:dyDescent="0.2">
      <c r="A85" s="444" t="s">
        <v>771</v>
      </c>
      <c r="B85" s="444" t="s">
        <v>541</v>
      </c>
      <c r="C85" s="444" t="s">
        <v>257</v>
      </c>
      <c r="D85" s="352" t="s">
        <v>552</v>
      </c>
      <c r="E85" s="442">
        <f t="shared" si="26"/>
        <v>0</v>
      </c>
      <c r="F85" s="446"/>
      <c r="G85" s="446"/>
      <c r="H85" s="446"/>
      <c r="I85" s="446"/>
      <c r="J85" s="449">
        <f t="shared" si="9"/>
        <v>566000</v>
      </c>
      <c r="K85" s="446"/>
      <c r="L85" s="446">
        <v>566000</v>
      </c>
      <c r="M85" s="446"/>
      <c r="N85" s="446"/>
      <c r="O85" s="446"/>
      <c r="P85" s="450">
        <f t="shared" si="27"/>
        <v>0</v>
      </c>
      <c r="Q85" s="442">
        <f>E85+J85</f>
        <v>566000</v>
      </c>
      <c r="R85" s="143">
        <f>Q85</f>
        <v>566000</v>
      </c>
    </row>
    <row r="86" spans="1:19" ht="137.25" x14ac:dyDescent="0.2">
      <c r="A86" s="445"/>
      <c r="B86" s="445"/>
      <c r="C86" s="445"/>
      <c r="D86" s="362" t="s">
        <v>553</v>
      </c>
      <c r="E86" s="443"/>
      <c r="F86" s="447"/>
      <c r="G86" s="447"/>
      <c r="H86" s="447"/>
      <c r="I86" s="447"/>
      <c r="J86" s="441"/>
      <c r="K86" s="445"/>
      <c r="L86" s="447"/>
      <c r="M86" s="447"/>
      <c r="N86" s="447"/>
      <c r="O86" s="447"/>
      <c r="P86" s="451"/>
      <c r="Q86" s="443"/>
    </row>
    <row r="87" spans="1:19" ht="180" x14ac:dyDescent="0.2">
      <c r="A87" s="281">
        <v>1000000</v>
      </c>
      <c r="B87" s="281"/>
      <c r="C87" s="281"/>
      <c r="D87" s="282" t="s">
        <v>43</v>
      </c>
      <c r="E87" s="365">
        <f>E88</f>
        <v>80851044</v>
      </c>
      <c r="F87" s="365">
        <f t="shared" ref="F87:G87" si="28">F88</f>
        <v>80851044</v>
      </c>
      <c r="G87" s="365">
        <f t="shared" si="28"/>
        <v>56675325</v>
      </c>
      <c r="H87" s="365">
        <f>H88</f>
        <v>3158297</v>
      </c>
      <c r="I87" s="365">
        <f t="shared" ref="I87" si="29">I88</f>
        <v>0</v>
      </c>
      <c r="J87" s="365">
        <f>J88</f>
        <v>11373222</v>
      </c>
      <c r="K87" s="365">
        <f>K88</f>
        <v>3886442</v>
      </c>
      <c r="L87" s="365">
        <f>L88</f>
        <v>7451780</v>
      </c>
      <c r="M87" s="365">
        <f t="shared" ref="M87" si="30">M88</f>
        <v>5409770</v>
      </c>
      <c r="N87" s="365">
        <f>N88</f>
        <v>197280</v>
      </c>
      <c r="O87" s="284">
        <f t="shared" ref="O87:Q87" si="31">O88</f>
        <v>35000</v>
      </c>
      <c r="P87" s="365">
        <f>K87+O87</f>
        <v>3921442</v>
      </c>
      <c r="Q87" s="283">
        <f t="shared" si="31"/>
        <v>92224266</v>
      </c>
    </row>
    <row r="88" spans="1:19" ht="180" x14ac:dyDescent="0.2">
      <c r="A88" s="285">
        <v>1010000</v>
      </c>
      <c r="B88" s="285"/>
      <c r="C88" s="285"/>
      <c r="D88" s="286" t="s">
        <v>62</v>
      </c>
      <c r="E88" s="284">
        <f>F88</f>
        <v>80851044</v>
      </c>
      <c r="F88" s="284">
        <f>SUM(F89:F95)</f>
        <v>80851044</v>
      </c>
      <c r="G88" s="284">
        <f t="shared" ref="G88:I88" si="32">SUM(G89:G95)</f>
        <v>56675325</v>
      </c>
      <c r="H88" s="284">
        <f t="shared" si="32"/>
        <v>3158297</v>
      </c>
      <c r="I88" s="284">
        <f t="shared" si="32"/>
        <v>0</v>
      </c>
      <c r="J88" s="284">
        <f>L88+P88</f>
        <v>11373222</v>
      </c>
      <c r="K88" s="284">
        <f t="shared" ref="K88:O88" si="33">SUM(K89:K95)</f>
        <v>3886442</v>
      </c>
      <c r="L88" s="284">
        <f t="shared" si="33"/>
        <v>7451780</v>
      </c>
      <c r="M88" s="284">
        <f t="shared" si="33"/>
        <v>5409770</v>
      </c>
      <c r="N88" s="284">
        <f t="shared" si="33"/>
        <v>197280</v>
      </c>
      <c r="O88" s="284">
        <f t="shared" si="33"/>
        <v>35000</v>
      </c>
      <c r="P88" s="378">
        <f t="shared" ref="P88:P112" si="34">K88+O88</f>
        <v>3921442</v>
      </c>
      <c r="Q88" s="284">
        <f>E88+J88</f>
        <v>92224266</v>
      </c>
      <c r="R88" s="179" t="b">
        <f>Q88=Q89+Q90+Q91+Q92+Q93+Q94+Q95</f>
        <v>1</v>
      </c>
      <c r="S88" s="182" t="b">
        <f>K88='dod5'!I40</f>
        <v>1</v>
      </c>
    </row>
    <row r="89" spans="1:19" ht="274.5" x14ac:dyDescent="0.2">
      <c r="A89" s="424" t="s">
        <v>34</v>
      </c>
      <c r="B89" s="424" t="s">
        <v>275</v>
      </c>
      <c r="C89" s="424" t="s">
        <v>276</v>
      </c>
      <c r="D89" s="424" t="s">
        <v>274</v>
      </c>
      <c r="E89" s="422">
        <f>F89</f>
        <v>46221680</v>
      </c>
      <c r="F89" s="338">
        <v>46221680</v>
      </c>
      <c r="G89" s="338">
        <v>35856900</v>
      </c>
      <c r="H89" s="338">
        <v>1889830</v>
      </c>
      <c r="I89" s="338"/>
      <c r="J89" s="422">
        <f t="shared" ref="J89:J129" si="35">L89+P89</f>
        <v>7217822</v>
      </c>
      <c r="K89" s="338">
        <v>386442</v>
      </c>
      <c r="L89" s="338">
        <v>6805480</v>
      </c>
      <c r="M89" s="338">
        <v>5170040</v>
      </c>
      <c r="N89" s="338">
        <v>138080</v>
      </c>
      <c r="O89" s="338">
        <v>25900</v>
      </c>
      <c r="P89" s="388">
        <f t="shared" si="34"/>
        <v>412342</v>
      </c>
      <c r="Q89" s="422">
        <f t="shared" ref="Q89:Q95" si="36">E89+J89</f>
        <v>53439502</v>
      </c>
    </row>
    <row r="90" spans="1:19" ht="46.5" x14ac:dyDescent="0.2">
      <c r="A90" s="424" t="s">
        <v>258</v>
      </c>
      <c r="B90" s="424" t="s">
        <v>259</v>
      </c>
      <c r="C90" s="424" t="s">
        <v>262</v>
      </c>
      <c r="D90" s="424" t="s">
        <v>263</v>
      </c>
      <c r="E90" s="422">
        <f t="shared" ref="E90:E93" si="37">F90</f>
        <v>726700</v>
      </c>
      <c r="F90" s="338">
        <v>726700</v>
      </c>
      <c r="G90" s="338"/>
      <c r="H90" s="338"/>
      <c r="I90" s="338"/>
      <c r="J90" s="422">
        <f t="shared" si="35"/>
        <v>0</v>
      </c>
      <c r="K90" s="338"/>
      <c r="L90" s="338"/>
      <c r="M90" s="338"/>
      <c r="N90" s="338"/>
      <c r="O90" s="338"/>
      <c r="P90" s="388">
        <f t="shared" si="34"/>
        <v>0</v>
      </c>
      <c r="Q90" s="422">
        <f t="shared" si="36"/>
        <v>726700</v>
      </c>
    </row>
    <row r="91" spans="1:19" ht="91.5" x14ac:dyDescent="0.2">
      <c r="A91" s="424" t="s">
        <v>264</v>
      </c>
      <c r="B91" s="424" t="s">
        <v>265</v>
      </c>
      <c r="C91" s="424" t="s">
        <v>266</v>
      </c>
      <c r="D91" s="424" t="s">
        <v>267</v>
      </c>
      <c r="E91" s="422">
        <f t="shared" si="37"/>
        <v>7716225</v>
      </c>
      <c r="F91" s="338">
        <v>7716225</v>
      </c>
      <c r="G91" s="338">
        <v>5790700</v>
      </c>
      <c r="H91" s="338">
        <v>449025</v>
      </c>
      <c r="I91" s="338"/>
      <c r="J91" s="422">
        <f t="shared" si="35"/>
        <v>85000</v>
      </c>
      <c r="K91" s="338"/>
      <c r="L91" s="338">
        <v>85000</v>
      </c>
      <c r="M91" s="338">
        <v>9800</v>
      </c>
      <c r="N91" s="338">
        <v>18500</v>
      </c>
      <c r="O91" s="338"/>
      <c r="P91" s="388">
        <f t="shared" si="34"/>
        <v>0</v>
      </c>
      <c r="Q91" s="422">
        <f t="shared" si="36"/>
        <v>7801225</v>
      </c>
    </row>
    <row r="92" spans="1:19" ht="91.5" x14ac:dyDescent="0.2">
      <c r="A92" s="424" t="s">
        <v>268</v>
      </c>
      <c r="B92" s="424" t="s">
        <v>269</v>
      </c>
      <c r="C92" s="424" t="s">
        <v>266</v>
      </c>
      <c r="D92" s="424" t="s">
        <v>270</v>
      </c>
      <c r="E92" s="422">
        <f t="shared" si="37"/>
        <v>1220535</v>
      </c>
      <c r="F92" s="338">
        <v>1220535</v>
      </c>
      <c r="G92" s="338">
        <v>796025</v>
      </c>
      <c r="H92" s="338">
        <v>199670</v>
      </c>
      <c r="I92" s="338"/>
      <c r="J92" s="422">
        <f t="shared" si="35"/>
        <v>3075000</v>
      </c>
      <c r="K92" s="338">
        <v>3000000</v>
      </c>
      <c r="L92" s="338">
        <v>75000</v>
      </c>
      <c r="M92" s="338">
        <v>6100</v>
      </c>
      <c r="N92" s="338">
        <v>3300</v>
      </c>
      <c r="O92" s="338"/>
      <c r="P92" s="388">
        <f t="shared" si="34"/>
        <v>3000000</v>
      </c>
      <c r="Q92" s="422">
        <f t="shared" si="36"/>
        <v>4295535</v>
      </c>
    </row>
    <row r="93" spans="1:19" ht="183" x14ac:dyDescent="0.2">
      <c r="A93" s="424" t="s">
        <v>271</v>
      </c>
      <c r="B93" s="424" t="s">
        <v>260</v>
      </c>
      <c r="C93" s="424" t="s">
        <v>272</v>
      </c>
      <c r="D93" s="424" t="s">
        <v>273</v>
      </c>
      <c r="E93" s="422">
        <f t="shared" si="37"/>
        <v>5699642</v>
      </c>
      <c r="F93" s="338">
        <v>5699642</v>
      </c>
      <c r="G93" s="338">
        <v>4068700</v>
      </c>
      <c r="H93" s="338">
        <v>585642</v>
      </c>
      <c r="I93" s="338"/>
      <c r="J93" s="422">
        <f t="shared" si="35"/>
        <v>865400</v>
      </c>
      <c r="K93" s="338">
        <v>500000</v>
      </c>
      <c r="L93" s="338">
        <v>356300</v>
      </c>
      <c r="M93" s="338">
        <v>218030</v>
      </c>
      <c r="N93" s="338">
        <v>37400</v>
      </c>
      <c r="O93" s="338">
        <v>9100</v>
      </c>
      <c r="P93" s="388">
        <f t="shared" si="34"/>
        <v>509100</v>
      </c>
      <c r="Q93" s="422">
        <f t="shared" si="36"/>
        <v>6565042</v>
      </c>
    </row>
    <row r="94" spans="1:19" ht="137.25" x14ac:dyDescent="0.2">
      <c r="A94" s="424" t="s">
        <v>533</v>
      </c>
      <c r="B94" s="424" t="s">
        <v>534</v>
      </c>
      <c r="C94" s="424" t="s">
        <v>277</v>
      </c>
      <c r="D94" s="424" t="s">
        <v>532</v>
      </c>
      <c r="E94" s="422">
        <f>F94</f>
        <v>13266262</v>
      </c>
      <c r="F94" s="338">
        <v>13266262</v>
      </c>
      <c r="G94" s="338">
        <v>10163000</v>
      </c>
      <c r="H94" s="338">
        <v>34130</v>
      </c>
      <c r="I94" s="338"/>
      <c r="J94" s="422">
        <f t="shared" si="35"/>
        <v>130000</v>
      </c>
      <c r="K94" s="338"/>
      <c r="L94" s="338">
        <v>130000</v>
      </c>
      <c r="M94" s="338">
        <v>5800</v>
      </c>
      <c r="N94" s="338"/>
      <c r="O94" s="338"/>
      <c r="P94" s="388">
        <f t="shared" si="34"/>
        <v>0</v>
      </c>
      <c r="Q94" s="422">
        <f t="shared" si="36"/>
        <v>13396262</v>
      </c>
    </row>
    <row r="95" spans="1:19" ht="91.5" x14ac:dyDescent="0.2">
      <c r="A95" s="424" t="s">
        <v>535</v>
      </c>
      <c r="B95" s="424" t="s">
        <v>536</v>
      </c>
      <c r="C95" s="424" t="s">
        <v>277</v>
      </c>
      <c r="D95" s="424" t="s">
        <v>537</v>
      </c>
      <c r="E95" s="422">
        <f>F95</f>
        <v>6000000</v>
      </c>
      <c r="F95" s="338">
        <v>6000000</v>
      </c>
      <c r="G95" s="338"/>
      <c r="H95" s="338"/>
      <c r="I95" s="338"/>
      <c r="J95" s="422">
        <f t="shared" si="35"/>
        <v>0</v>
      </c>
      <c r="K95" s="338"/>
      <c r="L95" s="338"/>
      <c r="M95" s="338"/>
      <c r="N95" s="338"/>
      <c r="O95" s="338"/>
      <c r="P95" s="388">
        <f t="shared" si="34"/>
        <v>0</v>
      </c>
      <c r="Q95" s="422">
        <f t="shared" si="36"/>
        <v>6000000</v>
      </c>
    </row>
    <row r="96" spans="1:19" ht="135" x14ac:dyDescent="0.2">
      <c r="A96" s="282" t="s">
        <v>40</v>
      </c>
      <c r="B96" s="282"/>
      <c r="C96" s="282"/>
      <c r="D96" s="282" t="s">
        <v>41</v>
      </c>
      <c r="E96" s="365">
        <f>E97</f>
        <v>50014852</v>
      </c>
      <c r="F96" s="365">
        <f t="shared" ref="F96:G96" si="38">F97</f>
        <v>50014852</v>
      </c>
      <c r="G96" s="365">
        <f t="shared" si="38"/>
        <v>18072174</v>
      </c>
      <c r="H96" s="365">
        <f>H97</f>
        <v>1632525</v>
      </c>
      <c r="I96" s="365">
        <f t="shared" ref="I96" si="39">I97</f>
        <v>0</v>
      </c>
      <c r="J96" s="365">
        <f>J97</f>
        <v>3425177</v>
      </c>
      <c r="K96" s="365">
        <f>K97</f>
        <v>1408533</v>
      </c>
      <c r="L96" s="365">
        <f>L97</f>
        <v>2016644</v>
      </c>
      <c r="M96" s="365">
        <f t="shared" ref="M96" si="40">M97</f>
        <v>946255</v>
      </c>
      <c r="N96" s="365">
        <f>N97</f>
        <v>338236</v>
      </c>
      <c r="O96" s="283">
        <f t="shared" ref="O96:Q96" si="41">O97</f>
        <v>0</v>
      </c>
      <c r="P96" s="365">
        <f t="shared" si="34"/>
        <v>1408533</v>
      </c>
      <c r="Q96" s="283">
        <f t="shared" si="41"/>
        <v>53440029</v>
      </c>
    </row>
    <row r="97" spans="1:19" ht="135" x14ac:dyDescent="0.2">
      <c r="A97" s="286" t="s">
        <v>39</v>
      </c>
      <c r="B97" s="286"/>
      <c r="C97" s="286"/>
      <c r="D97" s="286" t="s">
        <v>58</v>
      </c>
      <c r="E97" s="284">
        <f t="shared" ref="E97:O97" si="42">SUM(E98:E109)</f>
        <v>50014852</v>
      </c>
      <c r="F97" s="284">
        <f t="shared" si="42"/>
        <v>50014852</v>
      </c>
      <c r="G97" s="284">
        <f t="shared" si="42"/>
        <v>18072174</v>
      </c>
      <c r="H97" s="284">
        <f t="shared" si="42"/>
        <v>1632525</v>
      </c>
      <c r="I97" s="284">
        <f t="shared" si="42"/>
        <v>0</v>
      </c>
      <c r="J97" s="284">
        <f>L97+P97</f>
        <v>3425177</v>
      </c>
      <c r="K97" s="284">
        <f t="shared" si="42"/>
        <v>1408533</v>
      </c>
      <c r="L97" s="284">
        <f t="shared" si="42"/>
        <v>2016644</v>
      </c>
      <c r="M97" s="284">
        <f t="shared" si="42"/>
        <v>946255</v>
      </c>
      <c r="N97" s="284">
        <f t="shared" si="42"/>
        <v>338236</v>
      </c>
      <c r="O97" s="284">
        <f t="shared" si="42"/>
        <v>0</v>
      </c>
      <c r="P97" s="378">
        <f t="shared" si="34"/>
        <v>1408533</v>
      </c>
      <c r="Q97" s="284">
        <f>E97+J97</f>
        <v>53440029</v>
      </c>
      <c r="R97" s="179" t="b">
        <f>Q97=Q98+Q99+Q100+Q101+Q102+Q103+Q104+Q105+Q106+Q107+Q108+Q109</f>
        <v>1</v>
      </c>
      <c r="S97" s="182" t="b">
        <f>K97='dod5'!I47</f>
        <v>1</v>
      </c>
    </row>
    <row r="98" spans="1:19" ht="137.25" x14ac:dyDescent="0.2">
      <c r="A98" s="424" t="s">
        <v>278</v>
      </c>
      <c r="B98" s="424" t="s">
        <v>279</v>
      </c>
      <c r="C98" s="424" t="s">
        <v>280</v>
      </c>
      <c r="D98" s="424" t="s">
        <v>281</v>
      </c>
      <c r="E98" s="167">
        <f t="shared" ref="E98:E107" si="43">F98</f>
        <v>3278423</v>
      </c>
      <c r="F98" s="133">
        <v>3278423</v>
      </c>
      <c r="G98" s="133">
        <v>2517500</v>
      </c>
      <c r="H98" s="133">
        <v>65293</v>
      </c>
      <c r="I98" s="133"/>
      <c r="J98" s="422">
        <f t="shared" si="35"/>
        <v>0</v>
      </c>
      <c r="K98" s="133"/>
      <c r="L98" s="181"/>
      <c r="M98" s="181"/>
      <c r="N98" s="181"/>
      <c r="O98" s="181"/>
      <c r="P98" s="388">
        <f t="shared" si="34"/>
        <v>0</v>
      </c>
      <c r="Q98" s="422">
        <f>+J98+E98</f>
        <v>3278423</v>
      </c>
    </row>
    <row r="99" spans="1:19" ht="228.75" x14ac:dyDescent="0.2">
      <c r="A99" s="424" t="s">
        <v>72</v>
      </c>
      <c r="B99" s="424" t="s">
        <v>261</v>
      </c>
      <c r="C99" s="424" t="s">
        <v>280</v>
      </c>
      <c r="D99" s="424" t="s">
        <v>22</v>
      </c>
      <c r="E99" s="167">
        <f t="shared" si="43"/>
        <v>875790</v>
      </c>
      <c r="F99" s="133">
        <v>875790</v>
      </c>
      <c r="G99" s="133"/>
      <c r="H99" s="133"/>
      <c r="I99" s="133"/>
      <c r="J99" s="422">
        <f t="shared" si="35"/>
        <v>0</v>
      </c>
      <c r="K99" s="133"/>
      <c r="L99" s="181"/>
      <c r="M99" s="181"/>
      <c r="N99" s="181"/>
      <c r="O99" s="181"/>
      <c r="P99" s="388">
        <f t="shared" si="34"/>
        <v>0</v>
      </c>
      <c r="Q99" s="422">
        <f>+J99+E99</f>
        <v>875790</v>
      </c>
    </row>
    <row r="100" spans="1:19" ht="91.5" x14ac:dyDescent="0.2">
      <c r="A100" s="424" t="s">
        <v>285</v>
      </c>
      <c r="B100" s="424" t="s">
        <v>286</v>
      </c>
      <c r="C100" s="424" t="s">
        <v>280</v>
      </c>
      <c r="D100" s="424" t="s">
        <v>23</v>
      </c>
      <c r="E100" s="167">
        <f t="shared" si="43"/>
        <v>3054118</v>
      </c>
      <c r="F100" s="133">
        <v>3054118</v>
      </c>
      <c r="G100" s="133">
        <v>1623800</v>
      </c>
      <c r="H100" s="133">
        <v>435988</v>
      </c>
      <c r="I100" s="133"/>
      <c r="J100" s="422">
        <f t="shared" si="35"/>
        <v>917430</v>
      </c>
      <c r="K100" s="133">
        <v>592430</v>
      </c>
      <c r="L100" s="181">
        <v>325000</v>
      </c>
      <c r="M100" s="181">
        <v>189100</v>
      </c>
      <c r="N100" s="181">
        <v>89400</v>
      </c>
      <c r="O100" s="181"/>
      <c r="P100" s="388">
        <f t="shared" si="34"/>
        <v>592430</v>
      </c>
      <c r="Q100" s="422">
        <f t="shared" ref="Q100:Q110" si="44">E100+J100</f>
        <v>3971548</v>
      </c>
    </row>
    <row r="101" spans="1:19" ht="91.5" x14ac:dyDescent="0.2">
      <c r="A101" s="424" t="s">
        <v>577</v>
      </c>
      <c r="B101" s="424" t="s">
        <v>578</v>
      </c>
      <c r="C101" s="424" t="s">
        <v>280</v>
      </c>
      <c r="D101" s="424" t="s">
        <v>579</v>
      </c>
      <c r="E101" s="167">
        <f t="shared" si="43"/>
        <v>5941879</v>
      </c>
      <c r="F101" s="133">
        <f>5640576+301303</f>
        <v>5941879</v>
      </c>
      <c r="G101" s="133">
        <v>714843</v>
      </c>
      <c r="H101" s="133">
        <v>110000</v>
      </c>
      <c r="I101" s="133"/>
      <c r="J101" s="422">
        <f t="shared" si="35"/>
        <v>816103</v>
      </c>
      <c r="K101" s="133">
        <v>816103</v>
      </c>
      <c r="L101" s="181"/>
      <c r="M101" s="181"/>
      <c r="N101" s="181"/>
      <c r="O101" s="181"/>
      <c r="P101" s="388">
        <f t="shared" si="34"/>
        <v>816103</v>
      </c>
      <c r="Q101" s="422">
        <f t="shared" si="44"/>
        <v>6757982</v>
      </c>
    </row>
    <row r="102" spans="1:19" ht="137.25" x14ac:dyDescent="0.2">
      <c r="A102" s="424" t="s">
        <v>73</v>
      </c>
      <c r="B102" s="424" t="s">
        <v>282</v>
      </c>
      <c r="C102" s="424" t="s">
        <v>292</v>
      </c>
      <c r="D102" s="424" t="s">
        <v>74</v>
      </c>
      <c r="E102" s="167">
        <f t="shared" si="43"/>
        <v>10002475</v>
      </c>
      <c r="F102" s="133">
        <v>10002475</v>
      </c>
      <c r="G102" s="338"/>
      <c r="H102" s="338"/>
      <c r="I102" s="338"/>
      <c r="J102" s="422">
        <f t="shared" si="35"/>
        <v>0</v>
      </c>
      <c r="K102" s="338"/>
      <c r="L102" s="338"/>
      <c r="M102" s="338"/>
      <c r="N102" s="338"/>
      <c r="O102" s="181"/>
      <c r="P102" s="388">
        <f t="shared" si="34"/>
        <v>0</v>
      </c>
      <c r="Q102" s="422">
        <f t="shared" si="44"/>
        <v>10002475</v>
      </c>
    </row>
    <row r="103" spans="1:19" ht="137.25" x14ac:dyDescent="0.2">
      <c r="A103" s="424" t="s">
        <v>75</v>
      </c>
      <c r="B103" s="424" t="s">
        <v>283</v>
      </c>
      <c r="C103" s="424" t="s">
        <v>292</v>
      </c>
      <c r="D103" s="424" t="s">
        <v>6</v>
      </c>
      <c r="E103" s="167">
        <f t="shared" si="43"/>
        <v>1727513</v>
      </c>
      <c r="F103" s="133">
        <v>1727513</v>
      </c>
      <c r="G103" s="338"/>
      <c r="H103" s="338"/>
      <c r="I103" s="338"/>
      <c r="J103" s="422">
        <f t="shared" si="35"/>
        <v>0</v>
      </c>
      <c r="K103" s="338"/>
      <c r="L103" s="338"/>
      <c r="M103" s="338"/>
      <c r="N103" s="338"/>
      <c r="O103" s="181"/>
      <c r="P103" s="388">
        <f t="shared" si="34"/>
        <v>0</v>
      </c>
      <c r="Q103" s="422">
        <f t="shared" si="44"/>
        <v>1727513</v>
      </c>
    </row>
    <row r="104" spans="1:19" ht="183" x14ac:dyDescent="0.2">
      <c r="A104" s="424" t="s">
        <v>76</v>
      </c>
      <c r="B104" s="424" t="s">
        <v>284</v>
      </c>
      <c r="C104" s="424" t="s">
        <v>292</v>
      </c>
      <c r="D104" s="424" t="s">
        <v>573</v>
      </c>
      <c r="E104" s="167">
        <f>F104</f>
        <v>53014</v>
      </c>
      <c r="F104" s="133">
        <v>53014</v>
      </c>
      <c r="G104" s="133"/>
      <c r="H104" s="133"/>
      <c r="I104" s="338"/>
      <c r="J104" s="422">
        <f t="shared" si="35"/>
        <v>0</v>
      </c>
      <c r="K104" s="338"/>
      <c r="L104" s="133"/>
      <c r="M104" s="133"/>
      <c r="N104" s="133"/>
      <c r="O104" s="181"/>
      <c r="P104" s="388">
        <f t="shared" si="34"/>
        <v>0</v>
      </c>
      <c r="Q104" s="422">
        <f t="shared" si="44"/>
        <v>53014</v>
      </c>
    </row>
    <row r="105" spans="1:19" ht="183" x14ac:dyDescent="0.2">
      <c r="A105" s="424" t="s">
        <v>49</v>
      </c>
      <c r="B105" s="424" t="s">
        <v>289</v>
      </c>
      <c r="C105" s="424" t="s">
        <v>292</v>
      </c>
      <c r="D105" s="424" t="s">
        <v>77</v>
      </c>
      <c r="E105" s="167">
        <f t="shared" si="43"/>
        <v>18126095</v>
      </c>
      <c r="F105" s="133">
        <v>18126095</v>
      </c>
      <c r="G105" s="133">
        <f>12402731</f>
        <v>12402731</v>
      </c>
      <c r="H105" s="133">
        <v>1021244</v>
      </c>
      <c r="I105" s="133"/>
      <c r="J105" s="422">
        <f t="shared" si="35"/>
        <v>1649644</v>
      </c>
      <c r="K105" s="133"/>
      <c r="L105" s="133">
        <v>1649644</v>
      </c>
      <c r="M105" s="133">
        <v>757155</v>
      </c>
      <c r="N105" s="133">
        <v>248836</v>
      </c>
      <c r="O105" s="181"/>
      <c r="P105" s="388">
        <f t="shared" si="34"/>
        <v>0</v>
      </c>
      <c r="Q105" s="422">
        <f t="shared" si="44"/>
        <v>19775739</v>
      </c>
    </row>
    <row r="106" spans="1:19" ht="183" x14ac:dyDescent="0.2">
      <c r="A106" s="424" t="s">
        <v>50</v>
      </c>
      <c r="B106" s="424" t="s">
        <v>290</v>
      </c>
      <c r="C106" s="424" t="s">
        <v>292</v>
      </c>
      <c r="D106" s="424" t="s">
        <v>78</v>
      </c>
      <c r="E106" s="167">
        <f t="shared" si="43"/>
        <v>4254685</v>
      </c>
      <c r="F106" s="133">
        <v>4254685</v>
      </c>
      <c r="G106" s="133"/>
      <c r="H106" s="133"/>
      <c r="I106" s="133"/>
      <c r="J106" s="422">
        <f t="shared" si="35"/>
        <v>0</v>
      </c>
      <c r="K106" s="133"/>
      <c r="L106" s="133"/>
      <c r="M106" s="133"/>
      <c r="N106" s="133"/>
      <c r="O106" s="181"/>
      <c r="P106" s="388">
        <f t="shared" si="34"/>
        <v>0</v>
      </c>
      <c r="Q106" s="422">
        <f t="shared" si="44"/>
        <v>4254685</v>
      </c>
    </row>
    <row r="107" spans="1:19" ht="274.5" x14ac:dyDescent="0.2">
      <c r="A107" s="289" t="s">
        <v>51</v>
      </c>
      <c r="B107" s="289" t="s">
        <v>291</v>
      </c>
      <c r="C107" s="289" t="s">
        <v>292</v>
      </c>
      <c r="D107" s="424" t="s">
        <v>52</v>
      </c>
      <c r="E107" s="167">
        <f t="shared" si="43"/>
        <v>1500611</v>
      </c>
      <c r="F107" s="133">
        <v>1500611</v>
      </c>
      <c r="G107" s="338"/>
      <c r="H107" s="338"/>
      <c r="I107" s="338"/>
      <c r="J107" s="422">
        <f t="shared" si="35"/>
        <v>0</v>
      </c>
      <c r="K107" s="338"/>
      <c r="L107" s="338"/>
      <c r="M107" s="338"/>
      <c r="N107" s="338"/>
      <c r="O107" s="181"/>
      <c r="P107" s="388">
        <f t="shared" si="34"/>
        <v>0</v>
      </c>
      <c r="Q107" s="422">
        <f t="shared" si="44"/>
        <v>1500611</v>
      </c>
    </row>
    <row r="108" spans="1:19" ht="91.5" x14ac:dyDescent="0.2">
      <c r="A108" s="289" t="s">
        <v>53</v>
      </c>
      <c r="B108" s="289" t="s">
        <v>293</v>
      </c>
      <c r="C108" s="289" t="s">
        <v>292</v>
      </c>
      <c r="D108" s="424" t="s">
        <v>54</v>
      </c>
      <c r="E108" s="167">
        <f>F108</f>
        <v>1179249</v>
      </c>
      <c r="F108" s="133">
        <v>1179249</v>
      </c>
      <c r="G108" s="338">
        <v>813300</v>
      </c>
      <c r="H108" s="338"/>
      <c r="I108" s="338"/>
      <c r="J108" s="422">
        <f t="shared" si="35"/>
        <v>42000</v>
      </c>
      <c r="K108" s="338"/>
      <c r="L108" s="338">
        <v>42000</v>
      </c>
      <c r="M108" s="338"/>
      <c r="N108" s="338"/>
      <c r="O108" s="181"/>
      <c r="P108" s="388">
        <f t="shared" si="34"/>
        <v>0</v>
      </c>
      <c r="Q108" s="422">
        <f t="shared" si="44"/>
        <v>1221249</v>
      </c>
    </row>
    <row r="109" spans="1:19" ht="274.5" x14ac:dyDescent="0.2">
      <c r="A109" s="289" t="s">
        <v>547</v>
      </c>
      <c r="B109" s="289" t="s">
        <v>546</v>
      </c>
      <c r="C109" s="289" t="s">
        <v>545</v>
      </c>
      <c r="D109" s="424" t="s">
        <v>544</v>
      </c>
      <c r="E109" s="167">
        <f>F109</f>
        <v>21000</v>
      </c>
      <c r="F109" s="133">
        <v>21000</v>
      </c>
      <c r="G109" s="338"/>
      <c r="H109" s="338"/>
      <c r="I109" s="338"/>
      <c r="J109" s="422">
        <f t="shared" si="35"/>
        <v>0</v>
      </c>
      <c r="K109" s="338"/>
      <c r="L109" s="338"/>
      <c r="M109" s="338"/>
      <c r="N109" s="338"/>
      <c r="O109" s="181"/>
      <c r="P109" s="388">
        <f t="shared" si="34"/>
        <v>0</v>
      </c>
      <c r="Q109" s="422">
        <f t="shared" si="44"/>
        <v>21000</v>
      </c>
    </row>
    <row r="110" spans="1:19" ht="91.5" hidden="1" x14ac:dyDescent="0.2">
      <c r="A110" s="424" t="s">
        <v>647</v>
      </c>
      <c r="B110" s="423" t="s">
        <v>604</v>
      </c>
      <c r="C110" s="423" t="s">
        <v>71</v>
      </c>
      <c r="D110" s="423" t="s">
        <v>605</v>
      </c>
      <c r="E110" s="167">
        <f>F110</f>
        <v>0</v>
      </c>
      <c r="F110" s="133">
        <f>30000-30000</f>
        <v>0</v>
      </c>
      <c r="G110" s="133"/>
      <c r="H110" s="133"/>
      <c r="I110" s="133"/>
      <c r="J110" s="422" t="e">
        <f t="shared" si="35"/>
        <v>#REF!</v>
      </c>
      <c r="K110" s="422"/>
      <c r="L110" s="133"/>
      <c r="M110" s="133"/>
      <c r="N110" s="133"/>
      <c r="O110" s="181" t="e">
        <f>#REF!</f>
        <v>#REF!</v>
      </c>
      <c r="P110" s="365" t="e">
        <f t="shared" si="34"/>
        <v>#REF!</v>
      </c>
      <c r="Q110" s="422" t="e">
        <f t="shared" si="44"/>
        <v>#REF!</v>
      </c>
    </row>
    <row r="111" spans="1:19" ht="180" x14ac:dyDescent="0.2">
      <c r="A111" s="282" t="s">
        <v>245</v>
      </c>
      <c r="B111" s="282"/>
      <c r="C111" s="282"/>
      <c r="D111" s="282" t="s">
        <v>42</v>
      </c>
      <c r="E111" s="365">
        <f>E112</f>
        <v>227887687</v>
      </c>
      <c r="F111" s="365">
        <f t="shared" ref="F111:G111" si="45">F112</f>
        <v>227887687</v>
      </c>
      <c r="G111" s="365">
        <f t="shared" si="45"/>
        <v>7972950</v>
      </c>
      <c r="H111" s="365">
        <f>H112</f>
        <v>151500</v>
      </c>
      <c r="I111" s="365">
        <f t="shared" ref="I111" si="46">I112</f>
        <v>0</v>
      </c>
      <c r="J111" s="365">
        <f>J112</f>
        <v>155532314</v>
      </c>
      <c r="K111" s="365">
        <f>K112</f>
        <v>154161314</v>
      </c>
      <c r="L111" s="365">
        <f>L112</f>
        <v>1371000</v>
      </c>
      <c r="M111" s="365">
        <f t="shared" ref="M111" si="47">M112</f>
        <v>0</v>
      </c>
      <c r="N111" s="365">
        <f>N112</f>
        <v>0</v>
      </c>
      <c r="O111" s="283">
        <f t="shared" ref="O111:Q111" si="48">O112</f>
        <v>0</v>
      </c>
      <c r="P111" s="365">
        <f t="shared" si="34"/>
        <v>154161314</v>
      </c>
      <c r="Q111" s="283">
        <f t="shared" si="48"/>
        <v>383420001</v>
      </c>
    </row>
    <row r="112" spans="1:19" ht="180" x14ac:dyDescent="0.2">
      <c r="A112" s="286" t="s">
        <v>246</v>
      </c>
      <c r="B112" s="286"/>
      <c r="C112" s="286"/>
      <c r="D112" s="286" t="s">
        <v>63</v>
      </c>
      <c r="E112" s="284">
        <f>SUM(E113:E129)</f>
        <v>227887687</v>
      </c>
      <c r="F112" s="284">
        <f t="shared" ref="F112:O112" si="49">SUM(F113:F129)</f>
        <v>227887687</v>
      </c>
      <c r="G112" s="284">
        <f t="shared" si="49"/>
        <v>7972950</v>
      </c>
      <c r="H112" s="284">
        <f t="shared" si="49"/>
        <v>151500</v>
      </c>
      <c r="I112" s="284">
        <f t="shared" si="49"/>
        <v>0</v>
      </c>
      <c r="J112" s="284">
        <f>L112+P112</f>
        <v>155532314</v>
      </c>
      <c r="K112" s="284">
        <f t="shared" si="49"/>
        <v>154161314</v>
      </c>
      <c r="L112" s="284">
        <f t="shared" si="49"/>
        <v>1371000</v>
      </c>
      <c r="M112" s="284">
        <f t="shared" si="49"/>
        <v>0</v>
      </c>
      <c r="N112" s="284">
        <f t="shared" si="49"/>
        <v>0</v>
      </c>
      <c r="O112" s="284">
        <f t="shared" si="49"/>
        <v>0</v>
      </c>
      <c r="P112" s="378">
        <f t="shared" si="34"/>
        <v>154161314</v>
      </c>
      <c r="Q112" s="284">
        <f>E112+J112</f>
        <v>383420001</v>
      </c>
      <c r="R112" s="179" t="b">
        <f>Q112=Q114+Q116+Q117+Q118+Q119+Q120+Q121+Q124+Q125+Q126+Q129+Q115+Q113+Q122+Q123+Q127</f>
        <v>1</v>
      </c>
      <c r="S112" s="182" t="b">
        <f>K112='dod5'!I51</f>
        <v>0</v>
      </c>
    </row>
    <row r="113" spans="1:19" ht="228.75" x14ac:dyDescent="0.2">
      <c r="A113" s="424" t="s">
        <v>765</v>
      </c>
      <c r="B113" s="424" t="s">
        <v>344</v>
      </c>
      <c r="C113" s="424" t="s">
        <v>342</v>
      </c>
      <c r="D113" s="424" t="s">
        <v>343</v>
      </c>
      <c r="E113" s="167">
        <f>F113</f>
        <v>9531200</v>
      </c>
      <c r="F113" s="133">
        <v>9531200</v>
      </c>
      <c r="G113" s="133">
        <v>7129200</v>
      </c>
      <c r="H113" s="133">
        <v>130000</v>
      </c>
      <c r="I113" s="133"/>
      <c r="J113" s="422">
        <f t="shared" si="35"/>
        <v>0</v>
      </c>
      <c r="K113" s="133"/>
      <c r="L113" s="181"/>
      <c r="M113" s="181"/>
      <c r="N113" s="181"/>
      <c r="O113" s="181"/>
      <c r="P113" s="388">
        <f>K113+O113</f>
        <v>0</v>
      </c>
      <c r="Q113" s="422">
        <f t="shared" ref="Q113:Q118" si="50">+J113+E113</f>
        <v>9531200</v>
      </c>
      <c r="R113" s="179"/>
      <c r="S113" s="182"/>
    </row>
    <row r="114" spans="1:19" ht="91.5" x14ac:dyDescent="0.2">
      <c r="A114" s="424" t="s">
        <v>420</v>
      </c>
      <c r="B114" s="424" t="s">
        <v>421</v>
      </c>
      <c r="C114" s="424" t="s">
        <v>423</v>
      </c>
      <c r="D114" s="424" t="s">
        <v>422</v>
      </c>
      <c r="E114" s="167">
        <f t="shared" ref="E114:E129" si="51">F114</f>
        <v>50000</v>
      </c>
      <c r="F114" s="133">
        <v>50000</v>
      </c>
      <c r="G114" s="133"/>
      <c r="H114" s="133"/>
      <c r="I114" s="133"/>
      <c r="J114" s="422">
        <f t="shared" si="35"/>
        <v>4550000</v>
      </c>
      <c r="K114" s="133">
        <v>4550000</v>
      </c>
      <c r="L114" s="181"/>
      <c r="M114" s="181"/>
      <c r="N114" s="181"/>
      <c r="O114" s="181"/>
      <c r="P114" s="388">
        <f>K114+O114</f>
        <v>4550000</v>
      </c>
      <c r="Q114" s="422">
        <f t="shared" si="50"/>
        <v>4600000</v>
      </c>
    </row>
    <row r="115" spans="1:19" ht="137.25" x14ac:dyDescent="0.2">
      <c r="A115" s="424" t="s">
        <v>649</v>
      </c>
      <c r="B115" s="424" t="s">
        <v>650</v>
      </c>
      <c r="C115" s="424" t="s">
        <v>423</v>
      </c>
      <c r="D115" s="424" t="s">
        <v>651</v>
      </c>
      <c r="E115" s="167">
        <f t="shared" si="51"/>
        <v>18000000</v>
      </c>
      <c r="F115" s="133">
        <v>18000000</v>
      </c>
      <c r="G115" s="133"/>
      <c r="H115" s="133"/>
      <c r="I115" s="133"/>
      <c r="J115" s="422">
        <f t="shared" si="35"/>
        <v>0</v>
      </c>
      <c r="K115" s="133"/>
      <c r="L115" s="181"/>
      <c r="M115" s="181"/>
      <c r="N115" s="181"/>
      <c r="O115" s="181"/>
      <c r="P115" s="388">
        <f t="shared" ref="P115:P136" si="52">K115+O115</f>
        <v>0</v>
      </c>
      <c r="Q115" s="422">
        <f t="shared" si="50"/>
        <v>18000000</v>
      </c>
    </row>
    <row r="116" spans="1:19" ht="137.25" x14ac:dyDescent="0.2">
      <c r="A116" s="424" t="s">
        <v>427</v>
      </c>
      <c r="B116" s="424" t="s">
        <v>428</v>
      </c>
      <c r="C116" s="424" t="s">
        <v>423</v>
      </c>
      <c r="D116" s="424" t="s">
        <v>429</v>
      </c>
      <c r="E116" s="167">
        <f t="shared" si="51"/>
        <v>553700</v>
      </c>
      <c r="F116" s="133">
        <v>553700</v>
      </c>
      <c r="G116" s="133"/>
      <c r="H116" s="133"/>
      <c r="I116" s="133"/>
      <c r="J116" s="422">
        <f t="shared" si="35"/>
        <v>0</v>
      </c>
      <c r="K116" s="133"/>
      <c r="L116" s="181"/>
      <c r="M116" s="181"/>
      <c r="N116" s="181"/>
      <c r="O116" s="181"/>
      <c r="P116" s="388">
        <f t="shared" si="52"/>
        <v>0</v>
      </c>
      <c r="Q116" s="422">
        <f t="shared" si="50"/>
        <v>553700</v>
      </c>
    </row>
    <row r="117" spans="1:19" ht="91.5" x14ac:dyDescent="0.2">
      <c r="A117" s="424" t="s">
        <v>450</v>
      </c>
      <c r="B117" s="424" t="s">
        <v>451</v>
      </c>
      <c r="C117" s="424" t="s">
        <v>423</v>
      </c>
      <c r="D117" s="424" t="s">
        <v>452</v>
      </c>
      <c r="E117" s="167">
        <f t="shared" si="51"/>
        <v>0</v>
      </c>
      <c r="F117" s="133"/>
      <c r="G117" s="133"/>
      <c r="H117" s="133"/>
      <c r="I117" s="133"/>
      <c r="J117" s="422">
        <f t="shared" si="35"/>
        <v>5000000</v>
      </c>
      <c r="K117" s="133">
        <v>5000000</v>
      </c>
      <c r="L117" s="181"/>
      <c r="M117" s="181"/>
      <c r="N117" s="181"/>
      <c r="O117" s="181"/>
      <c r="P117" s="388">
        <f t="shared" si="52"/>
        <v>5000000</v>
      </c>
      <c r="Q117" s="422">
        <f t="shared" si="50"/>
        <v>5000000</v>
      </c>
    </row>
    <row r="118" spans="1:19" ht="137.25" x14ac:dyDescent="0.2">
      <c r="A118" s="424" t="s">
        <v>424</v>
      </c>
      <c r="B118" s="424" t="s">
        <v>425</v>
      </c>
      <c r="C118" s="424" t="s">
        <v>423</v>
      </c>
      <c r="D118" s="424" t="s">
        <v>426</v>
      </c>
      <c r="E118" s="167">
        <f t="shared" si="51"/>
        <v>0</v>
      </c>
      <c r="F118" s="133">
        <v>0</v>
      </c>
      <c r="G118" s="133"/>
      <c r="H118" s="133"/>
      <c r="I118" s="133"/>
      <c r="J118" s="422">
        <f t="shared" si="35"/>
        <v>23000000</v>
      </c>
      <c r="K118" s="133">
        <v>23000000</v>
      </c>
      <c r="L118" s="181"/>
      <c r="M118" s="181"/>
      <c r="N118" s="181"/>
      <c r="O118" s="181"/>
      <c r="P118" s="388">
        <f t="shared" si="52"/>
        <v>23000000</v>
      </c>
      <c r="Q118" s="422">
        <f t="shared" si="50"/>
        <v>23000000</v>
      </c>
    </row>
    <row r="119" spans="1:19" ht="228.75" x14ac:dyDescent="0.2">
      <c r="A119" s="424" t="s">
        <v>444</v>
      </c>
      <c r="B119" s="424" t="s">
        <v>445</v>
      </c>
      <c r="C119" s="424" t="s">
        <v>423</v>
      </c>
      <c r="D119" s="424" t="s">
        <v>446</v>
      </c>
      <c r="E119" s="167">
        <f t="shared" si="51"/>
        <v>370575</v>
      </c>
      <c r="F119" s="133">
        <v>370575</v>
      </c>
      <c r="G119" s="133"/>
      <c r="H119" s="133"/>
      <c r="I119" s="133"/>
      <c r="J119" s="422">
        <f t="shared" si="35"/>
        <v>0</v>
      </c>
      <c r="K119" s="338"/>
      <c r="L119" s="133"/>
      <c r="M119" s="133"/>
      <c r="N119" s="133"/>
      <c r="O119" s="181"/>
      <c r="P119" s="388">
        <f t="shared" si="52"/>
        <v>0</v>
      </c>
      <c r="Q119" s="422">
        <f>E119+J119</f>
        <v>370575</v>
      </c>
    </row>
    <row r="120" spans="1:19" ht="91.5" x14ac:dyDescent="0.2">
      <c r="A120" s="424" t="s">
        <v>430</v>
      </c>
      <c r="B120" s="424" t="s">
        <v>431</v>
      </c>
      <c r="C120" s="424" t="s">
        <v>423</v>
      </c>
      <c r="D120" s="424" t="s">
        <v>432</v>
      </c>
      <c r="E120" s="167">
        <f t="shared" si="51"/>
        <v>111566028</v>
      </c>
      <c r="F120" s="133">
        <v>111566028</v>
      </c>
      <c r="G120" s="133"/>
      <c r="H120" s="133">
        <v>10000</v>
      </c>
      <c r="I120" s="133"/>
      <c r="J120" s="422">
        <f t="shared" si="35"/>
        <v>19160721</v>
      </c>
      <c r="K120" s="338">
        <v>19160721</v>
      </c>
      <c r="L120" s="133"/>
      <c r="M120" s="133"/>
      <c r="N120" s="133"/>
      <c r="O120" s="181"/>
      <c r="P120" s="388">
        <f t="shared" si="52"/>
        <v>19160721</v>
      </c>
      <c r="Q120" s="422">
        <f>E120+J120</f>
        <v>130726749</v>
      </c>
    </row>
    <row r="121" spans="1:19" ht="92.25" x14ac:dyDescent="0.2">
      <c r="A121" s="424" t="s">
        <v>454</v>
      </c>
      <c r="B121" s="424" t="s">
        <v>455</v>
      </c>
      <c r="C121" s="424" t="s">
        <v>453</v>
      </c>
      <c r="D121" s="424" t="s">
        <v>456</v>
      </c>
      <c r="E121" s="167">
        <f t="shared" si="51"/>
        <v>0</v>
      </c>
      <c r="F121" s="133"/>
      <c r="G121" s="133"/>
      <c r="H121" s="133"/>
      <c r="I121" s="133"/>
      <c r="J121" s="422">
        <f t="shared" si="35"/>
        <v>9700000</v>
      </c>
      <c r="K121" s="338">
        <v>9700000</v>
      </c>
      <c r="L121" s="133"/>
      <c r="M121" s="133"/>
      <c r="N121" s="133"/>
      <c r="O121" s="181"/>
      <c r="P121" s="388">
        <f t="shared" si="52"/>
        <v>9700000</v>
      </c>
      <c r="Q121" s="422">
        <f>E121+J121</f>
        <v>9700000</v>
      </c>
    </row>
    <row r="122" spans="1:19" ht="91.5" x14ac:dyDescent="0.2">
      <c r="A122" s="424" t="s">
        <v>741</v>
      </c>
      <c r="B122" s="424" t="s">
        <v>742</v>
      </c>
      <c r="C122" s="424" t="s">
        <v>743</v>
      </c>
      <c r="D122" s="424" t="s">
        <v>744</v>
      </c>
      <c r="E122" s="167">
        <f t="shared" si="51"/>
        <v>10620634</v>
      </c>
      <c r="F122" s="133">
        <v>10620634</v>
      </c>
      <c r="G122" s="133"/>
      <c r="H122" s="133"/>
      <c r="I122" s="133"/>
      <c r="J122" s="422">
        <f t="shared" si="35"/>
        <v>0</v>
      </c>
      <c r="K122" s="338"/>
      <c r="L122" s="133"/>
      <c r="M122" s="133"/>
      <c r="N122" s="133"/>
      <c r="O122" s="181"/>
      <c r="P122" s="388">
        <f t="shared" si="52"/>
        <v>0</v>
      </c>
      <c r="Q122" s="422">
        <f>E122+J122</f>
        <v>10620634</v>
      </c>
    </row>
    <row r="123" spans="1:19" ht="91.5" x14ac:dyDescent="0.2">
      <c r="A123" s="424" t="s">
        <v>433</v>
      </c>
      <c r="B123" s="424" t="s">
        <v>434</v>
      </c>
      <c r="C123" s="424" t="s">
        <v>436</v>
      </c>
      <c r="D123" s="424" t="s">
        <v>435</v>
      </c>
      <c r="E123" s="167">
        <f t="shared" si="51"/>
        <v>16217135</v>
      </c>
      <c r="F123" s="133">
        <v>16217135</v>
      </c>
      <c r="G123" s="133"/>
      <c r="H123" s="133"/>
      <c r="I123" s="133"/>
      <c r="J123" s="422">
        <f t="shared" si="35"/>
        <v>0</v>
      </c>
      <c r="K123" s="338"/>
      <c r="L123" s="133"/>
      <c r="M123" s="133"/>
      <c r="N123" s="133"/>
      <c r="O123" s="181"/>
      <c r="P123" s="388">
        <f t="shared" si="52"/>
        <v>0</v>
      </c>
      <c r="Q123" s="422">
        <f>E123+J123</f>
        <v>16217135</v>
      </c>
    </row>
    <row r="124" spans="1:19" ht="228.75" x14ac:dyDescent="0.2">
      <c r="A124" s="424" t="s">
        <v>437</v>
      </c>
      <c r="B124" s="424" t="s">
        <v>438</v>
      </c>
      <c r="C124" s="424" t="s">
        <v>440</v>
      </c>
      <c r="D124" s="424" t="s">
        <v>439</v>
      </c>
      <c r="E124" s="167">
        <f t="shared" si="51"/>
        <v>59477425</v>
      </c>
      <c r="F124" s="133">
        <v>59477425</v>
      </c>
      <c r="G124" s="133"/>
      <c r="H124" s="133"/>
      <c r="I124" s="133"/>
      <c r="J124" s="422">
        <f t="shared" si="35"/>
        <v>82763108</v>
      </c>
      <c r="K124" s="133">
        <v>82763108</v>
      </c>
      <c r="L124" s="181"/>
      <c r="M124" s="181"/>
      <c r="N124" s="181"/>
      <c r="O124" s="181"/>
      <c r="P124" s="388">
        <f t="shared" si="52"/>
        <v>82763108</v>
      </c>
      <c r="Q124" s="422">
        <f>+J124+E124</f>
        <v>142240533</v>
      </c>
    </row>
    <row r="125" spans="1:19" ht="46.5" x14ac:dyDescent="0.2">
      <c r="A125" s="424" t="s">
        <v>441</v>
      </c>
      <c r="B125" s="424" t="s">
        <v>320</v>
      </c>
      <c r="C125" s="424" t="s">
        <v>321</v>
      </c>
      <c r="D125" s="424" t="s">
        <v>67</v>
      </c>
      <c r="E125" s="167">
        <f t="shared" si="51"/>
        <v>250000</v>
      </c>
      <c r="F125" s="133">
        <v>250000</v>
      </c>
      <c r="G125" s="133"/>
      <c r="H125" s="133"/>
      <c r="I125" s="133"/>
      <c r="J125" s="422">
        <f t="shared" si="35"/>
        <v>1250000</v>
      </c>
      <c r="K125" s="338">
        <f>1000000+250000</f>
        <v>1250000</v>
      </c>
      <c r="L125" s="133"/>
      <c r="M125" s="133"/>
      <c r="N125" s="133"/>
      <c r="O125" s="181"/>
      <c r="P125" s="388">
        <f t="shared" si="52"/>
        <v>1250000</v>
      </c>
      <c r="Q125" s="422">
        <f>E125+J125</f>
        <v>1500000</v>
      </c>
    </row>
    <row r="126" spans="1:19" ht="91.5" x14ac:dyDescent="0.65">
      <c r="A126" s="424" t="s">
        <v>458</v>
      </c>
      <c r="B126" s="424" t="s">
        <v>294</v>
      </c>
      <c r="C126" s="424" t="s">
        <v>257</v>
      </c>
      <c r="D126" s="424" t="s">
        <v>57</v>
      </c>
      <c r="E126" s="167">
        <f t="shared" si="51"/>
        <v>0</v>
      </c>
      <c r="F126" s="133"/>
      <c r="G126" s="133"/>
      <c r="H126" s="133"/>
      <c r="I126" s="133"/>
      <c r="J126" s="422">
        <f t="shared" si="35"/>
        <v>8737485</v>
      </c>
      <c r="K126" s="338">
        <f>8180115+557370</f>
        <v>8737485</v>
      </c>
      <c r="L126" s="133"/>
      <c r="M126" s="133"/>
      <c r="N126" s="133"/>
      <c r="O126" s="181"/>
      <c r="P126" s="388">
        <f t="shared" si="52"/>
        <v>8737485</v>
      </c>
      <c r="Q126" s="422">
        <f>E126+J126</f>
        <v>8737485</v>
      </c>
      <c r="R126" s="221"/>
    </row>
    <row r="127" spans="1:19" ht="409.5" x14ac:dyDescent="0.2">
      <c r="A127" s="444" t="s">
        <v>772</v>
      </c>
      <c r="B127" s="444" t="s">
        <v>541</v>
      </c>
      <c r="C127" s="444" t="s">
        <v>257</v>
      </c>
      <c r="D127" s="352" t="s">
        <v>552</v>
      </c>
      <c r="E127" s="442">
        <f t="shared" si="51"/>
        <v>0</v>
      </c>
      <c r="F127" s="446"/>
      <c r="G127" s="446"/>
      <c r="H127" s="446"/>
      <c r="I127" s="446"/>
      <c r="J127" s="449">
        <f t="shared" si="35"/>
        <v>1371000</v>
      </c>
      <c r="K127" s="446"/>
      <c r="L127" s="446">
        <v>1371000</v>
      </c>
      <c r="M127" s="446"/>
      <c r="N127" s="446"/>
      <c r="O127" s="446"/>
      <c r="P127" s="450">
        <f t="shared" si="52"/>
        <v>0</v>
      </c>
      <c r="Q127" s="442">
        <f>E127+J127</f>
        <v>1371000</v>
      </c>
      <c r="R127" s="401">
        <f>Q127</f>
        <v>1371000</v>
      </c>
    </row>
    <row r="128" spans="1:19" ht="137.25" x14ac:dyDescent="0.65">
      <c r="A128" s="445"/>
      <c r="B128" s="445"/>
      <c r="C128" s="445"/>
      <c r="D128" s="362" t="s">
        <v>553</v>
      </c>
      <c r="E128" s="443"/>
      <c r="F128" s="447"/>
      <c r="G128" s="448"/>
      <c r="H128" s="447"/>
      <c r="I128" s="447"/>
      <c r="J128" s="441"/>
      <c r="K128" s="445"/>
      <c r="L128" s="447"/>
      <c r="M128" s="447"/>
      <c r="N128" s="447"/>
      <c r="O128" s="447"/>
      <c r="P128" s="451"/>
      <c r="Q128" s="443"/>
      <c r="R128" s="221"/>
    </row>
    <row r="129" spans="1:19" ht="91.5" x14ac:dyDescent="0.2">
      <c r="A129" s="424" t="s">
        <v>388</v>
      </c>
      <c r="B129" s="424" t="s">
        <v>389</v>
      </c>
      <c r="C129" s="424" t="s">
        <v>390</v>
      </c>
      <c r="D129" s="424" t="s">
        <v>387</v>
      </c>
      <c r="E129" s="167">
        <f t="shared" si="51"/>
        <v>1250990</v>
      </c>
      <c r="F129" s="133">
        <v>1250990</v>
      </c>
      <c r="G129" s="133">
        <v>843750</v>
      </c>
      <c r="H129" s="133">
        <v>11500</v>
      </c>
      <c r="I129" s="133"/>
      <c r="J129" s="422">
        <f t="shared" si="35"/>
        <v>0</v>
      </c>
      <c r="K129" s="338"/>
      <c r="L129" s="133"/>
      <c r="M129" s="133"/>
      <c r="N129" s="133"/>
      <c r="O129" s="181"/>
      <c r="P129" s="388">
        <f t="shared" si="52"/>
        <v>0</v>
      </c>
      <c r="Q129" s="422">
        <f>E129+J129</f>
        <v>1250990</v>
      </c>
    </row>
    <row r="130" spans="1:19" ht="270" x14ac:dyDescent="0.2">
      <c r="A130" s="282" t="s">
        <v>44</v>
      </c>
      <c r="B130" s="282"/>
      <c r="C130" s="282"/>
      <c r="D130" s="282" t="s">
        <v>643</v>
      </c>
      <c r="E130" s="365">
        <f>E131</f>
        <v>2696500</v>
      </c>
      <c r="F130" s="365">
        <f t="shared" ref="F130:G130" si="53">F131</f>
        <v>2696500</v>
      </c>
      <c r="G130" s="365">
        <f t="shared" si="53"/>
        <v>1776300</v>
      </c>
      <c r="H130" s="365">
        <f>H131</f>
        <v>100000</v>
      </c>
      <c r="I130" s="365">
        <f t="shared" ref="I130" si="54">I131</f>
        <v>0</v>
      </c>
      <c r="J130" s="365">
        <f>J131</f>
        <v>53000000</v>
      </c>
      <c r="K130" s="365">
        <f>K131</f>
        <v>53000000</v>
      </c>
      <c r="L130" s="365">
        <f>L131</f>
        <v>0</v>
      </c>
      <c r="M130" s="365">
        <f t="shared" ref="M130" si="55">M131</f>
        <v>0</v>
      </c>
      <c r="N130" s="365">
        <f>N131</f>
        <v>0</v>
      </c>
      <c r="O130" s="283">
        <f t="shared" ref="O130:Q130" si="56">O131</f>
        <v>0</v>
      </c>
      <c r="P130" s="365">
        <f t="shared" si="52"/>
        <v>53000000</v>
      </c>
      <c r="Q130" s="283">
        <f t="shared" si="56"/>
        <v>55696500</v>
      </c>
    </row>
    <row r="131" spans="1:19" ht="270" x14ac:dyDescent="0.2">
      <c r="A131" s="286" t="s">
        <v>45</v>
      </c>
      <c r="B131" s="286"/>
      <c r="C131" s="286"/>
      <c r="D131" s="286" t="s">
        <v>642</v>
      </c>
      <c r="E131" s="284">
        <f t="shared" ref="E131:O131" si="57">SUM(E132:E135)</f>
        <v>2696500</v>
      </c>
      <c r="F131" s="284">
        <f t="shared" si="57"/>
        <v>2696500</v>
      </c>
      <c r="G131" s="284">
        <f t="shared" si="57"/>
        <v>1776300</v>
      </c>
      <c r="H131" s="284">
        <f t="shared" si="57"/>
        <v>100000</v>
      </c>
      <c r="I131" s="284">
        <f t="shared" si="57"/>
        <v>0</v>
      </c>
      <c r="J131" s="284">
        <f>L131+P131</f>
        <v>53000000</v>
      </c>
      <c r="K131" s="284">
        <f t="shared" si="57"/>
        <v>53000000</v>
      </c>
      <c r="L131" s="284">
        <f t="shared" si="57"/>
        <v>0</v>
      </c>
      <c r="M131" s="284">
        <f t="shared" si="57"/>
        <v>0</v>
      </c>
      <c r="N131" s="284">
        <f t="shared" si="57"/>
        <v>0</v>
      </c>
      <c r="O131" s="284">
        <f t="shared" si="57"/>
        <v>0</v>
      </c>
      <c r="P131" s="378">
        <f t="shared" si="52"/>
        <v>53000000</v>
      </c>
      <c r="Q131" s="284">
        <f>E131+J131</f>
        <v>55696500</v>
      </c>
      <c r="R131" s="179" t="b">
        <f>Q131=Q133+Q134+Q135+Q132</f>
        <v>1</v>
      </c>
      <c r="S131" s="182" t="b">
        <f>K131='dod5'!I76</f>
        <v>1</v>
      </c>
    </row>
    <row r="132" spans="1:19" ht="228.75" x14ac:dyDescent="0.2">
      <c r="A132" s="424" t="s">
        <v>761</v>
      </c>
      <c r="B132" s="424" t="s">
        <v>344</v>
      </c>
      <c r="C132" s="424" t="s">
        <v>342</v>
      </c>
      <c r="D132" s="424" t="s">
        <v>343</v>
      </c>
      <c r="E132" s="422">
        <f t="shared" ref="E132:E134" si="58">F132</f>
        <v>2696500</v>
      </c>
      <c r="F132" s="338">
        <v>2696500</v>
      </c>
      <c r="G132" s="338">
        <v>1776300</v>
      </c>
      <c r="H132" s="338">
        <v>100000</v>
      </c>
      <c r="I132" s="338"/>
      <c r="J132" s="422">
        <f t="shared" ref="J132:J135" si="59">L132+P132</f>
        <v>0</v>
      </c>
      <c r="K132" s="338"/>
      <c r="L132" s="338"/>
      <c r="M132" s="338"/>
      <c r="N132" s="338"/>
      <c r="O132" s="338"/>
      <c r="P132" s="388">
        <f t="shared" si="52"/>
        <v>0</v>
      </c>
      <c r="Q132" s="422">
        <f>E132+J132</f>
        <v>2696500</v>
      </c>
      <c r="R132" s="179"/>
      <c r="S132" s="182"/>
    </row>
    <row r="133" spans="1:19" ht="91.5" x14ac:dyDescent="0.2">
      <c r="A133" s="424" t="s">
        <v>472</v>
      </c>
      <c r="B133" s="424" t="s">
        <v>473</v>
      </c>
      <c r="C133" s="424" t="s">
        <v>453</v>
      </c>
      <c r="D133" s="424" t="s">
        <v>471</v>
      </c>
      <c r="E133" s="422">
        <f t="shared" si="58"/>
        <v>0</v>
      </c>
      <c r="F133" s="338"/>
      <c r="G133" s="338"/>
      <c r="H133" s="338"/>
      <c r="I133" s="338"/>
      <c r="J133" s="422">
        <f t="shared" si="59"/>
        <v>37000000</v>
      </c>
      <c r="K133" s="338">
        <v>37000000</v>
      </c>
      <c r="L133" s="338"/>
      <c r="M133" s="338"/>
      <c r="N133" s="338"/>
      <c r="O133" s="338"/>
      <c r="P133" s="388">
        <f t="shared" si="52"/>
        <v>37000000</v>
      </c>
      <c r="Q133" s="422">
        <f>E133+J133</f>
        <v>37000000</v>
      </c>
    </row>
    <row r="134" spans="1:19" ht="137.25" x14ac:dyDescent="0.2">
      <c r="A134" s="424" t="s">
        <v>474</v>
      </c>
      <c r="B134" s="424" t="s">
        <v>475</v>
      </c>
      <c r="C134" s="424" t="s">
        <v>453</v>
      </c>
      <c r="D134" s="424" t="s">
        <v>476</v>
      </c>
      <c r="E134" s="422">
        <f t="shared" si="58"/>
        <v>0</v>
      </c>
      <c r="F134" s="338"/>
      <c r="G134" s="338"/>
      <c r="H134" s="338"/>
      <c r="I134" s="338"/>
      <c r="J134" s="422">
        <f t="shared" si="59"/>
        <v>4500000</v>
      </c>
      <c r="K134" s="338">
        <v>4500000</v>
      </c>
      <c r="L134" s="338"/>
      <c r="M134" s="338"/>
      <c r="N134" s="338"/>
      <c r="O134" s="338"/>
      <c r="P134" s="388">
        <f t="shared" si="52"/>
        <v>4500000</v>
      </c>
      <c r="Q134" s="422">
        <f>E134+J134</f>
        <v>4500000</v>
      </c>
    </row>
    <row r="135" spans="1:19" ht="183" x14ac:dyDescent="0.2">
      <c r="A135" s="424" t="s">
        <v>478</v>
      </c>
      <c r="B135" s="424" t="s">
        <v>479</v>
      </c>
      <c r="C135" s="424" t="s">
        <v>453</v>
      </c>
      <c r="D135" s="424" t="s">
        <v>477</v>
      </c>
      <c r="E135" s="422">
        <f>F135</f>
        <v>0</v>
      </c>
      <c r="F135" s="338"/>
      <c r="G135" s="338"/>
      <c r="H135" s="338"/>
      <c r="I135" s="338"/>
      <c r="J135" s="338">
        <f t="shared" si="59"/>
        <v>11500000</v>
      </c>
      <c r="K135" s="338">
        <v>11500000</v>
      </c>
      <c r="L135" s="338"/>
      <c r="M135" s="338"/>
      <c r="N135" s="338"/>
      <c r="O135" s="338"/>
      <c r="P135" s="388">
        <f t="shared" si="52"/>
        <v>11500000</v>
      </c>
      <c r="Q135" s="422">
        <f>E135+J135</f>
        <v>11500000</v>
      </c>
    </row>
    <row r="136" spans="1:19" ht="225" x14ac:dyDescent="0.2">
      <c r="A136" s="282" t="s">
        <v>247</v>
      </c>
      <c r="B136" s="282"/>
      <c r="C136" s="282"/>
      <c r="D136" s="282" t="s">
        <v>46</v>
      </c>
      <c r="E136" s="365">
        <f>E137</f>
        <v>3880500</v>
      </c>
      <c r="F136" s="365">
        <f t="shared" ref="F136:G136" si="60">F137</f>
        <v>3880500</v>
      </c>
      <c r="G136" s="365">
        <f t="shared" si="60"/>
        <v>2850700</v>
      </c>
      <c r="H136" s="365">
        <f>H137</f>
        <v>107000</v>
      </c>
      <c r="I136" s="365">
        <f t="shared" ref="I136" si="61">I137</f>
        <v>0</v>
      </c>
      <c r="J136" s="365">
        <f>J137</f>
        <v>2000000</v>
      </c>
      <c r="K136" s="365">
        <f>K137</f>
        <v>2000000</v>
      </c>
      <c r="L136" s="365">
        <f>L137</f>
        <v>0</v>
      </c>
      <c r="M136" s="365">
        <f t="shared" ref="M136" si="62">M137</f>
        <v>0</v>
      </c>
      <c r="N136" s="365">
        <f>N137</f>
        <v>0</v>
      </c>
      <c r="O136" s="283">
        <f t="shared" ref="O136:Q136" si="63">O137</f>
        <v>0</v>
      </c>
      <c r="P136" s="365">
        <f t="shared" si="52"/>
        <v>2000000</v>
      </c>
      <c r="Q136" s="283">
        <f t="shared" si="63"/>
        <v>5880500</v>
      </c>
    </row>
    <row r="137" spans="1:19" ht="225" x14ac:dyDescent="0.2">
      <c r="A137" s="286" t="s">
        <v>248</v>
      </c>
      <c r="B137" s="286"/>
      <c r="C137" s="286"/>
      <c r="D137" s="286" t="s">
        <v>64</v>
      </c>
      <c r="E137" s="284">
        <f>SUM(E138:E139)</f>
        <v>3880500</v>
      </c>
      <c r="F137" s="284">
        <f t="shared" ref="F137:O137" si="64">SUM(F138:F139)</f>
        <v>3880500</v>
      </c>
      <c r="G137" s="284">
        <f t="shared" si="64"/>
        <v>2850700</v>
      </c>
      <c r="H137" s="284">
        <f t="shared" si="64"/>
        <v>107000</v>
      </c>
      <c r="I137" s="284">
        <f t="shared" si="64"/>
        <v>0</v>
      </c>
      <c r="J137" s="284">
        <f>L137+P137</f>
        <v>2000000</v>
      </c>
      <c r="K137" s="284">
        <f t="shared" si="64"/>
        <v>2000000</v>
      </c>
      <c r="L137" s="284">
        <f t="shared" si="64"/>
        <v>0</v>
      </c>
      <c r="M137" s="284">
        <f t="shared" si="64"/>
        <v>0</v>
      </c>
      <c r="N137" s="284">
        <f t="shared" si="64"/>
        <v>0</v>
      </c>
      <c r="O137" s="284">
        <f t="shared" si="64"/>
        <v>0</v>
      </c>
      <c r="P137" s="378">
        <f>K137+O137</f>
        <v>2000000</v>
      </c>
      <c r="Q137" s="284">
        <f>E137+J137</f>
        <v>5880500</v>
      </c>
      <c r="R137" s="179" t="b">
        <f>Q137=Q139+Q138</f>
        <v>1</v>
      </c>
      <c r="S137" s="182" t="b">
        <f>K137='dod5'!I100</f>
        <v>0</v>
      </c>
    </row>
    <row r="138" spans="1:19" ht="228.75" x14ac:dyDescent="0.2">
      <c r="A138" s="424" t="s">
        <v>763</v>
      </c>
      <c r="B138" s="424" t="s">
        <v>344</v>
      </c>
      <c r="C138" s="424" t="s">
        <v>342</v>
      </c>
      <c r="D138" s="424" t="s">
        <v>343</v>
      </c>
      <c r="E138" s="422">
        <f>F138</f>
        <v>3880500</v>
      </c>
      <c r="F138" s="338">
        <v>3880500</v>
      </c>
      <c r="G138" s="338">
        <v>2850700</v>
      </c>
      <c r="H138" s="338">
        <v>107000</v>
      </c>
      <c r="I138" s="338"/>
      <c r="J138" s="338">
        <f t="shared" ref="J138:J139" si="65">L138+P138</f>
        <v>0</v>
      </c>
      <c r="K138" s="338"/>
      <c r="L138" s="338"/>
      <c r="M138" s="338"/>
      <c r="N138" s="338"/>
      <c r="O138" s="338"/>
      <c r="P138" s="388">
        <f t="shared" ref="P138:P162" si="66">K138+O138</f>
        <v>0</v>
      </c>
      <c r="Q138" s="422">
        <f>E138+J138</f>
        <v>3880500</v>
      </c>
      <c r="R138" s="179"/>
      <c r="S138" s="182"/>
    </row>
    <row r="139" spans="1:19" ht="137.25" x14ac:dyDescent="0.2">
      <c r="A139" s="424" t="s">
        <v>463</v>
      </c>
      <c r="B139" s="424" t="s">
        <v>464</v>
      </c>
      <c r="C139" s="424" t="s">
        <v>453</v>
      </c>
      <c r="D139" s="424" t="s">
        <v>465</v>
      </c>
      <c r="E139" s="422">
        <f>F139</f>
        <v>0</v>
      </c>
      <c r="F139" s="338">
        <v>0</v>
      </c>
      <c r="G139" s="338"/>
      <c r="H139" s="338"/>
      <c r="I139" s="338"/>
      <c r="J139" s="422">
        <f t="shared" si="65"/>
        <v>2000000</v>
      </c>
      <c r="K139" s="338">
        <v>2000000</v>
      </c>
      <c r="L139" s="338"/>
      <c r="M139" s="338"/>
      <c r="N139" s="338"/>
      <c r="O139" s="338"/>
      <c r="P139" s="388">
        <f t="shared" si="66"/>
        <v>2000000</v>
      </c>
      <c r="Q139" s="422">
        <f>E139+J139</f>
        <v>2000000</v>
      </c>
    </row>
    <row r="140" spans="1:19" ht="135" x14ac:dyDescent="0.2">
      <c r="A140" s="282" t="s">
        <v>253</v>
      </c>
      <c r="B140" s="282"/>
      <c r="C140" s="282"/>
      <c r="D140" s="282" t="s">
        <v>580</v>
      </c>
      <c r="E140" s="365">
        <f>E141</f>
        <v>4870650</v>
      </c>
      <c r="F140" s="365">
        <f t="shared" ref="F140:G140" si="67">F141</f>
        <v>4870650</v>
      </c>
      <c r="G140" s="365">
        <f t="shared" si="67"/>
        <v>0</v>
      </c>
      <c r="H140" s="365">
        <f>H141</f>
        <v>0</v>
      </c>
      <c r="I140" s="365">
        <f t="shared" ref="I140" si="68">I141</f>
        <v>0</v>
      </c>
      <c r="J140" s="365">
        <f>J141</f>
        <v>2000000</v>
      </c>
      <c r="K140" s="365">
        <f>K141</f>
        <v>2000000</v>
      </c>
      <c r="L140" s="365">
        <f>L141</f>
        <v>0</v>
      </c>
      <c r="M140" s="365">
        <f t="shared" ref="M140" si="69">M141</f>
        <v>0</v>
      </c>
      <c r="N140" s="365">
        <f>N141</f>
        <v>0</v>
      </c>
      <c r="O140" s="283">
        <f t="shared" ref="O140:Q140" si="70">O141</f>
        <v>0</v>
      </c>
      <c r="P140" s="365">
        <f t="shared" si="66"/>
        <v>2000000</v>
      </c>
      <c r="Q140" s="283">
        <f t="shared" si="70"/>
        <v>6870650</v>
      </c>
    </row>
    <row r="141" spans="1:19" ht="135" x14ac:dyDescent="0.2">
      <c r="A141" s="286" t="s">
        <v>254</v>
      </c>
      <c r="B141" s="286"/>
      <c r="C141" s="286"/>
      <c r="D141" s="286" t="s">
        <v>581</v>
      </c>
      <c r="E141" s="284">
        <f>SUM(E142:E145)</f>
        <v>4870650</v>
      </c>
      <c r="F141" s="284">
        <f t="shared" ref="F141:O141" si="71">SUM(F142:F145)</f>
        <v>4870650</v>
      </c>
      <c r="G141" s="284">
        <f t="shared" si="71"/>
        <v>0</v>
      </c>
      <c r="H141" s="284">
        <f t="shared" si="71"/>
        <v>0</v>
      </c>
      <c r="I141" s="284">
        <f t="shared" si="71"/>
        <v>0</v>
      </c>
      <c r="J141" s="284">
        <f>L141+P141</f>
        <v>2000000</v>
      </c>
      <c r="K141" s="284">
        <f t="shared" si="71"/>
        <v>2000000</v>
      </c>
      <c r="L141" s="284">
        <f t="shared" si="71"/>
        <v>0</v>
      </c>
      <c r="M141" s="284">
        <f t="shared" si="71"/>
        <v>0</v>
      </c>
      <c r="N141" s="284">
        <f t="shared" si="71"/>
        <v>0</v>
      </c>
      <c r="O141" s="284">
        <f t="shared" si="71"/>
        <v>0</v>
      </c>
      <c r="P141" s="378">
        <f t="shared" si="66"/>
        <v>2000000</v>
      </c>
      <c r="Q141" s="284">
        <f>E141+J141</f>
        <v>6870650</v>
      </c>
      <c r="R141" s="179" t="b">
        <f>Q141=Q142+Q143+Q144+Q145</f>
        <v>1</v>
      </c>
      <c r="S141" s="182" t="b">
        <f>K141='dod5'!I101</f>
        <v>0</v>
      </c>
    </row>
    <row r="142" spans="1:19" ht="137.25" x14ac:dyDescent="0.2">
      <c r="A142" s="424" t="s">
        <v>574</v>
      </c>
      <c r="B142" s="424" t="s">
        <v>575</v>
      </c>
      <c r="C142" s="424" t="s">
        <v>257</v>
      </c>
      <c r="D142" s="424" t="s">
        <v>401</v>
      </c>
      <c r="E142" s="422">
        <f>F142</f>
        <v>0</v>
      </c>
      <c r="F142" s="338"/>
      <c r="G142" s="338"/>
      <c r="H142" s="338"/>
      <c r="I142" s="338"/>
      <c r="J142" s="422">
        <f t="shared" ref="J142:J145" si="72">L142+P142</f>
        <v>2000000</v>
      </c>
      <c r="K142" s="338">
        <v>2000000</v>
      </c>
      <c r="L142" s="338"/>
      <c r="M142" s="338"/>
      <c r="N142" s="338"/>
      <c r="O142" s="338"/>
      <c r="P142" s="388">
        <f t="shared" si="66"/>
        <v>2000000</v>
      </c>
      <c r="Q142" s="422">
        <f>E142+J142</f>
        <v>2000000</v>
      </c>
    </row>
    <row r="143" spans="1:19" ht="91.5" x14ac:dyDescent="0.2">
      <c r="A143" s="424" t="s">
        <v>399</v>
      </c>
      <c r="B143" s="424" t="s">
        <v>400</v>
      </c>
      <c r="C143" s="424" t="s">
        <v>398</v>
      </c>
      <c r="D143" s="424" t="s">
        <v>397</v>
      </c>
      <c r="E143" s="422">
        <f t="shared" ref="E143:E145" si="73">F143</f>
        <v>2656650</v>
      </c>
      <c r="F143" s="338">
        <v>2656650</v>
      </c>
      <c r="G143" s="338"/>
      <c r="H143" s="338"/>
      <c r="I143" s="338"/>
      <c r="J143" s="422">
        <f t="shared" si="72"/>
        <v>0</v>
      </c>
      <c r="K143" s="338"/>
      <c r="L143" s="338"/>
      <c r="M143" s="338"/>
      <c r="N143" s="338"/>
      <c r="O143" s="338"/>
      <c r="P143" s="388">
        <f t="shared" si="66"/>
        <v>0</v>
      </c>
      <c r="Q143" s="422">
        <f>E143+J143</f>
        <v>2656650</v>
      </c>
    </row>
    <row r="144" spans="1:19" ht="137.25" x14ac:dyDescent="0.2">
      <c r="A144" s="424" t="s">
        <v>391</v>
      </c>
      <c r="B144" s="424" t="s">
        <v>393</v>
      </c>
      <c r="C144" s="424" t="s">
        <v>321</v>
      </c>
      <c r="D144" s="424" t="s">
        <v>392</v>
      </c>
      <c r="E144" s="422">
        <f t="shared" si="73"/>
        <v>420000</v>
      </c>
      <c r="F144" s="338">
        <v>420000</v>
      </c>
      <c r="G144" s="338"/>
      <c r="H144" s="338"/>
      <c r="I144" s="338"/>
      <c r="J144" s="422">
        <f t="shared" si="72"/>
        <v>0</v>
      </c>
      <c r="K144" s="338"/>
      <c r="L144" s="338"/>
      <c r="M144" s="338"/>
      <c r="N144" s="338"/>
      <c r="O144" s="338"/>
      <c r="P144" s="388">
        <f t="shared" si="66"/>
        <v>0</v>
      </c>
      <c r="Q144" s="422">
        <f>E144+J144</f>
        <v>420000</v>
      </c>
    </row>
    <row r="145" spans="1:19" ht="91.5" x14ac:dyDescent="0.2">
      <c r="A145" s="424" t="s">
        <v>395</v>
      </c>
      <c r="B145" s="424" t="s">
        <v>396</v>
      </c>
      <c r="C145" s="424" t="s">
        <v>257</v>
      </c>
      <c r="D145" s="424" t="s">
        <v>394</v>
      </c>
      <c r="E145" s="422">
        <f t="shared" si="73"/>
        <v>1794000</v>
      </c>
      <c r="F145" s="338">
        <v>1794000</v>
      </c>
      <c r="G145" s="338"/>
      <c r="H145" s="338"/>
      <c r="I145" s="338"/>
      <c r="J145" s="422">
        <f t="shared" si="72"/>
        <v>0</v>
      </c>
      <c r="K145" s="338"/>
      <c r="L145" s="338"/>
      <c r="M145" s="338"/>
      <c r="N145" s="338"/>
      <c r="O145" s="338"/>
      <c r="P145" s="388">
        <f t="shared" si="66"/>
        <v>0</v>
      </c>
      <c r="Q145" s="422">
        <f>E145+J145</f>
        <v>1794000</v>
      </c>
    </row>
    <row r="146" spans="1:19" ht="135" x14ac:dyDescent="0.2">
      <c r="A146" s="282" t="s">
        <v>251</v>
      </c>
      <c r="B146" s="282"/>
      <c r="C146" s="282"/>
      <c r="D146" s="282" t="s">
        <v>47</v>
      </c>
      <c r="E146" s="365">
        <f>E147</f>
        <v>4223100</v>
      </c>
      <c r="F146" s="365">
        <f t="shared" ref="F146:G146" si="74">F147</f>
        <v>4223100</v>
      </c>
      <c r="G146" s="365">
        <f t="shared" si="74"/>
        <v>3166500</v>
      </c>
      <c r="H146" s="365">
        <f>H147</f>
        <v>117900</v>
      </c>
      <c r="I146" s="365">
        <f t="shared" ref="I146" si="75">I147</f>
        <v>0</v>
      </c>
      <c r="J146" s="365">
        <f>J147</f>
        <v>500000</v>
      </c>
      <c r="K146" s="365">
        <f>K147</f>
        <v>0</v>
      </c>
      <c r="L146" s="365">
        <f>L147</f>
        <v>0</v>
      </c>
      <c r="M146" s="365">
        <f t="shared" ref="M146" si="76">M147</f>
        <v>0</v>
      </c>
      <c r="N146" s="365">
        <f>N147</f>
        <v>0</v>
      </c>
      <c r="O146" s="283">
        <f t="shared" ref="O146:Q146" si="77">O147</f>
        <v>500000</v>
      </c>
      <c r="P146" s="365">
        <f t="shared" si="66"/>
        <v>500000</v>
      </c>
      <c r="Q146" s="283">
        <f t="shared" si="77"/>
        <v>4723100</v>
      </c>
    </row>
    <row r="147" spans="1:19" ht="180" x14ac:dyDescent="0.2">
      <c r="A147" s="286" t="s">
        <v>252</v>
      </c>
      <c r="B147" s="286"/>
      <c r="C147" s="286"/>
      <c r="D147" s="286" t="s">
        <v>65</v>
      </c>
      <c r="E147" s="284">
        <f t="shared" ref="E147:O147" si="78">SUM(E148:E150)</f>
        <v>4223100</v>
      </c>
      <c r="F147" s="284">
        <f t="shared" si="78"/>
        <v>4223100</v>
      </c>
      <c r="G147" s="284">
        <f t="shared" si="78"/>
        <v>3166500</v>
      </c>
      <c r="H147" s="284">
        <f t="shared" si="78"/>
        <v>117900</v>
      </c>
      <c r="I147" s="284">
        <f t="shared" si="78"/>
        <v>0</v>
      </c>
      <c r="J147" s="284">
        <f>L147+P147</f>
        <v>500000</v>
      </c>
      <c r="K147" s="284">
        <f t="shared" si="78"/>
        <v>0</v>
      </c>
      <c r="L147" s="284">
        <f t="shared" si="78"/>
        <v>0</v>
      </c>
      <c r="M147" s="284">
        <f t="shared" si="78"/>
        <v>0</v>
      </c>
      <c r="N147" s="284">
        <f t="shared" si="78"/>
        <v>0</v>
      </c>
      <c r="O147" s="284">
        <f t="shared" si="78"/>
        <v>500000</v>
      </c>
      <c r="P147" s="378">
        <f t="shared" si="66"/>
        <v>500000</v>
      </c>
      <c r="Q147" s="284">
        <f>E147+J147</f>
        <v>4723100</v>
      </c>
      <c r="R147" s="179" t="b">
        <f>Q147=Q149+Q150+Q148</f>
        <v>1</v>
      </c>
      <c r="S147" s="182" t="b">
        <f>J147='dod7'!F13</f>
        <v>1</v>
      </c>
    </row>
    <row r="148" spans="1:19" ht="228.75" x14ac:dyDescent="0.2">
      <c r="A148" s="424" t="s">
        <v>766</v>
      </c>
      <c r="B148" s="424" t="s">
        <v>344</v>
      </c>
      <c r="C148" s="424" t="s">
        <v>342</v>
      </c>
      <c r="D148" s="424" t="s">
        <v>343</v>
      </c>
      <c r="E148" s="422">
        <f>F148</f>
        <v>4223100</v>
      </c>
      <c r="F148" s="338">
        <v>4223100</v>
      </c>
      <c r="G148" s="338">
        <v>3166500</v>
      </c>
      <c r="H148" s="338">
        <v>117900</v>
      </c>
      <c r="I148" s="338"/>
      <c r="J148" s="422">
        <f t="shared" ref="J148:J150" si="79">L148+P148</f>
        <v>0</v>
      </c>
      <c r="K148" s="338"/>
      <c r="L148" s="338"/>
      <c r="M148" s="338"/>
      <c r="N148" s="338"/>
      <c r="O148" s="338"/>
      <c r="P148" s="388">
        <f t="shared" si="66"/>
        <v>0</v>
      </c>
      <c r="Q148" s="422">
        <f>E148+J148</f>
        <v>4223100</v>
      </c>
      <c r="R148" s="179"/>
      <c r="S148" s="182"/>
    </row>
    <row r="149" spans="1:19" ht="91.5" x14ac:dyDescent="0.2">
      <c r="A149" s="424" t="s">
        <v>466</v>
      </c>
      <c r="B149" s="424" t="s">
        <v>467</v>
      </c>
      <c r="C149" s="424" t="s">
        <v>81</v>
      </c>
      <c r="D149" s="424" t="s">
        <v>82</v>
      </c>
      <c r="E149" s="422">
        <f t="shared" ref="E149" si="80">F149</f>
        <v>0</v>
      </c>
      <c r="F149" s="338"/>
      <c r="G149" s="338"/>
      <c r="H149" s="338"/>
      <c r="I149" s="338"/>
      <c r="J149" s="422">
        <f t="shared" si="79"/>
        <v>400000</v>
      </c>
      <c r="K149" s="338"/>
      <c r="L149" s="338"/>
      <c r="M149" s="338"/>
      <c r="N149" s="338"/>
      <c r="O149" s="338">
        <v>400000</v>
      </c>
      <c r="P149" s="388">
        <f t="shared" si="66"/>
        <v>400000</v>
      </c>
      <c r="Q149" s="422">
        <f>E149+J149</f>
        <v>400000</v>
      </c>
    </row>
    <row r="150" spans="1:19" ht="91.5" x14ac:dyDescent="0.2">
      <c r="A150" s="424" t="s">
        <v>468</v>
      </c>
      <c r="B150" s="424" t="s">
        <v>469</v>
      </c>
      <c r="C150" s="424" t="s">
        <v>83</v>
      </c>
      <c r="D150" s="424" t="s">
        <v>470</v>
      </c>
      <c r="E150" s="422">
        <v>0</v>
      </c>
      <c r="F150" s="338"/>
      <c r="G150" s="338"/>
      <c r="H150" s="338"/>
      <c r="I150" s="338"/>
      <c r="J150" s="422">
        <f t="shared" si="79"/>
        <v>100000</v>
      </c>
      <c r="K150" s="422"/>
      <c r="L150" s="338"/>
      <c r="M150" s="338"/>
      <c r="N150" s="338"/>
      <c r="O150" s="181">
        <v>100000</v>
      </c>
      <c r="P150" s="388">
        <f t="shared" si="66"/>
        <v>100000</v>
      </c>
      <c r="Q150" s="422">
        <f>E150+J150</f>
        <v>100000</v>
      </c>
    </row>
    <row r="151" spans="1:19" ht="225" x14ac:dyDescent="0.2">
      <c r="A151" s="282" t="s">
        <v>249</v>
      </c>
      <c r="B151" s="282"/>
      <c r="C151" s="282"/>
      <c r="D151" s="282" t="s">
        <v>582</v>
      </c>
      <c r="E151" s="365">
        <f>E152</f>
        <v>3469300</v>
      </c>
      <c r="F151" s="365">
        <f t="shared" ref="F151:G151" si="81">F152</f>
        <v>3469300</v>
      </c>
      <c r="G151" s="365">
        <f t="shared" si="81"/>
        <v>2641000</v>
      </c>
      <c r="H151" s="365">
        <f>H152</f>
        <v>60000</v>
      </c>
      <c r="I151" s="365">
        <f t="shared" ref="I151" si="82">I152</f>
        <v>0</v>
      </c>
      <c r="J151" s="365">
        <f>J152</f>
        <v>500000</v>
      </c>
      <c r="K151" s="365">
        <f>K152</f>
        <v>500000</v>
      </c>
      <c r="L151" s="365">
        <f>L152</f>
        <v>0</v>
      </c>
      <c r="M151" s="365">
        <f t="shared" ref="M151" si="83">M152</f>
        <v>0</v>
      </c>
      <c r="N151" s="365">
        <f>N152</f>
        <v>0</v>
      </c>
      <c r="O151" s="283">
        <f t="shared" ref="O151:Q151" si="84">O152</f>
        <v>0</v>
      </c>
      <c r="P151" s="365">
        <f t="shared" si="66"/>
        <v>500000</v>
      </c>
      <c r="Q151" s="283">
        <f t="shared" si="84"/>
        <v>3969300</v>
      </c>
    </row>
    <row r="152" spans="1:19" ht="270" x14ac:dyDescent="0.2">
      <c r="A152" s="286" t="s">
        <v>250</v>
      </c>
      <c r="B152" s="286"/>
      <c r="C152" s="286"/>
      <c r="D152" s="286" t="s">
        <v>583</v>
      </c>
      <c r="E152" s="284">
        <f>SUM(E153:E155)</f>
        <v>3469300</v>
      </c>
      <c r="F152" s="284">
        <f t="shared" ref="F152:O152" si="85">SUM(F153:F155)</f>
        <v>3469300</v>
      </c>
      <c r="G152" s="284">
        <f t="shared" si="85"/>
        <v>2641000</v>
      </c>
      <c r="H152" s="284">
        <f t="shared" si="85"/>
        <v>60000</v>
      </c>
      <c r="I152" s="284">
        <f t="shared" si="85"/>
        <v>0</v>
      </c>
      <c r="J152" s="284">
        <f>L152+P152</f>
        <v>500000</v>
      </c>
      <c r="K152" s="284">
        <f t="shared" si="85"/>
        <v>500000</v>
      </c>
      <c r="L152" s="284">
        <f t="shared" si="85"/>
        <v>0</v>
      </c>
      <c r="M152" s="284">
        <f t="shared" si="85"/>
        <v>0</v>
      </c>
      <c r="N152" s="284">
        <f t="shared" si="85"/>
        <v>0</v>
      </c>
      <c r="O152" s="284">
        <f t="shared" si="85"/>
        <v>0</v>
      </c>
      <c r="P152" s="378">
        <f t="shared" si="66"/>
        <v>500000</v>
      </c>
      <c r="Q152" s="284">
        <f>E152+J152</f>
        <v>3969300</v>
      </c>
      <c r="R152" s="179" t="b">
        <f>Q152=Q154+Q155+Q153</f>
        <v>1</v>
      </c>
      <c r="S152" s="182" t="b">
        <f>K152='dod5'!I104</f>
        <v>1</v>
      </c>
    </row>
    <row r="153" spans="1:19" ht="228.75" x14ac:dyDescent="0.2">
      <c r="A153" s="424" t="s">
        <v>762</v>
      </c>
      <c r="B153" s="424" t="s">
        <v>344</v>
      </c>
      <c r="C153" s="424" t="s">
        <v>342</v>
      </c>
      <c r="D153" s="424" t="s">
        <v>343</v>
      </c>
      <c r="E153" s="422">
        <f>F153</f>
        <v>3469300</v>
      </c>
      <c r="F153" s="338">
        <v>3469300</v>
      </c>
      <c r="G153" s="338">
        <v>2641000</v>
      </c>
      <c r="H153" s="338">
        <v>60000</v>
      </c>
      <c r="I153" s="338"/>
      <c r="J153" s="422">
        <f t="shared" ref="J153:J155" si="86">L153+P153</f>
        <v>0</v>
      </c>
      <c r="K153" s="338"/>
      <c r="L153" s="338"/>
      <c r="M153" s="338"/>
      <c r="N153" s="338"/>
      <c r="O153" s="338"/>
      <c r="P153" s="388">
        <f t="shared" si="66"/>
        <v>0</v>
      </c>
      <c r="Q153" s="422">
        <f>E153+J153</f>
        <v>3469300</v>
      </c>
      <c r="R153" s="179"/>
      <c r="S153" s="182"/>
    </row>
    <row r="154" spans="1:19" ht="91.5" x14ac:dyDescent="0.2">
      <c r="A154" s="424" t="s">
        <v>460</v>
      </c>
      <c r="B154" s="424" t="s">
        <v>461</v>
      </c>
      <c r="C154" s="424" t="s">
        <v>462</v>
      </c>
      <c r="D154" s="424" t="s">
        <v>459</v>
      </c>
      <c r="E154" s="422">
        <f>F154</f>
        <v>0</v>
      </c>
      <c r="F154" s="338">
        <v>0</v>
      </c>
      <c r="G154" s="338"/>
      <c r="H154" s="338"/>
      <c r="I154" s="338"/>
      <c r="J154" s="422">
        <f t="shared" si="86"/>
        <v>410000</v>
      </c>
      <c r="K154" s="338">
        <v>410000</v>
      </c>
      <c r="L154" s="338"/>
      <c r="M154" s="338"/>
      <c r="N154" s="338"/>
      <c r="O154" s="338"/>
      <c r="P154" s="388">
        <f t="shared" si="66"/>
        <v>410000</v>
      </c>
      <c r="Q154" s="422">
        <f>E154+J154</f>
        <v>410000</v>
      </c>
    </row>
    <row r="155" spans="1:19" ht="137.25" x14ac:dyDescent="0.2">
      <c r="A155" s="424" t="s">
        <v>614</v>
      </c>
      <c r="B155" s="424" t="s">
        <v>615</v>
      </c>
      <c r="C155" s="424" t="s">
        <v>257</v>
      </c>
      <c r="D155" s="424" t="s">
        <v>616</v>
      </c>
      <c r="E155" s="422">
        <f>F155</f>
        <v>0</v>
      </c>
      <c r="F155" s="338">
        <v>0</v>
      </c>
      <c r="G155" s="338"/>
      <c r="H155" s="338"/>
      <c r="I155" s="338"/>
      <c r="J155" s="422">
        <f t="shared" si="86"/>
        <v>90000</v>
      </c>
      <c r="K155" s="338">
        <v>90000</v>
      </c>
      <c r="L155" s="338"/>
      <c r="M155" s="338"/>
      <c r="N155" s="338"/>
      <c r="O155" s="338"/>
      <c r="P155" s="388">
        <f t="shared" si="66"/>
        <v>90000</v>
      </c>
      <c r="Q155" s="422">
        <f>E155+J155</f>
        <v>90000</v>
      </c>
    </row>
    <row r="156" spans="1:19" ht="135" x14ac:dyDescent="0.2">
      <c r="A156" s="282" t="s">
        <v>255</v>
      </c>
      <c r="B156" s="282"/>
      <c r="C156" s="282"/>
      <c r="D156" s="282" t="s">
        <v>48</v>
      </c>
      <c r="E156" s="365">
        <f>E157</f>
        <v>67556500</v>
      </c>
      <c r="F156" s="365">
        <f t="shared" ref="F156:G156" si="87">F157</f>
        <v>67556500</v>
      </c>
      <c r="G156" s="365">
        <f t="shared" si="87"/>
        <v>5254100</v>
      </c>
      <c r="H156" s="365">
        <f>H157</f>
        <v>140000</v>
      </c>
      <c r="I156" s="365">
        <f t="shared" ref="I156" si="88">I157</f>
        <v>0</v>
      </c>
      <c r="J156" s="365">
        <f>J157</f>
        <v>50000</v>
      </c>
      <c r="K156" s="365">
        <f>K157</f>
        <v>50000</v>
      </c>
      <c r="L156" s="365">
        <f>L157</f>
        <v>0</v>
      </c>
      <c r="M156" s="365">
        <f t="shared" ref="M156" si="89">M157</f>
        <v>0</v>
      </c>
      <c r="N156" s="365">
        <f>N157</f>
        <v>0</v>
      </c>
      <c r="O156" s="283">
        <f t="shared" ref="O156:Q156" si="90">O157</f>
        <v>0</v>
      </c>
      <c r="P156" s="365">
        <f t="shared" si="66"/>
        <v>50000</v>
      </c>
      <c r="Q156" s="283">
        <f t="shared" si="90"/>
        <v>67606500</v>
      </c>
    </row>
    <row r="157" spans="1:19" ht="135" x14ac:dyDescent="0.2">
      <c r="A157" s="286" t="s">
        <v>256</v>
      </c>
      <c r="B157" s="286"/>
      <c r="C157" s="286"/>
      <c r="D157" s="286" t="s">
        <v>66</v>
      </c>
      <c r="E157" s="284">
        <f>SUM(E158:E161)</f>
        <v>67556500</v>
      </c>
      <c r="F157" s="284">
        <f t="shared" ref="F157:O157" si="91">SUM(F158:F161)</f>
        <v>67556500</v>
      </c>
      <c r="G157" s="284">
        <f t="shared" si="91"/>
        <v>5254100</v>
      </c>
      <c r="H157" s="284">
        <f t="shared" si="91"/>
        <v>140000</v>
      </c>
      <c r="I157" s="284">
        <f t="shared" si="91"/>
        <v>0</v>
      </c>
      <c r="J157" s="284">
        <f>L157+P157</f>
        <v>50000</v>
      </c>
      <c r="K157" s="284">
        <f>SUM(K158:K161)</f>
        <v>50000</v>
      </c>
      <c r="L157" s="284">
        <f t="shared" si="91"/>
        <v>0</v>
      </c>
      <c r="M157" s="284">
        <f t="shared" si="91"/>
        <v>0</v>
      </c>
      <c r="N157" s="284">
        <f t="shared" si="91"/>
        <v>0</v>
      </c>
      <c r="O157" s="284">
        <f t="shared" si="91"/>
        <v>0</v>
      </c>
      <c r="P157" s="378">
        <f t="shared" si="66"/>
        <v>50000</v>
      </c>
      <c r="Q157" s="284">
        <f>E157+J157</f>
        <v>67606500</v>
      </c>
      <c r="R157" s="179" t="b">
        <f>Q157=Q159+Q160+Q161+Q158</f>
        <v>1</v>
      </c>
      <c r="S157" s="182" t="b">
        <f>K157='dod5'!I112</f>
        <v>1</v>
      </c>
    </row>
    <row r="158" spans="1:19" ht="228.75" x14ac:dyDescent="0.2">
      <c r="A158" s="424" t="s">
        <v>764</v>
      </c>
      <c r="B158" s="424" t="s">
        <v>344</v>
      </c>
      <c r="C158" s="424" t="s">
        <v>342</v>
      </c>
      <c r="D158" s="424" t="s">
        <v>343</v>
      </c>
      <c r="E158" s="422">
        <f>F158</f>
        <v>6887800</v>
      </c>
      <c r="F158" s="338">
        <v>6887800</v>
      </c>
      <c r="G158" s="338">
        <v>5254100</v>
      </c>
      <c r="H158" s="338">
        <v>140000</v>
      </c>
      <c r="I158" s="338"/>
      <c r="J158" s="422">
        <f t="shared" ref="J158:J161" si="92">L158+P158</f>
        <v>50000</v>
      </c>
      <c r="K158" s="338">
        <v>50000</v>
      </c>
      <c r="L158" s="338"/>
      <c r="M158" s="338"/>
      <c r="N158" s="338"/>
      <c r="O158" s="338"/>
      <c r="P158" s="388">
        <f t="shared" si="66"/>
        <v>50000</v>
      </c>
      <c r="Q158" s="422">
        <f>E158+J158</f>
        <v>6937800</v>
      </c>
      <c r="R158" s="179"/>
      <c r="S158" s="182"/>
    </row>
    <row r="159" spans="1:19" ht="46.5" x14ac:dyDescent="0.2">
      <c r="A159" s="311">
        <v>3718600</v>
      </c>
      <c r="B159" s="311">
        <v>8600</v>
      </c>
      <c r="C159" s="424" t="s">
        <v>592</v>
      </c>
      <c r="D159" s="311" t="s">
        <v>593</v>
      </c>
      <c r="E159" s="422">
        <f>F159</f>
        <v>1282700</v>
      </c>
      <c r="F159" s="338">
        <v>1282700</v>
      </c>
      <c r="G159" s="338"/>
      <c r="H159" s="338"/>
      <c r="I159" s="338"/>
      <c r="J159" s="422">
        <f t="shared" si="92"/>
        <v>0</v>
      </c>
      <c r="K159" s="338"/>
      <c r="L159" s="338"/>
      <c r="M159" s="338"/>
      <c r="N159" s="338"/>
      <c r="O159" s="338"/>
      <c r="P159" s="388">
        <f t="shared" si="66"/>
        <v>0</v>
      </c>
      <c r="Q159" s="422">
        <f>E159+J159</f>
        <v>1282700</v>
      </c>
    </row>
    <row r="160" spans="1:19" ht="69" customHeight="1" x14ac:dyDescent="0.2">
      <c r="A160" s="311">
        <v>3718700</v>
      </c>
      <c r="B160" s="311">
        <v>8700</v>
      </c>
      <c r="C160" s="424" t="s">
        <v>70</v>
      </c>
      <c r="D160" s="306" t="s">
        <v>68</v>
      </c>
      <c r="E160" s="422">
        <f>F160</f>
        <v>5000000</v>
      </c>
      <c r="F160" s="338">
        <v>5000000</v>
      </c>
      <c r="G160" s="338"/>
      <c r="H160" s="338"/>
      <c r="I160" s="338"/>
      <c r="J160" s="422">
        <f t="shared" si="92"/>
        <v>0</v>
      </c>
      <c r="K160" s="338"/>
      <c r="L160" s="338"/>
      <c r="M160" s="338"/>
      <c r="N160" s="338"/>
      <c r="O160" s="338"/>
      <c r="P160" s="388">
        <f t="shared" si="66"/>
        <v>0</v>
      </c>
      <c r="Q160" s="422">
        <f>E160+J160</f>
        <v>5000000</v>
      </c>
    </row>
    <row r="161" spans="1:19" ht="65.25" customHeight="1" x14ac:dyDescent="0.2">
      <c r="A161" s="311">
        <v>3719110</v>
      </c>
      <c r="B161" s="311">
        <v>9110</v>
      </c>
      <c r="C161" s="424" t="s">
        <v>71</v>
      </c>
      <c r="D161" s="306" t="s">
        <v>69</v>
      </c>
      <c r="E161" s="422">
        <f>F161</f>
        <v>54386000</v>
      </c>
      <c r="F161" s="338">
        <v>54386000</v>
      </c>
      <c r="G161" s="338"/>
      <c r="H161" s="338"/>
      <c r="I161" s="338"/>
      <c r="J161" s="422">
        <f t="shared" si="92"/>
        <v>0</v>
      </c>
      <c r="K161" s="338"/>
      <c r="L161" s="338"/>
      <c r="M161" s="338"/>
      <c r="N161" s="338"/>
      <c r="O161" s="338"/>
      <c r="P161" s="388">
        <f t="shared" si="66"/>
        <v>0</v>
      </c>
      <c r="Q161" s="422">
        <f>E161+J161</f>
        <v>54386000</v>
      </c>
    </row>
    <row r="162" spans="1:19" s="3" customFormat="1" ht="81.75" customHeight="1" x14ac:dyDescent="0.55000000000000004">
      <c r="A162" s="259" t="s">
        <v>665</v>
      </c>
      <c r="B162" s="259" t="s">
        <v>665</v>
      </c>
      <c r="C162" s="259" t="s">
        <v>665</v>
      </c>
      <c r="D162" s="260" t="s">
        <v>683</v>
      </c>
      <c r="E162" s="168">
        <f>E13+E23+E97+E34+E46+E88+E112+E131+E137+E157+E141+E147+E152</f>
        <v>2605346340</v>
      </c>
      <c r="F162" s="168">
        <f>F13+F23+F97+F34+F45+F88+F112+F131+F137+F157+F141+F147+F152</f>
        <v>2605346340</v>
      </c>
      <c r="G162" s="168">
        <f t="shared" ref="G162:O162" si="93">G13+G23+G97+G34+G46+G88+G112+G131+G137+G157+G141+G147+G152</f>
        <v>846593033</v>
      </c>
      <c r="H162" s="168">
        <f t="shared" si="93"/>
        <v>78571159</v>
      </c>
      <c r="I162" s="168">
        <f t="shared" si="93"/>
        <v>0</v>
      </c>
      <c r="J162" s="168">
        <f t="shared" si="93"/>
        <v>378760174</v>
      </c>
      <c r="K162" s="168">
        <f t="shared" si="93"/>
        <v>244799789</v>
      </c>
      <c r="L162" s="168">
        <f t="shared" si="93"/>
        <v>131321535</v>
      </c>
      <c r="M162" s="168">
        <f t="shared" si="93"/>
        <v>33043505</v>
      </c>
      <c r="N162" s="168">
        <f t="shared" si="93"/>
        <v>8593726</v>
      </c>
      <c r="O162" s="168">
        <f t="shared" si="93"/>
        <v>2638850</v>
      </c>
      <c r="P162" s="389">
        <f t="shared" si="66"/>
        <v>247438639</v>
      </c>
      <c r="Q162" s="168">
        <f>Q13+Q23+Q97+Q34+Q45+Q88+Q112+Q131+Q137+Q157+Q141+Q147+Q152</f>
        <v>2984106514</v>
      </c>
      <c r="R162" s="135" t="b">
        <f>K162='dod5'!I115</f>
        <v>1</v>
      </c>
    </row>
    <row r="163" spans="1:19" ht="129.75" customHeight="1" x14ac:dyDescent="0.2">
      <c r="A163" s="458" t="s">
        <v>457</v>
      </c>
      <c r="B163" s="459"/>
      <c r="C163" s="459"/>
      <c r="D163" s="459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13"/>
    </row>
    <row r="164" spans="1:19" ht="129.75" hidden="1" customHeight="1" x14ac:dyDescent="0.2">
      <c r="A164" s="144"/>
      <c r="B164" s="145"/>
      <c r="C164" s="145"/>
      <c r="D164" s="145"/>
      <c r="E164" s="342">
        <f>F164</f>
        <v>2605346340</v>
      </c>
      <c r="F164" s="342">
        <f>2608918648-'dod4'!Q14+'dod2'!E19</f>
        <v>2605346340</v>
      </c>
      <c r="G164" s="342">
        <f>54985000+26800000+1884600+1776300+2641000+2850700+5254100+7129200+3166500+205000+644533535+1757300+35856900+5790700+796025+4068700+10163000+2517500+1623800+714843+12402731+813300+843750+11859350+3617760+2541439</f>
        <v>846593033</v>
      </c>
      <c r="H164" s="342">
        <f>11500+10000+2450700+991000+101500+100000+60000+107000+140000+130000+117900+45478902+2848071+17996340+2220390+110770+1460520+27100+257400+144810+353700+7270+70355+17700+131400+3520+64750+387900+10250+119350+68142+31230+2900+50003+1800+13490+309408+3480+123100+30000+20000+60000+463014+55900+276730+225600+241174+286645+378445</f>
        <v>78571159</v>
      </c>
      <c r="I164" s="342">
        <v>0</v>
      </c>
      <c r="J164" s="342"/>
      <c r="K164" s="342">
        <f>3985100-2275100+13109000+5499500+8041000-566000+3886442+1408533+155532314-1371000+53000000+2000000+2000000+500000+50000</f>
        <v>244799789</v>
      </c>
      <c r="L164" s="342"/>
      <c r="M164" s="342"/>
      <c r="N164" s="342"/>
      <c r="O164" s="342"/>
      <c r="P164" s="342"/>
      <c r="Q164" s="342"/>
      <c r="R164" s="13"/>
    </row>
    <row r="165" spans="1:19" ht="129.75" customHeight="1" x14ac:dyDescent="0.2">
      <c r="A165" s="144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3"/>
    </row>
    <row r="166" spans="1:19" ht="45.75" x14ac:dyDescent="0.65">
      <c r="A166" s="420"/>
      <c r="B166" s="420"/>
      <c r="C166" s="420"/>
      <c r="D166" s="454" t="s">
        <v>656</v>
      </c>
      <c r="E166" s="454"/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14"/>
    </row>
    <row r="167" spans="1:19" ht="45.75" x14ac:dyDescent="0.2">
      <c r="E167" s="28"/>
      <c r="F167" s="4"/>
      <c r="J167" s="324"/>
      <c r="K167" s="324"/>
      <c r="O167" s="157"/>
      <c r="P167" s="157"/>
      <c r="Q167" s="23"/>
    </row>
    <row r="168" spans="1:19" ht="45.75" x14ac:dyDescent="0.65">
      <c r="D168" s="454" t="s">
        <v>231</v>
      </c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15"/>
    </row>
    <row r="169" spans="1:19" x14ac:dyDescent="0.2">
      <c r="E169" s="5"/>
      <c r="F169" s="4"/>
      <c r="J169" s="5"/>
      <c r="K169" s="5"/>
    </row>
    <row r="170" spans="1:19" x14ac:dyDescent="0.2">
      <c r="E170" s="5"/>
      <c r="F170" s="4"/>
      <c r="J170" s="5"/>
      <c r="K170" s="5"/>
    </row>
    <row r="171" spans="1:19" ht="99.75" customHeight="1" x14ac:dyDescent="0.2">
      <c r="E171" s="142" t="b">
        <f>F164=E162</f>
        <v>1</v>
      </c>
      <c r="F171" s="142" t="b">
        <f>F164=F162</f>
        <v>1</v>
      </c>
      <c r="G171" s="142" t="b">
        <f t="shared" ref="G171:Q171" si="94">G164=G162</f>
        <v>1</v>
      </c>
      <c r="H171" s="142" t="b">
        <f t="shared" si="94"/>
        <v>1</v>
      </c>
      <c r="I171" s="142" t="b">
        <f t="shared" si="94"/>
        <v>1</v>
      </c>
      <c r="J171" s="142" t="b">
        <f t="shared" si="94"/>
        <v>0</v>
      </c>
      <c r="K171" s="142" t="b">
        <f t="shared" si="94"/>
        <v>1</v>
      </c>
      <c r="L171" s="142" t="b">
        <f t="shared" si="94"/>
        <v>0</v>
      </c>
      <c r="M171" s="142" t="b">
        <f t="shared" si="94"/>
        <v>0</v>
      </c>
      <c r="N171" s="142" t="b">
        <f t="shared" si="94"/>
        <v>0</v>
      </c>
      <c r="O171" s="142" t="b">
        <f t="shared" si="94"/>
        <v>0</v>
      </c>
      <c r="P171" s="142"/>
      <c r="Q171" s="142" t="b">
        <f t="shared" si="94"/>
        <v>0</v>
      </c>
    </row>
    <row r="172" spans="1:19" ht="45.75" x14ac:dyDescent="0.55000000000000004">
      <c r="E172" s="23"/>
      <c r="F172" s="13"/>
      <c r="G172" s="4"/>
      <c r="I172" s="138"/>
      <c r="J172" s="325"/>
      <c r="K172" s="325"/>
      <c r="L172" s="138"/>
      <c r="M172" s="138"/>
      <c r="N172" s="138"/>
      <c r="O172" s="139"/>
      <c r="P172" s="139"/>
      <c r="Q172" s="135" t="b">
        <f>E162+J162=Q162</f>
        <v>1</v>
      </c>
    </row>
    <row r="173" spans="1:19" x14ac:dyDescent="0.2">
      <c r="E173" s="7"/>
      <c r="F173" s="254"/>
      <c r="G173" s="7"/>
      <c r="H173" s="7"/>
      <c r="I173" s="7"/>
      <c r="J173" s="5"/>
      <c r="K173" s="5"/>
    </row>
    <row r="174" spans="1:19" ht="45.75" x14ac:dyDescent="0.2">
      <c r="A174"/>
      <c r="B174"/>
      <c r="C174"/>
      <c r="D174" s="177"/>
      <c r="E174" s="178" t="b">
        <f>E162=F162</f>
        <v>1</v>
      </c>
      <c r="F174" s="157">
        <f>F160/Q162*100</f>
        <v>0.1675543408568827</v>
      </c>
      <c r="G174" s="157" t="s">
        <v>500</v>
      </c>
      <c r="I174" s="177"/>
      <c r="J174" s="178"/>
      <c r="K174" s="178"/>
      <c r="L174" s="256"/>
      <c r="M174" s="256"/>
      <c r="N174" s="256"/>
      <c r="O174" s="256"/>
      <c r="P174" s="256"/>
      <c r="Q174"/>
    </row>
    <row r="175" spans="1:19" ht="60.75" x14ac:dyDescent="0.2">
      <c r="D175" s="177"/>
      <c r="E175" s="178"/>
      <c r="G175" s="27"/>
      <c r="I175" s="177"/>
      <c r="J175" s="178"/>
      <c r="K175" s="178"/>
      <c r="Q175" s="142"/>
      <c r="R175" s="143"/>
      <c r="S175" s="142"/>
    </row>
    <row r="176" spans="1:19" ht="60.75" x14ac:dyDescent="0.2">
      <c r="A176"/>
      <c r="B176"/>
      <c r="C176"/>
      <c r="D176" s="177"/>
      <c r="E176" s="178"/>
      <c r="F176" s="157"/>
      <c r="G176" s="4"/>
      <c r="I176" s="177"/>
      <c r="J176" s="178"/>
      <c r="K176" s="178"/>
      <c r="L176" s="256"/>
      <c r="M176" s="256"/>
      <c r="N176" s="256"/>
      <c r="O176" s="256"/>
      <c r="P176" s="256"/>
      <c r="Q176" s="142"/>
      <c r="R176" s="143"/>
      <c r="S176" s="142"/>
    </row>
    <row r="177" spans="1:17" ht="60.75" x14ac:dyDescent="0.2">
      <c r="D177" s="177"/>
      <c r="E177" s="178"/>
      <c r="F177" s="255"/>
      <c r="Q177" s="142"/>
    </row>
    <row r="178" spans="1:17" ht="60.75" x14ac:dyDescent="0.2">
      <c r="A178"/>
      <c r="B178"/>
      <c r="C178"/>
      <c r="D178" s="177"/>
      <c r="E178" s="178"/>
      <c r="F178" s="157"/>
      <c r="G178" s="4"/>
      <c r="J178" s="5"/>
      <c r="K178" s="5"/>
      <c r="L178" s="256"/>
      <c r="M178" s="256"/>
      <c r="N178" s="256"/>
      <c r="O178" s="256"/>
      <c r="P178" s="256"/>
      <c r="Q178" s="142"/>
    </row>
    <row r="179" spans="1:17" ht="62.25" x14ac:dyDescent="0.8">
      <c r="A179"/>
      <c r="B179"/>
      <c r="C179"/>
      <c r="D179"/>
      <c r="E179" s="25"/>
      <c r="F179" s="157"/>
      <c r="J179" s="5"/>
      <c r="K179" s="5"/>
      <c r="L179" s="256"/>
      <c r="M179" s="256"/>
      <c r="N179" s="256"/>
      <c r="O179" s="256"/>
      <c r="P179" s="256"/>
      <c r="Q179" s="193"/>
    </row>
    <row r="180" spans="1:17" ht="45.75" x14ac:dyDescent="0.2">
      <c r="E180" s="26"/>
      <c r="F180" s="255"/>
    </row>
    <row r="181" spans="1:17" ht="45.75" x14ac:dyDescent="0.2">
      <c r="A181"/>
      <c r="B181"/>
      <c r="C181"/>
      <c r="D181"/>
      <c r="E181" s="25"/>
      <c r="F181" s="157"/>
      <c r="L181" s="256"/>
      <c r="M181" s="256"/>
      <c r="N181" s="256"/>
      <c r="O181" s="256"/>
      <c r="P181" s="256"/>
      <c r="Q181"/>
    </row>
    <row r="182" spans="1:17" ht="45.75" x14ac:dyDescent="0.2">
      <c r="E182" s="26"/>
      <c r="F182" s="255"/>
    </row>
    <row r="183" spans="1:17" ht="45.75" x14ac:dyDescent="0.2">
      <c r="E183" s="26"/>
      <c r="F183" s="255"/>
    </row>
    <row r="184" spans="1:17" ht="45.75" x14ac:dyDescent="0.2">
      <c r="E184" s="26"/>
      <c r="F184" s="255"/>
    </row>
    <row r="185" spans="1:17" ht="45.75" x14ac:dyDescent="0.2">
      <c r="A185"/>
      <c r="B185"/>
      <c r="C185"/>
      <c r="D185"/>
      <c r="E185" s="26"/>
      <c r="F185" s="255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/>
    </row>
    <row r="186" spans="1:17" ht="45.75" x14ac:dyDescent="0.2">
      <c r="A186"/>
      <c r="B186"/>
      <c r="C186"/>
      <c r="D186"/>
      <c r="E186" s="26"/>
      <c r="F186" s="255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/>
    </row>
    <row r="187" spans="1:17" ht="45.75" x14ac:dyDescent="0.2">
      <c r="A187"/>
      <c r="B187"/>
      <c r="C187"/>
      <c r="D187"/>
      <c r="E187" s="26"/>
      <c r="F187" s="255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/>
    </row>
    <row r="188" spans="1:17" ht="45.75" x14ac:dyDescent="0.2">
      <c r="A188"/>
      <c r="B188"/>
      <c r="C188"/>
      <c r="D188"/>
      <c r="E188" s="26"/>
      <c r="F188" s="255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/>
    </row>
  </sheetData>
  <mergeCells count="90">
    <mergeCell ref="D168:Q16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A163:Q163"/>
    <mergeCell ref="D166:Q166"/>
    <mergeCell ref="O85:O86"/>
    <mergeCell ref="P85:P86"/>
    <mergeCell ref="Q85:Q86"/>
    <mergeCell ref="A127:A128"/>
    <mergeCell ref="B127:B128"/>
    <mergeCell ref="C127:C128"/>
    <mergeCell ref="E127:E128"/>
    <mergeCell ref="F127:F128"/>
    <mergeCell ref="G127:G128"/>
    <mergeCell ref="H127:H128"/>
    <mergeCell ref="I85:I86"/>
    <mergeCell ref="J85:J86"/>
    <mergeCell ref="K85:K86"/>
    <mergeCell ref="L85:L86"/>
    <mergeCell ref="M85:M86"/>
    <mergeCell ref="N85:N86"/>
    <mergeCell ref="O79:O80"/>
    <mergeCell ref="P79:P80"/>
    <mergeCell ref="Q79:Q80"/>
    <mergeCell ref="A85:A86"/>
    <mergeCell ref="B85:B86"/>
    <mergeCell ref="C85:C86"/>
    <mergeCell ref="E85:E86"/>
    <mergeCell ref="F85:F86"/>
    <mergeCell ref="G85:G86"/>
    <mergeCell ref="H85:H86"/>
    <mergeCell ref="I79:I80"/>
    <mergeCell ref="J79:J80"/>
    <mergeCell ref="K79:K80"/>
    <mergeCell ref="L79:L80"/>
    <mergeCell ref="M79:M80"/>
    <mergeCell ref="N79:N80"/>
    <mergeCell ref="P18:P19"/>
    <mergeCell ref="Q18:Q19"/>
    <mergeCell ref="G74:G75"/>
    <mergeCell ref="A79:A80"/>
    <mergeCell ref="B79:B80"/>
    <mergeCell ref="C79:C80"/>
    <mergeCell ref="E79:E80"/>
    <mergeCell ref="F79:F80"/>
    <mergeCell ref="G79:G80"/>
    <mergeCell ref="H79:H80"/>
    <mergeCell ref="J18:J19"/>
    <mergeCell ref="K18:K19"/>
    <mergeCell ref="L18:L19"/>
    <mergeCell ref="M18:M19"/>
    <mergeCell ref="N18:N19"/>
    <mergeCell ref="O18:O19"/>
    <mergeCell ref="G18:G19"/>
    <mergeCell ref="H18:H19"/>
    <mergeCell ref="I18:I19"/>
    <mergeCell ref="A8:A10"/>
    <mergeCell ref="B8:B10"/>
    <mergeCell ref="C8:C10"/>
    <mergeCell ref="D8:D10"/>
    <mergeCell ref="A18:A19"/>
    <mergeCell ref="B18:B19"/>
    <mergeCell ref="C18:C19"/>
    <mergeCell ref="E18:E19"/>
    <mergeCell ref="F18:F19"/>
    <mergeCell ref="J8:P8"/>
    <mergeCell ref="Q8:Q10"/>
    <mergeCell ref="E9:E10"/>
    <mergeCell ref="F9:F10"/>
    <mergeCell ref="G9:H9"/>
    <mergeCell ref="I9:I10"/>
    <mergeCell ref="J9:J10"/>
    <mergeCell ref="K9:K10"/>
    <mergeCell ref="L9:L10"/>
    <mergeCell ref="M9:N9"/>
    <mergeCell ref="E8:I8"/>
    <mergeCell ref="O9:O10"/>
    <mergeCell ref="P9:P10"/>
    <mergeCell ref="O1:Q1"/>
    <mergeCell ref="O2:Q2"/>
    <mergeCell ref="O3:Q3"/>
    <mergeCell ref="A5:Q5"/>
    <mergeCell ref="A6:Q6"/>
  </mergeCells>
  <conditionalFormatting sqref="R137:S13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147:S14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8:S158 R15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2:S15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S1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141:S141">
    <cfRule type="iconSet" priority="6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1" manualBreakCount="1">
    <brk id="49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W188"/>
  <sheetViews>
    <sheetView view="pageBreakPreview" zoomScale="10" zoomScaleNormal="25" zoomScaleSheetLayoutView="10" zoomScalePageLayoutView="10" workbookViewId="0">
      <pane ySplit="11" topLeftCell="A137" activePane="bottomLeft" state="frozen"/>
      <selection activeCell="K127" sqref="K127:K128"/>
      <selection pane="bottomLeft" activeCell="J161" sqref="J160:J161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6" customWidth="1"/>
    <col min="6" max="6" width="58.5703125" style="1" customWidth="1"/>
    <col min="7" max="7" width="55.42578125" style="1" customWidth="1"/>
    <col min="8" max="8" width="48.140625" style="1" customWidth="1"/>
    <col min="9" max="9" width="32.7109375" style="1" customWidth="1"/>
    <col min="10" max="10" width="50.5703125" style="6" customWidth="1"/>
    <col min="11" max="11" width="52.5703125" style="6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45.28515625" style="1" hidden="1" customWidth="1"/>
    <col min="16" max="16" width="52.7109375" style="1" bestFit="1" customWidth="1"/>
    <col min="17" max="17" width="86.28515625" style="6" customWidth="1"/>
    <col min="18" max="18" width="52.140625" customWidth="1"/>
    <col min="19" max="19" width="66.42578125" bestFit="1" customWidth="1"/>
    <col min="21" max="21" width="24.7109375" bestFit="1" customWidth="1"/>
  </cols>
  <sheetData>
    <row r="1" spans="1:19" ht="45.75" x14ac:dyDescent="0.2">
      <c r="D1" s="420"/>
      <c r="E1" s="421"/>
      <c r="F1" s="419"/>
      <c r="G1" s="421"/>
      <c r="H1" s="421"/>
      <c r="I1" s="421"/>
      <c r="J1" s="421"/>
      <c r="K1" s="421"/>
      <c r="L1" s="421"/>
      <c r="M1" s="421"/>
      <c r="N1" s="421"/>
      <c r="O1" s="460"/>
      <c r="P1" s="460"/>
      <c r="Q1" s="460"/>
    </row>
    <row r="2" spans="1:19" ht="45.75" x14ac:dyDescent="0.2">
      <c r="A2" s="420"/>
      <c r="B2" s="420"/>
      <c r="C2" s="420"/>
      <c r="D2" s="420"/>
      <c r="E2" s="421"/>
      <c r="F2" s="419"/>
      <c r="G2" s="421"/>
      <c r="H2" s="421"/>
      <c r="I2" s="421"/>
      <c r="J2" s="421"/>
      <c r="K2" s="421"/>
      <c r="L2" s="421"/>
      <c r="M2" s="421"/>
      <c r="N2" s="421"/>
      <c r="O2" s="460"/>
      <c r="P2" s="460"/>
      <c r="Q2" s="461"/>
    </row>
    <row r="3" spans="1:19" ht="40.700000000000003" customHeight="1" x14ac:dyDescent="0.2">
      <c r="A3" s="420"/>
      <c r="B3" s="420"/>
      <c r="C3" s="420"/>
      <c r="D3" s="420"/>
      <c r="E3" s="421"/>
      <c r="F3" s="419"/>
      <c r="G3" s="421"/>
      <c r="H3" s="421"/>
      <c r="I3" s="421"/>
      <c r="J3" s="421"/>
      <c r="K3" s="421"/>
      <c r="L3" s="421"/>
      <c r="M3" s="421"/>
      <c r="N3" s="421"/>
      <c r="O3" s="460"/>
      <c r="P3" s="460"/>
      <c r="Q3" s="461"/>
    </row>
    <row r="4" spans="1:19" ht="45.75" hidden="1" x14ac:dyDescent="0.2">
      <c r="A4" s="420"/>
      <c r="B4" s="420"/>
      <c r="C4" s="420"/>
      <c r="D4" s="420"/>
      <c r="E4" s="421"/>
      <c r="F4" s="419"/>
      <c r="G4" s="421"/>
      <c r="H4" s="421"/>
      <c r="I4" s="421"/>
      <c r="J4" s="421"/>
      <c r="K4" s="421"/>
      <c r="L4" s="421"/>
      <c r="M4" s="421"/>
      <c r="N4" s="421"/>
      <c r="O4" s="420"/>
      <c r="P4" s="420"/>
      <c r="Q4" s="419"/>
    </row>
    <row r="5" spans="1:19" ht="45" x14ac:dyDescent="0.2">
      <c r="A5" s="463" t="s">
        <v>824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</row>
    <row r="6" spans="1:19" ht="45" x14ac:dyDescent="0.2">
      <c r="A6" s="463" t="s">
        <v>671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</row>
    <row r="7" spans="1:19" ht="53.45" customHeight="1" x14ac:dyDescent="0.2">
      <c r="A7" s="421"/>
      <c r="B7" s="421"/>
      <c r="C7" s="421"/>
      <c r="D7" s="421"/>
      <c r="E7" s="421"/>
      <c r="F7" s="419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11" t="s">
        <v>672</v>
      </c>
    </row>
    <row r="8" spans="1:19" ht="62.45" customHeight="1" x14ac:dyDescent="0.2">
      <c r="A8" s="465" t="s">
        <v>29</v>
      </c>
      <c r="B8" s="465" t="s">
        <v>675</v>
      </c>
      <c r="C8" s="465" t="s">
        <v>682</v>
      </c>
      <c r="D8" s="465" t="s">
        <v>676</v>
      </c>
      <c r="E8" s="462" t="s">
        <v>25</v>
      </c>
      <c r="F8" s="462"/>
      <c r="G8" s="462"/>
      <c r="H8" s="462"/>
      <c r="I8" s="462"/>
      <c r="J8" s="469" t="s">
        <v>84</v>
      </c>
      <c r="K8" s="470"/>
      <c r="L8" s="470"/>
      <c r="M8" s="470"/>
      <c r="N8" s="470"/>
      <c r="O8" s="470"/>
      <c r="P8" s="471"/>
      <c r="Q8" s="462" t="s">
        <v>24</v>
      </c>
    </row>
    <row r="9" spans="1:19" ht="255" customHeight="1" x14ac:dyDescent="0.2">
      <c r="A9" s="466"/>
      <c r="B9" s="468"/>
      <c r="C9" s="468"/>
      <c r="D9" s="466"/>
      <c r="E9" s="464" t="s">
        <v>668</v>
      </c>
      <c r="F9" s="464" t="s">
        <v>85</v>
      </c>
      <c r="G9" s="464" t="s">
        <v>26</v>
      </c>
      <c r="H9" s="464"/>
      <c r="I9" s="464" t="s">
        <v>87</v>
      </c>
      <c r="J9" s="464" t="s">
        <v>668</v>
      </c>
      <c r="K9" s="464" t="s">
        <v>669</v>
      </c>
      <c r="L9" s="464" t="s">
        <v>85</v>
      </c>
      <c r="M9" s="464" t="s">
        <v>26</v>
      </c>
      <c r="N9" s="464"/>
      <c r="O9" s="464" t="s">
        <v>87</v>
      </c>
      <c r="P9" s="464" t="s">
        <v>87</v>
      </c>
      <c r="Q9" s="462"/>
    </row>
    <row r="10" spans="1:19" ht="180" x14ac:dyDescent="0.2">
      <c r="A10" s="467"/>
      <c r="B10" s="467"/>
      <c r="C10" s="467"/>
      <c r="D10" s="467"/>
      <c r="E10" s="464"/>
      <c r="F10" s="464"/>
      <c r="G10" s="416" t="s">
        <v>86</v>
      </c>
      <c r="H10" s="416" t="s">
        <v>28</v>
      </c>
      <c r="I10" s="464"/>
      <c r="J10" s="464"/>
      <c r="K10" s="464"/>
      <c r="L10" s="464"/>
      <c r="M10" s="416" t="s">
        <v>86</v>
      </c>
      <c r="N10" s="416" t="s">
        <v>28</v>
      </c>
      <c r="O10" s="464"/>
      <c r="P10" s="464"/>
      <c r="Q10" s="462"/>
    </row>
    <row r="11" spans="1:19" s="2" customFormat="1" ht="111" customHeight="1" x14ac:dyDescent="0.2">
      <c r="A11" s="12" t="s">
        <v>4</v>
      </c>
      <c r="B11" s="12" t="s">
        <v>5</v>
      </c>
      <c r="C11" s="12" t="s">
        <v>27</v>
      </c>
      <c r="D11" s="12" t="s">
        <v>7</v>
      </c>
      <c r="E11" s="12" t="s">
        <v>685</v>
      </c>
      <c r="F11" s="12" t="s">
        <v>686</v>
      </c>
      <c r="G11" s="12" t="s">
        <v>687</v>
      </c>
      <c r="H11" s="12" t="s">
        <v>688</v>
      </c>
      <c r="I11" s="12" t="s">
        <v>689</v>
      </c>
      <c r="J11" s="12" t="s">
        <v>690</v>
      </c>
      <c r="K11" s="12" t="s">
        <v>691</v>
      </c>
      <c r="L11" s="12" t="s">
        <v>692</v>
      </c>
      <c r="M11" s="12" t="s">
        <v>693</v>
      </c>
      <c r="N11" s="12" t="s">
        <v>694</v>
      </c>
      <c r="O11" s="12" t="s">
        <v>695</v>
      </c>
      <c r="P11" s="12" t="s">
        <v>695</v>
      </c>
      <c r="Q11" s="12" t="s">
        <v>696</v>
      </c>
    </row>
    <row r="12" spans="1:19" s="2" customFormat="1" ht="135" x14ac:dyDescent="0.2">
      <c r="A12" s="282" t="s">
        <v>235</v>
      </c>
      <c r="B12" s="282"/>
      <c r="C12" s="282"/>
      <c r="D12" s="347" t="s">
        <v>237</v>
      </c>
      <c r="E12" s="365">
        <f>E13</f>
        <v>0</v>
      </c>
      <c r="F12" s="365">
        <f t="shared" ref="F12:Q12" si="0">F13</f>
        <v>0</v>
      </c>
      <c r="G12" s="365">
        <f t="shared" si="0"/>
        <v>0</v>
      </c>
      <c r="H12" s="365">
        <f t="shared" si="0"/>
        <v>0</v>
      </c>
      <c r="I12" s="365">
        <f t="shared" si="0"/>
        <v>0</v>
      </c>
      <c r="J12" s="365">
        <f t="shared" si="0"/>
        <v>0</v>
      </c>
      <c r="K12" s="365">
        <f t="shared" si="0"/>
        <v>0</v>
      </c>
      <c r="L12" s="365">
        <f t="shared" si="0"/>
        <v>0</v>
      </c>
      <c r="M12" s="365">
        <f t="shared" si="0"/>
        <v>0</v>
      </c>
      <c r="N12" s="365">
        <f t="shared" si="0"/>
        <v>0</v>
      </c>
      <c r="O12" s="365">
        <f t="shared" si="0"/>
        <v>0</v>
      </c>
      <c r="P12" s="365">
        <f>K12+O12</f>
        <v>0</v>
      </c>
      <c r="Q12" s="365">
        <f t="shared" si="0"/>
        <v>0</v>
      </c>
    </row>
    <row r="13" spans="1:19" s="2" customFormat="1" ht="180" x14ac:dyDescent="0.2">
      <c r="A13" s="286" t="s">
        <v>236</v>
      </c>
      <c r="B13" s="286"/>
      <c r="C13" s="286"/>
      <c r="D13" s="348" t="s">
        <v>238</v>
      </c>
      <c r="E13" s="284">
        <f>SUM(E14:E21)</f>
        <v>0</v>
      </c>
      <c r="F13" s="284">
        <f>SUM(F14:F21)</f>
        <v>0</v>
      </c>
      <c r="G13" s="284">
        <f>SUM(G14:G21)</f>
        <v>0</v>
      </c>
      <c r="H13" s="284">
        <f>SUM(H14:H21)</f>
        <v>0</v>
      </c>
      <c r="I13" s="284">
        <f>SUM(I14:I21)</f>
        <v>0</v>
      </c>
      <c r="J13" s="284">
        <f>L13+P13</f>
        <v>0</v>
      </c>
      <c r="K13" s="284">
        <f>SUM(K14:K21)</f>
        <v>0</v>
      </c>
      <c r="L13" s="284">
        <f>SUM(L14:L21)</f>
        <v>0</v>
      </c>
      <c r="M13" s="284">
        <f>SUM(M14:M21)</f>
        <v>0</v>
      </c>
      <c r="N13" s="284">
        <f>SUM(N14:N21)</f>
        <v>0</v>
      </c>
      <c r="O13" s="284">
        <f>SUM(O14:O21)</f>
        <v>0</v>
      </c>
      <c r="P13" s="378">
        <f t="shared" ref="P13:P46" si="1">K13+O13</f>
        <v>0</v>
      </c>
      <c r="Q13" s="284">
        <f>E13+J13</f>
        <v>0</v>
      </c>
      <c r="R13" s="166" t="b">
        <f>Q14+Q15+Q16+Q17+Q20+Q21+Q18=Q13</f>
        <v>1</v>
      </c>
      <c r="S13" s="166" t="b">
        <f>K13='dod5'!I6</f>
        <v>0</v>
      </c>
    </row>
    <row r="14" spans="1:19" ht="366" x14ac:dyDescent="0.2">
      <c r="A14" s="424" t="s">
        <v>340</v>
      </c>
      <c r="B14" s="424" t="s">
        <v>341</v>
      </c>
      <c r="C14" s="424" t="s">
        <v>342</v>
      </c>
      <c r="D14" s="424" t="s">
        <v>339</v>
      </c>
      <c r="E14" s="338">
        <f>'dod3'!E14-'dod3 до МВК'!E14</f>
        <v>0</v>
      </c>
      <c r="F14" s="338">
        <f>'dod3'!F14-'dod3 до МВК'!F14</f>
        <v>0</v>
      </c>
      <c r="G14" s="338">
        <f>'dod3'!G14-'dod3 до МВК'!G14</f>
        <v>0</v>
      </c>
      <c r="H14" s="338">
        <f>'dod3'!H14-'dod3 до МВК'!H14</f>
        <v>0</v>
      </c>
      <c r="I14" s="338">
        <f>'dod3'!I14-'dod3 до МВК'!I14</f>
        <v>0</v>
      </c>
      <c r="J14" s="338">
        <f>'dod3'!J14-'dod3 до МВК'!J14</f>
        <v>0</v>
      </c>
      <c r="K14" s="338">
        <f>'dod3'!K14-'dod3 до МВК'!K14</f>
        <v>0</v>
      </c>
      <c r="L14" s="338">
        <f>'dod3'!L14-'dod3 до МВК'!L14</f>
        <v>0</v>
      </c>
      <c r="M14" s="338">
        <f>'dod3'!M14-'dod3 до МВК'!M14</f>
        <v>0</v>
      </c>
      <c r="N14" s="338">
        <f>'dod3'!N14-'dod3 до МВК'!N14</f>
        <v>0</v>
      </c>
      <c r="O14" s="338">
        <f>'dod3'!O14-'dod3 до МВК'!O14</f>
        <v>0</v>
      </c>
      <c r="P14" s="338">
        <f>'dod3'!P14-'dod3 до МВК'!P14</f>
        <v>0</v>
      </c>
      <c r="Q14" s="338">
        <f>'dod3'!Q14-'dod3 до МВК'!Q14</f>
        <v>0</v>
      </c>
    </row>
    <row r="15" spans="1:19" ht="91.5" x14ac:dyDescent="0.2">
      <c r="A15" s="424" t="s">
        <v>356</v>
      </c>
      <c r="B15" s="424" t="s">
        <v>71</v>
      </c>
      <c r="C15" s="424" t="s">
        <v>70</v>
      </c>
      <c r="D15" s="424" t="s">
        <v>357</v>
      </c>
      <c r="E15" s="338">
        <f>'dod3'!E15-'dod3 до МВК'!E15</f>
        <v>0</v>
      </c>
      <c r="F15" s="338">
        <f>'dod3'!F15-'dod3 до МВК'!F15</f>
        <v>0</v>
      </c>
      <c r="G15" s="338">
        <f>'dod3'!G15-'dod3 до МВК'!G15</f>
        <v>0</v>
      </c>
      <c r="H15" s="338">
        <f>'dod3'!H15-'dod3 до МВК'!H15</f>
        <v>0</v>
      </c>
      <c r="I15" s="338">
        <f>'dod3'!I15-'dod3 до МВК'!I15</f>
        <v>0</v>
      </c>
      <c r="J15" s="338">
        <f>'dod3'!J15-'dod3 до МВК'!J15</f>
        <v>0</v>
      </c>
      <c r="K15" s="338">
        <f>'dod3'!K15-'dod3 до МВК'!K15</f>
        <v>0</v>
      </c>
      <c r="L15" s="338">
        <f>'dod3'!L15-'dod3 до МВК'!L15</f>
        <v>0</v>
      </c>
      <c r="M15" s="338">
        <f>'dod3'!M15-'dod3 до МВК'!M15</f>
        <v>0</v>
      </c>
      <c r="N15" s="338">
        <f>'dod3'!N15-'dod3 до МВК'!N15</f>
        <v>0</v>
      </c>
      <c r="O15" s="338">
        <f>'dod3'!O15-'dod3 до МВК'!O15</f>
        <v>0</v>
      </c>
      <c r="P15" s="338">
        <f>'dod3'!P15-'dod3 до МВК'!P15</f>
        <v>0</v>
      </c>
      <c r="Q15" s="338">
        <f>'dod3'!Q15-'dod3 до МВК'!Q15</f>
        <v>0</v>
      </c>
    </row>
    <row r="16" spans="1:19" ht="91.5" x14ac:dyDescent="0.2">
      <c r="A16" s="424" t="s">
        <v>346</v>
      </c>
      <c r="B16" s="424" t="s">
        <v>347</v>
      </c>
      <c r="C16" s="424" t="s">
        <v>348</v>
      </c>
      <c r="D16" s="424" t="s">
        <v>345</v>
      </c>
      <c r="E16" s="338">
        <f>'dod3'!E16-'dod3 до МВК'!E16</f>
        <v>0</v>
      </c>
      <c r="F16" s="338">
        <f>'dod3'!F16-'dod3 до МВК'!F16</f>
        <v>0</v>
      </c>
      <c r="G16" s="338">
        <f>'dod3'!G16-'dod3 до МВК'!G16</f>
        <v>0</v>
      </c>
      <c r="H16" s="338">
        <f>'dod3'!H16-'dod3 до МВК'!H16</f>
        <v>0</v>
      </c>
      <c r="I16" s="338">
        <f>'dod3'!I16-'dod3 до МВК'!I16</f>
        <v>0</v>
      </c>
      <c r="J16" s="338">
        <f>'dod3'!J16-'dod3 до МВК'!J16</f>
        <v>0</v>
      </c>
      <c r="K16" s="338">
        <f>'dod3'!K16-'dod3 до МВК'!K16</f>
        <v>0</v>
      </c>
      <c r="L16" s="338">
        <f>'dod3'!L16-'dod3 до МВК'!L16</f>
        <v>0</v>
      </c>
      <c r="M16" s="338">
        <f>'dod3'!M16-'dod3 до МВК'!M16</f>
        <v>0</v>
      </c>
      <c r="N16" s="338">
        <f>'dod3'!N16-'dod3 до МВК'!N16</f>
        <v>0</v>
      </c>
      <c r="O16" s="338">
        <f>'dod3'!O16-'dod3 до МВК'!O16</f>
        <v>0</v>
      </c>
      <c r="P16" s="338">
        <f>'dod3'!P16-'dod3 до МВК'!P16</f>
        <v>0</v>
      </c>
      <c r="Q16" s="338">
        <f>'dod3'!Q16-'dod3 до МВК'!Q16</f>
        <v>0</v>
      </c>
    </row>
    <row r="17" spans="1:21" ht="137.25" x14ac:dyDescent="0.2">
      <c r="A17" s="424" t="s">
        <v>448</v>
      </c>
      <c r="B17" s="424" t="s">
        <v>449</v>
      </c>
      <c r="C17" s="424" t="s">
        <v>257</v>
      </c>
      <c r="D17" s="423" t="s">
        <v>447</v>
      </c>
      <c r="E17" s="338">
        <f>'dod3'!E17-'dod3 до МВК'!E17</f>
        <v>0</v>
      </c>
      <c r="F17" s="338">
        <f>'dod3'!F17-'dod3 до МВК'!F17</f>
        <v>0</v>
      </c>
      <c r="G17" s="338">
        <f>'dod3'!G17-'dod3 до МВК'!G17</f>
        <v>0</v>
      </c>
      <c r="H17" s="338">
        <f>'dod3'!H17-'dod3 до МВК'!H17</f>
        <v>0</v>
      </c>
      <c r="I17" s="338">
        <f>'dod3'!I17-'dod3 до МВК'!I17</f>
        <v>0</v>
      </c>
      <c r="J17" s="338">
        <f>'dod3'!J17-'dod3 до МВК'!J17</f>
        <v>0</v>
      </c>
      <c r="K17" s="338">
        <f>'dod3'!K17-'dod3 до МВК'!K17</f>
        <v>0</v>
      </c>
      <c r="L17" s="338">
        <f>'dod3'!L17-'dod3 до МВК'!L17</f>
        <v>0</v>
      </c>
      <c r="M17" s="338">
        <f>'dod3'!M17-'dod3 до МВК'!M17</f>
        <v>0</v>
      </c>
      <c r="N17" s="338">
        <f>'dod3'!N17-'dod3 до МВК'!N17</f>
        <v>0</v>
      </c>
      <c r="O17" s="338">
        <f>'dod3'!O17-'dod3 до МВК'!O17</f>
        <v>0</v>
      </c>
      <c r="P17" s="338">
        <f>'dod3'!P17-'dod3 до МВК'!P17</f>
        <v>0</v>
      </c>
      <c r="Q17" s="338">
        <f>'dod3'!Q17-'dod3 до МВК'!Q17</f>
        <v>0</v>
      </c>
    </row>
    <row r="18" spans="1:21" s="146" customFormat="1" ht="409.5" x14ac:dyDescent="0.2">
      <c r="A18" s="444" t="s">
        <v>542</v>
      </c>
      <c r="B18" s="444" t="s">
        <v>541</v>
      </c>
      <c r="C18" s="444" t="s">
        <v>257</v>
      </c>
      <c r="D18" s="352" t="s">
        <v>552</v>
      </c>
      <c r="E18" s="457">
        <f>'dod3'!E18-'dod3 до МВК'!E18</f>
        <v>0</v>
      </c>
      <c r="F18" s="457">
        <f>'dod3'!F18-'dod3 до МВК'!F18</f>
        <v>0</v>
      </c>
      <c r="G18" s="457">
        <f>'dod3'!G18-'dod3 до МВК'!G18</f>
        <v>0</v>
      </c>
      <c r="H18" s="457">
        <f>'dod3'!H18-'dod3 до МВК'!H18</f>
        <v>0</v>
      </c>
      <c r="I18" s="457">
        <f>'dod3'!I18-'dod3 до МВК'!I18</f>
        <v>0</v>
      </c>
      <c r="J18" s="457">
        <f>'dod3'!J18-'dod3 до МВК'!J18</f>
        <v>0</v>
      </c>
      <c r="K18" s="457">
        <f>'dod3'!K18-'dod3 до МВК'!K18</f>
        <v>0</v>
      </c>
      <c r="L18" s="457">
        <f>'dod3'!L18-'dod3 до МВК'!L18</f>
        <v>0</v>
      </c>
      <c r="M18" s="457">
        <f>'dod3'!M18-'dod3 до МВК'!M18</f>
        <v>0</v>
      </c>
      <c r="N18" s="457">
        <f>'dod3'!N18-'dod3 до МВК'!N18</f>
        <v>0</v>
      </c>
      <c r="O18" s="338">
        <f>'dod3'!O18-'dod3 до МВК'!O18</f>
        <v>0</v>
      </c>
      <c r="P18" s="457">
        <f>'dod3'!P18-'dod3 до МВК'!P18</f>
        <v>0</v>
      </c>
      <c r="Q18" s="457">
        <f>'dod3'!Q18-'dod3 до МВК'!Q18</f>
        <v>0</v>
      </c>
      <c r="R18" s="400">
        <f>Q18</f>
        <v>0</v>
      </c>
    </row>
    <row r="19" spans="1:21" s="146" customFormat="1" ht="137.25" x14ac:dyDescent="0.2">
      <c r="A19" s="445"/>
      <c r="B19" s="445"/>
      <c r="C19" s="445"/>
      <c r="D19" s="362" t="s">
        <v>553</v>
      </c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338"/>
      <c r="P19" s="441"/>
      <c r="Q19" s="441"/>
    </row>
    <row r="20" spans="1:21" ht="91.5" x14ac:dyDescent="0.2">
      <c r="A20" s="424" t="s">
        <v>349</v>
      </c>
      <c r="B20" s="424" t="s">
        <v>350</v>
      </c>
      <c r="C20" s="424" t="s">
        <v>351</v>
      </c>
      <c r="D20" s="423" t="s">
        <v>352</v>
      </c>
      <c r="E20" s="338">
        <f>'dod3'!E20-'dod3 до МВК'!E20</f>
        <v>0</v>
      </c>
      <c r="F20" s="338">
        <f>'dod3'!F20-'dod3 до МВК'!F20</f>
        <v>0</v>
      </c>
      <c r="G20" s="338">
        <f>'dod3'!G20-'dod3 до МВК'!G20</f>
        <v>0</v>
      </c>
      <c r="H20" s="338">
        <f>'dod3'!H20-'dod3 до МВК'!H20</f>
        <v>0</v>
      </c>
      <c r="I20" s="338">
        <f>'dod3'!I20-'dod3 до МВК'!I20</f>
        <v>0</v>
      </c>
      <c r="J20" s="338">
        <f>'dod3'!J20-'dod3 до МВК'!J20</f>
        <v>0</v>
      </c>
      <c r="K20" s="338">
        <f>'dod3'!K20-'dod3 до МВК'!K20</f>
        <v>0</v>
      </c>
      <c r="L20" s="338">
        <f>'dod3'!L20-'dod3 до МВК'!L20</f>
        <v>0</v>
      </c>
      <c r="M20" s="338">
        <f>'dod3'!M20-'dod3 до МВК'!M20</f>
        <v>0</v>
      </c>
      <c r="N20" s="338">
        <f>'dod3'!N20-'dod3 до МВК'!N20</f>
        <v>0</v>
      </c>
      <c r="O20" s="338">
        <f>'dod3'!O20-'dod3 до МВК'!O20</f>
        <v>0</v>
      </c>
      <c r="P20" s="338">
        <f>'dod3'!P20-'dod3 до МВК'!P20</f>
        <v>0</v>
      </c>
      <c r="Q20" s="338">
        <f>'dod3'!Q20-'dod3 до МВК'!Q20</f>
        <v>0</v>
      </c>
    </row>
    <row r="21" spans="1:21" ht="320.25" x14ac:dyDescent="0.2">
      <c r="A21" s="424" t="s">
        <v>353</v>
      </c>
      <c r="B21" s="424" t="s">
        <v>354</v>
      </c>
      <c r="C21" s="424" t="s">
        <v>71</v>
      </c>
      <c r="D21" s="424" t="s">
        <v>355</v>
      </c>
      <c r="E21" s="338">
        <f>'dod3'!E21-'dod3 до МВК'!E21</f>
        <v>0</v>
      </c>
      <c r="F21" s="338">
        <f>'dod3'!F21-'dod3 до МВК'!F21</f>
        <v>0</v>
      </c>
      <c r="G21" s="338">
        <f>'dod3'!G21-'dod3 до МВК'!G21</f>
        <v>0</v>
      </c>
      <c r="H21" s="338">
        <f>'dod3'!H21-'dod3 до МВК'!H21</f>
        <v>0</v>
      </c>
      <c r="I21" s="338">
        <f>'dod3'!I21-'dod3 до МВК'!I21</f>
        <v>0</v>
      </c>
      <c r="J21" s="338">
        <f>'dod3'!J21-'dod3 до МВК'!J21</f>
        <v>0</v>
      </c>
      <c r="K21" s="338">
        <f>'dod3'!K21-'dod3 до МВК'!K21</f>
        <v>0</v>
      </c>
      <c r="L21" s="338">
        <f>'dod3'!L21-'dod3 до МВК'!L21</f>
        <v>0</v>
      </c>
      <c r="M21" s="338">
        <f>'dod3'!M21-'dod3 до МВК'!M21</f>
        <v>0</v>
      </c>
      <c r="N21" s="338">
        <f>'dod3'!N21-'dod3 до МВК'!N21</f>
        <v>0</v>
      </c>
      <c r="O21" s="338">
        <f>'dod3'!O21-'dod3 до МВК'!O21</f>
        <v>0</v>
      </c>
      <c r="P21" s="338">
        <f>'dod3'!P21-'dod3 до МВК'!P21</f>
        <v>0</v>
      </c>
      <c r="Q21" s="338">
        <f>'dod3'!Q21-'dod3 до МВК'!Q21</f>
        <v>0</v>
      </c>
    </row>
    <row r="22" spans="1:21" ht="180" x14ac:dyDescent="0.2">
      <c r="A22" s="282" t="s">
        <v>239</v>
      </c>
      <c r="B22" s="282"/>
      <c r="C22" s="282"/>
      <c r="D22" s="347" t="s">
        <v>0</v>
      </c>
      <c r="E22" s="365">
        <f>E23</f>
        <v>0</v>
      </c>
      <c r="F22" s="365">
        <f t="shared" ref="F22:G22" si="2">F23</f>
        <v>0</v>
      </c>
      <c r="G22" s="365">
        <f t="shared" si="2"/>
        <v>0</v>
      </c>
      <c r="H22" s="365">
        <f>H23</f>
        <v>0</v>
      </c>
      <c r="I22" s="365">
        <f t="shared" ref="I22" si="3">I23</f>
        <v>0</v>
      </c>
      <c r="J22" s="365">
        <f>J23</f>
        <v>0</v>
      </c>
      <c r="K22" s="365">
        <f>K23</f>
        <v>0</v>
      </c>
      <c r="L22" s="365">
        <f>L23</f>
        <v>0</v>
      </c>
      <c r="M22" s="365">
        <f t="shared" ref="M22" si="4">M23</f>
        <v>0</v>
      </c>
      <c r="N22" s="365">
        <f>N23</f>
        <v>0</v>
      </c>
      <c r="O22" s="283">
        <f t="shared" ref="O22:Q22" si="5">O23</f>
        <v>0</v>
      </c>
      <c r="P22" s="365">
        <f>K22+O22</f>
        <v>0</v>
      </c>
      <c r="Q22" s="283">
        <f t="shared" si="5"/>
        <v>0</v>
      </c>
    </row>
    <row r="23" spans="1:21" ht="225" x14ac:dyDescent="0.2">
      <c r="A23" s="286" t="s">
        <v>240</v>
      </c>
      <c r="B23" s="286"/>
      <c r="C23" s="286"/>
      <c r="D23" s="348" t="s">
        <v>1</v>
      </c>
      <c r="E23" s="284">
        <f>SUM(E24:E32)</f>
        <v>0</v>
      </c>
      <c r="F23" s="284">
        <f t="shared" ref="F23:O23" si="6">SUM(F24:F32)</f>
        <v>0</v>
      </c>
      <c r="G23" s="284">
        <f>SUM(G24:G32)</f>
        <v>0</v>
      </c>
      <c r="H23" s="284">
        <f t="shared" si="6"/>
        <v>0</v>
      </c>
      <c r="I23" s="284">
        <f t="shared" si="6"/>
        <v>0</v>
      </c>
      <c r="J23" s="284">
        <f>L23+P23</f>
        <v>0</v>
      </c>
      <c r="K23" s="284">
        <f t="shared" si="6"/>
        <v>0</v>
      </c>
      <c r="L23" s="284">
        <f t="shared" si="6"/>
        <v>0</v>
      </c>
      <c r="M23" s="284">
        <f t="shared" si="6"/>
        <v>0</v>
      </c>
      <c r="N23" s="284">
        <f t="shared" si="6"/>
        <v>0</v>
      </c>
      <c r="O23" s="284">
        <f t="shared" si="6"/>
        <v>0</v>
      </c>
      <c r="P23" s="378">
        <f t="shared" si="1"/>
        <v>0</v>
      </c>
      <c r="Q23" s="284">
        <f>E23+J23</f>
        <v>0</v>
      </c>
      <c r="R23" s="166" t="b">
        <f>Q23=Q24+Q25+Q26+Q27+Q28+Q29+Q30+Q31+Q32</f>
        <v>1</v>
      </c>
      <c r="S23" s="166" t="b">
        <f>K23='dod5'!I11</f>
        <v>0</v>
      </c>
    </row>
    <row r="24" spans="1:21" ht="46.5" x14ac:dyDescent="0.55000000000000004">
      <c r="A24" s="424" t="s">
        <v>297</v>
      </c>
      <c r="B24" s="424" t="s">
        <v>298</v>
      </c>
      <c r="C24" s="424" t="s">
        <v>300</v>
      </c>
      <c r="D24" s="424" t="s">
        <v>301</v>
      </c>
      <c r="E24" s="338">
        <f>'dod3'!E24-'dod3 до МВК'!E24</f>
        <v>0</v>
      </c>
      <c r="F24" s="338">
        <f>'dod3'!F24-'dod3 до МВК'!F24</f>
        <v>0</v>
      </c>
      <c r="G24" s="338">
        <f>'dod3'!G24-'dod3 до МВК'!G24</f>
        <v>0</v>
      </c>
      <c r="H24" s="338">
        <f>'dod3'!H24-'dod3 до МВК'!H24</f>
        <v>0</v>
      </c>
      <c r="I24" s="338">
        <f>'dod3'!I24-'dod3 до МВК'!I24</f>
        <v>0</v>
      </c>
      <c r="J24" s="338">
        <f>'dod3'!J24-'dod3 до МВК'!J24</f>
        <v>0</v>
      </c>
      <c r="K24" s="338">
        <f>'dod3'!K24-'dod3 до МВК'!K24</f>
        <v>0</v>
      </c>
      <c r="L24" s="338">
        <f>'dod3'!L24-'dod3 до МВК'!L24</f>
        <v>0</v>
      </c>
      <c r="M24" s="338">
        <f>'dod3'!M24-'dod3 до МВК'!M24</f>
        <v>0</v>
      </c>
      <c r="N24" s="338">
        <f>'dod3'!N24-'dod3 до МВК'!N24</f>
        <v>0</v>
      </c>
      <c r="O24" s="338">
        <f>'dod3'!O24-'dod3 до МВК'!O24</f>
        <v>0</v>
      </c>
      <c r="P24" s="338">
        <f>'dod3'!P24-'dod3 до МВК'!P24</f>
        <v>0</v>
      </c>
      <c r="Q24" s="338">
        <f>'dod3'!Q24-'dod3 до МВК'!Q24</f>
        <v>0</v>
      </c>
      <c r="R24" s="15"/>
      <c r="S24" s="15"/>
    </row>
    <row r="25" spans="1:21" ht="366" x14ac:dyDescent="0.55000000000000004">
      <c r="A25" s="424" t="s">
        <v>303</v>
      </c>
      <c r="B25" s="424" t="s">
        <v>299</v>
      </c>
      <c r="C25" s="424" t="s">
        <v>304</v>
      </c>
      <c r="D25" s="424" t="s">
        <v>633</v>
      </c>
      <c r="E25" s="338">
        <f>'dod3'!E25-'dod3 до МВК'!E25</f>
        <v>0</v>
      </c>
      <c r="F25" s="338">
        <f>'dod3'!F25-'dod3 до МВК'!F25</f>
        <v>0</v>
      </c>
      <c r="G25" s="338">
        <f>'dod3'!G25-'dod3 до МВК'!G25</f>
        <v>0</v>
      </c>
      <c r="H25" s="338">
        <f>'dod3'!H25-'dod3 до МВК'!H25</f>
        <v>0</v>
      </c>
      <c r="I25" s="338">
        <f>'dod3'!I25-'dod3 до МВК'!I25</f>
        <v>0</v>
      </c>
      <c r="J25" s="338">
        <f>'dod3'!J25-'dod3 до МВК'!J25</f>
        <v>0</v>
      </c>
      <c r="K25" s="338">
        <f>'dod3'!K25-'dod3 до МВК'!K25</f>
        <v>0</v>
      </c>
      <c r="L25" s="338">
        <f>'dod3'!L25-'dod3 до МВК'!L25</f>
        <v>0</v>
      </c>
      <c r="M25" s="338">
        <f>'dod3'!M25-'dod3 до МВК'!M25</f>
        <v>0</v>
      </c>
      <c r="N25" s="338">
        <f>'dod3'!N25-'dod3 до МВК'!N25</f>
        <v>0</v>
      </c>
      <c r="O25" s="338">
        <f>'dod3'!O25-'dod3 до МВК'!O25</f>
        <v>0</v>
      </c>
      <c r="P25" s="338">
        <f>'dod3'!P25-'dod3 до МВК'!P25</f>
        <v>0</v>
      </c>
      <c r="Q25" s="338">
        <f>'dod3'!Q25-'dod3 до МВК'!Q25</f>
        <v>0</v>
      </c>
      <c r="R25" s="15"/>
      <c r="S25" s="15"/>
      <c r="U25" s="134"/>
    </row>
    <row r="26" spans="1:21" ht="409.5" x14ac:dyDescent="0.2">
      <c r="A26" s="424" t="s">
        <v>307</v>
      </c>
      <c r="B26" s="424" t="s">
        <v>306</v>
      </c>
      <c r="C26" s="424" t="s">
        <v>308</v>
      </c>
      <c r="D26" s="424" t="s">
        <v>32</v>
      </c>
      <c r="E26" s="338">
        <f>'dod3'!E26-'dod3 до МВК'!E26</f>
        <v>0</v>
      </c>
      <c r="F26" s="338">
        <f>'dod3'!F26-'dod3 до МВК'!F26</f>
        <v>0</v>
      </c>
      <c r="G26" s="338">
        <f>'dod3'!G26-'dod3 до МВК'!G26</f>
        <v>0</v>
      </c>
      <c r="H26" s="338">
        <f>'dod3'!H26-'dod3 до МВК'!H26</f>
        <v>0</v>
      </c>
      <c r="I26" s="338">
        <f>'dod3'!I26-'dod3 до МВК'!I26</f>
        <v>0</v>
      </c>
      <c r="J26" s="338">
        <f>'dod3'!J26-'dod3 до МВК'!J26</f>
        <v>0</v>
      </c>
      <c r="K26" s="338">
        <f>'dod3'!K26-'dod3 до МВК'!K26</f>
        <v>0</v>
      </c>
      <c r="L26" s="338">
        <f>'dod3'!L26-'dod3 до МВК'!L26</f>
        <v>0</v>
      </c>
      <c r="M26" s="338">
        <f>'dod3'!M26-'dod3 до МВК'!M26</f>
        <v>0</v>
      </c>
      <c r="N26" s="338">
        <f>'dod3'!N26-'dod3 до МВК'!N26</f>
        <v>0</v>
      </c>
      <c r="O26" s="338">
        <f>'dod3'!O26-'dod3 до МВК'!O26</f>
        <v>0</v>
      </c>
      <c r="P26" s="338">
        <f>'dod3'!P26-'dod3 до МВК'!P26</f>
        <v>0</v>
      </c>
      <c r="Q26" s="338">
        <f>'dod3'!Q26-'dod3 до МВК'!Q26</f>
        <v>0</v>
      </c>
    </row>
    <row r="27" spans="1:21" ht="228.75" x14ac:dyDescent="0.2">
      <c r="A27" s="424" t="s">
        <v>309</v>
      </c>
      <c r="B27" s="424" t="s">
        <v>288</v>
      </c>
      <c r="C27" s="424" t="s">
        <v>276</v>
      </c>
      <c r="D27" s="424" t="s">
        <v>33</v>
      </c>
      <c r="E27" s="338">
        <f>'dod3'!E27-'dod3 до МВК'!E27</f>
        <v>0</v>
      </c>
      <c r="F27" s="338">
        <f>'dod3'!F27-'dod3 до МВК'!F27</f>
        <v>0</v>
      </c>
      <c r="G27" s="338">
        <f>'dod3'!G27-'dod3 до МВК'!G27</f>
        <v>0</v>
      </c>
      <c r="H27" s="338">
        <f>'dod3'!H27-'dod3 до МВК'!H27</f>
        <v>0</v>
      </c>
      <c r="I27" s="338">
        <f>'dod3'!I27-'dod3 до МВК'!I27</f>
        <v>0</v>
      </c>
      <c r="J27" s="338">
        <f>'dod3'!J27-'dod3 до МВК'!J27</f>
        <v>0</v>
      </c>
      <c r="K27" s="338">
        <f>'dod3'!K27-'dod3 до МВК'!K27</f>
        <v>0</v>
      </c>
      <c r="L27" s="338">
        <f>'dod3'!L27-'dod3 до МВК'!L27</f>
        <v>0</v>
      </c>
      <c r="M27" s="338">
        <f>'dod3'!M27-'dod3 до МВК'!M27</f>
        <v>0</v>
      </c>
      <c r="N27" s="338">
        <f>'dod3'!N27-'dod3 до МВК'!N27</f>
        <v>0</v>
      </c>
      <c r="O27" s="338">
        <f>'dod3'!O27-'dod3 до МВК'!O27</f>
        <v>0</v>
      </c>
      <c r="P27" s="338">
        <f>'dod3'!P27-'dod3 до МВК'!P27</f>
        <v>0</v>
      </c>
      <c r="Q27" s="338">
        <f>'dod3'!Q27-'dod3 до МВК'!Q27</f>
        <v>0</v>
      </c>
    </row>
    <row r="28" spans="1:21" ht="183" x14ac:dyDescent="0.2">
      <c r="A28" s="424" t="s">
        <v>310</v>
      </c>
      <c r="B28" s="424" t="s">
        <v>311</v>
      </c>
      <c r="C28" s="424" t="s">
        <v>312</v>
      </c>
      <c r="D28" s="424" t="s">
        <v>313</v>
      </c>
      <c r="E28" s="338">
        <f>'dod3'!E28-'dod3 до МВК'!E28</f>
        <v>0</v>
      </c>
      <c r="F28" s="338">
        <f>'dod3'!F28-'dod3 до МВК'!F28</f>
        <v>0</v>
      </c>
      <c r="G28" s="338">
        <f>'dod3'!G28-'dod3 до МВК'!G28</f>
        <v>0</v>
      </c>
      <c r="H28" s="338">
        <f>'dod3'!H28-'dod3 до МВК'!H28</f>
        <v>0</v>
      </c>
      <c r="I28" s="338">
        <f>'dod3'!I28-'dod3 до МВК'!I28</f>
        <v>0</v>
      </c>
      <c r="J28" s="338">
        <f>'dod3'!J28-'dod3 до МВК'!J28</f>
        <v>0</v>
      </c>
      <c r="K28" s="338">
        <f>'dod3'!K28-'dod3 до МВК'!K28</f>
        <v>0</v>
      </c>
      <c r="L28" s="338">
        <f>'dod3'!L28-'dod3 до МВК'!L28</f>
        <v>0</v>
      </c>
      <c r="M28" s="338">
        <f>'dod3'!M28-'dod3 до МВК'!M28</f>
        <v>0</v>
      </c>
      <c r="N28" s="338">
        <f>'dod3'!N28-'dod3 до МВК'!N28</f>
        <v>0</v>
      </c>
      <c r="O28" s="338">
        <f>'dod3'!O28-'dod3 до МВК'!O28</f>
        <v>0</v>
      </c>
      <c r="P28" s="338">
        <f>'dod3'!P28-'dod3 до МВК'!P28</f>
        <v>0</v>
      </c>
      <c r="Q28" s="338">
        <f>'dod3'!Q28-'dod3 до МВК'!Q28</f>
        <v>0</v>
      </c>
    </row>
    <row r="29" spans="1:21" ht="137.25" x14ac:dyDescent="0.2">
      <c r="A29" s="424" t="s">
        <v>315</v>
      </c>
      <c r="B29" s="424" t="s">
        <v>316</v>
      </c>
      <c r="C29" s="424" t="s">
        <v>317</v>
      </c>
      <c r="D29" s="424" t="s">
        <v>314</v>
      </c>
      <c r="E29" s="338">
        <f>'dod3'!E29-'dod3 до МВК'!E29</f>
        <v>0</v>
      </c>
      <c r="F29" s="338">
        <f>'dod3'!F29-'dod3 до МВК'!F29</f>
        <v>0</v>
      </c>
      <c r="G29" s="338">
        <f>'dod3'!G29-'dod3 до МВК'!G29</f>
        <v>0</v>
      </c>
      <c r="H29" s="338">
        <f>'dod3'!H29-'dod3 до МВК'!H29</f>
        <v>0</v>
      </c>
      <c r="I29" s="338">
        <f>'dod3'!I29-'dod3 до МВК'!I29</f>
        <v>0</v>
      </c>
      <c r="J29" s="338">
        <f>'dod3'!J29-'dod3 до МВК'!J29</f>
        <v>0</v>
      </c>
      <c r="K29" s="338">
        <f>'dod3'!K29-'dod3 до МВК'!K29</f>
        <v>0</v>
      </c>
      <c r="L29" s="338">
        <f>'dod3'!L29-'dod3 до МВК'!L29</f>
        <v>0</v>
      </c>
      <c r="M29" s="338">
        <f>'dod3'!M29-'dod3 до МВК'!M29</f>
        <v>0</v>
      </c>
      <c r="N29" s="338">
        <f>'dod3'!N29-'dod3 до МВК'!N29</f>
        <v>0</v>
      </c>
      <c r="O29" s="338">
        <f>'dod3'!O29-'dod3 до МВК'!O29</f>
        <v>0</v>
      </c>
      <c r="P29" s="338">
        <f>'dod3'!P29-'dod3 до МВК'!P29</f>
        <v>0</v>
      </c>
      <c r="Q29" s="338">
        <f>'dod3'!Q29-'dod3 до МВК'!Q29</f>
        <v>0</v>
      </c>
    </row>
    <row r="30" spans="1:21" s="146" customFormat="1" ht="137.25" x14ac:dyDescent="0.2">
      <c r="A30" s="423" t="s">
        <v>506</v>
      </c>
      <c r="B30" s="423" t="s">
        <v>507</v>
      </c>
      <c r="C30" s="423" t="s">
        <v>317</v>
      </c>
      <c r="D30" s="423" t="s">
        <v>505</v>
      </c>
      <c r="E30" s="338">
        <f>'dod3'!E30-'dod3 до МВК'!E30</f>
        <v>0</v>
      </c>
      <c r="F30" s="338">
        <f>'dod3'!F30-'dod3 до МВК'!F30</f>
        <v>0</v>
      </c>
      <c r="G30" s="338">
        <f>'dod3'!G30-'dod3 до МВК'!G30</f>
        <v>0</v>
      </c>
      <c r="H30" s="338">
        <f>'dod3'!H30-'dod3 до МВК'!H30</f>
        <v>0</v>
      </c>
      <c r="I30" s="338">
        <f>'dod3'!I30-'dod3 до МВК'!I30</f>
        <v>0</v>
      </c>
      <c r="J30" s="338">
        <f>'dod3'!J30-'dod3 до МВК'!J30</f>
        <v>0</v>
      </c>
      <c r="K30" s="338">
        <f>'dod3'!K30-'dod3 до МВК'!K30</f>
        <v>0</v>
      </c>
      <c r="L30" s="338">
        <f>'dod3'!L30-'dod3 до МВК'!L30</f>
        <v>0</v>
      </c>
      <c r="M30" s="338">
        <f>'dod3'!M30-'dod3 до МВК'!M30</f>
        <v>0</v>
      </c>
      <c r="N30" s="338">
        <f>'dod3'!N30-'dod3 до МВК'!N30</f>
        <v>0</v>
      </c>
      <c r="O30" s="338">
        <f>'dod3'!O30-'dod3 до МВК'!O30</f>
        <v>0</v>
      </c>
      <c r="P30" s="338">
        <f>'dod3'!P30-'dod3 до МВК'!P30</f>
        <v>0</v>
      </c>
      <c r="Q30" s="338">
        <f>'dod3'!Q30-'dod3 до МВК'!Q30</f>
        <v>0</v>
      </c>
    </row>
    <row r="31" spans="1:21" s="146" customFormat="1" ht="91.5" x14ac:dyDescent="0.2">
      <c r="A31" s="423" t="s">
        <v>539</v>
      </c>
      <c r="B31" s="423" t="s">
        <v>540</v>
      </c>
      <c r="C31" s="423" t="s">
        <v>317</v>
      </c>
      <c r="D31" s="424" t="s">
        <v>538</v>
      </c>
      <c r="E31" s="338">
        <f>'dod3'!E31-'dod3 до МВК'!E31</f>
        <v>0</v>
      </c>
      <c r="F31" s="338">
        <f>'dod3'!F31-'dod3 до МВК'!F31</f>
        <v>0</v>
      </c>
      <c r="G31" s="338">
        <f>'dod3'!G31-'dod3 до МВК'!G31</f>
        <v>0</v>
      </c>
      <c r="H31" s="338">
        <f>'dod3'!H31-'dod3 до МВК'!H31</f>
        <v>0</v>
      </c>
      <c r="I31" s="338">
        <f>'dod3'!I31-'dod3 до МВК'!I31</f>
        <v>0</v>
      </c>
      <c r="J31" s="338">
        <f>'dod3'!J31-'dod3 до МВК'!J31</f>
        <v>0</v>
      </c>
      <c r="K31" s="338">
        <f>'dod3'!K31-'dod3 до МВК'!K31</f>
        <v>0</v>
      </c>
      <c r="L31" s="338">
        <f>'dod3'!L31-'dod3 до МВК'!L31</f>
        <v>0</v>
      </c>
      <c r="M31" s="338">
        <f>'dod3'!M31-'dod3 до МВК'!M31</f>
        <v>0</v>
      </c>
      <c r="N31" s="338">
        <f>'dod3'!N31-'dod3 до МВК'!N31</f>
        <v>0</v>
      </c>
      <c r="O31" s="338">
        <f>'dod3'!O31-'dod3 до МВК'!O31</f>
        <v>0</v>
      </c>
      <c r="P31" s="338">
        <f>'dod3'!P31-'dod3 до МВК'!P31</f>
        <v>0</v>
      </c>
      <c r="Q31" s="338">
        <f>'dod3'!Q31-'dod3 до МВК'!Q31</f>
        <v>0</v>
      </c>
    </row>
    <row r="32" spans="1:21" s="146" customFormat="1" ht="46.5" x14ac:dyDescent="0.2">
      <c r="A32" s="424" t="s">
        <v>319</v>
      </c>
      <c r="B32" s="424" t="s">
        <v>320</v>
      </c>
      <c r="C32" s="424" t="s">
        <v>321</v>
      </c>
      <c r="D32" s="424" t="s">
        <v>67</v>
      </c>
      <c r="E32" s="338">
        <f>'dod3'!E32-'dod3 до МВК'!E32</f>
        <v>0</v>
      </c>
      <c r="F32" s="338">
        <f>'dod3'!F32-'dod3 до МВК'!F32</f>
        <v>0</v>
      </c>
      <c r="G32" s="338">
        <f>'dod3'!G32-'dod3 до МВК'!G32</f>
        <v>0</v>
      </c>
      <c r="H32" s="338">
        <f>'dod3'!H32-'dod3 до МВК'!H32</f>
        <v>0</v>
      </c>
      <c r="I32" s="338">
        <f>'dod3'!I32-'dod3 до МВК'!I32</f>
        <v>0</v>
      </c>
      <c r="J32" s="338">
        <f>'dod3'!J32-'dod3 до МВК'!J32</f>
        <v>0</v>
      </c>
      <c r="K32" s="338">
        <f>'dod3'!K32-'dod3 до МВК'!K32</f>
        <v>0</v>
      </c>
      <c r="L32" s="338">
        <f>'dod3'!L32-'dod3 до МВК'!L32</f>
        <v>0</v>
      </c>
      <c r="M32" s="338">
        <f>'dod3'!M32-'dod3 до МВК'!M32</f>
        <v>0</v>
      </c>
      <c r="N32" s="338">
        <f>'dod3'!N32-'dod3 до МВК'!N32</f>
        <v>0</v>
      </c>
      <c r="O32" s="338">
        <f>'dod3'!O32-'dod3 до МВК'!O32</f>
        <v>0</v>
      </c>
      <c r="P32" s="338">
        <f>'dod3'!P32-'dod3 до МВК'!P32</f>
        <v>0</v>
      </c>
      <c r="Q32" s="338">
        <f>'dod3'!Q32-'dod3 до МВК'!Q32</f>
        <v>0</v>
      </c>
    </row>
    <row r="33" spans="1:23" ht="180" x14ac:dyDescent="0.2">
      <c r="A33" s="353" t="s">
        <v>241</v>
      </c>
      <c r="B33" s="354"/>
      <c r="C33" s="354"/>
      <c r="D33" s="347" t="s">
        <v>36</v>
      </c>
      <c r="E33" s="365">
        <f>E34</f>
        <v>11133400</v>
      </c>
      <c r="F33" s="365">
        <f t="shared" ref="F33:G33" si="7">F34</f>
        <v>11133400</v>
      </c>
      <c r="G33" s="365">
        <f t="shared" si="7"/>
        <v>0</v>
      </c>
      <c r="H33" s="365">
        <f>H34</f>
        <v>0</v>
      </c>
      <c r="I33" s="365">
        <f t="shared" ref="I33" si="8">I34</f>
        <v>0</v>
      </c>
      <c r="J33" s="365">
        <f>J34</f>
        <v>0</v>
      </c>
      <c r="K33" s="365">
        <f>K34</f>
        <v>0</v>
      </c>
      <c r="L33" s="365">
        <f>L34</f>
        <v>0</v>
      </c>
      <c r="M33" s="365">
        <f t="shared" ref="M33" si="9">M34</f>
        <v>0</v>
      </c>
      <c r="N33" s="365">
        <f>N34</f>
        <v>0</v>
      </c>
      <c r="O33" s="355">
        <f t="shared" ref="O33:Q33" si="10">O34</f>
        <v>0</v>
      </c>
      <c r="P33" s="365">
        <f t="shared" si="1"/>
        <v>0</v>
      </c>
      <c r="Q33" s="355">
        <f t="shared" si="10"/>
        <v>11133400</v>
      </c>
    </row>
    <row r="34" spans="1:23" ht="225" x14ac:dyDescent="0.2">
      <c r="A34" s="286" t="s">
        <v>242</v>
      </c>
      <c r="B34" s="286"/>
      <c r="C34" s="286"/>
      <c r="D34" s="348" t="s">
        <v>59</v>
      </c>
      <c r="E34" s="284">
        <f>SUM(E35:E44)</f>
        <v>11133400</v>
      </c>
      <c r="F34" s="284">
        <f>SUM(F35:F44)</f>
        <v>11133400</v>
      </c>
      <c r="G34" s="284">
        <f>SUM(G35:G44)</f>
        <v>0</v>
      </c>
      <c r="H34" s="284">
        <f>SUM(H35:H44)</f>
        <v>0</v>
      </c>
      <c r="I34" s="284">
        <f t="shared" ref="I34:O34" si="11">SUM(I35:I44)</f>
        <v>0</v>
      </c>
      <c r="J34" s="284">
        <f>L34+P34</f>
        <v>0</v>
      </c>
      <c r="K34" s="284">
        <f>SUM(K35:K44)</f>
        <v>0</v>
      </c>
      <c r="L34" s="284">
        <f>SUM(L35:L44)</f>
        <v>0</v>
      </c>
      <c r="M34" s="284">
        <f>SUM(M35:M44)</f>
        <v>0</v>
      </c>
      <c r="N34" s="284">
        <f>SUM(N35:N44)</f>
        <v>0</v>
      </c>
      <c r="O34" s="284">
        <f t="shared" si="11"/>
        <v>0</v>
      </c>
      <c r="P34" s="378">
        <f>K34+O34</f>
        <v>0</v>
      </c>
      <c r="Q34" s="284">
        <f>E34+J34</f>
        <v>11133400</v>
      </c>
      <c r="R34" s="166" t="b">
        <f>Q34=Q36+Q37+Q38+Q39+Q40+Q41+Q42+Q43+Q44+Q35</f>
        <v>1</v>
      </c>
      <c r="S34" s="166" t="b">
        <f>K34='dod5'!I21</f>
        <v>0</v>
      </c>
    </row>
    <row r="35" spans="1:23" ht="228.75" x14ac:dyDescent="0.2">
      <c r="A35" s="424" t="s">
        <v>746</v>
      </c>
      <c r="B35" s="424" t="s">
        <v>344</v>
      </c>
      <c r="C35" s="424" t="s">
        <v>342</v>
      </c>
      <c r="D35" s="424" t="s">
        <v>343</v>
      </c>
      <c r="E35" s="338">
        <f>'dod3'!E35-'dod3 до МВК'!E35</f>
        <v>0</v>
      </c>
      <c r="F35" s="338">
        <f>'dod3'!F35-'dod3 до МВК'!F35</f>
        <v>0</v>
      </c>
      <c r="G35" s="338">
        <f>'dod3'!G35-'dod3 до МВК'!G35</f>
        <v>0</v>
      </c>
      <c r="H35" s="338">
        <f>'dod3'!H35-'dod3 до МВК'!H35</f>
        <v>0</v>
      </c>
      <c r="I35" s="338">
        <f>'dod3'!I35-'dod3 до МВК'!I35</f>
        <v>0</v>
      </c>
      <c r="J35" s="338">
        <f>'dod3'!J35-'dod3 до МВК'!J35</f>
        <v>0</v>
      </c>
      <c r="K35" s="338">
        <f>'dod3'!K35-'dod3 до МВК'!K35</f>
        <v>0</v>
      </c>
      <c r="L35" s="338">
        <f>'dod3'!L35-'dod3 до МВК'!L35</f>
        <v>0</v>
      </c>
      <c r="M35" s="338">
        <f>'dod3'!M35-'dod3 до МВК'!M35</f>
        <v>0</v>
      </c>
      <c r="N35" s="338">
        <f>'dod3'!N35-'dod3 до МВК'!N35</f>
        <v>0</v>
      </c>
      <c r="O35" s="338">
        <f>'dod3'!O35-'dod3 до МВК'!O35</f>
        <v>0</v>
      </c>
      <c r="P35" s="338">
        <f>'dod3'!P35-'dod3 до МВК'!P35</f>
        <v>0</v>
      </c>
      <c r="Q35" s="338">
        <f>'dod3'!Q35-'dod3 до МВК'!Q35</f>
        <v>0</v>
      </c>
      <c r="R35" s="166"/>
      <c r="S35" s="166"/>
    </row>
    <row r="36" spans="1:23" ht="137.25" x14ac:dyDescent="0.2">
      <c r="A36" s="424" t="s">
        <v>322</v>
      </c>
      <c r="B36" s="424" t="s">
        <v>318</v>
      </c>
      <c r="C36" s="424" t="s">
        <v>323</v>
      </c>
      <c r="D36" s="424" t="s">
        <v>37</v>
      </c>
      <c r="E36" s="338">
        <f>'dod3'!E36-'dod3 до МВК'!E36</f>
        <v>426500</v>
      </c>
      <c r="F36" s="338">
        <f>'dod3'!F36-'dod3 до МВК'!F36</f>
        <v>426500</v>
      </c>
      <c r="G36" s="338">
        <f>'dod3'!G36-'dod3 до МВК'!G36</f>
        <v>0</v>
      </c>
      <c r="H36" s="338">
        <f>'dod3'!H36-'dod3 до МВК'!H36</f>
        <v>0</v>
      </c>
      <c r="I36" s="338">
        <f>'dod3'!I36-'dod3 до МВК'!I36</f>
        <v>0</v>
      </c>
      <c r="J36" s="338">
        <f>'dod3'!J36-'dod3 до МВК'!J36</f>
        <v>0</v>
      </c>
      <c r="K36" s="338">
        <f>'dod3'!K36-'dod3 до МВК'!K36</f>
        <v>0</v>
      </c>
      <c r="L36" s="338">
        <f>'dod3'!L36-'dod3 до МВК'!L36</f>
        <v>0</v>
      </c>
      <c r="M36" s="338">
        <f>'dod3'!M36-'dod3 до МВК'!M36</f>
        <v>0</v>
      </c>
      <c r="N36" s="338">
        <f>'dod3'!N36-'dod3 до МВК'!N36</f>
        <v>0</v>
      </c>
      <c r="O36" s="338">
        <f>'dod3'!O36-'dod3 до МВК'!O36</f>
        <v>0</v>
      </c>
      <c r="P36" s="338">
        <f>'dod3'!P36-'dod3 до МВК'!P36</f>
        <v>0</v>
      </c>
      <c r="Q36" s="338">
        <f>'dod3'!Q36-'dod3 до МВК'!Q36</f>
        <v>426500</v>
      </c>
    </row>
    <row r="37" spans="1:23" ht="183" x14ac:dyDescent="0.2">
      <c r="A37" s="424" t="s">
        <v>324</v>
      </c>
      <c r="B37" s="424" t="s">
        <v>325</v>
      </c>
      <c r="C37" s="424" t="s">
        <v>326</v>
      </c>
      <c r="D37" s="424" t="s">
        <v>327</v>
      </c>
      <c r="E37" s="338">
        <f>'dod3'!E37-'dod3 до МВК'!E37</f>
        <v>0</v>
      </c>
      <c r="F37" s="338">
        <f>'dod3'!F37-'dod3 до МВК'!F37</f>
        <v>0</v>
      </c>
      <c r="G37" s="338">
        <f>'dod3'!G37-'dod3 до МВК'!G37</f>
        <v>0</v>
      </c>
      <c r="H37" s="338">
        <f>'dod3'!H37-'dod3 до МВК'!H37</f>
        <v>0</v>
      </c>
      <c r="I37" s="338">
        <f>'dod3'!I37-'dod3 до МВК'!I37</f>
        <v>0</v>
      </c>
      <c r="J37" s="338">
        <f>'dod3'!J37-'dod3 до МВК'!J37</f>
        <v>0</v>
      </c>
      <c r="K37" s="338">
        <f>'dod3'!K37-'dod3 до МВК'!K37</f>
        <v>0</v>
      </c>
      <c r="L37" s="338">
        <f>'dod3'!L37-'dod3 до МВК'!L37</f>
        <v>0</v>
      </c>
      <c r="M37" s="338">
        <f>'dod3'!M37-'dod3 до МВК'!M37</f>
        <v>0</v>
      </c>
      <c r="N37" s="338">
        <f>'dod3'!N37-'dod3 до МВК'!N37</f>
        <v>0</v>
      </c>
      <c r="O37" s="338">
        <f>'dod3'!O37-'dod3 до МВК'!O37</f>
        <v>0</v>
      </c>
      <c r="P37" s="338">
        <f>'dod3'!P37-'dod3 до МВК'!P37</f>
        <v>0</v>
      </c>
      <c r="Q37" s="338">
        <f>'dod3'!Q37-'dod3 до МВК'!Q37</f>
        <v>0</v>
      </c>
    </row>
    <row r="38" spans="1:23" ht="183" x14ac:dyDescent="0.2">
      <c r="A38" s="424" t="s">
        <v>328</v>
      </c>
      <c r="B38" s="424" t="s">
        <v>329</v>
      </c>
      <c r="C38" s="424" t="s">
        <v>330</v>
      </c>
      <c r="D38" s="424" t="s">
        <v>554</v>
      </c>
      <c r="E38" s="338">
        <f>'dod3'!E38-'dod3 до МВК'!E38</f>
        <v>0</v>
      </c>
      <c r="F38" s="338">
        <f>'dod3'!F38-'dod3 до МВК'!F38</f>
        <v>0</v>
      </c>
      <c r="G38" s="338">
        <f>'dod3'!G38-'dod3 до МВК'!G38</f>
        <v>0</v>
      </c>
      <c r="H38" s="338">
        <f>'dod3'!H38-'dod3 до МВК'!H38</f>
        <v>0</v>
      </c>
      <c r="I38" s="338">
        <f>'dod3'!I38-'dod3 до МВК'!I38</f>
        <v>0</v>
      </c>
      <c r="J38" s="338">
        <f>'dod3'!J38-'dod3 до МВК'!J38</f>
        <v>0</v>
      </c>
      <c r="K38" s="338">
        <f>'dod3'!K38-'dod3 до МВК'!K38</f>
        <v>0</v>
      </c>
      <c r="L38" s="338">
        <f>'dod3'!L38-'dod3 до МВК'!L38</f>
        <v>0</v>
      </c>
      <c r="M38" s="338">
        <f>'dod3'!M38-'dod3 до МВК'!M38</f>
        <v>0</v>
      </c>
      <c r="N38" s="338">
        <f>'dod3'!N38-'dod3 до МВК'!N38</f>
        <v>0</v>
      </c>
      <c r="O38" s="338">
        <f>'dod3'!O38-'dod3 до МВК'!O38</f>
        <v>0</v>
      </c>
      <c r="P38" s="338">
        <f>'dod3'!P38-'dod3 до МВК'!P38</f>
        <v>0</v>
      </c>
      <c r="Q38" s="338">
        <f>'dod3'!Q38-'dod3 до МВК'!Q38</f>
        <v>0</v>
      </c>
    </row>
    <row r="39" spans="1:23" ht="91.5" x14ac:dyDescent="0.2">
      <c r="A39" s="424" t="s">
        <v>331</v>
      </c>
      <c r="B39" s="424" t="s">
        <v>332</v>
      </c>
      <c r="C39" s="424" t="s">
        <v>333</v>
      </c>
      <c r="D39" s="424" t="s">
        <v>334</v>
      </c>
      <c r="E39" s="338">
        <f>'dod3'!E39-'dod3 до МВК'!E39</f>
        <v>0</v>
      </c>
      <c r="F39" s="338">
        <f>'dod3'!F39-'dod3 до МВК'!F39</f>
        <v>0</v>
      </c>
      <c r="G39" s="338">
        <f>'dod3'!G39-'dod3 до МВК'!G39</f>
        <v>0</v>
      </c>
      <c r="H39" s="338">
        <f>'dod3'!H39-'dod3 до МВК'!H39</f>
        <v>0</v>
      </c>
      <c r="I39" s="338">
        <f>'dod3'!I39-'dod3 до МВК'!I39</f>
        <v>0</v>
      </c>
      <c r="J39" s="338">
        <f>'dod3'!J39-'dod3 до МВК'!J39</f>
        <v>0</v>
      </c>
      <c r="K39" s="338">
        <f>'dod3'!K39-'dod3 до МВК'!K39</f>
        <v>0</v>
      </c>
      <c r="L39" s="338">
        <f>'dod3'!L39-'dod3 до МВК'!L39</f>
        <v>0</v>
      </c>
      <c r="M39" s="338">
        <f>'dod3'!M39-'dod3 до МВК'!M39</f>
        <v>0</v>
      </c>
      <c r="N39" s="338">
        <f>'dod3'!N39-'dod3 до МВК'!N39</f>
        <v>0</v>
      </c>
      <c r="O39" s="338">
        <f>'dod3'!O39-'dod3 до МВК'!O39</f>
        <v>0</v>
      </c>
      <c r="P39" s="338">
        <f>'dod3'!P39-'dod3 до МВК'!P39</f>
        <v>0</v>
      </c>
      <c r="Q39" s="338">
        <f>'dod3'!Q39-'dod3 до МВК'!Q39</f>
        <v>0</v>
      </c>
    </row>
    <row r="40" spans="1:23" ht="228.75" x14ac:dyDescent="0.2">
      <c r="A40" s="424" t="s">
        <v>335</v>
      </c>
      <c r="B40" s="423" t="s">
        <v>336</v>
      </c>
      <c r="C40" s="423" t="s">
        <v>555</v>
      </c>
      <c r="D40" s="424" t="s">
        <v>337</v>
      </c>
      <c r="E40" s="338">
        <f>'dod3'!E40-'dod3 до МВК'!E40</f>
        <v>0</v>
      </c>
      <c r="F40" s="338">
        <f>'dod3'!F40-'dod3 до МВК'!F40</f>
        <v>0</v>
      </c>
      <c r="G40" s="338">
        <f>'dod3'!G40-'dod3 до МВК'!G40</f>
        <v>0</v>
      </c>
      <c r="H40" s="338">
        <f>'dod3'!H40-'dod3 до МВК'!H40</f>
        <v>0</v>
      </c>
      <c r="I40" s="338">
        <f>'dod3'!I40-'dod3 до МВК'!I40</f>
        <v>0</v>
      </c>
      <c r="J40" s="338">
        <f>'dod3'!J40-'dod3 до МВК'!J40</f>
        <v>0</v>
      </c>
      <c r="K40" s="338">
        <f>'dod3'!K40-'dod3 до МВК'!K40</f>
        <v>0</v>
      </c>
      <c r="L40" s="338">
        <f>'dod3'!L40-'dod3 до МВК'!L40</f>
        <v>0</v>
      </c>
      <c r="M40" s="338">
        <f>'dod3'!M40-'dod3 до МВК'!M40</f>
        <v>0</v>
      </c>
      <c r="N40" s="338">
        <f>'dod3'!N40-'dod3 до МВК'!N40</f>
        <v>0</v>
      </c>
      <c r="O40" s="338">
        <f>'dod3'!O40-'dod3 до МВК'!O40</f>
        <v>0</v>
      </c>
      <c r="P40" s="338">
        <f>'dod3'!P40-'dod3 до МВК'!P40</f>
        <v>0</v>
      </c>
      <c r="Q40" s="338">
        <f>'dod3'!Q40-'dod3 до МВК'!Q40</f>
        <v>0</v>
      </c>
    </row>
    <row r="41" spans="1:23" ht="183" x14ac:dyDescent="0.2">
      <c r="A41" s="424" t="s">
        <v>594</v>
      </c>
      <c r="B41" s="424" t="s">
        <v>595</v>
      </c>
      <c r="C41" s="423" t="s">
        <v>338</v>
      </c>
      <c r="D41" s="306" t="s">
        <v>596</v>
      </c>
      <c r="E41" s="338">
        <f>'dod3'!E41-'dod3 до МВК'!E41</f>
        <v>8972700</v>
      </c>
      <c r="F41" s="338">
        <f>'dod3'!F41-'dod3 до МВК'!F41</f>
        <v>8972700</v>
      </c>
      <c r="G41" s="338">
        <f>'dod3'!G41-'dod3 до МВК'!G41</f>
        <v>0</v>
      </c>
      <c r="H41" s="338">
        <f>'dod3'!H41-'dod3 до МВК'!H41</f>
        <v>0</v>
      </c>
      <c r="I41" s="338">
        <f>'dod3'!I41-'dod3 до МВК'!I41</f>
        <v>0</v>
      </c>
      <c r="J41" s="338">
        <f>'dod3'!J41-'dod3 до МВК'!J41</f>
        <v>0</v>
      </c>
      <c r="K41" s="338">
        <f>'dod3'!K41-'dod3 до МВК'!K41</f>
        <v>0</v>
      </c>
      <c r="L41" s="338">
        <f>'dod3'!L41-'dod3 до МВК'!L41</f>
        <v>0</v>
      </c>
      <c r="M41" s="338">
        <f>'dod3'!M41-'dod3 до МВК'!M41</f>
        <v>0</v>
      </c>
      <c r="N41" s="338">
        <f>'dod3'!N41-'dod3 до МВК'!N41</f>
        <v>0</v>
      </c>
      <c r="O41" s="338">
        <f>'dod3'!O41-'dod3 до МВК'!O41</f>
        <v>0</v>
      </c>
      <c r="P41" s="338">
        <f>'dod3'!P41-'dod3 до МВК'!P41</f>
        <v>0</v>
      </c>
      <c r="Q41" s="338">
        <f>'dod3'!Q41-'dod3 до МВК'!Q41</f>
        <v>8972700</v>
      </c>
    </row>
    <row r="42" spans="1:23" ht="183" x14ac:dyDescent="0.2">
      <c r="A42" s="424" t="s">
        <v>599</v>
      </c>
      <c r="B42" s="424" t="s">
        <v>598</v>
      </c>
      <c r="C42" s="423" t="s">
        <v>338</v>
      </c>
      <c r="D42" s="306" t="s">
        <v>597</v>
      </c>
      <c r="E42" s="338">
        <f>'dod3'!E42-'dod3 до МВК'!E42</f>
        <v>1734200</v>
      </c>
      <c r="F42" s="338">
        <f>'dod3'!F42-'dod3 до МВК'!F42</f>
        <v>1734200</v>
      </c>
      <c r="G42" s="338">
        <f>'dod3'!G42-'dod3 до МВК'!G42</f>
        <v>0</v>
      </c>
      <c r="H42" s="338">
        <f>'dod3'!H42-'dod3 до МВК'!H42</f>
        <v>0</v>
      </c>
      <c r="I42" s="338">
        <f>'dod3'!I42-'dod3 до МВК'!I42</f>
        <v>0</v>
      </c>
      <c r="J42" s="338">
        <f>'dod3'!J42-'dod3 до МВК'!J42</f>
        <v>0</v>
      </c>
      <c r="K42" s="338">
        <f>'dod3'!K42-'dod3 до МВК'!K42</f>
        <v>0</v>
      </c>
      <c r="L42" s="338">
        <f>'dod3'!L42-'dod3 до МВК'!L42</f>
        <v>0</v>
      </c>
      <c r="M42" s="338">
        <f>'dod3'!M42-'dod3 до МВК'!M42</f>
        <v>0</v>
      </c>
      <c r="N42" s="338">
        <f>'dod3'!N42-'dod3 до МВК'!N42</f>
        <v>0</v>
      </c>
      <c r="O42" s="338">
        <f>'dod3'!O42-'dod3 до МВК'!O42</f>
        <v>0</v>
      </c>
      <c r="P42" s="338">
        <f>'dod3'!P42-'dod3 до МВК'!P42</f>
        <v>0</v>
      </c>
      <c r="Q42" s="338">
        <f>'dod3'!Q42-'dod3 до МВК'!Q42</f>
        <v>1734200</v>
      </c>
    </row>
    <row r="43" spans="1:23" s="146" customFormat="1" ht="137.25" x14ac:dyDescent="0.2">
      <c r="A43" s="424" t="s">
        <v>510</v>
      </c>
      <c r="B43" s="424" t="s">
        <v>512</v>
      </c>
      <c r="C43" s="423" t="s">
        <v>338</v>
      </c>
      <c r="D43" s="306" t="s">
        <v>508</v>
      </c>
      <c r="E43" s="338">
        <f>'dod3'!E43-'dod3 до МВК'!E43</f>
        <v>0</v>
      </c>
      <c r="F43" s="338">
        <f>'dod3'!F43-'dod3 до МВК'!F43</f>
        <v>0</v>
      </c>
      <c r="G43" s="338">
        <f>'dod3'!G43-'dod3 до МВК'!G43</f>
        <v>0</v>
      </c>
      <c r="H43" s="338">
        <f>'dod3'!H43-'dod3 до МВК'!H43</f>
        <v>0</v>
      </c>
      <c r="I43" s="338">
        <f>'dod3'!I43-'dod3 до МВК'!I43</f>
        <v>0</v>
      </c>
      <c r="J43" s="338">
        <f>'dod3'!J43-'dod3 до МВК'!J43</f>
        <v>0</v>
      </c>
      <c r="K43" s="338">
        <f>'dod3'!K43-'dod3 до МВК'!K43</f>
        <v>0</v>
      </c>
      <c r="L43" s="338">
        <f>'dod3'!L43-'dod3 до МВК'!L43</f>
        <v>0</v>
      </c>
      <c r="M43" s="338">
        <f>'dod3'!M43-'dod3 до МВК'!M43</f>
        <v>0</v>
      </c>
      <c r="N43" s="338">
        <f>'dod3'!N43-'dod3 до МВК'!N43</f>
        <v>0</v>
      </c>
      <c r="O43" s="338">
        <f>'dod3'!O43-'dod3 до МВК'!O43</f>
        <v>0</v>
      </c>
      <c r="P43" s="338">
        <f>'dod3'!P43-'dod3 до МВК'!P43</f>
        <v>0</v>
      </c>
      <c r="Q43" s="338">
        <f>'dod3'!Q43-'dod3 до МВК'!Q43</f>
        <v>0</v>
      </c>
    </row>
    <row r="44" spans="1:23" s="146" customFormat="1" ht="91.5" x14ac:dyDescent="0.2">
      <c r="A44" s="424" t="s">
        <v>511</v>
      </c>
      <c r="B44" s="424" t="s">
        <v>513</v>
      </c>
      <c r="C44" s="423" t="s">
        <v>338</v>
      </c>
      <c r="D44" s="306" t="s">
        <v>509</v>
      </c>
      <c r="E44" s="338">
        <f>'dod3'!E44-'dod3 до МВК'!E44</f>
        <v>0</v>
      </c>
      <c r="F44" s="338">
        <f>'dod3'!F44-'dod3 до МВК'!F44</f>
        <v>0</v>
      </c>
      <c r="G44" s="338">
        <f>'dod3'!G44-'dod3 до МВК'!G44</f>
        <v>0</v>
      </c>
      <c r="H44" s="338">
        <f>'dod3'!H44-'dod3 до МВК'!H44</f>
        <v>0</v>
      </c>
      <c r="I44" s="338">
        <f>'dod3'!I44-'dod3 до МВК'!I44</f>
        <v>0</v>
      </c>
      <c r="J44" s="338">
        <f>'dod3'!J44-'dod3 до МВК'!J44</f>
        <v>0</v>
      </c>
      <c r="K44" s="338">
        <f>'dod3'!K44-'dod3 до МВК'!K44</f>
        <v>0</v>
      </c>
      <c r="L44" s="338">
        <f>'dod3'!L44-'dod3 до МВК'!L44</f>
        <v>0</v>
      </c>
      <c r="M44" s="338">
        <f>'dod3'!M44-'dod3 до МВК'!M44</f>
        <v>0</v>
      </c>
      <c r="N44" s="338">
        <f>'dod3'!N44-'dod3 до МВК'!N44</f>
        <v>0</v>
      </c>
      <c r="O44" s="338">
        <f>'dod3'!O44-'dod3 до МВК'!O44</f>
        <v>0</v>
      </c>
      <c r="P44" s="338">
        <f>'dod3'!P44-'dod3 до МВК'!P44</f>
        <v>0</v>
      </c>
      <c r="Q44" s="338">
        <f>'dod3'!Q44-'dod3 до МВК'!Q44</f>
        <v>0</v>
      </c>
    </row>
    <row r="45" spans="1:23" ht="225" x14ac:dyDescent="0.2">
      <c r="A45" s="282" t="s">
        <v>243</v>
      </c>
      <c r="B45" s="282"/>
      <c r="C45" s="282"/>
      <c r="D45" s="347" t="s">
        <v>60</v>
      </c>
      <c r="E45" s="365">
        <f>E46</f>
        <v>-7645900</v>
      </c>
      <c r="F45" s="365">
        <f t="shared" ref="F45:G45" si="12">F46</f>
        <v>-7645900</v>
      </c>
      <c r="G45" s="365">
        <f t="shared" si="12"/>
        <v>0</v>
      </c>
      <c r="H45" s="365">
        <f>H46</f>
        <v>0</v>
      </c>
      <c r="I45" s="365">
        <f t="shared" ref="I45" si="13">I46</f>
        <v>0</v>
      </c>
      <c r="J45" s="365">
        <f>J46</f>
        <v>0</v>
      </c>
      <c r="K45" s="365">
        <f>K46</f>
        <v>0</v>
      </c>
      <c r="L45" s="365">
        <f>L46</f>
        <v>0</v>
      </c>
      <c r="M45" s="365">
        <f t="shared" ref="M45" si="14">M46</f>
        <v>0</v>
      </c>
      <c r="N45" s="365">
        <f>N46</f>
        <v>0</v>
      </c>
      <c r="O45" s="283">
        <f t="shared" ref="O45" si="15">O46</f>
        <v>0</v>
      </c>
      <c r="P45" s="365">
        <f t="shared" si="1"/>
        <v>0</v>
      </c>
      <c r="Q45" s="283">
        <f>Q46</f>
        <v>-7645900</v>
      </c>
    </row>
    <row r="46" spans="1:23" ht="270" x14ac:dyDescent="0.2">
      <c r="A46" s="286" t="s">
        <v>244</v>
      </c>
      <c r="B46" s="286"/>
      <c r="C46" s="286"/>
      <c r="D46" s="348" t="s">
        <v>61</v>
      </c>
      <c r="E46" s="284">
        <f>SUM(E47:E86)</f>
        <v>-7645900</v>
      </c>
      <c r="F46" s="284">
        <f t="shared" ref="F46:O46" si="16">SUM(F47:F86)</f>
        <v>-7645900</v>
      </c>
      <c r="G46" s="284">
        <f>SUM(G47:G86)</f>
        <v>0</v>
      </c>
      <c r="H46" s="284">
        <f t="shared" si="16"/>
        <v>0</v>
      </c>
      <c r="I46" s="284">
        <f t="shared" si="16"/>
        <v>0</v>
      </c>
      <c r="J46" s="284">
        <f>L46+P46</f>
        <v>0</v>
      </c>
      <c r="K46" s="284">
        <f t="shared" si="16"/>
        <v>0</v>
      </c>
      <c r="L46" s="284">
        <f t="shared" si="16"/>
        <v>0</v>
      </c>
      <c r="M46" s="284">
        <f t="shared" si="16"/>
        <v>0</v>
      </c>
      <c r="N46" s="284">
        <f t="shared" si="16"/>
        <v>0</v>
      </c>
      <c r="O46" s="284">
        <f t="shared" si="16"/>
        <v>0</v>
      </c>
      <c r="P46" s="378">
        <f t="shared" si="1"/>
        <v>0</v>
      </c>
      <c r="Q46" s="284">
        <f>E46+J46</f>
        <v>-7645900</v>
      </c>
      <c r="R46" s="179" t="b">
        <f>Q46=Q48+Q49+Q50+Q51+Q52+Q53+Q54+Q55+Q56+Q57+Q58+Q59+Q60+Q61+Q62+Q63+Q64+Q65+Q66+Q67+Q68+Q69+Q70+Q71+Q72+Q73+Q74+Q75+Q76+Q77+Q79+Q81+Q82+Q83+Q78+Q84+Q47+Q85</f>
        <v>1</v>
      </c>
      <c r="S46" s="182" t="b">
        <f>K46='dod5'!I30</f>
        <v>0</v>
      </c>
      <c r="T46" s="180"/>
      <c r="U46" s="179"/>
      <c r="V46" s="180"/>
      <c r="W46" s="180"/>
    </row>
    <row r="47" spans="1:23" ht="228.75" x14ac:dyDescent="0.2">
      <c r="A47" s="424" t="s">
        <v>745</v>
      </c>
      <c r="B47" s="424" t="s">
        <v>344</v>
      </c>
      <c r="C47" s="424" t="s">
        <v>342</v>
      </c>
      <c r="D47" s="424" t="s">
        <v>343</v>
      </c>
      <c r="E47" s="418">
        <f>'dod3'!E47-'dod3 до МВК'!E47</f>
        <v>0</v>
      </c>
      <c r="F47" s="418">
        <f>'dod3'!F47-'dod3 до МВК'!F47</f>
        <v>0</v>
      </c>
      <c r="G47" s="418">
        <f>'dod3'!G47-'dod3 до МВК'!G47</f>
        <v>0</v>
      </c>
      <c r="H47" s="418">
        <f>'dod3'!H47-'dod3 до МВК'!H47</f>
        <v>0</v>
      </c>
      <c r="I47" s="418">
        <f>'dod3'!I47-'dod3 до МВК'!I47</f>
        <v>0</v>
      </c>
      <c r="J47" s="418">
        <f>'dod3'!J47-'dod3 до МВК'!J47</f>
        <v>0</v>
      </c>
      <c r="K47" s="418">
        <f>'dod3'!K47-'dod3 до МВК'!K47</f>
        <v>0</v>
      </c>
      <c r="L47" s="418">
        <f>'dod3'!L47-'dod3 до МВК'!L47</f>
        <v>0</v>
      </c>
      <c r="M47" s="418">
        <f>'dod3'!M47-'dod3 до МВК'!M47</f>
        <v>0</v>
      </c>
      <c r="N47" s="418">
        <f>'dod3'!N47-'dod3 до МВК'!N47</f>
        <v>0</v>
      </c>
      <c r="O47" s="418">
        <f>'dod3'!O47-'dod3 до МВК'!O47</f>
        <v>0</v>
      </c>
      <c r="P47" s="418">
        <f>'dod3'!P47-'dod3 до МВК'!P47</f>
        <v>0</v>
      </c>
      <c r="Q47" s="418">
        <f>'dod3'!Q47-'dod3 до МВК'!Q47</f>
        <v>0</v>
      </c>
      <c r="R47" s="179"/>
      <c r="S47" s="182"/>
      <c r="T47" s="180"/>
      <c r="U47" s="179"/>
      <c r="V47" s="180"/>
      <c r="W47" s="180"/>
    </row>
    <row r="48" spans="1:23" ht="228.75" x14ac:dyDescent="0.2">
      <c r="A48" s="423" t="s">
        <v>359</v>
      </c>
      <c r="B48" s="423" t="s">
        <v>360</v>
      </c>
      <c r="C48" s="423" t="s">
        <v>305</v>
      </c>
      <c r="D48" s="309" t="s">
        <v>358</v>
      </c>
      <c r="E48" s="418">
        <f>'dod3'!E48-'dod3 до МВК'!E48</f>
        <v>-1000000</v>
      </c>
      <c r="F48" s="418">
        <f>'dod3'!F48-'dod3 до МВК'!F48</f>
        <v>-1000000</v>
      </c>
      <c r="G48" s="418">
        <f>'dod3'!G48-'dod3 до МВК'!G48</f>
        <v>0</v>
      </c>
      <c r="H48" s="418">
        <f>'dod3'!H48-'dod3 до МВК'!H48</f>
        <v>0</v>
      </c>
      <c r="I48" s="418">
        <f>'dod3'!I48-'dod3 до МВК'!I48</f>
        <v>0</v>
      </c>
      <c r="J48" s="418">
        <f>'dod3'!J48-'dod3 до МВК'!J48</f>
        <v>0</v>
      </c>
      <c r="K48" s="418">
        <f>'dod3'!K48-'dod3 до МВК'!K48</f>
        <v>0</v>
      </c>
      <c r="L48" s="418">
        <f>'dod3'!L48-'dod3 до МВК'!L48</f>
        <v>0</v>
      </c>
      <c r="M48" s="418">
        <f>'dod3'!M48-'dod3 до МВК'!M48</f>
        <v>0</v>
      </c>
      <c r="N48" s="418">
        <f>'dod3'!N48-'dod3 до МВК'!N48</f>
        <v>0</v>
      </c>
      <c r="O48" s="418">
        <f>'dod3'!O48-'dod3 до МВК'!O48</f>
        <v>0</v>
      </c>
      <c r="P48" s="418">
        <f>'dod3'!P48-'dod3 до МВК'!P48</f>
        <v>0</v>
      </c>
      <c r="Q48" s="418">
        <f>'dod3'!Q48-'dod3 до МВК'!Q48</f>
        <v>-1000000</v>
      </c>
    </row>
    <row r="49" spans="1:17" ht="228.75" x14ac:dyDescent="0.2">
      <c r="A49" s="310" t="s">
        <v>378</v>
      </c>
      <c r="B49" s="423" t="s">
        <v>379</v>
      </c>
      <c r="C49" s="423" t="s">
        <v>79</v>
      </c>
      <c r="D49" s="424" t="s">
        <v>8</v>
      </c>
      <c r="E49" s="418">
        <f>'dod3'!E49-'dod3 до МВК'!E49</f>
        <v>-6647500</v>
      </c>
      <c r="F49" s="418">
        <f>'dod3'!F49-'dod3 до МВК'!F49</f>
        <v>-6647500</v>
      </c>
      <c r="G49" s="418">
        <f>'dod3'!G49-'dod3 до МВК'!G49</f>
        <v>0</v>
      </c>
      <c r="H49" s="418">
        <f>'dod3'!H49-'dod3 до МВК'!H49</f>
        <v>0</v>
      </c>
      <c r="I49" s="418">
        <f>'dod3'!I49-'dod3 до МВК'!I49</f>
        <v>0</v>
      </c>
      <c r="J49" s="418">
        <f>'dod3'!J49-'dod3 до МВК'!J49</f>
        <v>0</v>
      </c>
      <c r="K49" s="418">
        <f>'dod3'!K49-'dod3 до МВК'!K49</f>
        <v>0</v>
      </c>
      <c r="L49" s="418">
        <f>'dod3'!L49-'dod3 до МВК'!L49</f>
        <v>0</v>
      </c>
      <c r="M49" s="418">
        <f>'dod3'!M49-'dod3 до МВК'!M49</f>
        <v>0</v>
      </c>
      <c r="N49" s="418">
        <f>'dod3'!N49-'dod3 до МВК'!N49</f>
        <v>0</v>
      </c>
      <c r="O49" s="418">
        <f>'dod3'!O49-'dod3 до МВК'!O49</f>
        <v>0</v>
      </c>
      <c r="P49" s="418">
        <f>'dod3'!P49-'dod3 до МВК'!P49</f>
        <v>0</v>
      </c>
      <c r="Q49" s="418">
        <f>'dod3'!Q49-'dod3 до МВК'!Q49</f>
        <v>-6647500</v>
      </c>
    </row>
    <row r="50" spans="1:17" ht="274.5" x14ac:dyDescent="0.2">
      <c r="A50" s="424" t="s">
        <v>381</v>
      </c>
      <c r="B50" s="424" t="s">
        <v>382</v>
      </c>
      <c r="C50" s="424" t="s">
        <v>305</v>
      </c>
      <c r="D50" s="311" t="s">
        <v>380</v>
      </c>
      <c r="E50" s="418">
        <f>'dod3'!E50-'dod3 до МВК'!E50</f>
        <v>0</v>
      </c>
      <c r="F50" s="418">
        <f>'dod3'!F50-'dod3 до МВК'!F50</f>
        <v>0</v>
      </c>
      <c r="G50" s="418">
        <f>'dod3'!G50-'dod3 до МВК'!G50</f>
        <v>0</v>
      </c>
      <c r="H50" s="418">
        <f>'dod3'!H50-'dod3 до МВК'!H50</f>
        <v>0</v>
      </c>
      <c r="I50" s="418">
        <f>'dod3'!I50-'dod3 до МВК'!I50</f>
        <v>0</v>
      </c>
      <c r="J50" s="418">
        <f>'dod3'!J50-'dod3 до МВК'!J50</f>
        <v>0</v>
      </c>
      <c r="K50" s="418">
        <f>'dod3'!K50-'dod3 до МВК'!K50</f>
        <v>0</v>
      </c>
      <c r="L50" s="418">
        <f>'dod3'!L50-'dod3 до МВК'!L50</f>
        <v>0</v>
      </c>
      <c r="M50" s="418">
        <f>'dod3'!M50-'dod3 до МВК'!M50</f>
        <v>0</v>
      </c>
      <c r="N50" s="418">
        <f>'dod3'!N50-'dod3 до МВК'!N50</f>
        <v>0</v>
      </c>
      <c r="O50" s="418">
        <f>'dod3'!O50-'dod3 до МВК'!O50</f>
        <v>0</v>
      </c>
      <c r="P50" s="418">
        <f>'dod3'!P50-'dod3 до МВК'!P50</f>
        <v>0</v>
      </c>
      <c r="Q50" s="418">
        <f>'dod3'!Q50-'dod3 до МВК'!Q50</f>
        <v>0</v>
      </c>
    </row>
    <row r="51" spans="1:17" ht="274.5" x14ac:dyDescent="0.2">
      <c r="A51" s="424" t="s">
        <v>383</v>
      </c>
      <c r="B51" s="424" t="s">
        <v>384</v>
      </c>
      <c r="C51" s="311">
        <v>1060</v>
      </c>
      <c r="D51" s="312" t="s">
        <v>19</v>
      </c>
      <c r="E51" s="418">
        <f>'dod3'!E51-'dod3 до МВК'!E51</f>
        <v>1600</v>
      </c>
      <c r="F51" s="418">
        <f>'dod3'!F51-'dod3 до МВК'!F51</f>
        <v>1600</v>
      </c>
      <c r="G51" s="418">
        <f>'dod3'!G51-'dod3 до МВК'!G51</f>
        <v>0</v>
      </c>
      <c r="H51" s="418">
        <f>'dod3'!H51-'dod3 до МВК'!H51</f>
        <v>0</v>
      </c>
      <c r="I51" s="418">
        <f>'dod3'!I51-'dod3 до МВК'!I51</f>
        <v>0</v>
      </c>
      <c r="J51" s="418">
        <f>'dod3'!J51-'dod3 до МВК'!J51</f>
        <v>0</v>
      </c>
      <c r="K51" s="418">
        <f>'dod3'!K51-'dod3 до МВК'!K51</f>
        <v>0</v>
      </c>
      <c r="L51" s="418">
        <f>'dod3'!L51-'dod3 до МВК'!L51</f>
        <v>0</v>
      </c>
      <c r="M51" s="418">
        <f>'dod3'!M51-'dod3 до МВК'!M51</f>
        <v>0</v>
      </c>
      <c r="N51" s="418">
        <f>'dod3'!N51-'dod3 до МВК'!N51</f>
        <v>0</v>
      </c>
      <c r="O51" s="418">
        <f>'dod3'!O51-'dod3 до МВК'!O51</f>
        <v>0</v>
      </c>
      <c r="P51" s="418">
        <f>'dod3'!P51-'dod3 до МВК'!P51</f>
        <v>0</v>
      </c>
      <c r="Q51" s="418">
        <f>'dod3'!Q51-'dod3 до МВК'!Q51</f>
        <v>1600</v>
      </c>
    </row>
    <row r="52" spans="1:17" s="146" customFormat="1" ht="183" x14ac:dyDescent="0.2">
      <c r="A52" s="423" t="s">
        <v>409</v>
      </c>
      <c r="B52" s="423" t="s">
        <v>410</v>
      </c>
      <c r="C52" s="423" t="s">
        <v>305</v>
      </c>
      <c r="D52" s="313" t="s">
        <v>411</v>
      </c>
      <c r="E52" s="418">
        <f>'dod3'!E52-'dod3 до МВК'!E52</f>
        <v>0</v>
      </c>
      <c r="F52" s="418">
        <f>'dod3'!F52-'dod3 до МВК'!F52</f>
        <v>0</v>
      </c>
      <c r="G52" s="418">
        <f>'dod3'!G52-'dod3 до МВК'!G52</f>
        <v>0</v>
      </c>
      <c r="H52" s="418">
        <f>'dod3'!H52-'dod3 до МВК'!H52</f>
        <v>0</v>
      </c>
      <c r="I52" s="418">
        <f>'dod3'!I52-'dod3 до МВК'!I52</f>
        <v>0</v>
      </c>
      <c r="J52" s="418">
        <f>'dod3'!J52-'dod3 до МВК'!J52</f>
        <v>0</v>
      </c>
      <c r="K52" s="418">
        <f>'dod3'!K52-'dod3 до МВК'!K52</f>
        <v>0</v>
      </c>
      <c r="L52" s="418">
        <f>'dod3'!L52-'dod3 до МВК'!L52</f>
        <v>0</v>
      </c>
      <c r="M52" s="418">
        <f>'dod3'!M52-'dod3 до МВК'!M52</f>
        <v>0</v>
      </c>
      <c r="N52" s="418">
        <f>'dod3'!N52-'dod3 до МВК'!N52</f>
        <v>0</v>
      </c>
      <c r="O52" s="418">
        <f>'dod3'!O52-'dod3 до МВК'!O52</f>
        <v>0</v>
      </c>
      <c r="P52" s="418">
        <f>'dod3'!P52-'dod3 до МВК'!P52</f>
        <v>0</v>
      </c>
      <c r="Q52" s="418">
        <f>'dod3'!Q52-'dod3 до МВК'!Q52</f>
        <v>0</v>
      </c>
    </row>
    <row r="53" spans="1:17" s="146" customFormat="1" ht="137.25" x14ac:dyDescent="0.2">
      <c r="A53" s="424" t="s">
        <v>412</v>
      </c>
      <c r="B53" s="424" t="s">
        <v>413</v>
      </c>
      <c r="C53" s="424" t="s">
        <v>306</v>
      </c>
      <c r="D53" s="424" t="s">
        <v>16</v>
      </c>
      <c r="E53" s="418">
        <f>'dod3'!E53-'dod3 до МВК'!E53</f>
        <v>0</v>
      </c>
      <c r="F53" s="418">
        <f>'dod3'!F53-'dod3 до МВК'!F53</f>
        <v>0</v>
      </c>
      <c r="G53" s="418">
        <f>'dod3'!G53-'dod3 до МВК'!G53</f>
        <v>0</v>
      </c>
      <c r="H53" s="418">
        <f>'dod3'!H53-'dod3 до МВК'!H53</f>
        <v>0</v>
      </c>
      <c r="I53" s="418">
        <f>'dod3'!I53-'dod3 до МВК'!I53</f>
        <v>0</v>
      </c>
      <c r="J53" s="418">
        <f>'dod3'!J53-'dod3 до МВК'!J53</f>
        <v>0</v>
      </c>
      <c r="K53" s="418">
        <f>'dod3'!K53-'dod3 до МВК'!K53</f>
        <v>0</v>
      </c>
      <c r="L53" s="418">
        <f>'dod3'!L53-'dod3 до МВК'!L53</f>
        <v>0</v>
      </c>
      <c r="M53" s="418">
        <f>'dod3'!M53-'dod3 до МВК'!M53</f>
        <v>0</v>
      </c>
      <c r="N53" s="418">
        <f>'dod3'!N53-'dod3 до МВК'!N53</f>
        <v>0</v>
      </c>
      <c r="O53" s="418">
        <f>'dod3'!O53-'dod3 до МВК'!O53</f>
        <v>0</v>
      </c>
      <c r="P53" s="418">
        <f>'dod3'!P53-'dod3 до МВК'!P53</f>
        <v>0</v>
      </c>
      <c r="Q53" s="418">
        <f>'dod3'!Q53-'dod3 до МВК'!Q53</f>
        <v>0</v>
      </c>
    </row>
    <row r="54" spans="1:17" s="146" customFormat="1" ht="228.75" x14ac:dyDescent="0.2">
      <c r="A54" s="424" t="s">
        <v>415</v>
      </c>
      <c r="B54" s="424" t="s">
        <v>416</v>
      </c>
      <c r="C54" s="424" t="s">
        <v>306</v>
      </c>
      <c r="D54" s="423" t="s">
        <v>17</v>
      </c>
      <c r="E54" s="418">
        <f>'dod3'!E54-'dod3 до МВК'!E54</f>
        <v>0</v>
      </c>
      <c r="F54" s="418">
        <f>'dod3'!F54-'dod3 до МВК'!F54</f>
        <v>0</v>
      </c>
      <c r="G54" s="418">
        <f>'dod3'!G54-'dod3 до МВК'!G54</f>
        <v>0</v>
      </c>
      <c r="H54" s="418">
        <f>'dod3'!H54-'dod3 до МВК'!H54</f>
        <v>0</v>
      </c>
      <c r="I54" s="418">
        <f>'dod3'!I54-'dod3 до МВК'!I54</f>
        <v>0</v>
      </c>
      <c r="J54" s="418">
        <f>'dod3'!J54-'dod3 до МВК'!J54</f>
        <v>0</v>
      </c>
      <c r="K54" s="418">
        <f>'dod3'!K54-'dod3 до МВК'!K54</f>
        <v>0</v>
      </c>
      <c r="L54" s="418">
        <f>'dod3'!L54-'dod3 до МВК'!L54</f>
        <v>0</v>
      </c>
      <c r="M54" s="418">
        <f>'dod3'!M54-'dod3 до МВК'!M54</f>
        <v>0</v>
      </c>
      <c r="N54" s="418">
        <f>'dod3'!N54-'dod3 до МВК'!N54</f>
        <v>0</v>
      </c>
      <c r="O54" s="418">
        <f>'dod3'!O54-'dod3 до МВК'!O54</f>
        <v>0</v>
      </c>
      <c r="P54" s="418">
        <f>'dod3'!P54-'dod3 до МВК'!P54</f>
        <v>0</v>
      </c>
      <c r="Q54" s="418">
        <f>'dod3'!Q54-'dod3 до МВК'!Q54</f>
        <v>0</v>
      </c>
    </row>
    <row r="55" spans="1:17" s="146" customFormat="1" ht="183" x14ac:dyDescent="0.2">
      <c r="A55" s="423" t="s">
        <v>417</v>
      </c>
      <c r="B55" s="423" t="s">
        <v>414</v>
      </c>
      <c r="C55" s="423" t="s">
        <v>306</v>
      </c>
      <c r="D55" s="423" t="s">
        <v>18</v>
      </c>
      <c r="E55" s="418">
        <f>'dod3'!E55-'dod3 до МВК'!E55</f>
        <v>0</v>
      </c>
      <c r="F55" s="418">
        <f>'dod3'!F55-'dod3 до МВК'!F55</f>
        <v>0</v>
      </c>
      <c r="G55" s="418">
        <f>'dod3'!G55-'dod3 до МВК'!G55</f>
        <v>0</v>
      </c>
      <c r="H55" s="418">
        <f>'dod3'!H55-'dod3 до МВК'!H55</f>
        <v>0</v>
      </c>
      <c r="I55" s="418">
        <f>'dod3'!I55-'dod3 до МВК'!I55</f>
        <v>0</v>
      </c>
      <c r="J55" s="418">
        <f>'dod3'!J55-'dod3 до МВК'!J55</f>
        <v>0</v>
      </c>
      <c r="K55" s="418">
        <f>'dod3'!K55-'dod3 до МВК'!K55</f>
        <v>0</v>
      </c>
      <c r="L55" s="418">
        <f>'dod3'!L55-'dod3 до МВК'!L55</f>
        <v>0</v>
      </c>
      <c r="M55" s="418">
        <f>'dod3'!M55-'dod3 до МВК'!M55</f>
        <v>0</v>
      </c>
      <c r="N55" s="418">
        <f>'dod3'!N55-'dod3 до МВК'!N55</f>
        <v>0</v>
      </c>
      <c r="O55" s="418">
        <f>'dod3'!O55-'dod3 до МВК'!O55</f>
        <v>0</v>
      </c>
      <c r="P55" s="418">
        <f>'dod3'!P55-'dod3 до МВК'!P55</f>
        <v>0</v>
      </c>
      <c r="Q55" s="418">
        <f>'dod3'!Q55-'dod3 до МВК'!Q55</f>
        <v>0</v>
      </c>
    </row>
    <row r="56" spans="1:17" s="146" customFormat="1" ht="228.75" x14ac:dyDescent="0.2">
      <c r="A56" s="423" t="s">
        <v>418</v>
      </c>
      <c r="B56" s="423" t="s">
        <v>419</v>
      </c>
      <c r="C56" s="423" t="s">
        <v>306</v>
      </c>
      <c r="D56" s="423" t="s">
        <v>21</v>
      </c>
      <c r="E56" s="418">
        <f>'dod3'!E56-'dod3 до МВК'!E56</f>
        <v>0</v>
      </c>
      <c r="F56" s="418">
        <f>'dod3'!F56-'dod3 до МВК'!F56</f>
        <v>0</v>
      </c>
      <c r="G56" s="418">
        <f>'dod3'!G56-'dod3 до МВК'!G56</f>
        <v>0</v>
      </c>
      <c r="H56" s="418">
        <f>'dod3'!H56-'dod3 до МВК'!H56</f>
        <v>0</v>
      </c>
      <c r="I56" s="418">
        <f>'dod3'!I56-'dod3 до МВК'!I56</f>
        <v>0</v>
      </c>
      <c r="J56" s="418">
        <f>'dod3'!J56-'dod3 до МВК'!J56</f>
        <v>0</v>
      </c>
      <c r="K56" s="418">
        <f>'dod3'!K56-'dod3 до МВК'!K56</f>
        <v>0</v>
      </c>
      <c r="L56" s="418">
        <f>'dod3'!L56-'dod3 до МВК'!L56</f>
        <v>0</v>
      </c>
      <c r="M56" s="418">
        <f>'dod3'!M56-'dod3 до МВК'!M56</f>
        <v>0</v>
      </c>
      <c r="N56" s="418">
        <f>'dod3'!N56-'dod3 до МВК'!N56</f>
        <v>0</v>
      </c>
      <c r="O56" s="418">
        <f>'dod3'!O56-'dod3 до МВК'!O56</f>
        <v>0</v>
      </c>
      <c r="P56" s="418">
        <f>'dod3'!P56-'dod3 до МВК'!P56</f>
        <v>0</v>
      </c>
      <c r="Q56" s="418">
        <f>'dod3'!Q56-'dod3 до МВК'!Q56</f>
        <v>0</v>
      </c>
    </row>
    <row r="57" spans="1:17" s="146" customFormat="1" ht="91.5" x14ac:dyDescent="0.2">
      <c r="A57" s="424" t="s">
        <v>369</v>
      </c>
      <c r="B57" s="424" t="s">
        <v>361</v>
      </c>
      <c r="C57" s="424" t="s">
        <v>280</v>
      </c>
      <c r="D57" s="424" t="s">
        <v>10</v>
      </c>
      <c r="E57" s="418">
        <f>'dod3'!E57-'dod3 до МВК'!E57</f>
        <v>0</v>
      </c>
      <c r="F57" s="418">
        <f>'dod3'!F57-'dod3 до МВК'!F57</f>
        <v>0</v>
      </c>
      <c r="G57" s="418">
        <f>'dod3'!G57-'dod3 до МВК'!G57</f>
        <v>0</v>
      </c>
      <c r="H57" s="418">
        <f>'dod3'!H57-'dod3 до МВК'!H57</f>
        <v>0</v>
      </c>
      <c r="I57" s="418">
        <f>'dod3'!I57-'dod3 до МВК'!I57</f>
        <v>0</v>
      </c>
      <c r="J57" s="418">
        <f>'dod3'!J57-'dod3 до МВК'!J57</f>
        <v>0</v>
      </c>
      <c r="K57" s="418">
        <f>'dod3'!K57-'dod3 до МВК'!K57</f>
        <v>0</v>
      </c>
      <c r="L57" s="418">
        <f>'dod3'!L57-'dod3 до МВК'!L57</f>
        <v>0</v>
      </c>
      <c r="M57" s="418">
        <f>'dod3'!M57-'dod3 до МВК'!M57</f>
        <v>0</v>
      </c>
      <c r="N57" s="418">
        <f>'dod3'!N57-'dod3 до МВК'!N57</f>
        <v>0</v>
      </c>
      <c r="O57" s="418">
        <f>'dod3'!O57-'dod3 до МВК'!O57</f>
        <v>0</v>
      </c>
      <c r="P57" s="418">
        <f>'dod3'!P57-'dod3 до МВК'!P57</f>
        <v>0</v>
      </c>
      <c r="Q57" s="418">
        <f>'dod3'!Q57-'dod3 до МВК'!Q57</f>
        <v>0</v>
      </c>
    </row>
    <row r="58" spans="1:17" s="146" customFormat="1" ht="91.5" x14ac:dyDescent="0.2">
      <c r="A58" s="424" t="s">
        <v>370</v>
      </c>
      <c r="B58" s="424" t="s">
        <v>362</v>
      </c>
      <c r="C58" s="424" t="s">
        <v>280</v>
      </c>
      <c r="D58" s="424" t="s">
        <v>368</v>
      </c>
      <c r="E58" s="418">
        <f>'dod3'!E58-'dod3 до МВК'!E58</f>
        <v>0</v>
      </c>
      <c r="F58" s="418">
        <f>'dod3'!F58-'dod3 до МВК'!F58</f>
        <v>0</v>
      </c>
      <c r="G58" s="418">
        <f>'dod3'!G58-'dod3 до МВК'!G58</f>
        <v>0</v>
      </c>
      <c r="H58" s="418">
        <f>'dod3'!H58-'dod3 до МВК'!H58</f>
        <v>0</v>
      </c>
      <c r="I58" s="418">
        <f>'dod3'!I58-'dod3 до МВК'!I58</f>
        <v>0</v>
      </c>
      <c r="J58" s="418">
        <f>'dod3'!J58-'dod3 до МВК'!J58</f>
        <v>0</v>
      </c>
      <c r="K58" s="418">
        <f>'dod3'!K58-'dod3 до МВК'!K58</f>
        <v>0</v>
      </c>
      <c r="L58" s="418">
        <f>'dod3'!L58-'dod3 до МВК'!L58</f>
        <v>0</v>
      </c>
      <c r="M58" s="418">
        <f>'dod3'!M58-'dod3 до МВК'!M58</f>
        <v>0</v>
      </c>
      <c r="N58" s="418">
        <f>'dod3'!N58-'dod3 до МВК'!N58</f>
        <v>0</v>
      </c>
      <c r="O58" s="418">
        <f>'dod3'!O58-'dod3 до МВК'!O58</f>
        <v>0</v>
      </c>
      <c r="P58" s="418">
        <f>'dod3'!P58-'dod3 до МВК'!P58</f>
        <v>0</v>
      </c>
      <c r="Q58" s="418">
        <f>'dod3'!Q58-'dod3 до МВК'!Q58</f>
        <v>0</v>
      </c>
    </row>
    <row r="59" spans="1:17" s="146" customFormat="1" ht="91.5" x14ac:dyDescent="0.2">
      <c r="A59" s="424" t="s">
        <v>371</v>
      </c>
      <c r="B59" s="424" t="s">
        <v>363</v>
      </c>
      <c r="C59" s="424" t="s">
        <v>280</v>
      </c>
      <c r="D59" s="424" t="s">
        <v>11</v>
      </c>
      <c r="E59" s="418">
        <f>'dod3'!E59-'dod3 до МВК'!E59</f>
        <v>0</v>
      </c>
      <c r="F59" s="418">
        <f>'dod3'!F59-'dod3 до МВК'!F59</f>
        <v>0</v>
      </c>
      <c r="G59" s="418">
        <f>'dod3'!G59-'dod3 до МВК'!G59</f>
        <v>0</v>
      </c>
      <c r="H59" s="418">
        <f>'dod3'!H59-'dod3 до МВК'!H59</f>
        <v>0</v>
      </c>
      <c r="I59" s="418">
        <f>'dod3'!I59-'dod3 до МВК'!I59</f>
        <v>0</v>
      </c>
      <c r="J59" s="418">
        <f>'dod3'!J59-'dod3 до МВК'!J59</f>
        <v>0</v>
      </c>
      <c r="K59" s="418">
        <f>'dod3'!K59-'dod3 до МВК'!K59</f>
        <v>0</v>
      </c>
      <c r="L59" s="418">
        <f>'dod3'!L59-'dod3 до МВК'!L59</f>
        <v>0</v>
      </c>
      <c r="M59" s="418">
        <f>'dod3'!M59-'dod3 до МВК'!M59</f>
        <v>0</v>
      </c>
      <c r="N59" s="418">
        <f>'dod3'!N59-'dod3 до МВК'!N59</f>
        <v>0</v>
      </c>
      <c r="O59" s="418">
        <f>'dod3'!O59-'dod3 до МВК'!O59</f>
        <v>0</v>
      </c>
      <c r="P59" s="418">
        <f>'dod3'!P59-'dod3 до МВК'!P59</f>
        <v>0</v>
      </c>
      <c r="Q59" s="418">
        <f>'dod3'!Q59-'dod3 до МВК'!Q59</f>
        <v>0</v>
      </c>
    </row>
    <row r="60" spans="1:17" s="146" customFormat="1" ht="137.25" x14ac:dyDescent="0.2">
      <c r="A60" s="424" t="s">
        <v>372</v>
      </c>
      <c r="B60" s="424" t="s">
        <v>364</v>
      </c>
      <c r="C60" s="424" t="s">
        <v>280</v>
      </c>
      <c r="D60" s="424" t="s">
        <v>12</v>
      </c>
      <c r="E60" s="418">
        <f>'dod3'!E60-'dod3 до МВК'!E60</f>
        <v>0</v>
      </c>
      <c r="F60" s="418">
        <f>'dod3'!F60-'dod3 до МВК'!F60</f>
        <v>0</v>
      </c>
      <c r="G60" s="418">
        <f>'dod3'!G60-'dod3 до МВК'!G60</f>
        <v>0</v>
      </c>
      <c r="H60" s="418">
        <f>'dod3'!H60-'dod3 до МВК'!H60</f>
        <v>0</v>
      </c>
      <c r="I60" s="418">
        <f>'dod3'!I60-'dod3 до МВК'!I60</f>
        <v>0</v>
      </c>
      <c r="J60" s="418">
        <f>'dod3'!J60-'dod3 до МВК'!J60</f>
        <v>0</v>
      </c>
      <c r="K60" s="418">
        <f>'dod3'!K60-'dod3 до МВК'!K60</f>
        <v>0</v>
      </c>
      <c r="L60" s="418">
        <f>'dod3'!L60-'dod3 до МВК'!L60</f>
        <v>0</v>
      </c>
      <c r="M60" s="418">
        <f>'dod3'!M60-'dod3 до МВК'!M60</f>
        <v>0</v>
      </c>
      <c r="N60" s="418">
        <f>'dod3'!N60-'dod3 до МВК'!N60</f>
        <v>0</v>
      </c>
      <c r="O60" s="418">
        <f>'dod3'!O60-'dod3 до МВК'!O60</f>
        <v>0</v>
      </c>
      <c r="P60" s="418">
        <f>'dod3'!P60-'dod3 до МВК'!P60</f>
        <v>0</v>
      </c>
      <c r="Q60" s="418">
        <f>'dod3'!Q60-'dod3 до МВК'!Q60</f>
        <v>0</v>
      </c>
    </row>
    <row r="61" spans="1:17" s="146" customFormat="1" ht="91.5" x14ac:dyDescent="0.2">
      <c r="A61" s="424" t="s">
        <v>373</v>
      </c>
      <c r="B61" s="424" t="s">
        <v>365</v>
      </c>
      <c r="C61" s="424" t="s">
        <v>280</v>
      </c>
      <c r="D61" s="424" t="s">
        <v>13</v>
      </c>
      <c r="E61" s="418">
        <f>'dod3'!E61-'dod3 до МВК'!E61</f>
        <v>0</v>
      </c>
      <c r="F61" s="418">
        <f>'dod3'!F61-'dod3 до МВК'!F61</f>
        <v>0</v>
      </c>
      <c r="G61" s="418">
        <f>'dod3'!G61-'dod3 до МВК'!G61</f>
        <v>0</v>
      </c>
      <c r="H61" s="418">
        <f>'dod3'!H61-'dod3 до МВК'!H61</f>
        <v>0</v>
      </c>
      <c r="I61" s="418">
        <f>'dod3'!I61-'dod3 до МВК'!I61</f>
        <v>0</v>
      </c>
      <c r="J61" s="418">
        <f>'dod3'!J61-'dod3 до МВК'!J61</f>
        <v>0</v>
      </c>
      <c r="K61" s="418">
        <f>'dod3'!K61-'dod3 до МВК'!K61</f>
        <v>0</v>
      </c>
      <c r="L61" s="418">
        <f>'dod3'!L61-'dod3 до МВК'!L61</f>
        <v>0</v>
      </c>
      <c r="M61" s="418">
        <f>'dod3'!M61-'dod3 до МВК'!M61</f>
        <v>0</v>
      </c>
      <c r="N61" s="418">
        <f>'dod3'!N61-'dod3 до МВК'!N61</f>
        <v>0</v>
      </c>
      <c r="O61" s="418">
        <f>'dod3'!O61-'dod3 до МВК'!O61</f>
        <v>0</v>
      </c>
      <c r="P61" s="418">
        <f>'dod3'!P61-'dod3 до МВК'!P61</f>
        <v>0</v>
      </c>
      <c r="Q61" s="418">
        <f>'dod3'!Q61-'dod3 до МВК'!Q61</f>
        <v>0</v>
      </c>
    </row>
    <row r="62" spans="1:17" s="146" customFormat="1" ht="91.5" x14ac:dyDescent="0.2">
      <c r="A62" s="424" t="s">
        <v>374</v>
      </c>
      <c r="B62" s="424" t="s">
        <v>366</v>
      </c>
      <c r="C62" s="424" t="s">
        <v>280</v>
      </c>
      <c r="D62" s="424" t="s">
        <v>14</v>
      </c>
      <c r="E62" s="418">
        <f>'dod3'!E62-'dod3 до МВК'!E62</f>
        <v>0</v>
      </c>
      <c r="F62" s="418">
        <f>'dod3'!F62-'dod3 до МВК'!F62</f>
        <v>0</v>
      </c>
      <c r="G62" s="418">
        <f>'dod3'!G62-'dod3 до МВК'!G62</f>
        <v>0</v>
      </c>
      <c r="H62" s="418">
        <f>'dod3'!H62-'dod3 до МВК'!H62</f>
        <v>0</v>
      </c>
      <c r="I62" s="418">
        <f>'dod3'!I62-'dod3 до МВК'!I62</f>
        <v>0</v>
      </c>
      <c r="J62" s="418">
        <f>'dod3'!J62-'dod3 до МВК'!J62</f>
        <v>0</v>
      </c>
      <c r="K62" s="418">
        <f>'dod3'!K62-'dod3 до МВК'!K62</f>
        <v>0</v>
      </c>
      <c r="L62" s="418">
        <f>'dod3'!L62-'dod3 до МВК'!L62</f>
        <v>0</v>
      </c>
      <c r="M62" s="418">
        <f>'dod3'!M62-'dod3 до МВК'!M62</f>
        <v>0</v>
      </c>
      <c r="N62" s="418">
        <f>'dod3'!N62-'dod3 до МВК'!N62</f>
        <v>0</v>
      </c>
      <c r="O62" s="418">
        <f>'dod3'!O62-'dod3 до МВК'!O62</f>
        <v>0</v>
      </c>
      <c r="P62" s="418">
        <f>'dod3'!P62-'dod3 до МВК'!P62</f>
        <v>0</v>
      </c>
      <c r="Q62" s="418">
        <f>'dod3'!Q62-'dod3 до МВК'!Q62</f>
        <v>0</v>
      </c>
    </row>
    <row r="63" spans="1:17" s="146" customFormat="1" ht="137.25" x14ac:dyDescent="0.2">
      <c r="A63" s="424" t="s">
        <v>375</v>
      </c>
      <c r="B63" s="424" t="s">
        <v>367</v>
      </c>
      <c r="C63" s="424" t="s">
        <v>280</v>
      </c>
      <c r="D63" s="424" t="s">
        <v>15</v>
      </c>
      <c r="E63" s="418">
        <f>'dod3'!E63-'dod3 до МВК'!E63</f>
        <v>0</v>
      </c>
      <c r="F63" s="418">
        <f>'dod3'!F63-'dod3 до МВК'!F63</f>
        <v>0</v>
      </c>
      <c r="G63" s="418">
        <f>'dod3'!G63-'dod3 до МВК'!G63</f>
        <v>0</v>
      </c>
      <c r="H63" s="418">
        <f>'dod3'!H63-'dod3 до МВК'!H63</f>
        <v>0</v>
      </c>
      <c r="I63" s="418">
        <f>'dod3'!I63-'dod3 до МВК'!I63</f>
        <v>0</v>
      </c>
      <c r="J63" s="418">
        <f>'dod3'!J63-'dod3 до МВК'!J63</f>
        <v>0</v>
      </c>
      <c r="K63" s="418">
        <f>'dod3'!K63-'dod3 до МВК'!K63</f>
        <v>0</v>
      </c>
      <c r="L63" s="418">
        <f>'dod3'!L63-'dod3 до МВК'!L63</f>
        <v>0</v>
      </c>
      <c r="M63" s="418">
        <f>'dod3'!M63-'dod3 до МВК'!M63</f>
        <v>0</v>
      </c>
      <c r="N63" s="418">
        <f>'dod3'!N63-'dod3 до МВК'!N63</f>
        <v>0</v>
      </c>
      <c r="O63" s="418">
        <f>'dod3'!O63-'dod3 до МВК'!O63</f>
        <v>0</v>
      </c>
      <c r="P63" s="418">
        <f>'dod3'!P63-'dod3 до МВК'!P63</f>
        <v>0</v>
      </c>
      <c r="Q63" s="418">
        <f>'dod3'!Q63-'dod3 до МВК'!Q63</f>
        <v>0</v>
      </c>
    </row>
    <row r="64" spans="1:17" ht="183" x14ac:dyDescent="0.2">
      <c r="A64" s="424" t="s">
        <v>385</v>
      </c>
      <c r="B64" s="424" t="s">
        <v>376</v>
      </c>
      <c r="C64" s="424" t="s">
        <v>306</v>
      </c>
      <c r="D64" s="424" t="s">
        <v>9</v>
      </c>
      <c r="E64" s="418">
        <f>'dod3'!E64-'dod3 до МВК'!E64</f>
        <v>0</v>
      </c>
      <c r="F64" s="418">
        <f>'dod3'!F64-'dod3 до МВК'!F64</f>
        <v>0</v>
      </c>
      <c r="G64" s="418">
        <f>'dod3'!G64-'dod3 до МВК'!G64</f>
        <v>0</v>
      </c>
      <c r="H64" s="418">
        <f>'dod3'!H64-'dod3 до МВК'!H64</f>
        <v>0</v>
      </c>
      <c r="I64" s="418">
        <f>'dod3'!I64-'dod3 до МВК'!I64</f>
        <v>0</v>
      </c>
      <c r="J64" s="418">
        <f>'dod3'!J64-'dod3 до МВК'!J64</f>
        <v>0</v>
      </c>
      <c r="K64" s="418">
        <f>'dod3'!K64-'dod3 до МВК'!K64</f>
        <v>0</v>
      </c>
      <c r="L64" s="418">
        <f>'dod3'!L64-'dod3 до МВК'!L64</f>
        <v>0</v>
      </c>
      <c r="M64" s="418">
        <f>'dod3'!M64-'dod3 до МВК'!M64</f>
        <v>0</v>
      </c>
      <c r="N64" s="418">
        <f>'dod3'!N64-'dod3 до МВК'!N64</f>
        <v>0</v>
      </c>
      <c r="O64" s="418">
        <f>'dod3'!O64-'dod3 до МВК'!O64</f>
        <v>0</v>
      </c>
      <c r="P64" s="418">
        <f>'dod3'!P64-'dod3 до МВК'!P64</f>
        <v>0</v>
      </c>
      <c r="Q64" s="418">
        <f>'dod3'!Q64-'dod3 до МВК'!Q64</f>
        <v>0</v>
      </c>
    </row>
    <row r="65" spans="1:17" s="146" customFormat="1" ht="183" x14ac:dyDescent="0.2">
      <c r="A65" s="424" t="s">
        <v>559</v>
      </c>
      <c r="B65" s="424" t="s">
        <v>560</v>
      </c>
      <c r="C65" s="424" t="s">
        <v>298</v>
      </c>
      <c r="D65" s="424" t="s">
        <v>558</v>
      </c>
      <c r="E65" s="418">
        <f>'dod3'!E65-'dod3 до МВК'!E65</f>
        <v>0</v>
      </c>
      <c r="F65" s="418">
        <f>'dod3'!F65-'dod3 до МВК'!F65</f>
        <v>0</v>
      </c>
      <c r="G65" s="418">
        <f>'dod3'!G65-'dod3 до МВК'!G65</f>
        <v>0</v>
      </c>
      <c r="H65" s="418">
        <f>'dod3'!H65-'dod3 до МВК'!H65</f>
        <v>0</v>
      </c>
      <c r="I65" s="418">
        <f>'dod3'!I65-'dod3 до МВК'!I65</f>
        <v>0</v>
      </c>
      <c r="J65" s="418">
        <f>'dod3'!J65-'dod3 до МВК'!J65</f>
        <v>0</v>
      </c>
      <c r="K65" s="418">
        <f>'dod3'!K65-'dod3 до МВК'!K65</f>
        <v>0</v>
      </c>
      <c r="L65" s="418">
        <f>'dod3'!L65-'dod3 до МВК'!L65</f>
        <v>0</v>
      </c>
      <c r="M65" s="418">
        <f>'dod3'!M65-'dod3 до МВК'!M65</f>
        <v>0</v>
      </c>
      <c r="N65" s="418">
        <f>'dod3'!N65-'dod3 до МВК'!N65</f>
        <v>0</v>
      </c>
      <c r="O65" s="418">
        <f>'dod3'!O65-'dod3 до МВК'!O65</f>
        <v>0</v>
      </c>
      <c r="P65" s="418">
        <f>'dod3'!P65-'dod3 до МВК'!P65</f>
        <v>0</v>
      </c>
      <c r="Q65" s="418">
        <f>'dod3'!Q65-'dod3 до МВК'!Q65</f>
        <v>0</v>
      </c>
    </row>
    <row r="66" spans="1:17" s="146" customFormat="1" ht="320.25" x14ac:dyDescent="0.2">
      <c r="A66" s="424" t="s">
        <v>619</v>
      </c>
      <c r="B66" s="424" t="s">
        <v>620</v>
      </c>
      <c r="C66" s="424" t="s">
        <v>298</v>
      </c>
      <c r="D66" s="424" t="s">
        <v>621</v>
      </c>
      <c r="E66" s="418">
        <f>'dod3'!E66-'dod3 до МВК'!E66</f>
        <v>0</v>
      </c>
      <c r="F66" s="418">
        <f>'dod3'!F66-'dod3 до МВК'!F66</f>
        <v>0</v>
      </c>
      <c r="G66" s="418">
        <f>'dod3'!G66-'dod3 до МВК'!G66</f>
        <v>0</v>
      </c>
      <c r="H66" s="418">
        <f>'dod3'!H66-'dod3 до МВК'!H66</f>
        <v>0</v>
      </c>
      <c r="I66" s="418">
        <f>'dod3'!I66-'dod3 до МВК'!I66</f>
        <v>0</v>
      </c>
      <c r="J66" s="418">
        <f>'dod3'!J66-'dod3 до МВК'!J66</f>
        <v>0</v>
      </c>
      <c r="K66" s="418">
        <f>'dod3'!K66-'dod3 до МВК'!K66</f>
        <v>0</v>
      </c>
      <c r="L66" s="418">
        <f>'dod3'!L66-'dod3 до МВК'!L66</f>
        <v>0</v>
      </c>
      <c r="M66" s="418">
        <f>'dod3'!M66-'dod3 до МВК'!M66</f>
        <v>0</v>
      </c>
      <c r="N66" s="418">
        <f>'dod3'!N66-'dod3 до МВК'!N66</f>
        <v>0</v>
      </c>
      <c r="O66" s="418">
        <f>'dod3'!O66-'dod3 до МВК'!O66</f>
        <v>0</v>
      </c>
      <c r="P66" s="418">
        <f>'dod3'!P66-'dod3 до МВК'!P66</f>
        <v>0</v>
      </c>
      <c r="Q66" s="418">
        <f>'dod3'!Q66-'dod3 до МВК'!Q66</f>
        <v>0</v>
      </c>
    </row>
    <row r="67" spans="1:17" s="146" customFormat="1" ht="228.75" x14ac:dyDescent="0.2">
      <c r="A67" s="424" t="s">
        <v>556</v>
      </c>
      <c r="B67" s="424" t="s">
        <v>557</v>
      </c>
      <c r="C67" s="424" t="s">
        <v>298</v>
      </c>
      <c r="D67" s="424" t="s">
        <v>514</v>
      </c>
      <c r="E67" s="418">
        <f>'dod3'!E67-'dod3 до МВК'!E67</f>
        <v>0</v>
      </c>
      <c r="F67" s="418">
        <f>'dod3'!F67-'dod3 до МВК'!F67</f>
        <v>0</v>
      </c>
      <c r="G67" s="418">
        <f>'dod3'!G67-'dod3 до МВК'!G67</f>
        <v>0</v>
      </c>
      <c r="H67" s="418">
        <f>'dod3'!H67-'dod3 до МВК'!H67</f>
        <v>0</v>
      </c>
      <c r="I67" s="418">
        <f>'dod3'!I67-'dod3 до МВК'!I67</f>
        <v>0</v>
      </c>
      <c r="J67" s="418">
        <f>'dod3'!J67-'dod3 до МВК'!J67</f>
        <v>0</v>
      </c>
      <c r="K67" s="418">
        <f>'dod3'!K67-'dod3 до МВК'!K67</f>
        <v>0</v>
      </c>
      <c r="L67" s="418">
        <f>'dod3'!L67-'dod3 до МВК'!L67</f>
        <v>0</v>
      </c>
      <c r="M67" s="418">
        <f>'dod3'!M67-'dod3 до МВК'!M67</f>
        <v>0</v>
      </c>
      <c r="N67" s="418">
        <f>'dod3'!N67-'dod3 до МВК'!N67</f>
        <v>0</v>
      </c>
      <c r="O67" s="418">
        <f>'dod3'!O67-'dod3 до МВК'!O67</f>
        <v>0</v>
      </c>
      <c r="P67" s="418">
        <f>'dod3'!P67-'dod3 до МВК'!P67</f>
        <v>0</v>
      </c>
      <c r="Q67" s="418">
        <f>'dod3'!Q67-'dod3 до МВК'!Q67</f>
        <v>0</v>
      </c>
    </row>
    <row r="68" spans="1:17" s="146" customFormat="1" ht="320.25" x14ac:dyDescent="0.2">
      <c r="A68" s="424" t="s">
        <v>563</v>
      </c>
      <c r="B68" s="424" t="s">
        <v>564</v>
      </c>
      <c r="C68" s="424" t="s">
        <v>298</v>
      </c>
      <c r="D68" s="424" t="s">
        <v>565</v>
      </c>
      <c r="E68" s="418">
        <f>'dod3'!E68-'dod3 до МВК'!E68</f>
        <v>0</v>
      </c>
      <c r="F68" s="418">
        <f>'dod3'!F68-'dod3 до МВК'!F68</f>
        <v>0</v>
      </c>
      <c r="G68" s="418">
        <f>'dod3'!G68-'dod3 до МВК'!G68</f>
        <v>0</v>
      </c>
      <c r="H68" s="418">
        <f>'dod3'!H68-'dod3 до МВК'!H68</f>
        <v>0</v>
      </c>
      <c r="I68" s="418">
        <f>'dod3'!I68-'dod3 до МВК'!I68</f>
        <v>0</v>
      </c>
      <c r="J68" s="418">
        <f>'dod3'!J68-'dod3 до МВК'!J68</f>
        <v>0</v>
      </c>
      <c r="K68" s="418">
        <f>'dod3'!K68-'dod3 до МВК'!K68</f>
        <v>0</v>
      </c>
      <c r="L68" s="418">
        <f>'dod3'!L68-'dod3 до МВК'!L68</f>
        <v>0</v>
      </c>
      <c r="M68" s="418">
        <f>'dod3'!M68-'dod3 до МВК'!M68</f>
        <v>0</v>
      </c>
      <c r="N68" s="418">
        <f>'dod3'!N68-'dod3 до МВК'!N68</f>
        <v>0</v>
      </c>
      <c r="O68" s="418">
        <f>'dod3'!O68-'dod3 до МВК'!O68</f>
        <v>0</v>
      </c>
      <c r="P68" s="418">
        <f>'dod3'!P68-'dod3 до МВК'!P68</f>
        <v>0</v>
      </c>
      <c r="Q68" s="418">
        <f>'dod3'!Q68-'dod3 до МВК'!Q68</f>
        <v>0</v>
      </c>
    </row>
    <row r="69" spans="1:17" s="146" customFormat="1" ht="320.25" x14ac:dyDescent="0.2">
      <c r="A69" s="424" t="s">
        <v>561</v>
      </c>
      <c r="B69" s="424" t="s">
        <v>562</v>
      </c>
      <c r="C69" s="424" t="s">
        <v>298</v>
      </c>
      <c r="D69" s="424" t="s">
        <v>566</v>
      </c>
      <c r="E69" s="418">
        <f>'dod3'!E69-'dod3 до МВК'!E69</f>
        <v>0</v>
      </c>
      <c r="F69" s="418">
        <f>'dod3'!F69-'dod3 до МВК'!F69</f>
        <v>0</v>
      </c>
      <c r="G69" s="418">
        <f>'dod3'!G69-'dod3 до МВК'!G69</f>
        <v>0</v>
      </c>
      <c r="H69" s="418">
        <f>'dod3'!H69-'dod3 до МВК'!H69</f>
        <v>0</v>
      </c>
      <c r="I69" s="418">
        <f>'dod3'!I69-'dod3 до МВК'!I69</f>
        <v>0</v>
      </c>
      <c r="J69" s="418">
        <f>'dod3'!J69-'dod3 до МВК'!J69</f>
        <v>0</v>
      </c>
      <c r="K69" s="418">
        <f>'dod3'!K69-'dod3 до МВК'!K69</f>
        <v>0</v>
      </c>
      <c r="L69" s="418">
        <f>'dod3'!L69-'dod3 до МВК'!L69</f>
        <v>0</v>
      </c>
      <c r="M69" s="418">
        <f>'dod3'!M69-'dod3 до МВК'!M69</f>
        <v>0</v>
      </c>
      <c r="N69" s="418">
        <f>'dod3'!N69-'dod3 до МВК'!N69</f>
        <v>0</v>
      </c>
      <c r="O69" s="418">
        <f>'dod3'!O69-'dod3 до МВК'!O69</f>
        <v>0</v>
      </c>
      <c r="P69" s="418">
        <f>'dod3'!P69-'dod3 до МВК'!P69</f>
        <v>0</v>
      </c>
      <c r="Q69" s="418">
        <f>'dod3'!Q69-'dod3 до МВК'!Q69</f>
        <v>0</v>
      </c>
    </row>
    <row r="70" spans="1:17" ht="163.5" customHeight="1" x14ac:dyDescent="0.2">
      <c r="A70" s="424" t="s">
        <v>386</v>
      </c>
      <c r="B70" s="424" t="s">
        <v>377</v>
      </c>
      <c r="C70" s="424" t="s">
        <v>305</v>
      </c>
      <c r="D70" s="424" t="s">
        <v>515</v>
      </c>
      <c r="E70" s="418">
        <f>'dod3'!E70-'dod3 до МВК'!E70</f>
        <v>0</v>
      </c>
      <c r="F70" s="418">
        <f>'dod3'!F70-'dod3 до МВК'!F70</f>
        <v>0</v>
      </c>
      <c r="G70" s="418">
        <f>'dod3'!G70-'dod3 до МВК'!G70</f>
        <v>0</v>
      </c>
      <c r="H70" s="418">
        <f>'dod3'!H70-'dod3 до МВК'!H70</f>
        <v>0</v>
      </c>
      <c r="I70" s="418">
        <f>'dod3'!I70-'dod3 до МВК'!I70</f>
        <v>0</v>
      </c>
      <c r="J70" s="418">
        <f>'dod3'!J70-'dod3 до МВК'!J70</f>
        <v>0</v>
      </c>
      <c r="K70" s="418">
        <f>'dod3'!K70-'dod3 до МВК'!K70</f>
        <v>0</v>
      </c>
      <c r="L70" s="418">
        <f>'dod3'!L70-'dod3 до МВК'!L70</f>
        <v>0</v>
      </c>
      <c r="M70" s="418">
        <f>'dod3'!M70-'dod3 до МВК'!M70</f>
        <v>0</v>
      </c>
      <c r="N70" s="418">
        <f>'dod3'!N70-'dod3 до МВК'!N70</f>
        <v>0</v>
      </c>
      <c r="O70" s="418">
        <f>'dod3'!O70-'dod3 до МВК'!O70</f>
        <v>0</v>
      </c>
      <c r="P70" s="418">
        <f>'dod3'!P70-'dod3 до МВК'!P70</f>
        <v>0</v>
      </c>
      <c r="Q70" s="418">
        <f>'dod3'!Q70-'dod3 до МВК'!Q70</f>
        <v>0</v>
      </c>
    </row>
    <row r="71" spans="1:17" ht="301.7" customHeight="1" x14ac:dyDescent="0.2">
      <c r="A71" s="424" t="s">
        <v>407</v>
      </c>
      <c r="B71" s="424" t="s">
        <v>405</v>
      </c>
      <c r="C71" s="424" t="s">
        <v>299</v>
      </c>
      <c r="D71" s="424" t="s">
        <v>35</v>
      </c>
      <c r="E71" s="418">
        <f>'dod3'!E71-'dod3 до МВК'!E71</f>
        <v>0</v>
      </c>
      <c r="F71" s="418">
        <f>'dod3'!F71-'dod3 до МВК'!F71</f>
        <v>0</v>
      </c>
      <c r="G71" s="418">
        <f>'dod3'!G71-'dod3 до МВК'!G71</f>
        <v>0</v>
      </c>
      <c r="H71" s="418">
        <f>'dod3'!H71-'dod3 до МВК'!H71</f>
        <v>0</v>
      </c>
      <c r="I71" s="418">
        <f>'dod3'!I71-'dod3 до МВК'!I71</f>
        <v>0</v>
      </c>
      <c r="J71" s="418">
        <f>'dod3'!J71-'dod3 до МВК'!J71</f>
        <v>0</v>
      </c>
      <c r="K71" s="418">
        <f>'dod3'!K71-'dod3 до МВК'!K71</f>
        <v>0</v>
      </c>
      <c r="L71" s="418">
        <f>'dod3'!L71-'dod3 до МВК'!L71</f>
        <v>0</v>
      </c>
      <c r="M71" s="418">
        <f>'dod3'!M71-'dod3 до МВК'!M71</f>
        <v>0</v>
      </c>
      <c r="N71" s="418">
        <f>'dod3'!N71-'dod3 до МВК'!N71</f>
        <v>0</v>
      </c>
      <c r="O71" s="418">
        <f>'dod3'!O71-'dod3 до МВК'!O71</f>
        <v>0</v>
      </c>
      <c r="P71" s="418">
        <f>'dod3'!P71-'dod3 до МВК'!P71</f>
        <v>0</v>
      </c>
      <c r="Q71" s="418">
        <f>'dod3'!Q71-'dod3 до МВК'!Q71</f>
        <v>0</v>
      </c>
    </row>
    <row r="72" spans="1:17" ht="183" x14ac:dyDescent="0.2">
      <c r="A72" s="424" t="s">
        <v>408</v>
      </c>
      <c r="B72" s="424" t="s">
        <v>406</v>
      </c>
      <c r="C72" s="424" t="s">
        <v>298</v>
      </c>
      <c r="D72" s="424" t="s">
        <v>516</v>
      </c>
      <c r="E72" s="418">
        <f>'dod3'!E72-'dod3 до МВК'!E72</f>
        <v>0</v>
      </c>
      <c r="F72" s="418">
        <f>'dod3'!F72-'dod3 до МВК'!F72</f>
        <v>0</v>
      </c>
      <c r="G72" s="418">
        <f>'dod3'!G72-'dod3 до МВК'!G72</f>
        <v>0</v>
      </c>
      <c r="H72" s="418">
        <f>'dod3'!H72-'dod3 до МВК'!H72</f>
        <v>0</v>
      </c>
      <c r="I72" s="418">
        <f>'dod3'!I72-'dod3 до МВК'!I72</f>
        <v>0</v>
      </c>
      <c r="J72" s="418">
        <f>'dod3'!J72-'dod3 до МВК'!J72</f>
        <v>0</v>
      </c>
      <c r="K72" s="418">
        <f>'dod3'!K72-'dod3 до МВК'!K72</f>
        <v>0</v>
      </c>
      <c r="L72" s="418">
        <f>'dod3'!L72-'dod3 до МВК'!L72</f>
        <v>0</v>
      </c>
      <c r="M72" s="418">
        <f>'dod3'!M72-'dod3 до МВК'!M72</f>
        <v>0</v>
      </c>
      <c r="N72" s="418">
        <f>'dod3'!N72-'dod3 до МВК'!N72</f>
        <v>0</v>
      </c>
      <c r="O72" s="418">
        <f>'dod3'!O72-'dod3 до МВК'!O72</f>
        <v>0</v>
      </c>
      <c r="P72" s="418">
        <f>'dod3'!P72-'dod3 до МВК'!P72</f>
        <v>0</v>
      </c>
      <c r="Q72" s="418">
        <f>'dod3'!Q72-'dod3 до МВК'!Q72</f>
        <v>0</v>
      </c>
    </row>
    <row r="73" spans="1:17" ht="409.5" x14ac:dyDescent="0.2">
      <c r="A73" s="424" t="s">
        <v>403</v>
      </c>
      <c r="B73" s="424" t="s">
        <v>404</v>
      </c>
      <c r="C73" s="424" t="s">
        <v>298</v>
      </c>
      <c r="D73" s="424" t="s">
        <v>517</v>
      </c>
      <c r="E73" s="418">
        <f>'dod3'!E73-'dod3 до МВК'!E73</f>
        <v>0</v>
      </c>
      <c r="F73" s="418">
        <f>'dod3'!F73-'dod3 до МВК'!F73</f>
        <v>0</v>
      </c>
      <c r="G73" s="418">
        <f>'dod3'!G73-'dod3 до МВК'!G73</f>
        <v>0</v>
      </c>
      <c r="H73" s="418">
        <f>'dod3'!H73-'dod3 до МВК'!H73</f>
        <v>0</v>
      </c>
      <c r="I73" s="418">
        <f>'dod3'!I73-'dod3 до МВК'!I73</f>
        <v>0</v>
      </c>
      <c r="J73" s="418">
        <f>'dod3'!J73-'dod3 до МВК'!J73</f>
        <v>0</v>
      </c>
      <c r="K73" s="418">
        <f>'dod3'!K73-'dod3 до МВК'!K73</f>
        <v>0</v>
      </c>
      <c r="L73" s="418">
        <f>'dod3'!L73-'dod3 до МВК'!L73</f>
        <v>0</v>
      </c>
      <c r="M73" s="418">
        <f>'dod3'!M73-'dod3 до МВК'!M73</f>
        <v>0</v>
      </c>
      <c r="N73" s="418">
        <f>'dod3'!N73-'dod3 до МВК'!N73</f>
        <v>0</v>
      </c>
      <c r="O73" s="418">
        <f>'dod3'!O73-'dod3 до МВК'!O73</f>
        <v>0</v>
      </c>
      <c r="P73" s="418">
        <f>'dod3'!P73-'dod3 до МВК'!P73</f>
        <v>0</v>
      </c>
      <c r="Q73" s="418">
        <f>'dod3'!Q73-'dod3 до МВК'!Q73</f>
        <v>0</v>
      </c>
    </row>
    <row r="74" spans="1:17" ht="320.25" x14ac:dyDescent="0.2">
      <c r="A74" s="424" t="s">
        <v>518</v>
      </c>
      <c r="B74" s="424" t="s">
        <v>519</v>
      </c>
      <c r="C74" s="424" t="s">
        <v>298</v>
      </c>
      <c r="D74" s="424" t="s">
        <v>567</v>
      </c>
      <c r="E74" s="338">
        <f>'dod3'!E74-'dod3 до МВК'!E74</f>
        <v>0</v>
      </c>
      <c r="F74" s="338">
        <f>'dod3'!F74-'dod3 до МВК'!F74</f>
        <v>0</v>
      </c>
      <c r="G74" s="338">
        <f>'dod3'!G74-'dod3 до МВК'!G74</f>
        <v>0</v>
      </c>
      <c r="H74" s="338">
        <f>'dod3'!H74-'dod3 до МВК'!H74</f>
        <v>0</v>
      </c>
      <c r="I74" s="338">
        <f>'dod3'!I74-'dod3 до МВК'!I74</f>
        <v>0</v>
      </c>
      <c r="J74" s="338">
        <f>'dod3'!J74-'dod3 до МВК'!J74</f>
        <v>0</v>
      </c>
      <c r="K74" s="338">
        <f>'dod3'!K74-'dod3 до МВК'!K74</f>
        <v>0</v>
      </c>
      <c r="L74" s="338">
        <f>'dod3'!L74-'dod3 до МВК'!L74</f>
        <v>0</v>
      </c>
      <c r="M74" s="338">
        <f>'dod3'!M74-'dod3 до МВК'!M74</f>
        <v>0</v>
      </c>
      <c r="N74" s="338">
        <f>'dod3'!N74-'dod3 до МВК'!N74</f>
        <v>0</v>
      </c>
      <c r="O74" s="338">
        <f>'dod3'!O74-'dod3 до МВК'!O74</f>
        <v>0</v>
      </c>
      <c r="P74" s="338">
        <f>'dod3'!P74-'dod3 до МВК'!P74</f>
        <v>0</v>
      </c>
      <c r="Q74" s="338">
        <f>'dod3'!Q74-'dod3 до МВК'!Q74</f>
        <v>0</v>
      </c>
    </row>
    <row r="75" spans="1:17" ht="112.7" customHeight="1" x14ac:dyDescent="0.2">
      <c r="A75" s="424" t="s">
        <v>520</v>
      </c>
      <c r="B75" s="424" t="s">
        <v>521</v>
      </c>
      <c r="C75" s="424" t="s">
        <v>298</v>
      </c>
      <c r="D75" s="424" t="s">
        <v>568</v>
      </c>
      <c r="E75" s="338">
        <f>'dod3'!E75-'dod3 до МВК'!E75</f>
        <v>0</v>
      </c>
      <c r="F75" s="338">
        <f>'dod3'!F75-'dod3 до МВК'!F75</f>
        <v>0</v>
      </c>
      <c r="G75" s="338">
        <f>'dod3'!G75-'dod3 до МВК'!G75</f>
        <v>0</v>
      </c>
      <c r="H75" s="338">
        <f>'dod3'!H75-'dod3 до МВК'!H75</f>
        <v>0</v>
      </c>
      <c r="I75" s="338">
        <f>'dod3'!I75-'dod3 до МВК'!I75</f>
        <v>0</v>
      </c>
      <c r="J75" s="338">
        <f>'dod3'!J75-'dod3 до МВК'!J75</f>
        <v>0</v>
      </c>
      <c r="K75" s="338">
        <f>'dod3'!K75-'dod3 до МВК'!K75</f>
        <v>0</v>
      </c>
      <c r="L75" s="338">
        <f>'dod3'!L75-'dod3 до МВК'!L75</f>
        <v>0</v>
      </c>
      <c r="M75" s="338">
        <f>'dod3'!M75-'dod3 до МВК'!M75</f>
        <v>0</v>
      </c>
      <c r="N75" s="338">
        <f>'dod3'!N75-'dod3 до МВК'!N75</f>
        <v>0</v>
      </c>
      <c r="O75" s="338">
        <f>'dod3'!O75-'dod3 до МВК'!O75</f>
        <v>0</v>
      </c>
      <c r="P75" s="338">
        <f>'dod3'!P75-'dod3 до МВК'!P75</f>
        <v>0</v>
      </c>
      <c r="Q75" s="338">
        <f>'dod3'!Q75-'dod3 до МВК'!Q75</f>
        <v>0</v>
      </c>
    </row>
    <row r="76" spans="1:17" ht="409.5" x14ac:dyDescent="0.2">
      <c r="A76" s="424" t="s">
        <v>571</v>
      </c>
      <c r="B76" s="424" t="s">
        <v>570</v>
      </c>
      <c r="C76" s="424" t="s">
        <v>79</v>
      </c>
      <c r="D76" s="424" t="s">
        <v>569</v>
      </c>
      <c r="E76" s="338">
        <f>'dod3'!E76-'dod3 до МВК'!E76</f>
        <v>0</v>
      </c>
      <c r="F76" s="338">
        <f>'dod3'!F76-'dod3 до МВК'!F76</f>
        <v>0</v>
      </c>
      <c r="G76" s="338">
        <f>'dod3'!G76-'dod3 до МВК'!G76</f>
        <v>0</v>
      </c>
      <c r="H76" s="338">
        <f>'dod3'!H76-'dod3 до МВК'!H76</f>
        <v>0</v>
      </c>
      <c r="I76" s="338">
        <f>'dod3'!I76-'dod3 до МВК'!I76</f>
        <v>0</v>
      </c>
      <c r="J76" s="338">
        <f>'dod3'!J76-'dod3 до МВК'!J76</f>
        <v>0</v>
      </c>
      <c r="K76" s="338">
        <f>'dod3'!K76-'dod3 до МВК'!K76</f>
        <v>0</v>
      </c>
      <c r="L76" s="338">
        <f>'dod3'!L76-'dod3 до МВК'!L76</f>
        <v>0</v>
      </c>
      <c r="M76" s="338">
        <f>'dod3'!M76-'dod3 до МВК'!M76</f>
        <v>0</v>
      </c>
      <c r="N76" s="338">
        <f>'dod3'!N76-'dod3 до МВК'!N76</f>
        <v>0</v>
      </c>
      <c r="O76" s="338">
        <f>'dod3'!O76-'dod3 до МВК'!O76</f>
        <v>0</v>
      </c>
      <c r="P76" s="338">
        <f>'dod3'!P76-'dod3 до МВК'!P76</f>
        <v>0</v>
      </c>
      <c r="Q76" s="338">
        <f>'dod3'!Q76-'dod3 до МВК'!Q76</f>
        <v>0</v>
      </c>
    </row>
    <row r="77" spans="1:17" ht="274.5" x14ac:dyDescent="0.2">
      <c r="A77" s="424" t="s">
        <v>522</v>
      </c>
      <c r="B77" s="424" t="s">
        <v>523</v>
      </c>
      <c r="C77" s="424" t="s">
        <v>305</v>
      </c>
      <c r="D77" s="424" t="s">
        <v>572</v>
      </c>
      <c r="E77" s="338">
        <f>'dod3'!E77-'dod3 до МВК'!E77</f>
        <v>0</v>
      </c>
      <c r="F77" s="338">
        <f>'dod3'!F77-'dod3 до МВК'!F77</f>
        <v>0</v>
      </c>
      <c r="G77" s="338">
        <f>'dod3'!G77-'dod3 до МВК'!G77</f>
        <v>0</v>
      </c>
      <c r="H77" s="338">
        <f>'dod3'!H77-'dod3 до МВК'!H77</f>
        <v>0</v>
      </c>
      <c r="I77" s="338">
        <f>'dod3'!I77-'dod3 до МВК'!I77</f>
        <v>0</v>
      </c>
      <c r="J77" s="338">
        <f>'dod3'!J77-'dod3 до МВК'!J77</f>
        <v>0</v>
      </c>
      <c r="K77" s="338">
        <f>'dod3'!K77-'dod3 до МВК'!K77</f>
        <v>0</v>
      </c>
      <c r="L77" s="338">
        <f>'dod3'!L77-'dod3 до МВК'!L77</f>
        <v>0</v>
      </c>
      <c r="M77" s="338">
        <f>'dod3'!M77-'dod3 до МВК'!M77</f>
        <v>0</v>
      </c>
      <c r="N77" s="338">
        <f>'dod3'!N77-'dod3 до МВК'!N77</f>
        <v>0</v>
      </c>
      <c r="O77" s="338">
        <f>'dod3'!O77-'dod3 до МВК'!O77</f>
        <v>0</v>
      </c>
      <c r="P77" s="338">
        <f>'dod3'!P77-'dod3 до МВК'!P77</f>
        <v>0</v>
      </c>
      <c r="Q77" s="338">
        <f>'dod3'!Q77-'dod3 до МВК'!Q77</f>
        <v>0</v>
      </c>
    </row>
    <row r="78" spans="1:17" ht="91.5" x14ac:dyDescent="0.2">
      <c r="A78" s="424" t="s">
        <v>639</v>
      </c>
      <c r="B78" s="424" t="s">
        <v>640</v>
      </c>
      <c r="C78" s="424" t="s">
        <v>641</v>
      </c>
      <c r="D78" s="424" t="s">
        <v>638</v>
      </c>
      <c r="E78" s="338">
        <f>'dod3'!E78-'dod3 до МВК'!E78</f>
        <v>0</v>
      </c>
      <c r="F78" s="338">
        <f>'dod3'!F78-'dod3 до МВК'!F78</f>
        <v>0</v>
      </c>
      <c r="G78" s="338">
        <f>'dod3'!G78-'dod3 до МВК'!G78</f>
        <v>0</v>
      </c>
      <c r="H78" s="338">
        <f>'dod3'!H78-'dod3 до МВК'!H78</f>
        <v>0</v>
      </c>
      <c r="I78" s="338">
        <f>'dod3'!I78-'dod3 до МВК'!I78</f>
        <v>0</v>
      </c>
      <c r="J78" s="338">
        <f>'dod3'!J78-'dod3 до МВК'!J78</f>
        <v>0</v>
      </c>
      <c r="K78" s="338">
        <f>'dod3'!K78-'dod3 до МВК'!K78</f>
        <v>0</v>
      </c>
      <c r="L78" s="338">
        <f>'dod3'!L78-'dod3 до МВК'!L78</f>
        <v>0</v>
      </c>
      <c r="M78" s="338">
        <f>'dod3'!M78-'dod3 до МВК'!M78</f>
        <v>0</v>
      </c>
      <c r="N78" s="338">
        <f>'dod3'!N78-'dod3 до МВК'!N78</f>
        <v>0</v>
      </c>
      <c r="O78" s="338">
        <f>'dod3'!O78-'dod3 до МВК'!O78</f>
        <v>0</v>
      </c>
      <c r="P78" s="338">
        <f>'dod3'!P78-'dod3 до МВК'!P78</f>
        <v>0</v>
      </c>
      <c r="Q78" s="338">
        <f>'dod3'!Q78-'dod3 до МВК'!Q78</f>
        <v>0</v>
      </c>
    </row>
    <row r="79" spans="1:17" ht="409.5" x14ac:dyDescent="0.2">
      <c r="A79" s="444" t="s">
        <v>402</v>
      </c>
      <c r="B79" s="444" t="s">
        <v>287</v>
      </c>
      <c r="C79" s="452" t="s">
        <v>280</v>
      </c>
      <c r="D79" s="303" t="s">
        <v>524</v>
      </c>
      <c r="E79" s="457">
        <f>'dod3'!E79-'dod3 до МВК'!E79</f>
        <v>0</v>
      </c>
      <c r="F79" s="457">
        <f>'dod3'!F79-'dod3 до МВК'!F79</f>
        <v>0</v>
      </c>
      <c r="G79" s="457">
        <f>'dod3'!G79-'dod3 до МВК'!G79</f>
        <v>0</v>
      </c>
      <c r="H79" s="457">
        <f>'dod3'!H79-'dod3 до МВК'!H79</f>
        <v>0</v>
      </c>
      <c r="I79" s="457">
        <f>'dod3'!I79-'dod3 до МВК'!I79</f>
        <v>0</v>
      </c>
      <c r="J79" s="457">
        <f>'dod3'!J79-'dod3 до МВК'!J79</f>
        <v>0</v>
      </c>
      <c r="K79" s="457">
        <f>'dod3'!K79-'dod3 до МВК'!K79</f>
        <v>0</v>
      </c>
      <c r="L79" s="457">
        <f>'dod3'!L79-'dod3 до МВК'!L79</f>
        <v>0</v>
      </c>
      <c r="M79" s="457">
        <f>'dod3'!M79-'dod3 до МВК'!M79</f>
        <v>0</v>
      </c>
      <c r="N79" s="457">
        <f>'dod3'!N79-'dod3 до МВК'!N79</f>
        <v>0</v>
      </c>
      <c r="O79" s="338">
        <f>'dod3'!O79-'dod3 до МВК'!O79</f>
        <v>0</v>
      </c>
      <c r="P79" s="457">
        <f>'dod3'!P79-'dod3 до МВК'!P79</f>
        <v>0</v>
      </c>
      <c r="Q79" s="457">
        <f>'dod3'!Q79-'dod3 до МВК'!Q79</f>
        <v>0</v>
      </c>
    </row>
    <row r="80" spans="1:17" ht="327.75" customHeight="1" x14ac:dyDescent="0.2">
      <c r="A80" s="445"/>
      <c r="B80" s="445"/>
      <c r="C80" s="453"/>
      <c r="D80" s="308" t="s">
        <v>525</v>
      </c>
      <c r="E80" s="441"/>
      <c r="F80" s="441"/>
      <c r="G80" s="441"/>
      <c r="H80" s="441"/>
      <c r="I80" s="441"/>
      <c r="J80" s="441"/>
      <c r="K80" s="441"/>
      <c r="L80" s="441"/>
      <c r="M80" s="441"/>
      <c r="N80" s="441"/>
      <c r="O80" s="338"/>
      <c r="P80" s="441"/>
      <c r="Q80" s="441"/>
    </row>
    <row r="81" spans="1:19" ht="183" x14ac:dyDescent="0.2">
      <c r="A81" s="424" t="s">
        <v>526</v>
      </c>
      <c r="B81" s="424" t="s">
        <v>528</v>
      </c>
      <c r="C81" s="424" t="s">
        <v>288</v>
      </c>
      <c r="D81" s="306" t="s">
        <v>530</v>
      </c>
      <c r="E81" s="338">
        <f>'dod3'!E81-'dod3 до МВК'!E81</f>
        <v>0</v>
      </c>
      <c r="F81" s="338">
        <f>'dod3'!F81-'dod3 до МВК'!F81</f>
        <v>0</v>
      </c>
      <c r="G81" s="338">
        <f>'dod3'!G81-'dod3 до МВК'!G81</f>
        <v>0</v>
      </c>
      <c r="H81" s="338">
        <f>'dod3'!H81-'dod3 до МВК'!H81</f>
        <v>0</v>
      </c>
      <c r="I81" s="338">
        <f>'dod3'!I81-'dod3 до МВК'!I81</f>
        <v>0</v>
      </c>
      <c r="J81" s="338">
        <f>'dod3'!J81-'dod3 до МВК'!J81</f>
        <v>0</v>
      </c>
      <c r="K81" s="338">
        <f>'dod3'!K81-'dod3 до МВК'!K81</f>
        <v>0</v>
      </c>
      <c r="L81" s="338">
        <f>'dod3'!L81-'dod3 до МВК'!L81</f>
        <v>0</v>
      </c>
      <c r="M81" s="338">
        <f>'dod3'!M81-'dod3 до МВК'!M81</f>
        <v>0</v>
      </c>
      <c r="N81" s="338">
        <f>'dod3'!N81-'dod3 до МВК'!N81</f>
        <v>0</v>
      </c>
      <c r="O81" s="338">
        <f>'dod3'!O81-'dod3 до МВК'!O81</f>
        <v>0</v>
      </c>
      <c r="P81" s="338">
        <f>'dod3'!P81-'dod3 до МВК'!P81</f>
        <v>0</v>
      </c>
      <c r="Q81" s="338">
        <f>'dod3'!Q81-'dod3 до МВК'!Q81</f>
        <v>0</v>
      </c>
    </row>
    <row r="82" spans="1:19" ht="137.25" x14ac:dyDescent="0.2">
      <c r="A82" s="424" t="s">
        <v>527</v>
      </c>
      <c r="B82" s="424" t="s">
        <v>529</v>
      </c>
      <c r="C82" s="424" t="s">
        <v>288</v>
      </c>
      <c r="D82" s="306" t="s">
        <v>531</v>
      </c>
      <c r="E82" s="338">
        <f>'dod3'!E82-'dod3 до МВК'!E82</f>
        <v>0</v>
      </c>
      <c r="F82" s="338">
        <f>'dod3'!F82-'dod3 до МВК'!F82</f>
        <v>0</v>
      </c>
      <c r="G82" s="338">
        <f>'dod3'!G82-'dod3 до МВК'!G82</f>
        <v>0</v>
      </c>
      <c r="H82" s="338">
        <f>'dod3'!H82-'dod3 до МВК'!H82</f>
        <v>0</v>
      </c>
      <c r="I82" s="338">
        <f>'dod3'!I82-'dod3 до МВК'!I82</f>
        <v>0</v>
      </c>
      <c r="J82" s="338">
        <f>'dod3'!J82-'dod3 до МВК'!J82</f>
        <v>0</v>
      </c>
      <c r="K82" s="338">
        <f>'dod3'!K82-'dod3 до МВК'!K82</f>
        <v>0</v>
      </c>
      <c r="L82" s="338">
        <f>'dod3'!L82-'dod3 до МВК'!L82</f>
        <v>0</v>
      </c>
      <c r="M82" s="338">
        <f>'dod3'!M82-'dod3 до МВК'!M82</f>
        <v>0</v>
      </c>
      <c r="N82" s="338">
        <f>'dod3'!N82-'dod3 до МВК'!N82</f>
        <v>0</v>
      </c>
      <c r="O82" s="338">
        <f>'dod3'!O82-'dod3 до МВК'!O82</f>
        <v>0</v>
      </c>
      <c r="P82" s="338">
        <f>'dod3'!P82-'dod3 до МВК'!P82</f>
        <v>0</v>
      </c>
      <c r="Q82" s="338">
        <f>'dod3'!Q82-'dod3 до МВК'!Q82</f>
        <v>0</v>
      </c>
    </row>
    <row r="83" spans="1:19" ht="183" x14ac:dyDescent="0.2">
      <c r="A83" s="424" t="s">
        <v>612</v>
      </c>
      <c r="B83" s="424" t="s">
        <v>610</v>
      </c>
      <c r="C83" s="424" t="s">
        <v>545</v>
      </c>
      <c r="D83" s="306" t="s">
        <v>611</v>
      </c>
      <c r="E83" s="338">
        <f>'dod3'!E83-'dod3 до МВК'!E83</f>
        <v>0</v>
      </c>
      <c r="F83" s="338">
        <f>'dod3'!F83-'dod3 до МВК'!F83</f>
        <v>0</v>
      </c>
      <c r="G83" s="338">
        <f>'dod3'!G83-'dod3 до МВК'!G83</f>
        <v>0</v>
      </c>
      <c r="H83" s="338">
        <f>'dod3'!H83-'dod3 до МВК'!H83</f>
        <v>0</v>
      </c>
      <c r="I83" s="338">
        <f>'dod3'!I83-'dod3 до МВК'!I83</f>
        <v>0</v>
      </c>
      <c r="J83" s="338">
        <f>'dod3'!J83-'dod3 до МВК'!J83</f>
        <v>0</v>
      </c>
      <c r="K83" s="338">
        <f>'dod3'!K83-'dod3 до МВК'!K83</f>
        <v>0</v>
      </c>
      <c r="L83" s="338">
        <f>'dod3'!L83-'dod3 до МВК'!L83</f>
        <v>0</v>
      </c>
      <c r="M83" s="338">
        <f>'dod3'!M83-'dod3 до МВК'!M83</f>
        <v>0</v>
      </c>
      <c r="N83" s="338">
        <f>'dod3'!N83-'dod3 до МВК'!N83</f>
        <v>0</v>
      </c>
      <c r="O83" s="338">
        <f>'dod3'!O83-'dod3 до МВК'!O83</f>
        <v>0</v>
      </c>
      <c r="P83" s="338">
        <f>'dod3'!P83-'dod3 до МВК'!P83</f>
        <v>0</v>
      </c>
      <c r="Q83" s="338">
        <f>'dod3'!Q83-'dod3 до МВК'!Q83</f>
        <v>0</v>
      </c>
    </row>
    <row r="84" spans="1:19" ht="91.5" x14ac:dyDescent="0.2">
      <c r="A84" s="424" t="s">
        <v>721</v>
      </c>
      <c r="B84" s="424" t="s">
        <v>722</v>
      </c>
      <c r="C84" s="424" t="s">
        <v>453</v>
      </c>
      <c r="D84" s="306" t="s">
        <v>723</v>
      </c>
      <c r="E84" s="338">
        <f>'dod3'!E84-'dod3 до МВК'!E84</f>
        <v>0</v>
      </c>
      <c r="F84" s="338">
        <f>'dod3'!F84-'dod3 до МВК'!F84</f>
        <v>0</v>
      </c>
      <c r="G84" s="338">
        <f>'dod3'!G84-'dod3 до МВК'!G84</f>
        <v>0</v>
      </c>
      <c r="H84" s="338">
        <f>'dod3'!H84-'dod3 до МВК'!H84</f>
        <v>0</v>
      </c>
      <c r="I84" s="338">
        <f>'dod3'!I84-'dod3 до МВК'!I84</f>
        <v>0</v>
      </c>
      <c r="J84" s="338">
        <f>'dod3'!J84-'dod3 до МВК'!J84</f>
        <v>0</v>
      </c>
      <c r="K84" s="338">
        <f>'dod3'!K84-'dod3 до МВК'!K84</f>
        <v>0</v>
      </c>
      <c r="L84" s="338">
        <f>'dod3'!L84-'dod3 до МВК'!L84</f>
        <v>0</v>
      </c>
      <c r="M84" s="338">
        <f>'dod3'!M84-'dod3 до МВК'!M84</f>
        <v>0</v>
      </c>
      <c r="N84" s="338">
        <f>'dod3'!N84-'dod3 до МВК'!N84</f>
        <v>0</v>
      </c>
      <c r="O84" s="338">
        <f>'dod3'!O84-'dod3 до МВК'!O84</f>
        <v>0</v>
      </c>
      <c r="P84" s="338">
        <f>'dod3'!P84-'dod3 до МВК'!P84</f>
        <v>0</v>
      </c>
      <c r="Q84" s="338">
        <f>'dod3'!Q84-'dod3 до МВК'!Q84</f>
        <v>0</v>
      </c>
    </row>
    <row r="85" spans="1:19" ht="409.5" x14ac:dyDescent="0.2">
      <c r="A85" s="444" t="s">
        <v>771</v>
      </c>
      <c r="B85" s="444" t="s">
        <v>541</v>
      </c>
      <c r="C85" s="444" t="s">
        <v>257</v>
      </c>
      <c r="D85" s="352" t="s">
        <v>552</v>
      </c>
      <c r="E85" s="457">
        <f>'dod3'!E85-'dod3 до МВК'!E85</f>
        <v>0</v>
      </c>
      <c r="F85" s="457">
        <f>'dod3'!F85-'dod3 до МВК'!F85</f>
        <v>0</v>
      </c>
      <c r="G85" s="457">
        <f>'dod3'!G85-'dod3 до МВК'!G85</f>
        <v>0</v>
      </c>
      <c r="H85" s="457">
        <f>'dod3'!H85-'dod3 до МВК'!H85</f>
        <v>0</v>
      </c>
      <c r="I85" s="457">
        <f>'dod3'!I85-'dod3 до МВК'!I85</f>
        <v>0</v>
      </c>
      <c r="J85" s="457">
        <f>'dod3'!J85-'dod3 до МВК'!J85</f>
        <v>0</v>
      </c>
      <c r="K85" s="457">
        <f>'dod3'!K85-'dod3 до МВК'!K85</f>
        <v>0</v>
      </c>
      <c r="L85" s="457">
        <f>'dod3'!L85-'dod3 до МВК'!L85</f>
        <v>0</v>
      </c>
      <c r="M85" s="457">
        <f>'dod3'!M85-'dod3 до МВК'!M85</f>
        <v>0</v>
      </c>
      <c r="N85" s="457">
        <f>'dod3'!N85-'dod3 до МВК'!N85</f>
        <v>0</v>
      </c>
      <c r="O85" s="338">
        <f>'dod3'!O85-'dod3 до МВК'!O85</f>
        <v>0</v>
      </c>
      <c r="P85" s="457">
        <f>'dod3'!P85-'dod3 до МВК'!P85</f>
        <v>0</v>
      </c>
      <c r="Q85" s="457">
        <f>'dod3'!Q85-'dod3 до МВК'!Q85</f>
        <v>0</v>
      </c>
      <c r="R85" s="143">
        <f>Q85</f>
        <v>0</v>
      </c>
    </row>
    <row r="86" spans="1:19" ht="137.25" x14ac:dyDescent="0.2">
      <c r="A86" s="445"/>
      <c r="B86" s="445"/>
      <c r="C86" s="445"/>
      <c r="D86" s="362" t="s">
        <v>553</v>
      </c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338"/>
      <c r="P86" s="441"/>
      <c r="Q86" s="441"/>
    </row>
    <row r="87" spans="1:19" ht="180" x14ac:dyDescent="0.2">
      <c r="A87" s="281">
        <v>1000000</v>
      </c>
      <c r="B87" s="281"/>
      <c r="C87" s="281"/>
      <c r="D87" s="282" t="s">
        <v>43</v>
      </c>
      <c r="E87" s="365">
        <f>E88</f>
        <v>0</v>
      </c>
      <c r="F87" s="365">
        <f t="shared" ref="F87:G87" si="17">F88</f>
        <v>0</v>
      </c>
      <c r="G87" s="365">
        <f t="shared" si="17"/>
        <v>0</v>
      </c>
      <c r="H87" s="365">
        <f>H88</f>
        <v>0</v>
      </c>
      <c r="I87" s="365">
        <f t="shared" ref="I87" si="18">I88</f>
        <v>0</v>
      </c>
      <c r="J87" s="365">
        <f>J88</f>
        <v>0</v>
      </c>
      <c r="K87" s="365">
        <f>K88</f>
        <v>0</v>
      </c>
      <c r="L87" s="365">
        <f>L88</f>
        <v>0</v>
      </c>
      <c r="M87" s="365">
        <f t="shared" ref="M87" si="19">M88</f>
        <v>0</v>
      </c>
      <c r="N87" s="365">
        <f>N88</f>
        <v>0</v>
      </c>
      <c r="O87" s="284">
        <f t="shared" ref="O87:Q87" si="20">O88</f>
        <v>0</v>
      </c>
      <c r="P87" s="365">
        <f>K87+O87</f>
        <v>0</v>
      </c>
      <c r="Q87" s="283">
        <f t="shared" si="20"/>
        <v>0</v>
      </c>
    </row>
    <row r="88" spans="1:19" ht="225" x14ac:dyDescent="0.2">
      <c r="A88" s="285">
        <v>1010000</v>
      </c>
      <c r="B88" s="285"/>
      <c r="C88" s="285"/>
      <c r="D88" s="286" t="s">
        <v>62</v>
      </c>
      <c r="E88" s="284">
        <f>F88</f>
        <v>0</v>
      </c>
      <c r="F88" s="284">
        <f>SUM(F89:F95)</f>
        <v>0</v>
      </c>
      <c r="G88" s="284">
        <f t="shared" ref="G88:I88" si="21">SUM(G89:G95)</f>
        <v>0</v>
      </c>
      <c r="H88" s="284">
        <f t="shared" si="21"/>
        <v>0</v>
      </c>
      <c r="I88" s="284">
        <f t="shared" si="21"/>
        <v>0</v>
      </c>
      <c r="J88" s="284">
        <f>L88+P88</f>
        <v>0</v>
      </c>
      <c r="K88" s="284">
        <f t="shared" ref="K88:O88" si="22">SUM(K89:K95)</f>
        <v>0</v>
      </c>
      <c r="L88" s="284">
        <f t="shared" si="22"/>
        <v>0</v>
      </c>
      <c r="M88" s="284">
        <f t="shared" si="22"/>
        <v>0</v>
      </c>
      <c r="N88" s="284">
        <f t="shared" si="22"/>
        <v>0</v>
      </c>
      <c r="O88" s="284">
        <f t="shared" si="22"/>
        <v>0</v>
      </c>
      <c r="P88" s="378">
        <f t="shared" ref="P88:P112" si="23">K88+O88</f>
        <v>0</v>
      </c>
      <c r="Q88" s="284">
        <f>E88+J88</f>
        <v>0</v>
      </c>
      <c r="R88" s="179" t="b">
        <f>Q88=Q89+Q90+Q91+Q92+Q93+Q94+Q95</f>
        <v>1</v>
      </c>
      <c r="S88" s="182" t="b">
        <f>K88='dod5'!I40</f>
        <v>0</v>
      </c>
    </row>
    <row r="89" spans="1:19" ht="320.25" x14ac:dyDescent="0.2">
      <c r="A89" s="424" t="s">
        <v>34</v>
      </c>
      <c r="B89" s="424" t="s">
        <v>275</v>
      </c>
      <c r="C89" s="424" t="s">
        <v>276</v>
      </c>
      <c r="D89" s="424" t="s">
        <v>274</v>
      </c>
      <c r="E89" s="338">
        <f>'dod3'!E89-'dod3 до МВК'!E89</f>
        <v>0</v>
      </c>
      <c r="F89" s="338">
        <f>'dod3'!F89-'dod3 до МВК'!F89</f>
        <v>0</v>
      </c>
      <c r="G89" s="338">
        <f>'dod3'!G89-'dod3 до МВК'!G89</f>
        <v>0</v>
      </c>
      <c r="H89" s="338">
        <f>'dod3'!H89-'dod3 до МВК'!H89</f>
        <v>0</v>
      </c>
      <c r="I89" s="338">
        <f>'dod3'!I89-'dod3 до МВК'!I89</f>
        <v>0</v>
      </c>
      <c r="J89" s="338">
        <f>'dod3'!J89-'dod3 до МВК'!J89</f>
        <v>0</v>
      </c>
      <c r="K89" s="338">
        <f>'dod3'!K89-'dod3 до МВК'!K89</f>
        <v>0</v>
      </c>
      <c r="L89" s="338">
        <f>'dod3'!L89-'dod3 до МВК'!L89</f>
        <v>0</v>
      </c>
      <c r="M89" s="338">
        <f>'dod3'!M89-'dod3 до МВК'!M89</f>
        <v>0</v>
      </c>
      <c r="N89" s="338">
        <f>'dod3'!N89-'dod3 до МВК'!N89</f>
        <v>0</v>
      </c>
      <c r="O89" s="338">
        <f>'dod3'!O89-'dod3 до МВК'!O89</f>
        <v>0</v>
      </c>
      <c r="P89" s="338">
        <f>'dod3'!P89-'dod3 до МВК'!P89</f>
        <v>0</v>
      </c>
      <c r="Q89" s="338">
        <f>'dod3'!Q89-'dod3 до МВК'!Q89</f>
        <v>0</v>
      </c>
    </row>
    <row r="90" spans="1:19" ht="46.5" x14ac:dyDescent="0.2">
      <c r="A90" s="424" t="s">
        <v>258</v>
      </c>
      <c r="B90" s="424" t="s">
        <v>259</v>
      </c>
      <c r="C90" s="424" t="s">
        <v>262</v>
      </c>
      <c r="D90" s="424" t="s">
        <v>263</v>
      </c>
      <c r="E90" s="338">
        <f>'dod3'!E90-'dod3 до МВК'!E90</f>
        <v>0</v>
      </c>
      <c r="F90" s="338">
        <f>'dod3'!F90-'dod3 до МВК'!F90</f>
        <v>0</v>
      </c>
      <c r="G90" s="338">
        <f>'dod3'!G90-'dod3 до МВК'!G90</f>
        <v>0</v>
      </c>
      <c r="H90" s="338">
        <f>'dod3'!H90-'dod3 до МВК'!H90</f>
        <v>0</v>
      </c>
      <c r="I90" s="338">
        <f>'dod3'!I90-'dod3 до МВК'!I90</f>
        <v>0</v>
      </c>
      <c r="J90" s="338">
        <f>'dod3'!J90-'dod3 до МВК'!J90</f>
        <v>0</v>
      </c>
      <c r="K90" s="338">
        <f>'dod3'!K90-'dod3 до МВК'!K90</f>
        <v>0</v>
      </c>
      <c r="L90" s="338">
        <f>'dod3'!L90-'dod3 до МВК'!L90</f>
        <v>0</v>
      </c>
      <c r="M90" s="338">
        <f>'dod3'!M90-'dod3 до МВК'!M90</f>
        <v>0</v>
      </c>
      <c r="N90" s="338">
        <f>'dod3'!N90-'dod3 до МВК'!N90</f>
        <v>0</v>
      </c>
      <c r="O90" s="338">
        <f>'dod3'!O90-'dod3 до МВК'!O90</f>
        <v>0</v>
      </c>
      <c r="P90" s="338">
        <f>'dod3'!P90-'dod3 до МВК'!P90</f>
        <v>0</v>
      </c>
      <c r="Q90" s="338">
        <f>'dod3'!Q90-'dod3 до МВК'!Q90</f>
        <v>0</v>
      </c>
    </row>
    <row r="91" spans="1:19" ht="91.5" x14ac:dyDescent="0.2">
      <c r="A91" s="424" t="s">
        <v>264</v>
      </c>
      <c r="B91" s="424" t="s">
        <v>265</v>
      </c>
      <c r="C91" s="424" t="s">
        <v>266</v>
      </c>
      <c r="D91" s="424" t="s">
        <v>267</v>
      </c>
      <c r="E91" s="338">
        <f>'dod3'!E91-'dod3 до МВК'!E91</f>
        <v>0</v>
      </c>
      <c r="F91" s="338">
        <f>'dod3'!F91-'dod3 до МВК'!F91</f>
        <v>0</v>
      </c>
      <c r="G91" s="338">
        <f>'dod3'!G91-'dod3 до МВК'!G91</f>
        <v>0</v>
      </c>
      <c r="H91" s="338">
        <f>'dod3'!H91-'dod3 до МВК'!H91</f>
        <v>0</v>
      </c>
      <c r="I91" s="338">
        <f>'dod3'!I91-'dod3 до МВК'!I91</f>
        <v>0</v>
      </c>
      <c r="J91" s="338">
        <f>'dod3'!J91-'dod3 до МВК'!J91</f>
        <v>0</v>
      </c>
      <c r="K91" s="338">
        <f>'dod3'!K91-'dod3 до МВК'!K91</f>
        <v>0</v>
      </c>
      <c r="L91" s="338">
        <f>'dod3'!L91-'dod3 до МВК'!L91</f>
        <v>0</v>
      </c>
      <c r="M91" s="338">
        <f>'dod3'!M91-'dod3 до МВК'!M91</f>
        <v>0</v>
      </c>
      <c r="N91" s="338">
        <f>'dod3'!N91-'dod3 до МВК'!N91</f>
        <v>0</v>
      </c>
      <c r="O91" s="338">
        <f>'dod3'!O91-'dod3 до МВК'!O91</f>
        <v>0</v>
      </c>
      <c r="P91" s="338">
        <f>'dod3'!P91-'dod3 до МВК'!P91</f>
        <v>0</v>
      </c>
      <c r="Q91" s="338">
        <f>'dod3'!Q91-'dod3 до МВК'!Q91</f>
        <v>0</v>
      </c>
    </row>
    <row r="92" spans="1:19" ht="91.5" x14ac:dyDescent="0.2">
      <c r="A92" s="424" t="s">
        <v>268</v>
      </c>
      <c r="B92" s="424" t="s">
        <v>269</v>
      </c>
      <c r="C92" s="424" t="s">
        <v>266</v>
      </c>
      <c r="D92" s="424" t="s">
        <v>270</v>
      </c>
      <c r="E92" s="338">
        <f>'dod3'!E92-'dod3 до МВК'!E92</f>
        <v>0</v>
      </c>
      <c r="F92" s="338">
        <f>'dod3'!F92-'dod3 до МВК'!F92</f>
        <v>0</v>
      </c>
      <c r="G92" s="338">
        <f>'dod3'!G92-'dod3 до МВК'!G92</f>
        <v>0</v>
      </c>
      <c r="H92" s="338">
        <f>'dod3'!H92-'dod3 до МВК'!H92</f>
        <v>0</v>
      </c>
      <c r="I92" s="338">
        <f>'dod3'!I92-'dod3 до МВК'!I92</f>
        <v>0</v>
      </c>
      <c r="J92" s="338">
        <f>'dod3'!J92-'dod3 до МВК'!J92</f>
        <v>0</v>
      </c>
      <c r="K92" s="338">
        <f>'dod3'!K92-'dod3 до МВК'!K92</f>
        <v>0</v>
      </c>
      <c r="L92" s="338">
        <f>'dod3'!L92-'dod3 до МВК'!L92</f>
        <v>0</v>
      </c>
      <c r="M92" s="338">
        <f>'dod3'!M92-'dod3 до МВК'!M92</f>
        <v>0</v>
      </c>
      <c r="N92" s="338">
        <f>'dod3'!N92-'dod3 до МВК'!N92</f>
        <v>0</v>
      </c>
      <c r="O92" s="338">
        <f>'dod3'!O92-'dod3 до МВК'!O92</f>
        <v>0</v>
      </c>
      <c r="P92" s="338">
        <f>'dod3'!P92-'dod3 до МВК'!P92</f>
        <v>0</v>
      </c>
      <c r="Q92" s="338">
        <f>'dod3'!Q92-'dod3 до МВК'!Q92</f>
        <v>0</v>
      </c>
    </row>
    <row r="93" spans="1:19" ht="183" x14ac:dyDescent="0.2">
      <c r="A93" s="424" t="s">
        <v>271</v>
      </c>
      <c r="B93" s="424" t="s">
        <v>260</v>
      </c>
      <c r="C93" s="424" t="s">
        <v>272</v>
      </c>
      <c r="D93" s="424" t="s">
        <v>273</v>
      </c>
      <c r="E93" s="338">
        <f>'dod3'!E93-'dod3 до МВК'!E93</f>
        <v>0</v>
      </c>
      <c r="F93" s="338">
        <f>'dod3'!F93-'dod3 до МВК'!F93</f>
        <v>0</v>
      </c>
      <c r="G93" s="338">
        <f>'dod3'!G93-'dod3 до МВК'!G93</f>
        <v>0</v>
      </c>
      <c r="H93" s="338">
        <f>'dod3'!H93-'dod3 до МВК'!H93</f>
        <v>0</v>
      </c>
      <c r="I93" s="338">
        <f>'dod3'!I93-'dod3 до МВК'!I93</f>
        <v>0</v>
      </c>
      <c r="J93" s="338">
        <f>'dod3'!J93-'dod3 до МВК'!J93</f>
        <v>0</v>
      </c>
      <c r="K93" s="338">
        <f>'dod3'!K93-'dod3 до МВК'!K93</f>
        <v>0</v>
      </c>
      <c r="L93" s="338">
        <f>'dod3'!L93-'dod3 до МВК'!L93</f>
        <v>0</v>
      </c>
      <c r="M93" s="338">
        <f>'dod3'!M93-'dod3 до МВК'!M93</f>
        <v>0</v>
      </c>
      <c r="N93" s="338">
        <f>'dod3'!N93-'dod3 до МВК'!N93</f>
        <v>0</v>
      </c>
      <c r="O93" s="338">
        <f>'dod3'!O93-'dod3 до МВК'!O93</f>
        <v>0</v>
      </c>
      <c r="P93" s="338">
        <f>'dod3'!P93-'dod3 до МВК'!P93</f>
        <v>0</v>
      </c>
      <c r="Q93" s="338">
        <f>'dod3'!Q93-'dod3 до МВК'!Q93</f>
        <v>0</v>
      </c>
    </row>
    <row r="94" spans="1:19" ht="137.25" x14ac:dyDescent="0.2">
      <c r="A94" s="424" t="s">
        <v>533</v>
      </c>
      <c r="B94" s="424" t="s">
        <v>534</v>
      </c>
      <c r="C94" s="424" t="s">
        <v>277</v>
      </c>
      <c r="D94" s="424" t="s">
        <v>532</v>
      </c>
      <c r="E94" s="338">
        <f>'dod3'!E94-'dod3 до МВК'!E94</f>
        <v>0</v>
      </c>
      <c r="F94" s="338">
        <f>'dod3'!F94-'dod3 до МВК'!F94</f>
        <v>0</v>
      </c>
      <c r="G94" s="338">
        <f>'dod3'!G94-'dod3 до МВК'!G94</f>
        <v>0</v>
      </c>
      <c r="H94" s="338">
        <f>'dod3'!H94-'dod3 до МВК'!H94</f>
        <v>0</v>
      </c>
      <c r="I94" s="338">
        <f>'dod3'!I94-'dod3 до МВК'!I94</f>
        <v>0</v>
      </c>
      <c r="J94" s="338">
        <f>'dod3'!J94-'dod3 до МВК'!J94</f>
        <v>0</v>
      </c>
      <c r="K94" s="338">
        <f>'dod3'!K94-'dod3 до МВК'!K94</f>
        <v>0</v>
      </c>
      <c r="L94" s="338">
        <f>'dod3'!L94-'dod3 до МВК'!L94</f>
        <v>0</v>
      </c>
      <c r="M94" s="338">
        <f>'dod3'!M94-'dod3 до МВК'!M94</f>
        <v>0</v>
      </c>
      <c r="N94" s="338">
        <f>'dod3'!N94-'dod3 до МВК'!N94</f>
        <v>0</v>
      </c>
      <c r="O94" s="338">
        <f>'dod3'!O94-'dod3 до МВК'!O94</f>
        <v>0</v>
      </c>
      <c r="P94" s="338">
        <f>'dod3'!P94-'dod3 до МВК'!P94</f>
        <v>0</v>
      </c>
      <c r="Q94" s="338">
        <f>'dod3'!Q94-'dod3 до МВК'!Q94</f>
        <v>0</v>
      </c>
    </row>
    <row r="95" spans="1:19" ht="91.5" x14ac:dyDescent="0.2">
      <c r="A95" s="424" t="s">
        <v>535</v>
      </c>
      <c r="B95" s="424" t="s">
        <v>536</v>
      </c>
      <c r="C95" s="424" t="s">
        <v>277</v>
      </c>
      <c r="D95" s="424" t="s">
        <v>537</v>
      </c>
      <c r="E95" s="338">
        <f>'dod3'!E95-'dod3 до МВК'!E95</f>
        <v>0</v>
      </c>
      <c r="F95" s="338">
        <f>'dod3'!F95-'dod3 до МВК'!F95</f>
        <v>0</v>
      </c>
      <c r="G95" s="338">
        <f>'dod3'!G95-'dod3 до МВК'!G95</f>
        <v>0</v>
      </c>
      <c r="H95" s="338">
        <f>'dod3'!H95-'dod3 до МВК'!H95</f>
        <v>0</v>
      </c>
      <c r="I95" s="338">
        <f>'dod3'!I95-'dod3 до МВК'!I95</f>
        <v>0</v>
      </c>
      <c r="J95" s="338">
        <f>'dod3'!J95-'dod3 до МВК'!J95</f>
        <v>0</v>
      </c>
      <c r="K95" s="338">
        <f>'dod3'!K95-'dod3 до МВК'!K95</f>
        <v>0</v>
      </c>
      <c r="L95" s="338">
        <f>'dod3'!L95-'dod3 до МВК'!L95</f>
        <v>0</v>
      </c>
      <c r="M95" s="338">
        <f>'dod3'!M95-'dod3 до МВК'!M95</f>
        <v>0</v>
      </c>
      <c r="N95" s="338">
        <f>'dod3'!N95-'dod3 до МВК'!N95</f>
        <v>0</v>
      </c>
      <c r="O95" s="338">
        <f>'dod3'!O95-'dod3 до МВК'!O95</f>
        <v>0</v>
      </c>
      <c r="P95" s="338">
        <f>'dod3'!P95-'dod3 до МВК'!P95</f>
        <v>0</v>
      </c>
      <c r="Q95" s="338">
        <f>'dod3'!Q95-'dod3 до МВК'!Q95</f>
        <v>0</v>
      </c>
    </row>
    <row r="96" spans="1:19" ht="180" x14ac:dyDescent="0.2">
      <c r="A96" s="282" t="s">
        <v>40</v>
      </c>
      <c r="B96" s="282"/>
      <c r="C96" s="282"/>
      <c r="D96" s="282" t="s">
        <v>41</v>
      </c>
      <c r="E96" s="365">
        <f>E97</f>
        <v>0</v>
      </c>
      <c r="F96" s="365">
        <f t="shared" ref="F96:G96" si="24">F97</f>
        <v>0</v>
      </c>
      <c r="G96" s="365">
        <f t="shared" si="24"/>
        <v>0</v>
      </c>
      <c r="H96" s="365">
        <f>H97</f>
        <v>0</v>
      </c>
      <c r="I96" s="365">
        <f t="shared" ref="I96" si="25">I97</f>
        <v>0</v>
      </c>
      <c r="J96" s="365">
        <f>J97</f>
        <v>0</v>
      </c>
      <c r="K96" s="365">
        <f>K97</f>
        <v>0</v>
      </c>
      <c r="L96" s="365">
        <f>L97</f>
        <v>0</v>
      </c>
      <c r="M96" s="365">
        <f t="shared" ref="M96" si="26">M97</f>
        <v>0</v>
      </c>
      <c r="N96" s="365">
        <f>N97</f>
        <v>0</v>
      </c>
      <c r="O96" s="283">
        <f t="shared" ref="O96:Q96" si="27">O97</f>
        <v>0</v>
      </c>
      <c r="P96" s="365">
        <f t="shared" si="23"/>
        <v>0</v>
      </c>
      <c r="Q96" s="283">
        <f t="shared" si="27"/>
        <v>0</v>
      </c>
    </row>
    <row r="97" spans="1:19" ht="225" x14ac:dyDescent="0.2">
      <c r="A97" s="286" t="s">
        <v>39</v>
      </c>
      <c r="B97" s="286"/>
      <c r="C97" s="286"/>
      <c r="D97" s="286" t="s">
        <v>58</v>
      </c>
      <c r="E97" s="284">
        <f t="shared" ref="E97:O97" si="28">SUM(E98:E109)</f>
        <v>0</v>
      </c>
      <c r="F97" s="284">
        <f t="shared" si="28"/>
        <v>0</v>
      </c>
      <c r="G97" s="284">
        <f t="shared" si="28"/>
        <v>0</v>
      </c>
      <c r="H97" s="284">
        <f t="shared" si="28"/>
        <v>0</v>
      </c>
      <c r="I97" s="284">
        <f t="shared" si="28"/>
        <v>0</v>
      </c>
      <c r="J97" s="284">
        <f>L97+P97</f>
        <v>0</v>
      </c>
      <c r="K97" s="284">
        <f t="shared" si="28"/>
        <v>0</v>
      </c>
      <c r="L97" s="284">
        <f t="shared" si="28"/>
        <v>0</v>
      </c>
      <c r="M97" s="284">
        <f t="shared" si="28"/>
        <v>0</v>
      </c>
      <c r="N97" s="284">
        <f t="shared" si="28"/>
        <v>0</v>
      </c>
      <c r="O97" s="284">
        <f t="shared" si="28"/>
        <v>0</v>
      </c>
      <c r="P97" s="378">
        <f t="shared" si="23"/>
        <v>0</v>
      </c>
      <c r="Q97" s="284">
        <f>E97+J97</f>
        <v>0</v>
      </c>
      <c r="R97" s="179" t="b">
        <f>Q97=Q98+Q99+Q100+Q101+Q102+Q103+Q104+Q105+Q106+Q107+Q108+Q109</f>
        <v>1</v>
      </c>
      <c r="S97" s="182" t="b">
        <f>K97='dod5'!I47</f>
        <v>0</v>
      </c>
    </row>
    <row r="98" spans="1:19" ht="183" x14ac:dyDescent="0.2">
      <c r="A98" s="424" t="s">
        <v>278</v>
      </c>
      <c r="B98" s="424" t="s">
        <v>279</v>
      </c>
      <c r="C98" s="424" t="s">
        <v>280</v>
      </c>
      <c r="D98" s="424" t="s">
        <v>281</v>
      </c>
      <c r="E98" s="338">
        <f>'dod3'!E98-'dod3 до МВК'!E98</f>
        <v>0</v>
      </c>
      <c r="F98" s="338">
        <f>'dod3'!F98-'dod3 до МВК'!F98</f>
        <v>0</v>
      </c>
      <c r="G98" s="338">
        <f>'dod3'!G98-'dod3 до МВК'!G98</f>
        <v>0</v>
      </c>
      <c r="H98" s="338">
        <f>'dod3'!H98-'dod3 до МВК'!H98</f>
        <v>0</v>
      </c>
      <c r="I98" s="338">
        <f>'dod3'!I98-'dod3 до МВК'!I98</f>
        <v>0</v>
      </c>
      <c r="J98" s="338">
        <f>'dod3'!J98-'dod3 до МВК'!J98</f>
        <v>0</v>
      </c>
      <c r="K98" s="338">
        <f>'dod3'!K98-'dod3 до МВК'!K98</f>
        <v>0</v>
      </c>
      <c r="L98" s="338">
        <f>'dod3'!L98-'dod3 до МВК'!L98</f>
        <v>0</v>
      </c>
      <c r="M98" s="338">
        <f>'dod3'!M98-'dod3 до МВК'!M98</f>
        <v>0</v>
      </c>
      <c r="N98" s="338">
        <f>'dod3'!N98-'dod3 до МВК'!N98</f>
        <v>0</v>
      </c>
      <c r="O98" s="338">
        <f>'dod3'!O98-'dod3 до МВК'!O98</f>
        <v>0</v>
      </c>
      <c r="P98" s="338">
        <f>'dod3'!P98-'dod3 до МВК'!P98</f>
        <v>0</v>
      </c>
      <c r="Q98" s="338">
        <f>'dod3'!Q98-'dod3 до МВК'!Q98</f>
        <v>0</v>
      </c>
    </row>
    <row r="99" spans="1:19" ht="274.5" x14ac:dyDescent="0.2">
      <c r="A99" s="424" t="s">
        <v>72</v>
      </c>
      <c r="B99" s="424" t="s">
        <v>261</v>
      </c>
      <c r="C99" s="424" t="s">
        <v>280</v>
      </c>
      <c r="D99" s="424" t="s">
        <v>22</v>
      </c>
      <c r="E99" s="338">
        <f>'dod3'!E99-'dod3 до МВК'!E99</f>
        <v>0</v>
      </c>
      <c r="F99" s="338">
        <f>'dod3'!F99-'dod3 до МВК'!F99</f>
        <v>0</v>
      </c>
      <c r="G99" s="338">
        <f>'dod3'!G99-'dod3 до МВК'!G99</f>
        <v>0</v>
      </c>
      <c r="H99" s="338">
        <f>'dod3'!H99-'dod3 до МВК'!H99</f>
        <v>0</v>
      </c>
      <c r="I99" s="338">
        <f>'dod3'!I99-'dod3 до МВК'!I99</f>
        <v>0</v>
      </c>
      <c r="J99" s="338">
        <f>'dod3'!J99-'dod3 до МВК'!J99</f>
        <v>0</v>
      </c>
      <c r="K99" s="338">
        <f>'dod3'!K99-'dod3 до МВК'!K99</f>
        <v>0</v>
      </c>
      <c r="L99" s="338">
        <f>'dod3'!L99-'dod3 до МВК'!L99</f>
        <v>0</v>
      </c>
      <c r="M99" s="338">
        <f>'dod3'!M99-'dod3 до МВК'!M99</f>
        <v>0</v>
      </c>
      <c r="N99" s="338">
        <f>'dod3'!N99-'dod3 до МВК'!N99</f>
        <v>0</v>
      </c>
      <c r="O99" s="338">
        <f>'dod3'!O99-'dod3 до МВК'!O99</f>
        <v>0</v>
      </c>
      <c r="P99" s="338">
        <f>'dod3'!P99-'dod3 до МВК'!P99</f>
        <v>0</v>
      </c>
      <c r="Q99" s="338">
        <f>'dod3'!Q99-'dod3 до МВК'!Q99</f>
        <v>0</v>
      </c>
    </row>
    <row r="100" spans="1:19" ht="137.25" x14ac:dyDescent="0.2">
      <c r="A100" s="424" t="s">
        <v>285</v>
      </c>
      <c r="B100" s="424" t="s">
        <v>286</v>
      </c>
      <c r="C100" s="424" t="s">
        <v>280</v>
      </c>
      <c r="D100" s="424" t="s">
        <v>23</v>
      </c>
      <c r="E100" s="338">
        <f>'dod3'!E100-'dod3 до МВК'!E100</f>
        <v>0</v>
      </c>
      <c r="F100" s="338">
        <f>'dod3'!F100-'dod3 до МВК'!F100</f>
        <v>0</v>
      </c>
      <c r="G100" s="338">
        <f>'dod3'!G100-'dod3 до МВК'!G100</f>
        <v>0</v>
      </c>
      <c r="H100" s="338">
        <f>'dod3'!H100-'dod3 до МВК'!H100</f>
        <v>0</v>
      </c>
      <c r="I100" s="338">
        <f>'dod3'!I100-'dod3 до МВК'!I100</f>
        <v>0</v>
      </c>
      <c r="J100" s="338">
        <f>'dod3'!J100-'dod3 до МВК'!J100</f>
        <v>0</v>
      </c>
      <c r="K100" s="338">
        <f>'dod3'!K100-'dod3 до МВК'!K100</f>
        <v>0</v>
      </c>
      <c r="L100" s="338">
        <f>'dod3'!L100-'dod3 до МВК'!L100</f>
        <v>0</v>
      </c>
      <c r="M100" s="338">
        <f>'dod3'!M100-'dod3 до МВК'!M100</f>
        <v>0</v>
      </c>
      <c r="N100" s="338">
        <f>'dod3'!N100-'dod3 до МВК'!N100</f>
        <v>0</v>
      </c>
      <c r="O100" s="338">
        <f>'dod3'!O100-'dod3 до МВК'!O100</f>
        <v>0</v>
      </c>
      <c r="P100" s="338">
        <f>'dod3'!P100-'dod3 до МВК'!P100</f>
        <v>0</v>
      </c>
      <c r="Q100" s="338">
        <f>'dod3'!Q100-'dod3 до МВК'!Q100</f>
        <v>0</v>
      </c>
    </row>
    <row r="101" spans="1:19" ht="91.5" x14ac:dyDescent="0.2">
      <c r="A101" s="424" t="s">
        <v>577</v>
      </c>
      <c r="B101" s="424" t="s">
        <v>578</v>
      </c>
      <c r="C101" s="424" t="s">
        <v>280</v>
      </c>
      <c r="D101" s="424" t="s">
        <v>579</v>
      </c>
      <c r="E101" s="338">
        <f>'dod3'!E101-'dod3 до МВК'!E101</f>
        <v>0</v>
      </c>
      <c r="F101" s="338">
        <f>'dod3'!F101-'dod3 до МВК'!F101</f>
        <v>0</v>
      </c>
      <c r="G101" s="338">
        <f>'dod3'!G101-'dod3 до МВК'!G101</f>
        <v>0</v>
      </c>
      <c r="H101" s="338">
        <f>'dod3'!H101-'dod3 до МВК'!H101</f>
        <v>0</v>
      </c>
      <c r="I101" s="338">
        <f>'dod3'!I101-'dod3 до МВК'!I101</f>
        <v>0</v>
      </c>
      <c r="J101" s="338">
        <f>'dod3'!J101-'dod3 до МВК'!J101</f>
        <v>0</v>
      </c>
      <c r="K101" s="338">
        <f>'dod3'!K101-'dod3 до МВК'!K101</f>
        <v>0</v>
      </c>
      <c r="L101" s="338">
        <f>'dod3'!L101-'dod3 до МВК'!L101</f>
        <v>0</v>
      </c>
      <c r="M101" s="338">
        <f>'dod3'!M101-'dod3 до МВК'!M101</f>
        <v>0</v>
      </c>
      <c r="N101" s="338">
        <f>'dod3'!N101-'dod3 до МВК'!N101</f>
        <v>0</v>
      </c>
      <c r="O101" s="338">
        <f>'dod3'!O101-'dod3 до МВК'!O101</f>
        <v>0</v>
      </c>
      <c r="P101" s="338">
        <f>'dod3'!P101-'dod3 до МВК'!P101</f>
        <v>0</v>
      </c>
      <c r="Q101" s="338">
        <f>'dod3'!Q101-'dod3 до МВК'!Q101</f>
        <v>0</v>
      </c>
    </row>
    <row r="102" spans="1:19" ht="183" x14ac:dyDescent="0.2">
      <c r="A102" s="424" t="s">
        <v>73</v>
      </c>
      <c r="B102" s="424" t="s">
        <v>282</v>
      </c>
      <c r="C102" s="424" t="s">
        <v>292</v>
      </c>
      <c r="D102" s="424" t="s">
        <v>74</v>
      </c>
      <c r="E102" s="338">
        <f>'dod3'!E102-'dod3 до МВК'!E102</f>
        <v>0</v>
      </c>
      <c r="F102" s="338">
        <f>'dod3'!F102-'dod3 до МВК'!F102</f>
        <v>0</v>
      </c>
      <c r="G102" s="338">
        <f>'dod3'!G102-'dod3 до МВК'!G102</f>
        <v>0</v>
      </c>
      <c r="H102" s="338">
        <f>'dod3'!H102-'dod3 до МВК'!H102</f>
        <v>0</v>
      </c>
      <c r="I102" s="338">
        <f>'dod3'!I102-'dod3 до МВК'!I102</f>
        <v>0</v>
      </c>
      <c r="J102" s="338">
        <f>'dod3'!J102-'dod3 до МВК'!J102</f>
        <v>0</v>
      </c>
      <c r="K102" s="338">
        <f>'dod3'!K102-'dod3 до МВК'!K102</f>
        <v>0</v>
      </c>
      <c r="L102" s="338">
        <f>'dod3'!L102-'dod3 до МВК'!L102</f>
        <v>0</v>
      </c>
      <c r="M102" s="338">
        <f>'dod3'!M102-'dod3 до МВК'!M102</f>
        <v>0</v>
      </c>
      <c r="N102" s="338">
        <f>'dod3'!N102-'dod3 до МВК'!N102</f>
        <v>0</v>
      </c>
      <c r="O102" s="338">
        <f>'dod3'!O102-'dod3 до МВК'!O102</f>
        <v>0</v>
      </c>
      <c r="P102" s="338">
        <f>'dod3'!P102-'dod3 до МВК'!P102</f>
        <v>0</v>
      </c>
      <c r="Q102" s="338">
        <f>'dod3'!Q102-'dod3 до МВК'!Q102</f>
        <v>0</v>
      </c>
    </row>
    <row r="103" spans="1:19" ht="183" x14ac:dyDescent="0.2">
      <c r="A103" s="424" t="s">
        <v>75</v>
      </c>
      <c r="B103" s="424" t="s">
        <v>283</v>
      </c>
      <c r="C103" s="424" t="s">
        <v>292</v>
      </c>
      <c r="D103" s="424" t="s">
        <v>6</v>
      </c>
      <c r="E103" s="338">
        <f>'dod3'!E103-'dod3 до МВК'!E103</f>
        <v>0</v>
      </c>
      <c r="F103" s="338">
        <f>'dod3'!F103-'dod3 до МВК'!F103</f>
        <v>0</v>
      </c>
      <c r="G103" s="338">
        <f>'dod3'!G103-'dod3 до МВК'!G103</f>
        <v>0</v>
      </c>
      <c r="H103" s="338">
        <f>'dod3'!H103-'dod3 до МВК'!H103</f>
        <v>0</v>
      </c>
      <c r="I103" s="338">
        <f>'dod3'!I103-'dod3 до МВК'!I103</f>
        <v>0</v>
      </c>
      <c r="J103" s="338">
        <f>'dod3'!J103-'dod3 до МВК'!J103</f>
        <v>0</v>
      </c>
      <c r="K103" s="338">
        <f>'dod3'!K103-'dod3 до МВК'!K103</f>
        <v>0</v>
      </c>
      <c r="L103" s="338">
        <f>'dod3'!L103-'dod3 до МВК'!L103</f>
        <v>0</v>
      </c>
      <c r="M103" s="338">
        <f>'dod3'!M103-'dod3 до МВК'!M103</f>
        <v>0</v>
      </c>
      <c r="N103" s="338">
        <f>'dod3'!N103-'dod3 до МВК'!N103</f>
        <v>0</v>
      </c>
      <c r="O103" s="338">
        <f>'dod3'!O103-'dod3 до МВК'!O103</f>
        <v>0</v>
      </c>
      <c r="P103" s="338">
        <f>'dod3'!P103-'dod3 до МВК'!P103</f>
        <v>0</v>
      </c>
      <c r="Q103" s="338">
        <f>'dod3'!Q103-'dod3 до МВК'!Q103</f>
        <v>0</v>
      </c>
    </row>
    <row r="104" spans="1:19" ht="183" x14ac:dyDescent="0.2">
      <c r="A104" s="424" t="s">
        <v>76</v>
      </c>
      <c r="B104" s="424" t="s">
        <v>284</v>
      </c>
      <c r="C104" s="424" t="s">
        <v>292</v>
      </c>
      <c r="D104" s="424" t="s">
        <v>573</v>
      </c>
      <c r="E104" s="338">
        <f>'dod3'!E104-'dod3 до МВК'!E104</f>
        <v>0</v>
      </c>
      <c r="F104" s="338">
        <f>'dod3'!F104-'dod3 до МВК'!F104</f>
        <v>0</v>
      </c>
      <c r="G104" s="338">
        <f>'dod3'!G104-'dod3 до МВК'!G104</f>
        <v>0</v>
      </c>
      <c r="H104" s="338">
        <f>'dod3'!H104-'dod3 до МВК'!H104</f>
        <v>0</v>
      </c>
      <c r="I104" s="338">
        <f>'dod3'!I104-'dod3 до МВК'!I104</f>
        <v>0</v>
      </c>
      <c r="J104" s="338">
        <f>'dod3'!J104-'dod3 до МВК'!J104</f>
        <v>0</v>
      </c>
      <c r="K104" s="338">
        <f>'dod3'!K104-'dod3 до МВК'!K104</f>
        <v>0</v>
      </c>
      <c r="L104" s="338">
        <f>'dod3'!L104-'dod3 до МВК'!L104</f>
        <v>0</v>
      </c>
      <c r="M104" s="338">
        <f>'dod3'!M104-'dod3 до МВК'!M104</f>
        <v>0</v>
      </c>
      <c r="N104" s="338">
        <f>'dod3'!N104-'dod3 до МВК'!N104</f>
        <v>0</v>
      </c>
      <c r="O104" s="338">
        <f>'dod3'!O104-'dod3 до МВК'!O104</f>
        <v>0</v>
      </c>
      <c r="P104" s="338">
        <f>'dod3'!P104-'dod3 до МВК'!P104</f>
        <v>0</v>
      </c>
      <c r="Q104" s="338">
        <f>'dod3'!Q104-'dod3 до МВК'!Q104</f>
        <v>0</v>
      </c>
    </row>
    <row r="105" spans="1:19" ht="183" x14ac:dyDescent="0.2">
      <c r="A105" s="424" t="s">
        <v>49</v>
      </c>
      <c r="B105" s="424" t="s">
        <v>289</v>
      </c>
      <c r="C105" s="424" t="s">
        <v>292</v>
      </c>
      <c r="D105" s="424" t="s">
        <v>77</v>
      </c>
      <c r="E105" s="338">
        <f>'dod3'!E105-'dod3 до МВК'!E105</f>
        <v>0</v>
      </c>
      <c r="F105" s="338">
        <f>'dod3'!F105-'dod3 до МВК'!F105</f>
        <v>0</v>
      </c>
      <c r="G105" s="338">
        <f>'dod3'!G105-'dod3 до МВК'!G105</f>
        <v>0</v>
      </c>
      <c r="H105" s="338">
        <f>'dod3'!H105-'dod3 до МВК'!H105</f>
        <v>0</v>
      </c>
      <c r="I105" s="338">
        <f>'dod3'!I105-'dod3 до МВК'!I105</f>
        <v>0</v>
      </c>
      <c r="J105" s="338">
        <f>'dod3'!J105-'dod3 до МВК'!J105</f>
        <v>0</v>
      </c>
      <c r="K105" s="338">
        <f>'dod3'!K105-'dod3 до МВК'!K105</f>
        <v>0</v>
      </c>
      <c r="L105" s="338">
        <f>'dod3'!L105-'dod3 до МВК'!L105</f>
        <v>0</v>
      </c>
      <c r="M105" s="338">
        <f>'dod3'!M105-'dod3 до МВК'!M105</f>
        <v>0</v>
      </c>
      <c r="N105" s="338">
        <f>'dod3'!N105-'dod3 до МВК'!N105</f>
        <v>0</v>
      </c>
      <c r="O105" s="338">
        <f>'dod3'!O105-'dod3 до МВК'!O105</f>
        <v>0</v>
      </c>
      <c r="P105" s="338">
        <f>'dod3'!P105-'dod3 до МВК'!P105</f>
        <v>0</v>
      </c>
      <c r="Q105" s="338">
        <f>'dod3'!Q105-'dod3 до МВК'!Q105</f>
        <v>0</v>
      </c>
    </row>
    <row r="106" spans="1:19" ht="183" x14ac:dyDescent="0.2">
      <c r="A106" s="424" t="s">
        <v>50</v>
      </c>
      <c r="B106" s="424" t="s">
        <v>290</v>
      </c>
      <c r="C106" s="424" t="s">
        <v>292</v>
      </c>
      <c r="D106" s="424" t="s">
        <v>78</v>
      </c>
      <c r="E106" s="338">
        <f>'dod3'!E106-'dod3 до МВК'!E106</f>
        <v>0</v>
      </c>
      <c r="F106" s="338">
        <f>'dod3'!F106-'dod3 до МВК'!F106</f>
        <v>0</v>
      </c>
      <c r="G106" s="338">
        <f>'dod3'!G106-'dod3 до МВК'!G106</f>
        <v>0</v>
      </c>
      <c r="H106" s="338">
        <f>'dod3'!H106-'dod3 до МВК'!H106</f>
        <v>0</v>
      </c>
      <c r="I106" s="338">
        <f>'dod3'!I106-'dod3 до МВК'!I106</f>
        <v>0</v>
      </c>
      <c r="J106" s="338">
        <f>'dod3'!J106-'dod3 до МВК'!J106</f>
        <v>0</v>
      </c>
      <c r="K106" s="338">
        <f>'dod3'!K106-'dod3 до МВК'!K106</f>
        <v>0</v>
      </c>
      <c r="L106" s="338">
        <f>'dod3'!L106-'dod3 до МВК'!L106</f>
        <v>0</v>
      </c>
      <c r="M106" s="338">
        <f>'dod3'!M106-'dod3 до МВК'!M106</f>
        <v>0</v>
      </c>
      <c r="N106" s="338">
        <f>'dod3'!N106-'dod3 до МВК'!N106</f>
        <v>0</v>
      </c>
      <c r="O106" s="338">
        <f>'dod3'!O106-'dod3 до МВК'!O106</f>
        <v>0</v>
      </c>
      <c r="P106" s="338">
        <f>'dod3'!P106-'dod3 до МВК'!P106</f>
        <v>0</v>
      </c>
      <c r="Q106" s="338">
        <f>'dod3'!Q106-'dod3 до МВК'!Q106</f>
        <v>0</v>
      </c>
    </row>
    <row r="107" spans="1:19" ht="320.25" x14ac:dyDescent="0.2">
      <c r="A107" s="289" t="s">
        <v>51</v>
      </c>
      <c r="B107" s="289" t="s">
        <v>291</v>
      </c>
      <c r="C107" s="289" t="s">
        <v>292</v>
      </c>
      <c r="D107" s="424" t="s">
        <v>52</v>
      </c>
      <c r="E107" s="338">
        <f>'dod3'!E107-'dod3 до МВК'!E107</f>
        <v>0</v>
      </c>
      <c r="F107" s="338">
        <f>'dod3'!F107-'dod3 до МВК'!F107</f>
        <v>0</v>
      </c>
      <c r="G107" s="338">
        <f>'dod3'!G107-'dod3 до МВК'!G107</f>
        <v>0</v>
      </c>
      <c r="H107" s="338">
        <f>'dod3'!H107-'dod3 до МВК'!H107</f>
        <v>0</v>
      </c>
      <c r="I107" s="338">
        <f>'dod3'!I107-'dod3 до МВК'!I107</f>
        <v>0</v>
      </c>
      <c r="J107" s="338">
        <f>'dod3'!J107-'dod3 до МВК'!J107</f>
        <v>0</v>
      </c>
      <c r="K107" s="338">
        <f>'dod3'!K107-'dod3 до МВК'!K107</f>
        <v>0</v>
      </c>
      <c r="L107" s="338">
        <f>'dod3'!L107-'dod3 до МВК'!L107</f>
        <v>0</v>
      </c>
      <c r="M107" s="338">
        <f>'dod3'!M107-'dod3 до МВК'!M107</f>
        <v>0</v>
      </c>
      <c r="N107" s="338">
        <f>'dod3'!N107-'dod3 до МВК'!N107</f>
        <v>0</v>
      </c>
      <c r="O107" s="338">
        <f>'dod3'!O107-'dod3 до МВК'!O107</f>
        <v>0</v>
      </c>
      <c r="P107" s="338">
        <f>'dod3'!P107-'dod3 до МВК'!P107</f>
        <v>0</v>
      </c>
      <c r="Q107" s="338">
        <f>'dod3'!Q107-'dod3 до МВК'!Q107</f>
        <v>0</v>
      </c>
    </row>
    <row r="108" spans="1:19" ht="91.5" x14ac:dyDescent="0.2">
      <c r="A108" s="289" t="s">
        <v>53</v>
      </c>
      <c r="B108" s="289" t="s">
        <v>293</v>
      </c>
      <c r="C108" s="289" t="s">
        <v>292</v>
      </c>
      <c r="D108" s="424" t="s">
        <v>54</v>
      </c>
      <c r="E108" s="338">
        <f>'dod3'!E108-'dod3 до МВК'!E108</f>
        <v>0</v>
      </c>
      <c r="F108" s="338">
        <f>'dod3'!F108-'dod3 до МВК'!F108</f>
        <v>0</v>
      </c>
      <c r="G108" s="338">
        <f>'dod3'!G108-'dod3 до МВК'!G108</f>
        <v>0</v>
      </c>
      <c r="H108" s="338">
        <f>'dod3'!H108-'dod3 до МВК'!H108</f>
        <v>0</v>
      </c>
      <c r="I108" s="338">
        <f>'dod3'!I108-'dod3 до МВК'!I108</f>
        <v>0</v>
      </c>
      <c r="J108" s="338">
        <f>'dod3'!J108-'dod3 до МВК'!J108</f>
        <v>0</v>
      </c>
      <c r="K108" s="338">
        <f>'dod3'!K108-'dod3 до МВК'!K108</f>
        <v>0</v>
      </c>
      <c r="L108" s="338">
        <f>'dod3'!L108-'dod3 до МВК'!L108</f>
        <v>0</v>
      </c>
      <c r="M108" s="338">
        <f>'dod3'!M108-'dod3 до МВК'!M108</f>
        <v>0</v>
      </c>
      <c r="N108" s="338">
        <f>'dod3'!N108-'dod3 до МВК'!N108</f>
        <v>0</v>
      </c>
      <c r="O108" s="338">
        <f>'dod3'!O108-'dod3 до МВК'!O108</f>
        <v>0</v>
      </c>
      <c r="P108" s="338">
        <f>'dod3'!P108-'dod3 до МВК'!P108</f>
        <v>0</v>
      </c>
      <c r="Q108" s="338">
        <f>'dod3'!Q108-'dod3 до МВК'!Q108</f>
        <v>0</v>
      </c>
    </row>
    <row r="109" spans="1:19" ht="320.25" x14ac:dyDescent="0.2">
      <c r="A109" s="289" t="s">
        <v>547</v>
      </c>
      <c r="B109" s="289" t="s">
        <v>546</v>
      </c>
      <c r="C109" s="289" t="s">
        <v>545</v>
      </c>
      <c r="D109" s="424" t="s">
        <v>544</v>
      </c>
      <c r="E109" s="338">
        <f>'dod3'!E109-'dod3 до МВК'!E109</f>
        <v>0</v>
      </c>
      <c r="F109" s="338">
        <f>'dod3'!F109-'dod3 до МВК'!F109</f>
        <v>0</v>
      </c>
      <c r="G109" s="338">
        <f>'dod3'!G109-'dod3 до МВК'!G109</f>
        <v>0</v>
      </c>
      <c r="H109" s="338">
        <f>'dod3'!H109-'dod3 до МВК'!H109</f>
        <v>0</v>
      </c>
      <c r="I109" s="338">
        <f>'dod3'!I109-'dod3 до МВК'!I109</f>
        <v>0</v>
      </c>
      <c r="J109" s="338">
        <f>'dod3'!J109-'dod3 до МВК'!J109</f>
        <v>0</v>
      </c>
      <c r="K109" s="338">
        <f>'dod3'!K109-'dod3 до МВК'!K109</f>
        <v>0</v>
      </c>
      <c r="L109" s="338">
        <f>'dod3'!L109-'dod3 до МВК'!L109</f>
        <v>0</v>
      </c>
      <c r="M109" s="338">
        <f>'dod3'!M109-'dod3 до МВК'!M109</f>
        <v>0</v>
      </c>
      <c r="N109" s="338">
        <f>'dod3'!N109-'dod3 до МВК'!N109</f>
        <v>0</v>
      </c>
      <c r="O109" s="338">
        <f>'dod3'!O109-'dod3 до МВК'!O109</f>
        <v>0</v>
      </c>
      <c r="P109" s="338">
        <f>'dod3'!P109-'dod3 до МВК'!P109</f>
        <v>0</v>
      </c>
      <c r="Q109" s="338">
        <f>'dod3'!Q109-'dod3 до МВК'!Q109</f>
        <v>0</v>
      </c>
    </row>
    <row r="110" spans="1:19" ht="91.5" hidden="1" x14ac:dyDescent="0.2">
      <c r="A110" s="424" t="s">
        <v>647</v>
      </c>
      <c r="B110" s="423" t="s">
        <v>604</v>
      </c>
      <c r="C110" s="423" t="s">
        <v>71</v>
      </c>
      <c r="D110" s="423" t="s">
        <v>605</v>
      </c>
      <c r="E110" s="167">
        <f>F110</f>
        <v>0</v>
      </c>
      <c r="F110" s="133">
        <f>30000-30000</f>
        <v>0</v>
      </c>
      <c r="G110" s="133"/>
      <c r="H110" s="133"/>
      <c r="I110" s="133"/>
      <c r="J110" s="422" t="e">
        <f t="shared" ref="J110" si="29">L110+P110</f>
        <v>#REF!</v>
      </c>
      <c r="K110" s="422"/>
      <c r="L110" s="133"/>
      <c r="M110" s="133"/>
      <c r="N110" s="133"/>
      <c r="O110" s="181" t="e">
        <f>#REF!</f>
        <v>#REF!</v>
      </c>
      <c r="P110" s="365" t="e">
        <f t="shared" si="23"/>
        <v>#REF!</v>
      </c>
      <c r="Q110" s="422" t="e">
        <f t="shared" ref="Q110" si="30">E110+J110</f>
        <v>#REF!</v>
      </c>
    </row>
    <row r="111" spans="1:19" ht="225" x14ac:dyDescent="0.2">
      <c r="A111" s="282" t="s">
        <v>245</v>
      </c>
      <c r="B111" s="282"/>
      <c r="C111" s="282"/>
      <c r="D111" s="282" t="s">
        <v>42</v>
      </c>
      <c r="E111" s="365">
        <f>E112</f>
        <v>0</v>
      </c>
      <c r="F111" s="365">
        <f t="shared" ref="F111:G111" si="31">F112</f>
        <v>0</v>
      </c>
      <c r="G111" s="365">
        <f t="shared" si="31"/>
        <v>0</v>
      </c>
      <c r="H111" s="365">
        <f>H112</f>
        <v>0</v>
      </c>
      <c r="I111" s="365">
        <f t="shared" ref="I111" si="32">I112</f>
        <v>0</v>
      </c>
      <c r="J111" s="365">
        <f>J112</f>
        <v>-570000</v>
      </c>
      <c r="K111" s="365">
        <f>K112</f>
        <v>-570000</v>
      </c>
      <c r="L111" s="365">
        <f>L112</f>
        <v>0</v>
      </c>
      <c r="M111" s="365">
        <f t="shared" ref="M111" si="33">M112</f>
        <v>0</v>
      </c>
      <c r="N111" s="365">
        <f>N112</f>
        <v>0</v>
      </c>
      <c r="O111" s="283">
        <f t="shared" ref="O111:Q111" si="34">O112</f>
        <v>0</v>
      </c>
      <c r="P111" s="365">
        <f t="shared" si="23"/>
        <v>-570000</v>
      </c>
      <c r="Q111" s="283">
        <f t="shared" si="34"/>
        <v>-570000</v>
      </c>
    </row>
    <row r="112" spans="1:19" ht="270" x14ac:dyDescent="0.2">
      <c r="A112" s="286" t="s">
        <v>246</v>
      </c>
      <c r="B112" s="286"/>
      <c r="C112" s="286"/>
      <c r="D112" s="286" t="s">
        <v>63</v>
      </c>
      <c r="E112" s="284">
        <f>SUM(E113:E129)</f>
        <v>0</v>
      </c>
      <c r="F112" s="284">
        <f t="shared" ref="F112:O112" si="35">SUM(F113:F129)</f>
        <v>0</v>
      </c>
      <c r="G112" s="284">
        <f t="shared" si="35"/>
        <v>0</v>
      </c>
      <c r="H112" s="284">
        <f t="shared" si="35"/>
        <v>0</v>
      </c>
      <c r="I112" s="284">
        <f t="shared" si="35"/>
        <v>0</v>
      </c>
      <c r="J112" s="284">
        <f>L112+P112</f>
        <v>-570000</v>
      </c>
      <c r="K112" s="284">
        <f t="shared" si="35"/>
        <v>-570000</v>
      </c>
      <c r="L112" s="284">
        <f t="shared" si="35"/>
        <v>0</v>
      </c>
      <c r="M112" s="284">
        <f t="shared" si="35"/>
        <v>0</v>
      </c>
      <c r="N112" s="284">
        <f t="shared" si="35"/>
        <v>0</v>
      </c>
      <c r="O112" s="284">
        <f t="shared" si="35"/>
        <v>0</v>
      </c>
      <c r="P112" s="378">
        <f t="shared" si="23"/>
        <v>-570000</v>
      </c>
      <c r="Q112" s="284">
        <f>E112+J112</f>
        <v>-570000</v>
      </c>
      <c r="R112" s="179" t="b">
        <f>Q112=Q114+Q116+Q117+Q118+Q119+Q120+Q121+Q124+Q125+Q126+Q129+Q115+Q113+Q122+Q123+Q127</f>
        <v>1</v>
      </c>
      <c r="S112" s="182" t="b">
        <f>K112='dod5'!I51</f>
        <v>0</v>
      </c>
    </row>
    <row r="113" spans="1:19" ht="228.75" x14ac:dyDescent="0.2">
      <c r="A113" s="424" t="s">
        <v>765</v>
      </c>
      <c r="B113" s="424" t="s">
        <v>344</v>
      </c>
      <c r="C113" s="424" t="s">
        <v>342</v>
      </c>
      <c r="D113" s="424" t="s">
        <v>343</v>
      </c>
      <c r="E113" s="338">
        <f>'dod3'!E113-'dod3 до МВК'!E113</f>
        <v>0</v>
      </c>
      <c r="F113" s="338">
        <f>'dod3'!F113-'dod3 до МВК'!F113</f>
        <v>0</v>
      </c>
      <c r="G113" s="338">
        <f>'dod3'!G113-'dod3 до МВК'!G113</f>
        <v>0</v>
      </c>
      <c r="H113" s="338">
        <f>'dod3'!H113-'dod3 до МВК'!H113</f>
        <v>0</v>
      </c>
      <c r="I113" s="338">
        <f>'dod3'!I113-'dod3 до МВК'!I113</f>
        <v>0</v>
      </c>
      <c r="J113" s="338">
        <f>'dod3'!J113-'dod3 до МВК'!J113</f>
        <v>0</v>
      </c>
      <c r="K113" s="338">
        <f>'dod3'!K113-'dod3 до МВК'!K113</f>
        <v>0</v>
      </c>
      <c r="L113" s="338">
        <f>'dod3'!L113-'dod3 до МВК'!L113</f>
        <v>0</v>
      </c>
      <c r="M113" s="338">
        <f>'dod3'!M113-'dod3 до МВК'!M113</f>
        <v>0</v>
      </c>
      <c r="N113" s="338">
        <f>'dod3'!N113-'dod3 до МВК'!N113</f>
        <v>0</v>
      </c>
      <c r="O113" s="338">
        <f>'dod3'!O113-'dod3 до МВК'!O113</f>
        <v>0</v>
      </c>
      <c r="P113" s="338">
        <f>'dod3'!P113-'dod3 до МВК'!P113</f>
        <v>0</v>
      </c>
      <c r="Q113" s="338">
        <f>'dod3'!Q113-'dod3 до МВК'!Q113</f>
        <v>0</v>
      </c>
      <c r="R113" s="179"/>
      <c r="S113" s="182"/>
    </row>
    <row r="114" spans="1:19" ht="137.25" x14ac:dyDescent="0.2">
      <c r="A114" s="424" t="s">
        <v>420</v>
      </c>
      <c r="B114" s="424" t="s">
        <v>421</v>
      </c>
      <c r="C114" s="424" t="s">
        <v>423</v>
      </c>
      <c r="D114" s="424" t="s">
        <v>422</v>
      </c>
      <c r="E114" s="338">
        <f>'dod3'!E114-'dod3 до МВК'!E114</f>
        <v>0</v>
      </c>
      <c r="F114" s="338">
        <f>'dod3'!F114-'dod3 до МВК'!F114</f>
        <v>0</v>
      </c>
      <c r="G114" s="338">
        <f>'dod3'!G114-'dod3 до МВК'!G114</f>
        <v>0</v>
      </c>
      <c r="H114" s="338">
        <f>'dod3'!H114-'dod3 до МВК'!H114</f>
        <v>0</v>
      </c>
      <c r="I114" s="338">
        <f>'dod3'!I114-'dod3 до МВК'!I114</f>
        <v>0</v>
      </c>
      <c r="J114" s="338">
        <f>'dod3'!J114-'dod3 до МВК'!J114</f>
        <v>0</v>
      </c>
      <c r="K114" s="338">
        <f>'dod3'!K114-'dod3 до МВК'!K114</f>
        <v>0</v>
      </c>
      <c r="L114" s="338">
        <f>'dod3'!L114-'dod3 до МВК'!L114</f>
        <v>0</v>
      </c>
      <c r="M114" s="338">
        <f>'dod3'!M114-'dod3 до МВК'!M114</f>
        <v>0</v>
      </c>
      <c r="N114" s="338">
        <f>'dod3'!N114-'dod3 до МВК'!N114</f>
        <v>0</v>
      </c>
      <c r="O114" s="338">
        <f>'dod3'!O114-'dod3 до МВК'!O114</f>
        <v>0</v>
      </c>
      <c r="P114" s="338">
        <f>'dod3'!P114-'dod3 до МВК'!P114</f>
        <v>0</v>
      </c>
      <c r="Q114" s="338">
        <f>'dod3'!Q114-'dod3 до МВК'!Q114</f>
        <v>0</v>
      </c>
    </row>
    <row r="115" spans="1:19" ht="183" x14ac:dyDescent="0.2">
      <c r="A115" s="424" t="s">
        <v>649</v>
      </c>
      <c r="B115" s="424" t="s">
        <v>650</v>
      </c>
      <c r="C115" s="424" t="s">
        <v>423</v>
      </c>
      <c r="D115" s="424" t="s">
        <v>651</v>
      </c>
      <c r="E115" s="338">
        <f>'dod3'!E115-'dod3 до МВК'!E115</f>
        <v>0</v>
      </c>
      <c r="F115" s="338">
        <f>'dod3'!F115-'dod3 до МВК'!F115</f>
        <v>0</v>
      </c>
      <c r="G115" s="338">
        <f>'dod3'!G115-'dod3 до МВК'!G115</f>
        <v>0</v>
      </c>
      <c r="H115" s="338">
        <f>'dod3'!H115-'dod3 до МВК'!H115</f>
        <v>0</v>
      </c>
      <c r="I115" s="338">
        <f>'dod3'!I115-'dod3 до МВК'!I115</f>
        <v>0</v>
      </c>
      <c r="J115" s="338">
        <f>'dod3'!J115-'dod3 до МВК'!J115</f>
        <v>0</v>
      </c>
      <c r="K115" s="338">
        <f>'dod3'!K115-'dod3 до МВК'!K115</f>
        <v>0</v>
      </c>
      <c r="L115" s="338">
        <f>'dod3'!L115-'dod3 до МВК'!L115</f>
        <v>0</v>
      </c>
      <c r="M115" s="338">
        <f>'dod3'!M115-'dod3 до МВК'!M115</f>
        <v>0</v>
      </c>
      <c r="N115" s="338">
        <f>'dod3'!N115-'dod3 до МВК'!N115</f>
        <v>0</v>
      </c>
      <c r="O115" s="338">
        <f>'dod3'!O115-'dod3 до МВК'!O115</f>
        <v>0</v>
      </c>
      <c r="P115" s="338">
        <f>'dod3'!P115-'dod3 до МВК'!P115</f>
        <v>0</v>
      </c>
      <c r="Q115" s="338">
        <f>'dod3'!Q115-'dod3 до МВК'!Q115</f>
        <v>0</v>
      </c>
    </row>
    <row r="116" spans="1:19" ht="183" x14ac:dyDescent="0.2">
      <c r="A116" s="424" t="s">
        <v>427</v>
      </c>
      <c r="B116" s="424" t="s">
        <v>428</v>
      </c>
      <c r="C116" s="424" t="s">
        <v>423</v>
      </c>
      <c r="D116" s="424" t="s">
        <v>429</v>
      </c>
      <c r="E116" s="338">
        <f>'dod3'!E116-'dod3 до МВК'!E116</f>
        <v>0</v>
      </c>
      <c r="F116" s="338">
        <f>'dod3'!F116-'dod3 до МВК'!F116</f>
        <v>0</v>
      </c>
      <c r="G116" s="338">
        <f>'dod3'!G116-'dod3 до МВК'!G116</f>
        <v>0</v>
      </c>
      <c r="H116" s="338">
        <f>'dod3'!H116-'dod3 до МВК'!H116</f>
        <v>0</v>
      </c>
      <c r="I116" s="338">
        <f>'dod3'!I116-'dod3 до МВК'!I116</f>
        <v>0</v>
      </c>
      <c r="J116" s="338">
        <f>'dod3'!J116-'dod3 до МВК'!J116</f>
        <v>0</v>
      </c>
      <c r="K116" s="338">
        <f>'dod3'!K116-'dod3 до МВК'!K116</f>
        <v>0</v>
      </c>
      <c r="L116" s="338">
        <f>'dod3'!L116-'dod3 до МВК'!L116</f>
        <v>0</v>
      </c>
      <c r="M116" s="338">
        <f>'dod3'!M116-'dod3 до МВК'!M116</f>
        <v>0</v>
      </c>
      <c r="N116" s="338">
        <f>'dod3'!N116-'dod3 до МВК'!N116</f>
        <v>0</v>
      </c>
      <c r="O116" s="338">
        <f>'dod3'!O116-'dod3 до МВК'!O116</f>
        <v>0</v>
      </c>
      <c r="P116" s="338">
        <f>'dod3'!P116-'dod3 до МВК'!P116</f>
        <v>0</v>
      </c>
      <c r="Q116" s="338">
        <f>'dod3'!Q116-'dod3 до МВК'!Q116</f>
        <v>0</v>
      </c>
    </row>
    <row r="117" spans="1:19" ht="137.25" x14ac:dyDescent="0.2">
      <c r="A117" s="424" t="s">
        <v>450</v>
      </c>
      <c r="B117" s="424" t="s">
        <v>451</v>
      </c>
      <c r="C117" s="424" t="s">
        <v>423</v>
      </c>
      <c r="D117" s="424" t="s">
        <v>452</v>
      </c>
      <c r="E117" s="338">
        <f>'dod3'!E117-'dod3 до МВК'!E117</f>
        <v>0</v>
      </c>
      <c r="F117" s="338">
        <f>'dod3'!F117-'dod3 до МВК'!F117</f>
        <v>0</v>
      </c>
      <c r="G117" s="338">
        <f>'dod3'!G117-'dod3 до МВК'!G117</f>
        <v>0</v>
      </c>
      <c r="H117" s="338">
        <f>'dod3'!H117-'dod3 до МВК'!H117</f>
        <v>0</v>
      </c>
      <c r="I117" s="338">
        <f>'dod3'!I117-'dod3 до МВК'!I117</f>
        <v>0</v>
      </c>
      <c r="J117" s="338">
        <f>'dod3'!J117-'dod3 до МВК'!J117</f>
        <v>0</v>
      </c>
      <c r="K117" s="338">
        <f>'dod3'!K117-'dod3 до МВК'!K117</f>
        <v>0</v>
      </c>
      <c r="L117" s="338">
        <f>'dod3'!L117-'dod3 до МВК'!L117</f>
        <v>0</v>
      </c>
      <c r="M117" s="338">
        <f>'dod3'!M117-'dod3 до МВК'!M117</f>
        <v>0</v>
      </c>
      <c r="N117" s="338">
        <f>'dod3'!N117-'dod3 до МВК'!N117</f>
        <v>0</v>
      </c>
      <c r="O117" s="338">
        <f>'dod3'!O117-'dod3 до МВК'!O117</f>
        <v>0</v>
      </c>
      <c r="P117" s="338">
        <f>'dod3'!P117-'dod3 до МВК'!P117</f>
        <v>0</v>
      </c>
      <c r="Q117" s="338">
        <f>'dod3'!Q117-'dod3 до МВК'!Q117</f>
        <v>0</v>
      </c>
    </row>
    <row r="118" spans="1:19" ht="183" x14ac:dyDescent="0.2">
      <c r="A118" s="424" t="s">
        <v>424</v>
      </c>
      <c r="B118" s="424" t="s">
        <v>425</v>
      </c>
      <c r="C118" s="424" t="s">
        <v>423</v>
      </c>
      <c r="D118" s="424" t="s">
        <v>426</v>
      </c>
      <c r="E118" s="338">
        <f>'dod3'!E118-'dod3 до МВК'!E118</f>
        <v>0</v>
      </c>
      <c r="F118" s="338">
        <f>'dod3'!F118-'dod3 до МВК'!F118</f>
        <v>0</v>
      </c>
      <c r="G118" s="338">
        <f>'dod3'!G118-'dod3 до МВК'!G118</f>
        <v>0</v>
      </c>
      <c r="H118" s="338">
        <f>'dod3'!H118-'dod3 до МВК'!H118</f>
        <v>0</v>
      </c>
      <c r="I118" s="338">
        <f>'dod3'!I118-'dod3 до МВК'!I118</f>
        <v>0</v>
      </c>
      <c r="J118" s="338">
        <f>'dod3'!J118-'dod3 до МВК'!J118</f>
        <v>0</v>
      </c>
      <c r="K118" s="338">
        <f>'dod3'!K118-'dod3 до МВК'!K118</f>
        <v>0</v>
      </c>
      <c r="L118" s="338">
        <f>'dod3'!L118-'dod3 до МВК'!L118</f>
        <v>0</v>
      </c>
      <c r="M118" s="338">
        <f>'dod3'!M118-'dod3 до МВК'!M118</f>
        <v>0</v>
      </c>
      <c r="N118" s="338">
        <f>'dod3'!N118-'dod3 до МВК'!N118</f>
        <v>0</v>
      </c>
      <c r="O118" s="338">
        <f>'dod3'!O118-'dod3 до МВК'!O118</f>
        <v>0</v>
      </c>
      <c r="P118" s="338">
        <f>'dod3'!P118-'dod3 до МВК'!P118</f>
        <v>0</v>
      </c>
      <c r="Q118" s="338">
        <f>'dod3'!Q118-'dod3 до МВК'!Q118</f>
        <v>0</v>
      </c>
    </row>
    <row r="119" spans="1:19" ht="320.25" x14ac:dyDescent="0.2">
      <c r="A119" s="424" t="s">
        <v>444</v>
      </c>
      <c r="B119" s="424" t="s">
        <v>445</v>
      </c>
      <c r="C119" s="424" t="s">
        <v>423</v>
      </c>
      <c r="D119" s="424" t="s">
        <v>446</v>
      </c>
      <c r="E119" s="338">
        <f>'dod3'!E119-'dod3 до МВК'!E119</f>
        <v>0</v>
      </c>
      <c r="F119" s="338">
        <f>'dod3'!F119-'dod3 до МВК'!F119</f>
        <v>0</v>
      </c>
      <c r="G119" s="338">
        <f>'dod3'!G119-'dod3 до МВК'!G119</f>
        <v>0</v>
      </c>
      <c r="H119" s="338">
        <f>'dod3'!H119-'dod3 до МВК'!H119</f>
        <v>0</v>
      </c>
      <c r="I119" s="338">
        <f>'dod3'!I119-'dod3 до МВК'!I119</f>
        <v>0</v>
      </c>
      <c r="J119" s="338">
        <f>'dod3'!J119-'dod3 до МВК'!J119</f>
        <v>0</v>
      </c>
      <c r="K119" s="338">
        <f>'dod3'!K119-'dod3 до МВК'!K119</f>
        <v>0</v>
      </c>
      <c r="L119" s="338">
        <f>'dod3'!L119-'dod3 до МВК'!L119</f>
        <v>0</v>
      </c>
      <c r="M119" s="338">
        <f>'dod3'!M119-'dod3 до МВК'!M119</f>
        <v>0</v>
      </c>
      <c r="N119" s="338">
        <f>'dod3'!N119-'dod3 до МВК'!N119</f>
        <v>0</v>
      </c>
      <c r="O119" s="338">
        <f>'dod3'!O119-'dod3 до МВК'!O119</f>
        <v>0</v>
      </c>
      <c r="P119" s="338">
        <f>'dod3'!P119-'dod3 до МВК'!P119</f>
        <v>0</v>
      </c>
      <c r="Q119" s="338">
        <f>'dod3'!Q119-'dod3 до МВК'!Q119</f>
        <v>0</v>
      </c>
    </row>
    <row r="120" spans="1:19" ht="91.5" x14ac:dyDescent="0.2">
      <c r="A120" s="424" t="s">
        <v>430</v>
      </c>
      <c r="B120" s="424" t="s">
        <v>431</v>
      </c>
      <c r="C120" s="424" t="s">
        <v>423</v>
      </c>
      <c r="D120" s="424" t="s">
        <v>432</v>
      </c>
      <c r="E120" s="338">
        <f>'dod3'!E120-'dod3 до МВК'!E120</f>
        <v>0</v>
      </c>
      <c r="F120" s="338">
        <f>'dod3'!F120-'dod3 до МВК'!F120</f>
        <v>0</v>
      </c>
      <c r="G120" s="338">
        <f>'dod3'!G120-'dod3 до МВК'!G120</f>
        <v>0</v>
      </c>
      <c r="H120" s="338">
        <f>'dod3'!H120-'dod3 до МВК'!H120</f>
        <v>0</v>
      </c>
      <c r="I120" s="338">
        <f>'dod3'!I120-'dod3 до МВК'!I120</f>
        <v>0</v>
      </c>
      <c r="J120" s="338">
        <f>'dod3'!J120-'dod3 до МВК'!J120</f>
        <v>0</v>
      </c>
      <c r="K120" s="338">
        <f>'dod3'!K120-'dod3 до МВК'!K120</f>
        <v>0</v>
      </c>
      <c r="L120" s="338">
        <f>'dod3'!L120-'dod3 до МВК'!L120</f>
        <v>0</v>
      </c>
      <c r="M120" s="338">
        <f>'dod3'!M120-'dod3 до МВК'!M120</f>
        <v>0</v>
      </c>
      <c r="N120" s="338">
        <f>'dod3'!N120-'dod3 до МВК'!N120</f>
        <v>0</v>
      </c>
      <c r="O120" s="338">
        <f>'dod3'!O120-'dod3 до МВК'!O120</f>
        <v>0</v>
      </c>
      <c r="P120" s="338">
        <f>'dod3'!P120-'dod3 до МВК'!P120</f>
        <v>0</v>
      </c>
      <c r="Q120" s="338">
        <f>'dod3'!Q120-'dod3 до МВК'!Q120</f>
        <v>0</v>
      </c>
    </row>
    <row r="121" spans="1:19" ht="138" x14ac:dyDescent="0.2">
      <c r="A121" s="424" t="s">
        <v>454</v>
      </c>
      <c r="B121" s="424" t="s">
        <v>455</v>
      </c>
      <c r="C121" s="424" t="s">
        <v>453</v>
      </c>
      <c r="D121" s="424" t="s">
        <v>456</v>
      </c>
      <c r="E121" s="338">
        <f>'dod3'!E121-'dod3 до МВК'!E121</f>
        <v>0</v>
      </c>
      <c r="F121" s="338">
        <f>'dod3'!F121-'dod3 до МВК'!F121</f>
        <v>0</v>
      </c>
      <c r="G121" s="338">
        <f>'dod3'!G121-'dod3 до МВК'!G121</f>
        <v>0</v>
      </c>
      <c r="H121" s="338">
        <f>'dod3'!H121-'dod3 до МВК'!H121</f>
        <v>0</v>
      </c>
      <c r="I121" s="338">
        <f>'dod3'!I121-'dod3 до МВК'!I121</f>
        <v>0</v>
      </c>
      <c r="J121" s="338">
        <f>'dod3'!J121-'dod3 до МВК'!J121</f>
        <v>0</v>
      </c>
      <c r="K121" s="338">
        <f>'dod3'!K121-'dod3 до МВК'!K121</f>
        <v>0</v>
      </c>
      <c r="L121" s="338">
        <f>'dod3'!L121-'dod3 до МВК'!L121</f>
        <v>0</v>
      </c>
      <c r="M121" s="338">
        <f>'dod3'!M121-'dod3 до МВК'!M121</f>
        <v>0</v>
      </c>
      <c r="N121" s="338">
        <f>'dod3'!N121-'dod3 до МВК'!N121</f>
        <v>0</v>
      </c>
      <c r="O121" s="338">
        <f>'dod3'!O121-'dod3 до МВК'!O121</f>
        <v>0</v>
      </c>
      <c r="P121" s="338">
        <f>'dod3'!P121-'dod3 до МВК'!P121</f>
        <v>0</v>
      </c>
      <c r="Q121" s="338">
        <f>'dod3'!Q121-'dod3 до МВК'!Q121</f>
        <v>0</v>
      </c>
    </row>
    <row r="122" spans="1:19" ht="91.5" x14ac:dyDescent="0.2">
      <c r="A122" s="424" t="s">
        <v>741</v>
      </c>
      <c r="B122" s="424" t="s">
        <v>742</v>
      </c>
      <c r="C122" s="424" t="s">
        <v>743</v>
      </c>
      <c r="D122" s="424" t="s">
        <v>744</v>
      </c>
      <c r="E122" s="338">
        <f>'dod3'!E122-'dod3 до МВК'!E122</f>
        <v>0</v>
      </c>
      <c r="F122" s="338">
        <f>'dod3'!F122-'dod3 до МВК'!F122</f>
        <v>0</v>
      </c>
      <c r="G122" s="338">
        <f>'dod3'!G122-'dod3 до МВК'!G122</f>
        <v>0</v>
      </c>
      <c r="H122" s="338">
        <f>'dod3'!H122-'dod3 до МВК'!H122</f>
        <v>0</v>
      </c>
      <c r="I122" s="338">
        <f>'dod3'!I122-'dod3 до МВК'!I122</f>
        <v>0</v>
      </c>
      <c r="J122" s="338">
        <f>'dod3'!J122-'dod3 до МВК'!J122</f>
        <v>0</v>
      </c>
      <c r="K122" s="338">
        <f>'dod3'!K122-'dod3 до МВК'!K122</f>
        <v>0</v>
      </c>
      <c r="L122" s="338">
        <f>'dod3'!L122-'dod3 до МВК'!L122</f>
        <v>0</v>
      </c>
      <c r="M122" s="338">
        <f>'dod3'!M122-'dod3 до МВК'!M122</f>
        <v>0</v>
      </c>
      <c r="N122" s="338">
        <f>'dod3'!N122-'dod3 до МВК'!N122</f>
        <v>0</v>
      </c>
      <c r="O122" s="338">
        <f>'dod3'!O122-'dod3 до МВК'!O122</f>
        <v>0</v>
      </c>
      <c r="P122" s="338">
        <f>'dod3'!P122-'dod3 до МВК'!P122</f>
        <v>0</v>
      </c>
      <c r="Q122" s="338">
        <f>'dod3'!Q122-'dod3 до МВК'!Q122</f>
        <v>0</v>
      </c>
    </row>
    <row r="123" spans="1:19" ht="91.5" x14ac:dyDescent="0.2">
      <c r="A123" s="424" t="s">
        <v>433</v>
      </c>
      <c r="B123" s="424" t="s">
        <v>434</v>
      </c>
      <c r="C123" s="424" t="s">
        <v>436</v>
      </c>
      <c r="D123" s="424" t="s">
        <v>435</v>
      </c>
      <c r="E123" s="338">
        <f>'dod3'!E123-'dod3 до МВК'!E123</f>
        <v>0</v>
      </c>
      <c r="F123" s="338">
        <f>'dod3'!F123-'dod3 до МВК'!F123</f>
        <v>0</v>
      </c>
      <c r="G123" s="338">
        <f>'dod3'!G123-'dod3 до МВК'!G123</f>
        <v>0</v>
      </c>
      <c r="H123" s="338">
        <f>'dod3'!H123-'dod3 до МВК'!H123</f>
        <v>0</v>
      </c>
      <c r="I123" s="338">
        <f>'dod3'!I123-'dod3 до МВК'!I123</f>
        <v>0</v>
      </c>
      <c r="J123" s="338">
        <f>'dod3'!J123-'dod3 до МВК'!J123</f>
        <v>0</v>
      </c>
      <c r="K123" s="338">
        <f>'dod3'!K123-'dod3 до МВК'!K123</f>
        <v>0</v>
      </c>
      <c r="L123" s="338">
        <f>'dod3'!L123-'dod3 до МВК'!L123</f>
        <v>0</v>
      </c>
      <c r="M123" s="338">
        <f>'dod3'!M123-'dod3 до МВК'!M123</f>
        <v>0</v>
      </c>
      <c r="N123" s="338">
        <f>'dod3'!N123-'dod3 до МВК'!N123</f>
        <v>0</v>
      </c>
      <c r="O123" s="338">
        <f>'dod3'!O123-'dod3 до МВК'!O123</f>
        <v>0</v>
      </c>
      <c r="P123" s="338">
        <f>'dod3'!P123-'dod3 до МВК'!P123</f>
        <v>0</v>
      </c>
      <c r="Q123" s="338">
        <f>'dod3'!Q123-'dod3 до МВК'!Q123</f>
        <v>0</v>
      </c>
    </row>
    <row r="124" spans="1:19" ht="228.75" x14ac:dyDescent="0.2">
      <c r="A124" s="424" t="s">
        <v>437</v>
      </c>
      <c r="B124" s="424" t="s">
        <v>438</v>
      </c>
      <c r="C124" s="424" t="s">
        <v>440</v>
      </c>
      <c r="D124" s="424" t="s">
        <v>439</v>
      </c>
      <c r="E124" s="338">
        <f>'dod3'!E124-'dod3 до МВК'!E124</f>
        <v>0</v>
      </c>
      <c r="F124" s="338">
        <f>'dod3'!F124-'dod3 до МВК'!F124</f>
        <v>0</v>
      </c>
      <c r="G124" s="338">
        <f>'dod3'!G124-'dod3 до МВК'!G124</f>
        <v>0</v>
      </c>
      <c r="H124" s="338">
        <f>'dod3'!H124-'dod3 до МВК'!H124</f>
        <v>0</v>
      </c>
      <c r="I124" s="338">
        <f>'dod3'!I124-'dod3 до МВК'!I124</f>
        <v>0</v>
      </c>
      <c r="J124" s="338">
        <f>'dod3'!J124-'dod3 до МВК'!J124</f>
        <v>-570000</v>
      </c>
      <c r="K124" s="338">
        <f>'dod3'!K124-'dod3 до МВК'!K124</f>
        <v>-570000</v>
      </c>
      <c r="L124" s="338">
        <f>'dod3'!L124-'dod3 до МВК'!L124</f>
        <v>0</v>
      </c>
      <c r="M124" s="338">
        <f>'dod3'!M124-'dod3 до МВК'!M124</f>
        <v>0</v>
      </c>
      <c r="N124" s="338">
        <f>'dod3'!N124-'dod3 до МВК'!N124</f>
        <v>0</v>
      </c>
      <c r="O124" s="338">
        <f>'dod3'!O124-'dod3 до МВК'!O124</f>
        <v>0</v>
      </c>
      <c r="P124" s="338">
        <f>'dod3'!P124-'dod3 до МВК'!P124</f>
        <v>-570000</v>
      </c>
      <c r="Q124" s="338">
        <f>'dod3'!Q124-'dod3 до МВК'!Q124</f>
        <v>-570000</v>
      </c>
    </row>
    <row r="125" spans="1:19" ht="46.5" x14ac:dyDescent="0.2">
      <c r="A125" s="424" t="s">
        <v>441</v>
      </c>
      <c r="B125" s="424" t="s">
        <v>320</v>
      </c>
      <c r="C125" s="424" t="s">
        <v>321</v>
      </c>
      <c r="D125" s="424" t="s">
        <v>67</v>
      </c>
      <c r="E125" s="338">
        <f>'dod3'!E125-'dod3 до МВК'!E125</f>
        <v>0</v>
      </c>
      <c r="F125" s="338">
        <f>'dod3'!F125-'dod3 до МВК'!F125</f>
        <v>0</v>
      </c>
      <c r="G125" s="338">
        <f>'dod3'!G125-'dod3 до МВК'!G125</f>
        <v>0</v>
      </c>
      <c r="H125" s="338">
        <f>'dod3'!H125-'dod3 до МВК'!H125</f>
        <v>0</v>
      </c>
      <c r="I125" s="338">
        <f>'dod3'!I125-'dod3 до МВК'!I125</f>
        <v>0</v>
      </c>
      <c r="J125" s="338">
        <f>'dod3'!J125-'dod3 до МВК'!J125</f>
        <v>0</v>
      </c>
      <c r="K125" s="338">
        <f>'dod3'!K125-'dod3 до МВК'!K125</f>
        <v>0</v>
      </c>
      <c r="L125" s="338">
        <f>'dod3'!L125-'dod3 до МВК'!L125</f>
        <v>0</v>
      </c>
      <c r="M125" s="338">
        <f>'dod3'!M125-'dod3 до МВК'!M125</f>
        <v>0</v>
      </c>
      <c r="N125" s="338">
        <f>'dod3'!N125-'dod3 до МВК'!N125</f>
        <v>0</v>
      </c>
      <c r="O125" s="338">
        <f>'dod3'!O125-'dod3 до МВК'!O125</f>
        <v>0</v>
      </c>
      <c r="P125" s="338">
        <f>'dod3'!P125-'dod3 до МВК'!P125</f>
        <v>0</v>
      </c>
      <c r="Q125" s="338">
        <f>'dod3'!Q125-'dod3 до МВК'!Q125</f>
        <v>0</v>
      </c>
    </row>
    <row r="126" spans="1:19" ht="137.25" x14ac:dyDescent="0.65">
      <c r="A126" s="424" t="s">
        <v>458</v>
      </c>
      <c r="B126" s="424" t="s">
        <v>294</v>
      </c>
      <c r="C126" s="424" t="s">
        <v>257</v>
      </c>
      <c r="D126" s="424" t="s">
        <v>57</v>
      </c>
      <c r="E126" s="338">
        <f>'dod3'!E126-'dod3 до МВК'!E126</f>
        <v>0</v>
      </c>
      <c r="F126" s="338">
        <f>'dod3'!F126-'dod3 до МВК'!F126</f>
        <v>0</v>
      </c>
      <c r="G126" s="338">
        <f>'dod3'!G126-'dod3 до МВК'!G126</f>
        <v>0</v>
      </c>
      <c r="H126" s="338">
        <f>'dod3'!H126-'dod3 до МВК'!H126</f>
        <v>0</v>
      </c>
      <c r="I126" s="338">
        <f>'dod3'!I126-'dod3 до МВК'!I126</f>
        <v>0</v>
      </c>
      <c r="J126" s="338">
        <f>'dod3'!J126-'dod3 до МВК'!J126</f>
        <v>0</v>
      </c>
      <c r="K126" s="338">
        <f>'dod3'!K126-'dod3 до МВК'!K126</f>
        <v>0</v>
      </c>
      <c r="L126" s="338">
        <f>'dod3'!L126-'dod3 до МВК'!L126</f>
        <v>0</v>
      </c>
      <c r="M126" s="338">
        <f>'dod3'!M126-'dod3 до МВК'!M126</f>
        <v>0</v>
      </c>
      <c r="N126" s="338">
        <f>'dod3'!N126-'dod3 до МВК'!N126</f>
        <v>0</v>
      </c>
      <c r="O126" s="338">
        <f>'dod3'!O126-'dod3 до МВК'!O126</f>
        <v>0</v>
      </c>
      <c r="P126" s="338">
        <f>'dod3'!P126-'dod3 до МВК'!P126</f>
        <v>0</v>
      </c>
      <c r="Q126" s="338">
        <f>'dod3'!Q126-'dod3 до МВК'!Q126</f>
        <v>0</v>
      </c>
      <c r="R126" s="221"/>
    </row>
    <row r="127" spans="1:19" ht="409.5" x14ac:dyDescent="0.2">
      <c r="A127" s="444" t="s">
        <v>772</v>
      </c>
      <c r="B127" s="444" t="s">
        <v>541</v>
      </c>
      <c r="C127" s="444" t="s">
        <v>257</v>
      </c>
      <c r="D127" s="352" t="s">
        <v>552</v>
      </c>
      <c r="E127" s="457">
        <f>'dod3'!E127-'dod3 до МВК'!E127</f>
        <v>0</v>
      </c>
      <c r="F127" s="457">
        <f>'dod3'!F127-'dod3 до МВК'!F127</f>
        <v>0</v>
      </c>
      <c r="G127" s="457">
        <f>'dod3'!G127-'dod3 до МВК'!G127</f>
        <v>0</v>
      </c>
      <c r="H127" s="457">
        <f>'dod3'!H127-'dod3 до МВК'!H127</f>
        <v>0</v>
      </c>
      <c r="I127" s="457">
        <f>'dod3'!I127-'dod3 до МВК'!I127</f>
        <v>0</v>
      </c>
      <c r="J127" s="457">
        <f>'dod3'!J127-'dod3 до МВК'!J127</f>
        <v>0</v>
      </c>
      <c r="K127" s="457">
        <f>'dod3'!K127-'dod3 до МВК'!K127</f>
        <v>0</v>
      </c>
      <c r="L127" s="457">
        <f>'dod3'!L127-'dod3 до МВК'!L127</f>
        <v>0</v>
      </c>
      <c r="M127" s="457">
        <f>'dod3'!M127-'dod3 до МВК'!M127</f>
        <v>0</v>
      </c>
      <c r="N127" s="457">
        <f>'dod3'!N127-'dod3 до МВК'!N127</f>
        <v>0</v>
      </c>
      <c r="O127" s="338">
        <f>'dod3'!O127-'dod3 до МВК'!O127</f>
        <v>0</v>
      </c>
      <c r="P127" s="457">
        <f>'dod3'!P127-'dod3 до МВК'!P127</f>
        <v>0</v>
      </c>
      <c r="Q127" s="457">
        <f>'dod3'!Q127-'dod3 до МВК'!Q127</f>
        <v>0</v>
      </c>
      <c r="R127" s="401">
        <f>Q127</f>
        <v>0</v>
      </c>
    </row>
    <row r="128" spans="1:19" ht="137.25" x14ac:dyDescent="0.65">
      <c r="A128" s="445"/>
      <c r="B128" s="445"/>
      <c r="C128" s="445"/>
      <c r="D128" s="362" t="s">
        <v>553</v>
      </c>
      <c r="E128" s="441"/>
      <c r="F128" s="441"/>
      <c r="G128" s="441"/>
      <c r="H128" s="441"/>
      <c r="I128" s="441"/>
      <c r="J128" s="441"/>
      <c r="K128" s="441"/>
      <c r="L128" s="441"/>
      <c r="M128" s="441"/>
      <c r="N128" s="441"/>
      <c r="O128" s="338"/>
      <c r="P128" s="441"/>
      <c r="Q128" s="441"/>
      <c r="R128" s="221"/>
    </row>
    <row r="129" spans="1:19" ht="91.5" x14ac:dyDescent="0.2">
      <c r="A129" s="424" t="s">
        <v>388</v>
      </c>
      <c r="B129" s="424" t="s">
        <v>389</v>
      </c>
      <c r="C129" s="424" t="s">
        <v>390</v>
      </c>
      <c r="D129" s="424" t="s">
        <v>387</v>
      </c>
      <c r="E129" s="338">
        <f>'dod3'!E129-'dod3 до МВК'!E129</f>
        <v>0</v>
      </c>
      <c r="F129" s="338">
        <f>'dod3'!F129-'dod3 до МВК'!F129</f>
        <v>0</v>
      </c>
      <c r="G129" s="338">
        <f>'dod3'!G129-'dod3 до МВК'!G129</f>
        <v>0</v>
      </c>
      <c r="H129" s="338">
        <f>'dod3'!H129-'dod3 до МВК'!H129</f>
        <v>0</v>
      </c>
      <c r="I129" s="338">
        <f>'dod3'!I129-'dod3 до МВК'!I129</f>
        <v>0</v>
      </c>
      <c r="J129" s="338">
        <f>'dod3'!J129-'dod3 до МВК'!J129</f>
        <v>0</v>
      </c>
      <c r="K129" s="338">
        <f>'dod3'!K129-'dod3 до МВК'!K129</f>
        <v>0</v>
      </c>
      <c r="L129" s="338">
        <f>'dod3'!L129-'dod3 до МВК'!L129</f>
        <v>0</v>
      </c>
      <c r="M129" s="338">
        <f>'dod3'!M129-'dod3 до МВК'!M129</f>
        <v>0</v>
      </c>
      <c r="N129" s="338">
        <f>'dod3'!N129-'dod3 до МВК'!N129</f>
        <v>0</v>
      </c>
      <c r="O129" s="338">
        <f>'dod3'!O129-'dod3 до МВК'!O129</f>
        <v>0</v>
      </c>
      <c r="P129" s="338">
        <f>'dod3'!P129-'dod3 до МВК'!P129</f>
        <v>0</v>
      </c>
      <c r="Q129" s="338">
        <f>'dod3'!Q129-'dod3 до МВК'!Q129</f>
        <v>0</v>
      </c>
    </row>
    <row r="130" spans="1:19" ht="360" x14ac:dyDescent="0.2">
      <c r="A130" s="282" t="s">
        <v>44</v>
      </c>
      <c r="B130" s="282"/>
      <c r="C130" s="282"/>
      <c r="D130" s="282" t="s">
        <v>643</v>
      </c>
      <c r="E130" s="365">
        <f>E131</f>
        <v>0</v>
      </c>
      <c r="F130" s="365">
        <f t="shared" ref="F130:G130" si="36">F131</f>
        <v>0</v>
      </c>
      <c r="G130" s="365">
        <f t="shared" si="36"/>
        <v>0</v>
      </c>
      <c r="H130" s="365">
        <f>H131</f>
        <v>0</v>
      </c>
      <c r="I130" s="365">
        <f t="shared" ref="I130" si="37">I131</f>
        <v>0</v>
      </c>
      <c r="J130" s="365">
        <f>J131</f>
        <v>0</v>
      </c>
      <c r="K130" s="365">
        <f>K131</f>
        <v>0</v>
      </c>
      <c r="L130" s="365">
        <f>L131</f>
        <v>0</v>
      </c>
      <c r="M130" s="365">
        <f t="shared" ref="M130" si="38">M131</f>
        <v>0</v>
      </c>
      <c r="N130" s="365">
        <f>N131</f>
        <v>0</v>
      </c>
      <c r="O130" s="283">
        <f t="shared" ref="O130:Q130" si="39">O131</f>
        <v>0</v>
      </c>
      <c r="P130" s="365">
        <f t="shared" ref="P130:P136" si="40">K130+O130</f>
        <v>0</v>
      </c>
      <c r="Q130" s="283">
        <f t="shared" si="39"/>
        <v>0</v>
      </c>
    </row>
    <row r="131" spans="1:19" ht="405" x14ac:dyDescent="0.2">
      <c r="A131" s="286" t="s">
        <v>45</v>
      </c>
      <c r="B131" s="286"/>
      <c r="C131" s="286"/>
      <c r="D131" s="286" t="s">
        <v>642</v>
      </c>
      <c r="E131" s="284">
        <f t="shared" ref="E131:O131" si="41">SUM(E132:E135)</f>
        <v>0</v>
      </c>
      <c r="F131" s="284">
        <f t="shared" si="41"/>
        <v>0</v>
      </c>
      <c r="G131" s="284">
        <f t="shared" si="41"/>
        <v>0</v>
      </c>
      <c r="H131" s="284">
        <f t="shared" si="41"/>
        <v>0</v>
      </c>
      <c r="I131" s="284">
        <f t="shared" si="41"/>
        <v>0</v>
      </c>
      <c r="J131" s="284">
        <f>L131+P131</f>
        <v>0</v>
      </c>
      <c r="K131" s="284">
        <f t="shared" si="41"/>
        <v>0</v>
      </c>
      <c r="L131" s="284">
        <f t="shared" si="41"/>
        <v>0</v>
      </c>
      <c r="M131" s="284">
        <f t="shared" si="41"/>
        <v>0</v>
      </c>
      <c r="N131" s="284">
        <f t="shared" si="41"/>
        <v>0</v>
      </c>
      <c r="O131" s="284">
        <f t="shared" si="41"/>
        <v>0</v>
      </c>
      <c r="P131" s="378">
        <f t="shared" si="40"/>
        <v>0</v>
      </c>
      <c r="Q131" s="284">
        <f>E131+J131</f>
        <v>0</v>
      </c>
      <c r="R131" s="179" t="b">
        <f>Q131=Q133+Q134+Q135+Q132</f>
        <v>1</v>
      </c>
      <c r="S131" s="182" t="b">
        <f>K131='dod5'!I76</f>
        <v>0</v>
      </c>
    </row>
    <row r="132" spans="1:19" ht="228.75" x14ac:dyDescent="0.2">
      <c r="A132" s="424" t="s">
        <v>761</v>
      </c>
      <c r="B132" s="424" t="s">
        <v>344</v>
      </c>
      <c r="C132" s="424" t="s">
        <v>342</v>
      </c>
      <c r="D132" s="424" t="s">
        <v>343</v>
      </c>
      <c r="E132" s="338">
        <f>'dod3'!E132-'dod3 до МВК'!E132</f>
        <v>0</v>
      </c>
      <c r="F132" s="338">
        <f>'dod3'!F132-'dod3 до МВК'!F132</f>
        <v>0</v>
      </c>
      <c r="G132" s="338">
        <f>'dod3'!G132-'dod3 до МВК'!G132</f>
        <v>0</v>
      </c>
      <c r="H132" s="338">
        <f>'dod3'!H132-'dod3 до МВК'!H132</f>
        <v>0</v>
      </c>
      <c r="I132" s="338">
        <f>'dod3'!I132-'dod3 до МВК'!I132</f>
        <v>0</v>
      </c>
      <c r="J132" s="338">
        <f>'dod3'!J132-'dod3 до МВК'!J132</f>
        <v>0</v>
      </c>
      <c r="K132" s="338">
        <f>'dod3'!K132-'dod3 до МВК'!K132</f>
        <v>0</v>
      </c>
      <c r="L132" s="338">
        <f>'dod3'!L132-'dod3 до МВК'!L132</f>
        <v>0</v>
      </c>
      <c r="M132" s="338">
        <f>'dod3'!M132-'dod3 до МВК'!M132</f>
        <v>0</v>
      </c>
      <c r="N132" s="338">
        <f>'dod3'!N132-'dod3 до МВК'!N132</f>
        <v>0</v>
      </c>
      <c r="O132" s="338">
        <f>'dod3'!O132-'dod3 до МВК'!O132</f>
        <v>0</v>
      </c>
      <c r="P132" s="338">
        <f>'dod3'!P132-'dod3 до МВК'!P132</f>
        <v>0</v>
      </c>
      <c r="Q132" s="338">
        <f>'dod3'!Q132-'dod3 до МВК'!Q132</f>
        <v>0</v>
      </c>
      <c r="R132" s="179"/>
      <c r="S132" s="182"/>
    </row>
    <row r="133" spans="1:19" ht="91.5" x14ac:dyDescent="0.2">
      <c r="A133" s="424" t="s">
        <v>472</v>
      </c>
      <c r="B133" s="424" t="s">
        <v>473</v>
      </c>
      <c r="C133" s="424" t="s">
        <v>453</v>
      </c>
      <c r="D133" s="424" t="s">
        <v>471</v>
      </c>
      <c r="E133" s="338">
        <f>'dod3'!E133-'dod3 до МВК'!E133</f>
        <v>0</v>
      </c>
      <c r="F133" s="338">
        <f>'dod3'!F133-'dod3 до МВК'!F133</f>
        <v>0</v>
      </c>
      <c r="G133" s="338">
        <f>'dod3'!G133-'dod3 до МВК'!G133</f>
        <v>0</v>
      </c>
      <c r="H133" s="338">
        <f>'dod3'!H133-'dod3 до МВК'!H133</f>
        <v>0</v>
      </c>
      <c r="I133" s="338">
        <f>'dod3'!I133-'dod3 до МВК'!I133</f>
        <v>0</v>
      </c>
      <c r="J133" s="338">
        <f>'dod3'!J133-'dod3 до МВК'!J133</f>
        <v>0</v>
      </c>
      <c r="K133" s="338">
        <f>'dod3'!K133-'dod3 до МВК'!K133</f>
        <v>0</v>
      </c>
      <c r="L133" s="338">
        <f>'dod3'!L133-'dod3 до МВК'!L133</f>
        <v>0</v>
      </c>
      <c r="M133" s="338">
        <f>'dod3'!M133-'dod3 до МВК'!M133</f>
        <v>0</v>
      </c>
      <c r="N133" s="338">
        <f>'dod3'!N133-'dod3 до МВК'!N133</f>
        <v>0</v>
      </c>
      <c r="O133" s="338">
        <f>'dod3'!O133-'dod3 до МВК'!O133</f>
        <v>0</v>
      </c>
      <c r="P133" s="338">
        <f>'dod3'!P133-'dod3 до МВК'!P133</f>
        <v>0</v>
      </c>
      <c r="Q133" s="338">
        <f>'dod3'!Q133-'dod3 до МВК'!Q133</f>
        <v>0</v>
      </c>
    </row>
    <row r="134" spans="1:19" ht="137.25" x14ac:dyDescent="0.2">
      <c r="A134" s="424" t="s">
        <v>474</v>
      </c>
      <c r="B134" s="424" t="s">
        <v>475</v>
      </c>
      <c r="C134" s="424" t="s">
        <v>453</v>
      </c>
      <c r="D134" s="424" t="s">
        <v>476</v>
      </c>
      <c r="E134" s="338">
        <f>'dod3'!E134-'dod3 до МВК'!E134</f>
        <v>0</v>
      </c>
      <c r="F134" s="338">
        <f>'dod3'!F134-'dod3 до МВК'!F134</f>
        <v>0</v>
      </c>
      <c r="G134" s="338">
        <f>'dod3'!G134-'dod3 до МВК'!G134</f>
        <v>0</v>
      </c>
      <c r="H134" s="338">
        <f>'dod3'!H134-'dod3 до МВК'!H134</f>
        <v>0</v>
      </c>
      <c r="I134" s="338">
        <f>'dod3'!I134-'dod3 до МВК'!I134</f>
        <v>0</v>
      </c>
      <c r="J134" s="338">
        <f>'dod3'!J134-'dod3 до МВК'!J134</f>
        <v>0</v>
      </c>
      <c r="K134" s="338">
        <f>'dod3'!K134-'dod3 до МВК'!K134</f>
        <v>0</v>
      </c>
      <c r="L134" s="338">
        <f>'dod3'!L134-'dod3 до МВК'!L134</f>
        <v>0</v>
      </c>
      <c r="M134" s="338">
        <f>'dod3'!M134-'dod3 до МВК'!M134</f>
        <v>0</v>
      </c>
      <c r="N134" s="338">
        <f>'dod3'!N134-'dod3 до МВК'!N134</f>
        <v>0</v>
      </c>
      <c r="O134" s="338">
        <f>'dod3'!O134-'dod3 до МВК'!O134</f>
        <v>0</v>
      </c>
      <c r="P134" s="338">
        <f>'dod3'!P134-'dod3 до МВК'!P134</f>
        <v>0</v>
      </c>
      <c r="Q134" s="338">
        <f>'dod3'!Q134-'dod3 до МВК'!Q134</f>
        <v>0</v>
      </c>
    </row>
    <row r="135" spans="1:19" ht="183" x14ac:dyDescent="0.2">
      <c r="A135" s="424" t="s">
        <v>478</v>
      </c>
      <c r="B135" s="424" t="s">
        <v>479</v>
      </c>
      <c r="C135" s="424" t="s">
        <v>453</v>
      </c>
      <c r="D135" s="424" t="s">
        <v>477</v>
      </c>
      <c r="E135" s="338">
        <f>'dod3'!E135-'dod3 до МВК'!E135</f>
        <v>0</v>
      </c>
      <c r="F135" s="338">
        <f>'dod3'!F135-'dod3 до МВК'!F135</f>
        <v>0</v>
      </c>
      <c r="G135" s="338">
        <f>'dod3'!G135-'dod3 до МВК'!G135</f>
        <v>0</v>
      </c>
      <c r="H135" s="338">
        <f>'dod3'!H135-'dod3 до МВК'!H135</f>
        <v>0</v>
      </c>
      <c r="I135" s="338">
        <f>'dod3'!I135-'dod3 до МВК'!I135</f>
        <v>0</v>
      </c>
      <c r="J135" s="338">
        <f>'dod3'!J135-'dod3 до МВК'!J135</f>
        <v>0</v>
      </c>
      <c r="K135" s="338">
        <f>'dod3'!K135-'dod3 до МВК'!K135</f>
        <v>0</v>
      </c>
      <c r="L135" s="338">
        <f>'dod3'!L135-'dod3 до МВК'!L135</f>
        <v>0</v>
      </c>
      <c r="M135" s="338">
        <f>'dod3'!M135-'dod3 до МВК'!M135</f>
        <v>0</v>
      </c>
      <c r="N135" s="338">
        <f>'dod3'!N135-'dod3 до МВК'!N135</f>
        <v>0</v>
      </c>
      <c r="O135" s="338">
        <f>'dod3'!O135-'dod3 до МВК'!O135</f>
        <v>0</v>
      </c>
      <c r="P135" s="338">
        <f>'dod3'!P135-'dod3 до МВК'!P135</f>
        <v>0</v>
      </c>
      <c r="Q135" s="338">
        <f>'dod3'!Q135-'dod3 до МВК'!Q135</f>
        <v>0</v>
      </c>
    </row>
    <row r="136" spans="1:19" ht="315" x14ac:dyDescent="0.2">
      <c r="A136" s="282" t="s">
        <v>247</v>
      </c>
      <c r="B136" s="282"/>
      <c r="C136" s="282"/>
      <c r="D136" s="282" t="s">
        <v>46</v>
      </c>
      <c r="E136" s="365">
        <f>E137</f>
        <v>0</v>
      </c>
      <c r="F136" s="365">
        <f t="shared" ref="F136:G136" si="42">F137</f>
        <v>0</v>
      </c>
      <c r="G136" s="365">
        <f t="shared" si="42"/>
        <v>0</v>
      </c>
      <c r="H136" s="365">
        <f>H137</f>
        <v>0</v>
      </c>
      <c r="I136" s="365">
        <f t="shared" ref="I136" si="43">I137</f>
        <v>0</v>
      </c>
      <c r="J136" s="365">
        <f>J137</f>
        <v>0</v>
      </c>
      <c r="K136" s="365">
        <f>K137</f>
        <v>0</v>
      </c>
      <c r="L136" s="365">
        <f>L137</f>
        <v>0</v>
      </c>
      <c r="M136" s="365">
        <f t="shared" ref="M136" si="44">M137</f>
        <v>0</v>
      </c>
      <c r="N136" s="365">
        <f>N137</f>
        <v>0</v>
      </c>
      <c r="O136" s="283">
        <f t="shared" ref="O136:Q136" si="45">O137</f>
        <v>0</v>
      </c>
      <c r="P136" s="365">
        <f t="shared" si="40"/>
        <v>0</v>
      </c>
      <c r="Q136" s="283">
        <f t="shared" si="45"/>
        <v>0</v>
      </c>
    </row>
    <row r="137" spans="1:19" ht="360" x14ac:dyDescent="0.2">
      <c r="A137" s="286" t="s">
        <v>248</v>
      </c>
      <c r="B137" s="286"/>
      <c r="C137" s="286"/>
      <c r="D137" s="286" t="s">
        <v>64</v>
      </c>
      <c r="E137" s="284">
        <f>SUM(E138:E139)</f>
        <v>0</v>
      </c>
      <c r="F137" s="284">
        <f t="shared" ref="F137:O137" si="46">SUM(F138:F139)</f>
        <v>0</v>
      </c>
      <c r="G137" s="284">
        <f t="shared" si="46"/>
        <v>0</v>
      </c>
      <c r="H137" s="284">
        <f t="shared" si="46"/>
        <v>0</v>
      </c>
      <c r="I137" s="284">
        <f t="shared" si="46"/>
        <v>0</v>
      </c>
      <c r="J137" s="284">
        <f>L137+P137</f>
        <v>0</v>
      </c>
      <c r="K137" s="284">
        <f t="shared" si="46"/>
        <v>0</v>
      </c>
      <c r="L137" s="284">
        <f t="shared" si="46"/>
        <v>0</v>
      </c>
      <c r="M137" s="284">
        <f t="shared" si="46"/>
        <v>0</v>
      </c>
      <c r="N137" s="284">
        <f t="shared" si="46"/>
        <v>0</v>
      </c>
      <c r="O137" s="284">
        <f t="shared" si="46"/>
        <v>0</v>
      </c>
      <c r="P137" s="378">
        <f>K137+O137</f>
        <v>0</v>
      </c>
      <c r="Q137" s="284">
        <f>E137+J137</f>
        <v>0</v>
      </c>
      <c r="R137" s="179" t="b">
        <f>Q137=Q139+Q138</f>
        <v>1</v>
      </c>
      <c r="S137" s="182" t="b">
        <f>K137='dod5'!I100</f>
        <v>0</v>
      </c>
    </row>
    <row r="138" spans="1:19" ht="228.75" x14ac:dyDescent="0.2">
      <c r="A138" s="424" t="s">
        <v>763</v>
      </c>
      <c r="B138" s="424" t="s">
        <v>344</v>
      </c>
      <c r="C138" s="424" t="s">
        <v>342</v>
      </c>
      <c r="D138" s="424" t="s">
        <v>343</v>
      </c>
      <c r="E138" s="338">
        <f>'dod3'!E138-'dod3 до МВК'!E138</f>
        <v>0</v>
      </c>
      <c r="F138" s="338">
        <f>'dod3'!F138-'dod3 до МВК'!F138</f>
        <v>0</v>
      </c>
      <c r="G138" s="338">
        <f>'dod3'!G138-'dod3 до МВК'!G138</f>
        <v>0</v>
      </c>
      <c r="H138" s="338">
        <f>'dod3'!H138-'dod3 до МВК'!H138</f>
        <v>0</v>
      </c>
      <c r="I138" s="338">
        <f>'dod3'!I138-'dod3 до МВК'!I138</f>
        <v>0</v>
      </c>
      <c r="J138" s="338">
        <f>'dod3'!J138-'dod3 до МВК'!J138</f>
        <v>0</v>
      </c>
      <c r="K138" s="338">
        <f>'dod3'!K138-'dod3 до МВК'!K138</f>
        <v>0</v>
      </c>
      <c r="L138" s="338">
        <f>'dod3'!L138-'dod3 до МВК'!L138</f>
        <v>0</v>
      </c>
      <c r="M138" s="338">
        <f>'dod3'!M138-'dod3 до МВК'!M138</f>
        <v>0</v>
      </c>
      <c r="N138" s="338">
        <f>'dod3'!N138-'dod3 до МВК'!N138</f>
        <v>0</v>
      </c>
      <c r="O138" s="338">
        <f>'dod3'!O138-'dod3 до МВК'!O138</f>
        <v>0</v>
      </c>
      <c r="P138" s="338">
        <f>'dod3'!P138-'dod3 до МВК'!P138</f>
        <v>0</v>
      </c>
      <c r="Q138" s="338">
        <f>'dod3'!Q138-'dod3 до МВК'!Q138</f>
        <v>0</v>
      </c>
      <c r="R138" s="179"/>
      <c r="S138" s="182"/>
    </row>
    <row r="139" spans="1:19" ht="183" x14ac:dyDescent="0.2">
      <c r="A139" s="424" t="s">
        <v>463</v>
      </c>
      <c r="B139" s="424" t="s">
        <v>464</v>
      </c>
      <c r="C139" s="424" t="s">
        <v>453</v>
      </c>
      <c r="D139" s="424" t="s">
        <v>465</v>
      </c>
      <c r="E139" s="338">
        <f>'dod3'!E139-'dod3 до МВК'!E139</f>
        <v>0</v>
      </c>
      <c r="F139" s="338">
        <f>'dod3'!F139-'dod3 до МВК'!F139</f>
        <v>0</v>
      </c>
      <c r="G139" s="338">
        <f>'dod3'!G139-'dod3 до МВК'!G139</f>
        <v>0</v>
      </c>
      <c r="H139" s="338">
        <f>'dod3'!H139-'dod3 до МВК'!H139</f>
        <v>0</v>
      </c>
      <c r="I139" s="338">
        <f>'dod3'!I139-'dod3 до МВК'!I139</f>
        <v>0</v>
      </c>
      <c r="J139" s="338">
        <f>'dod3'!J139-'dod3 до МВК'!J139</f>
        <v>0</v>
      </c>
      <c r="K139" s="338">
        <f>'dod3'!K139-'dod3 до МВК'!K139</f>
        <v>0</v>
      </c>
      <c r="L139" s="338">
        <f>'dod3'!L139-'dod3 до МВК'!L139</f>
        <v>0</v>
      </c>
      <c r="M139" s="338">
        <f>'dod3'!M139-'dod3 до МВК'!M139</f>
        <v>0</v>
      </c>
      <c r="N139" s="338">
        <f>'dod3'!N139-'dod3 до МВК'!N139</f>
        <v>0</v>
      </c>
      <c r="O139" s="338">
        <f>'dod3'!O139-'dod3 до МВК'!O139</f>
        <v>0</v>
      </c>
      <c r="P139" s="338">
        <f>'dod3'!P139-'dod3 до МВК'!P139</f>
        <v>0</v>
      </c>
      <c r="Q139" s="338">
        <f>'dod3'!Q139-'dod3 до МВК'!Q139</f>
        <v>0</v>
      </c>
    </row>
    <row r="140" spans="1:19" ht="135" x14ac:dyDescent="0.2">
      <c r="A140" s="282" t="s">
        <v>253</v>
      </c>
      <c r="B140" s="282"/>
      <c r="C140" s="282"/>
      <c r="D140" s="282" t="s">
        <v>580</v>
      </c>
      <c r="E140" s="365">
        <f>E141</f>
        <v>0</v>
      </c>
      <c r="F140" s="365">
        <f t="shared" ref="F140:G140" si="47">F141</f>
        <v>0</v>
      </c>
      <c r="G140" s="365">
        <f t="shared" si="47"/>
        <v>0</v>
      </c>
      <c r="H140" s="365">
        <f>H141</f>
        <v>0</v>
      </c>
      <c r="I140" s="365">
        <f t="shared" ref="I140" si="48">I141</f>
        <v>0</v>
      </c>
      <c r="J140" s="365">
        <f>J141</f>
        <v>570000</v>
      </c>
      <c r="K140" s="365">
        <f>K141</f>
        <v>570000</v>
      </c>
      <c r="L140" s="365">
        <f>L141</f>
        <v>0</v>
      </c>
      <c r="M140" s="365">
        <f t="shared" ref="M140" si="49">M141</f>
        <v>0</v>
      </c>
      <c r="N140" s="365">
        <f>N141</f>
        <v>0</v>
      </c>
      <c r="O140" s="283">
        <f t="shared" ref="O140:Q140" si="50">O141</f>
        <v>0</v>
      </c>
      <c r="P140" s="365">
        <f t="shared" ref="P140:P162" si="51">K140+O140</f>
        <v>570000</v>
      </c>
      <c r="Q140" s="283">
        <f t="shared" si="50"/>
        <v>570000</v>
      </c>
    </row>
    <row r="141" spans="1:19" ht="180" x14ac:dyDescent="0.2">
      <c r="A141" s="286" t="s">
        <v>254</v>
      </c>
      <c r="B141" s="286"/>
      <c r="C141" s="286"/>
      <c r="D141" s="286" t="s">
        <v>581</v>
      </c>
      <c r="E141" s="284">
        <f>SUM(E142:E145)</f>
        <v>0</v>
      </c>
      <c r="F141" s="284">
        <f t="shared" ref="F141:O141" si="52">SUM(F142:F145)</f>
        <v>0</v>
      </c>
      <c r="G141" s="284">
        <f t="shared" si="52"/>
        <v>0</v>
      </c>
      <c r="H141" s="284">
        <f t="shared" si="52"/>
        <v>0</v>
      </c>
      <c r="I141" s="284">
        <f t="shared" si="52"/>
        <v>0</v>
      </c>
      <c r="J141" s="284">
        <f>L141+P141</f>
        <v>570000</v>
      </c>
      <c r="K141" s="284">
        <f t="shared" si="52"/>
        <v>570000</v>
      </c>
      <c r="L141" s="284">
        <f t="shared" si="52"/>
        <v>0</v>
      </c>
      <c r="M141" s="284">
        <f t="shared" si="52"/>
        <v>0</v>
      </c>
      <c r="N141" s="284">
        <f t="shared" si="52"/>
        <v>0</v>
      </c>
      <c r="O141" s="284">
        <f t="shared" si="52"/>
        <v>0</v>
      </c>
      <c r="P141" s="378">
        <f t="shared" si="51"/>
        <v>570000</v>
      </c>
      <c r="Q141" s="284">
        <f>E141+J141</f>
        <v>570000</v>
      </c>
      <c r="R141" s="179" t="b">
        <f>Q141=Q142+Q143+Q144+Q145</f>
        <v>1</v>
      </c>
      <c r="S141" s="182" t="b">
        <f>K141='dod5'!I101</f>
        <v>0</v>
      </c>
    </row>
    <row r="142" spans="1:19" ht="183" x14ac:dyDescent="0.2">
      <c r="A142" s="424" t="s">
        <v>574</v>
      </c>
      <c r="B142" s="424" t="s">
        <v>575</v>
      </c>
      <c r="C142" s="424" t="s">
        <v>257</v>
      </c>
      <c r="D142" s="424" t="s">
        <v>401</v>
      </c>
      <c r="E142" s="338">
        <f>'dod3'!E142-'dod3 до МВК'!E142</f>
        <v>0</v>
      </c>
      <c r="F142" s="338">
        <f>'dod3'!F142-'dod3 до МВК'!F142</f>
        <v>0</v>
      </c>
      <c r="G142" s="338">
        <f>'dod3'!G142-'dod3 до МВК'!G142</f>
        <v>0</v>
      </c>
      <c r="H142" s="338">
        <f>'dod3'!H142-'dod3 до МВК'!H142</f>
        <v>0</v>
      </c>
      <c r="I142" s="338">
        <f>'dod3'!I142-'dod3 до МВК'!I142</f>
        <v>0</v>
      </c>
      <c r="J142" s="338">
        <f>'dod3'!J142-'dod3 до МВК'!J142</f>
        <v>0</v>
      </c>
      <c r="K142" s="338">
        <f>'dod3'!K142-'dod3 до МВК'!K142</f>
        <v>0</v>
      </c>
      <c r="L142" s="338">
        <f>'dod3'!L142-'dod3 до МВК'!L142</f>
        <v>0</v>
      </c>
      <c r="M142" s="338">
        <f>'dod3'!M142-'dod3 до МВК'!M142</f>
        <v>0</v>
      </c>
      <c r="N142" s="338">
        <f>'dod3'!N142-'dod3 до МВК'!N142</f>
        <v>0</v>
      </c>
      <c r="O142" s="338">
        <f>'dod3'!O142-'dod3 до МВК'!O142</f>
        <v>0</v>
      </c>
      <c r="P142" s="338">
        <f>'dod3'!P142-'dod3 до МВК'!P142</f>
        <v>0</v>
      </c>
      <c r="Q142" s="338">
        <f>'dod3'!Q142-'dod3 до МВК'!Q142</f>
        <v>0</v>
      </c>
    </row>
    <row r="143" spans="1:19" ht="137.25" x14ac:dyDescent="0.2">
      <c r="A143" s="424" t="s">
        <v>399</v>
      </c>
      <c r="B143" s="424" t="s">
        <v>400</v>
      </c>
      <c r="C143" s="424" t="s">
        <v>398</v>
      </c>
      <c r="D143" s="424" t="s">
        <v>397</v>
      </c>
      <c r="E143" s="338">
        <f>'dod3'!E143-'dod3 до МВК'!E143</f>
        <v>0</v>
      </c>
      <c r="F143" s="338">
        <f>'dod3'!F143-'dod3 до МВК'!F143</f>
        <v>0</v>
      </c>
      <c r="G143" s="338">
        <f>'dod3'!G143-'dod3 до МВК'!G143</f>
        <v>0</v>
      </c>
      <c r="H143" s="338">
        <f>'dod3'!H143-'dod3 до МВК'!H143</f>
        <v>0</v>
      </c>
      <c r="I143" s="338">
        <f>'dod3'!I143-'dod3 до МВК'!I143</f>
        <v>0</v>
      </c>
      <c r="J143" s="338">
        <f>'dod3'!J143-'dod3 до МВК'!J143</f>
        <v>570000</v>
      </c>
      <c r="K143" s="338">
        <f>'dod3'!K143-'dod3 до МВК'!K143</f>
        <v>570000</v>
      </c>
      <c r="L143" s="338">
        <f>'dod3'!L143-'dod3 до МВК'!L143</f>
        <v>0</v>
      </c>
      <c r="M143" s="338">
        <f>'dod3'!M143-'dod3 до МВК'!M143</f>
        <v>0</v>
      </c>
      <c r="N143" s="338">
        <f>'dod3'!N143-'dod3 до МВК'!N143</f>
        <v>0</v>
      </c>
      <c r="O143" s="338">
        <f>'dod3'!O143-'dod3 до МВК'!O143</f>
        <v>0</v>
      </c>
      <c r="P143" s="338">
        <f>'dod3'!P143-'dod3 до МВК'!P143</f>
        <v>570000</v>
      </c>
      <c r="Q143" s="338">
        <f>'dod3'!Q143-'dod3 до МВК'!Q143</f>
        <v>570000</v>
      </c>
    </row>
    <row r="144" spans="1:19" ht="183" x14ac:dyDescent="0.2">
      <c r="A144" s="424" t="s">
        <v>391</v>
      </c>
      <c r="B144" s="424" t="s">
        <v>393</v>
      </c>
      <c r="C144" s="424" t="s">
        <v>321</v>
      </c>
      <c r="D144" s="424" t="s">
        <v>392</v>
      </c>
      <c r="E144" s="338">
        <f>'dod3'!E144-'dod3 до МВК'!E144</f>
        <v>0</v>
      </c>
      <c r="F144" s="338">
        <f>'dod3'!F144-'dod3 до МВК'!F144</f>
        <v>0</v>
      </c>
      <c r="G144" s="338">
        <f>'dod3'!G144-'dod3 до МВК'!G144</f>
        <v>0</v>
      </c>
      <c r="H144" s="338">
        <f>'dod3'!H144-'dod3 до МВК'!H144</f>
        <v>0</v>
      </c>
      <c r="I144" s="338">
        <f>'dod3'!I144-'dod3 до МВК'!I144</f>
        <v>0</v>
      </c>
      <c r="J144" s="338">
        <f>'dod3'!J144-'dod3 до МВК'!J144</f>
        <v>0</v>
      </c>
      <c r="K144" s="338">
        <f>'dod3'!K144-'dod3 до МВК'!K144</f>
        <v>0</v>
      </c>
      <c r="L144" s="338">
        <f>'dod3'!L144-'dod3 до МВК'!L144</f>
        <v>0</v>
      </c>
      <c r="M144" s="338">
        <f>'dod3'!M144-'dod3 до МВК'!M144</f>
        <v>0</v>
      </c>
      <c r="N144" s="338">
        <f>'dod3'!N144-'dod3 до МВК'!N144</f>
        <v>0</v>
      </c>
      <c r="O144" s="338">
        <f>'dod3'!O144-'dod3 до МВК'!O144</f>
        <v>0</v>
      </c>
      <c r="P144" s="338">
        <f>'dod3'!P144-'dod3 до МВК'!P144</f>
        <v>0</v>
      </c>
      <c r="Q144" s="338">
        <f>'dod3'!Q144-'dod3 до МВК'!Q144</f>
        <v>0</v>
      </c>
    </row>
    <row r="145" spans="1:19" ht="91.5" x14ac:dyDescent="0.2">
      <c r="A145" s="424" t="s">
        <v>395</v>
      </c>
      <c r="B145" s="424" t="s">
        <v>396</v>
      </c>
      <c r="C145" s="424" t="s">
        <v>257</v>
      </c>
      <c r="D145" s="424" t="s">
        <v>394</v>
      </c>
      <c r="E145" s="338">
        <f>'dod3'!E145-'dod3 до МВК'!E145</f>
        <v>0</v>
      </c>
      <c r="F145" s="338">
        <f>'dod3'!F145-'dod3 до МВК'!F145</f>
        <v>0</v>
      </c>
      <c r="G145" s="338">
        <f>'dod3'!G145-'dod3 до МВК'!G145</f>
        <v>0</v>
      </c>
      <c r="H145" s="338">
        <f>'dod3'!H145-'dod3 до МВК'!H145</f>
        <v>0</v>
      </c>
      <c r="I145" s="338">
        <f>'dod3'!I145-'dod3 до МВК'!I145</f>
        <v>0</v>
      </c>
      <c r="J145" s="338">
        <f>'dod3'!J145-'dod3 до МВК'!J145</f>
        <v>0</v>
      </c>
      <c r="K145" s="338">
        <f>'dod3'!K145-'dod3 до МВК'!K145</f>
        <v>0</v>
      </c>
      <c r="L145" s="338">
        <f>'dod3'!L145-'dod3 до МВК'!L145</f>
        <v>0</v>
      </c>
      <c r="M145" s="338">
        <f>'dod3'!M145-'dod3 до МВК'!M145</f>
        <v>0</v>
      </c>
      <c r="N145" s="338">
        <f>'dod3'!N145-'dod3 до МВК'!N145</f>
        <v>0</v>
      </c>
      <c r="O145" s="338">
        <f>'dod3'!O145-'dod3 до МВК'!O145</f>
        <v>0</v>
      </c>
      <c r="P145" s="338">
        <f>'dod3'!P145-'dod3 до МВК'!P145</f>
        <v>0</v>
      </c>
      <c r="Q145" s="338">
        <f>'dod3'!Q145-'dod3 до МВК'!Q145</f>
        <v>0</v>
      </c>
    </row>
    <row r="146" spans="1:19" ht="180" x14ac:dyDescent="0.2">
      <c r="A146" s="282" t="s">
        <v>251</v>
      </c>
      <c r="B146" s="282"/>
      <c r="C146" s="282"/>
      <c r="D146" s="282" t="s">
        <v>47</v>
      </c>
      <c r="E146" s="365">
        <f>E147</f>
        <v>0</v>
      </c>
      <c r="F146" s="365">
        <f t="shared" ref="F146:G146" si="53">F147</f>
        <v>0</v>
      </c>
      <c r="G146" s="365">
        <f t="shared" si="53"/>
        <v>0</v>
      </c>
      <c r="H146" s="365">
        <f>H147</f>
        <v>0</v>
      </c>
      <c r="I146" s="365">
        <f t="shared" ref="I146" si="54">I147</f>
        <v>0</v>
      </c>
      <c r="J146" s="365">
        <f>J147</f>
        <v>0</v>
      </c>
      <c r="K146" s="365">
        <f>K147</f>
        <v>0</v>
      </c>
      <c r="L146" s="365">
        <f>L147</f>
        <v>0</v>
      </c>
      <c r="M146" s="365">
        <f t="shared" ref="M146" si="55">M147</f>
        <v>0</v>
      </c>
      <c r="N146" s="365">
        <f>N147</f>
        <v>0</v>
      </c>
      <c r="O146" s="283">
        <f t="shared" ref="O146:Q146" si="56">O147</f>
        <v>0</v>
      </c>
      <c r="P146" s="365">
        <f t="shared" si="51"/>
        <v>0</v>
      </c>
      <c r="Q146" s="283">
        <f t="shared" si="56"/>
        <v>0</v>
      </c>
    </row>
    <row r="147" spans="1:19" ht="225" x14ac:dyDescent="0.2">
      <c r="A147" s="286" t="s">
        <v>252</v>
      </c>
      <c r="B147" s="286"/>
      <c r="C147" s="286"/>
      <c r="D147" s="286" t="s">
        <v>65</v>
      </c>
      <c r="E147" s="284">
        <f t="shared" ref="E147:O147" si="57">SUM(E148:E150)</f>
        <v>0</v>
      </c>
      <c r="F147" s="284">
        <f t="shared" si="57"/>
        <v>0</v>
      </c>
      <c r="G147" s="284">
        <f t="shared" si="57"/>
        <v>0</v>
      </c>
      <c r="H147" s="284">
        <f t="shared" si="57"/>
        <v>0</v>
      </c>
      <c r="I147" s="284">
        <f t="shared" si="57"/>
        <v>0</v>
      </c>
      <c r="J147" s="284">
        <f>L147+P147</f>
        <v>0</v>
      </c>
      <c r="K147" s="284">
        <f t="shared" si="57"/>
        <v>0</v>
      </c>
      <c r="L147" s="284">
        <f t="shared" si="57"/>
        <v>0</v>
      </c>
      <c r="M147" s="284">
        <f t="shared" si="57"/>
        <v>0</v>
      </c>
      <c r="N147" s="284">
        <f t="shared" si="57"/>
        <v>0</v>
      </c>
      <c r="O147" s="284">
        <f t="shared" si="57"/>
        <v>0</v>
      </c>
      <c r="P147" s="378">
        <f t="shared" si="51"/>
        <v>0</v>
      </c>
      <c r="Q147" s="284">
        <f>E147+J147</f>
        <v>0</v>
      </c>
      <c r="R147" s="179" t="b">
        <f>Q147=Q149+Q150+Q148</f>
        <v>1</v>
      </c>
      <c r="S147" s="182" t="b">
        <f>J147='dod7'!F13</f>
        <v>0</v>
      </c>
    </row>
    <row r="148" spans="1:19" ht="228.75" x14ac:dyDescent="0.2">
      <c r="A148" s="424" t="s">
        <v>766</v>
      </c>
      <c r="B148" s="424" t="s">
        <v>344</v>
      </c>
      <c r="C148" s="424" t="s">
        <v>342</v>
      </c>
      <c r="D148" s="424" t="s">
        <v>343</v>
      </c>
      <c r="E148" s="338">
        <f>'dod3'!E148-'dod3 до МВК'!E148</f>
        <v>0</v>
      </c>
      <c r="F148" s="338">
        <f>'dod3'!F148-'dod3 до МВК'!F148</f>
        <v>0</v>
      </c>
      <c r="G148" s="338">
        <f>'dod3'!G148-'dod3 до МВК'!G148</f>
        <v>0</v>
      </c>
      <c r="H148" s="338">
        <f>'dod3'!H148-'dod3 до МВК'!H148</f>
        <v>0</v>
      </c>
      <c r="I148" s="338">
        <f>'dod3'!I148-'dod3 до МВК'!I148</f>
        <v>0</v>
      </c>
      <c r="J148" s="338">
        <f>'dod3'!J148-'dod3 до МВК'!J148</f>
        <v>0</v>
      </c>
      <c r="K148" s="338">
        <f>'dod3'!K148-'dod3 до МВК'!K148</f>
        <v>0</v>
      </c>
      <c r="L148" s="338">
        <f>'dod3'!L148-'dod3 до МВК'!L148</f>
        <v>0</v>
      </c>
      <c r="M148" s="338">
        <f>'dod3'!M148-'dod3 до МВК'!M148</f>
        <v>0</v>
      </c>
      <c r="N148" s="338">
        <f>'dod3'!N148-'dod3 до МВК'!N148</f>
        <v>0</v>
      </c>
      <c r="O148" s="338">
        <f>'dod3'!O148-'dod3 до МВК'!O148</f>
        <v>0</v>
      </c>
      <c r="P148" s="338">
        <f>'dod3'!P148-'dod3 до МВК'!P148</f>
        <v>0</v>
      </c>
      <c r="Q148" s="338">
        <f>'dod3'!Q148-'dod3 до МВК'!Q148</f>
        <v>0</v>
      </c>
      <c r="R148" s="179"/>
      <c r="S148" s="182"/>
    </row>
    <row r="149" spans="1:19" ht="137.25" x14ac:dyDescent="0.2">
      <c r="A149" s="424" t="s">
        <v>466</v>
      </c>
      <c r="B149" s="424" t="s">
        <v>467</v>
      </c>
      <c r="C149" s="424" t="s">
        <v>81</v>
      </c>
      <c r="D149" s="424" t="s">
        <v>82</v>
      </c>
      <c r="E149" s="338">
        <f>'dod3'!E149-'dod3 до МВК'!E149</f>
        <v>0</v>
      </c>
      <c r="F149" s="338">
        <f>'dod3'!F149-'dod3 до МВК'!F149</f>
        <v>0</v>
      </c>
      <c r="G149" s="338">
        <f>'dod3'!G149-'dod3 до МВК'!G149</f>
        <v>0</v>
      </c>
      <c r="H149" s="338">
        <f>'dod3'!H149-'dod3 до МВК'!H149</f>
        <v>0</v>
      </c>
      <c r="I149" s="338">
        <f>'dod3'!I149-'dod3 до МВК'!I149</f>
        <v>0</v>
      </c>
      <c r="J149" s="338">
        <f>'dod3'!J149-'dod3 до МВК'!J149</f>
        <v>0</v>
      </c>
      <c r="K149" s="338">
        <f>'dod3'!K149-'dod3 до МВК'!K149</f>
        <v>0</v>
      </c>
      <c r="L149" s="338">
        <f>'dod3'!L149-'dod3 до МВК'!L149</f>
        <v>0</v>
      </c>
      <c r="M149" s="338">
        <f>'dod3'!M149-'dod3 до МВК'!M149</f>
        <v>0</v>
      </c>
      <c r="N149" s="338">
        <f>'dod3'!N149-'dod3 до МВК'!N149</f>
        <v>0</v>
      </c>
      <c r="O149" s="338">
        <f>'dod3'!O149-'dod3 до МВК'!O149</f>
        <v>0</v>
      </c>
      <c r="P149" s="338">
        <f>'dod3'!P149-'dod3 до МВК'!P149</f>
        <v>0</v>
      </c>
      <c r="Q149" s="338">
        <f>'dod3'!Q149-'dod3 до МВК'!Q149</f>
        <v>0</v>
      </c>
    </row>
    <row r="150" spans="1:19" ht="137.25" x14ac:dyDescent="0.2">
      <c r="A150" s="424" t="s">
        <v>468</v>
      </c>
      <c r="B150" s="424" t="s">
        <v>469</v>
      </c>
      <c r="C150" s="424" t="s">
        <v>83</v>
      </c>
      <c r="D150" s="424" t="s">
        <v>470</v>
      </c>
      <c r="E150" s="338">
        <f>'dod3'!E150-'dod3 до МВК'!E150</f>
        <v>0</v>
      </c>
      <c r="F150" s="338">
        <f>'dod3'!F150-'dod3 до МВК'!F150</f>
        <v>0</v>
      </c>
      <c r="G150" s="338">
        <f>'dod3'!G150-'dod3 до МВК'!G150</f>
        <v>0</v>
      </c>
      <c r="H150" s="338">
        <f>'dod3'!H150-'dod3 до МВК'!H150</f>
        <v>0</v>
      </c>
      <c r="I150" s="338">
        <f>'dod3'!I150-'dod3 до МВК'!I150</f>
        <v>0</v>
      </c>
      <c r="J150" s="338">
        <f>'dod3'!J150-'dod3 до МВК'!J150</f>
        <v>0</v>
      </c>
      <c r="K150" s="338">
        <f>'dod3'!K150-'dod3 до МВК'!K150</f>
        <v>0</v>
      </c>
      <c r="L150" s="338">
        <f>'dod3'!L150-'dod3 до МВК'!L150</f>
        <v>0</v>
      </c>
      <c r="M150" s="338">
        <f>'dod3'!M150-'dod3 до МВК'!M150</f>
        <v>0</v>
      </c>
      <c r="N150" s="338">
        <f>'dod3'!N150-'dod3 до МВК'!N150</f>
        <v>0</v>
      </c>
      <c r="O150" s="338">
        <f>'dod3'!O150-'dod3 до МВК'!O150</f>
        <v>0</v>
      </c>
      <c r="P150" s="338">
        <f>'dod3'!P150-'dod3 до МВК'!P150</f>
        <v>0</v>
      </c>
      <c r="Q150" s="338">
        <f>'dod3'!Q150-'dod3 до МВК'!Q150</f>
        <v>0</v>
      </c>
    </row>
    <row r="151" spans="1:19" ht="315" x14ac:dyDescent="0.2">
      <c r="A151" s="282" t="s">
        <v>249</v>
      </c>
      <c r="B151" s="282"/>
      <c r="C151" s="282"/>
      <c r="D151" s="282" t="s">
        <v>582</v>
      </c>
      <c r="E151" s="365">
        <f>E152</f>
        <v>0</v>
      </c>
      <c r="F151" s="365">
        <f t="shared" ref="F151:G151" si="58">F152</f>
        <v>0</v>
      </c>
      <c r="G151" s="365">
        <f t="shared" si="58"/>
        <v>0</v>
      </c>
      <c r="H151" s="365">
        <f>H152</f>
        <v>0</v>
      </c>
      <c r="I151" s="365">
        <f t="shared" ref="I151" si="59">I152</f>
        <v>0</v>
      </c>
      <c r="J151" s="365">
        <f>J152</f>
        <v>0</v>
      </c>
      <c r="K151" s="365">
        <f>K152</f>
        <v>0</v>
      </c>
      <c r="L151" s="365">
        <f>L152</f>
        <v>0</v>
      </c>
      <c r="M151" s="365">
        <f t="shared" ref="M151" si="60">M152</f>
        <v>0</v>
      </c>
      <c r="N151" s="365">
        <f>N152</f>
        <v>0</v>
      </c>
      <c r="O151" s="283">
        <f t="shared" ref="O151:Q151" si="61">O152</f>
        <v>0</v>
      </c>
      <c r="P151" s="365">
        <f t="shared" si="51"/>
        <v>0</v>
      </c>
      <c r="Q151" s="283">
        <f t="shared" si="61"/>
        <v>0</v>
      </c>
    </row>
    <row r="152" spans="1:19" ht="360" x14ac:dyDescent="0.2">
      <c r="A152" s="286" t="s">
        <v>250</v>
      </c>
      <c r="B152" s="286"/>
      <c r="C152" s="286"/>
      <c r="D152" s="286" t="s">
        <v>583</v>
      </c>
      <c r="E152" s="284">
        <f>SUM(E153:E155)</f>
        <v>0</v>
      </c>
      <c r="F152" s="284">
        <f t="shared" ref="F152:O152" si="62">SUM(F153:F155)</f>
        <v>0</v>
      </c>
      <c r="G152" s="284">
        <f t="shared" si="62"/>
        <v>0</v>
      </c>
      <c r="H152" s="284">
        <f t="shared" si="62"/>
        <v>0</v>
      </c>
      <c r="I152" s="284">
        <f t="shared" si="62"/>
        <v>0</v>
      </c>
      <c r="J152" s="284">
        <f>L152+P152</f>
        <v>0</v>
      </c>
      <c r="K152" s="284">
        <f t="shared" si="62"/>
        <v>0</v>
      </c>
      <c r="L152" s="284">
        <f t="shared" si="62"/>
        <v>0</v>
      </c>
      <c r="M152" s="284">
        <f t="shared" si="62"/>
        <v>0</v>
      </c>
      <c r="N152" s="284">
        <f t="shared" si="62"/>
        <v>0</v>
      </c>
      <c r="O152" s="284">
        <f t="shared" si="62"/>
        <v>0</v>
      </c>
      <c r="P152" s="378">
        <f t="shared" si="51"/>
        <v>0</v>
      </c>
      <c r="Q152" s="284">
        <f>E152+J152</f>
        <v>0</v>
      </c>
      <c r="R152" s="179" t="b">
        <f>Q152=Q154+Q155+Q153</f>
        <v>1</v>
      </c>
      <c r="S152" s="182" t="b">
        <f>K152='dod5'!I104</f>
        <v>0</v>
      </c>
    </row>
    <row r="153" spans="1:19" ht="228.75" x14ac:dyDescent="0.2">
      <c r="A153" s="424" t="s">
        <v>762</v>
      </c>
      <c r="B153" s="424" t="s">
        <v>344</v>
      </c>
      <c r="C153" s="424" t="s">
        <v>342</v>
      </c>
      <c r="D153" s="424" t="s">
        <v>343</v>
      </c>
      <c r="E153" s="338">
        <f>'dod3'!E153-'dod3 до МВК'!E153</f>
        <v>0</v>
      </c>
      <c r="F153" s="338">
        <f>'dod3'!F153-'dod3 до МВК'!F153</f>
        <v>0</v>
      </c>
      <c r="G153" s="338">
        <f>'dod3'!G153-'dod3 до МВК'!G153</f>
        <v>0</v>
      </c>
      <c r="H153" s="338">
        <f>'dod3'!H153-'dod3 до МВК'!H153</f>
        <v>0</v>
      </c>
      <c r="I153" s="338">
        <f>'dod3'!I153-'dod3 до МВК'!I153</f>
        <v>0</v>
      </c>
      <c r="J153" s="338">
        <f>'dod3'!J153-'dod3 до МВК'!J153</f>
        <v>0</v>
      </c>
      <c r="K153" s="338">
        <f>'dod3'!K153-'dod3 до МВК'!K153</f>
        <v>0</v>
      </c>
      <c r="L153" s="338">
        <f>'dod3'!L153-'dod3 до МВК'!L153</f>
        <v>0</v>
      </c>
      <c r="M153" s="338">
        <f>'dod3'!M153-'dod3 до МВК'!M153</f>
        <v>0</v>
      </c>
      <c r="N153" s="338">
        <f>'dod3'!N153-'dod3 до МВК'!N153</f>
        <v>0</v>
      </c>
      <c r="O153" s="338">
        <f>'dod3'!O153-'dod3 до МВК'!O153</f>
        <v>0</v>
      </c>
      <c r="P153" s="338">
        <f>'dod3'!P153-'dod3 до МВК'!P153</f>
        <v>0</v>
      </c>
      <c r="Q153" s="338">
        <f>'dod3'!Q153-'dod3 до МВК'!Q153</f>
        <v>0</v>
      </c>
      <c r="R153" s="179"/>
      <c r="S153" s="182"/>
    </row>
    <row r="154" spans="1:19" ht="91.5" x14ac:dyDescent="0.2">
      <c r="A154" s="424" t="s">
        <v>460</v>
      </c>
      <c r="B154" s="424" t="s">
        <v>461</v>
      </c>
      <c r="C154" s="424" t="s">
        <v>462</v>
      </c>
      <c r="D154" s="424" t="s">
        <v>459</v>
      </c>
      <c r="E154" s="338">
        <f>'dod3'!E154-'dod3 до МВК'!E154</f>
        <v>0</v>
      </c>
      <c r="F154" s="338">
        <f>'dod3'!F154-'dod3 до МВК'!F154</f>
        <v>0</v>
      </c>
      <c r="G154" s="338">
        <f>'dod3'!G154-'dod3 до МВК'!G154</f>
        <v>0</v>
      </c>
      <c r="H154" s="338">
        <f>'dod3'!H154-'dod3 до МВК'!H154</f>
        <v>0</v>
      </c>
      <c r="I154" s="338">
        <f>'dod3'!I154-'dod3 до МВК'!I154</f>
        <v>0</v>
      </c>
      <c r="J154" s="338">
        <f>'dod3'!J154-'dod3 до МВК'!J154</f>
        <v>0</v>
      </c>
      <c r="K154" s="338">
        <f>'dod3'!K154-'dod3 до МВК'!K154</f>
        <v>0</v>
      </c>
      <c r="L154" s="338">
        <f>'dod3'!L154-'dod3 до МВК'!L154</f>
        <v>0</v>
      </c>
      <c r="M154" s="338">
        <f>'dod3'!M154-'dod3 до МВК'!M154</f>
        <v>0</v>
      </c>
      <c r="N154" s="338">
        <f>'dod3'!N154-'dod3 до МВК'!N154</f>
        <v>0</v>
      </c>
      <c r="O154" s="338">
        <f>'dod3'!O154-'dod3 до МВК'!O154</f>
        <v>0</v>
      </c>
      <c r="P154" s="338">
        <f>'dod3'!P154-'dod3 до МВК'!P154</f>
        <v>0</v>
      </c>
      <c r="Q154" s="338">
        <f>'dod3'!Q154-'dod3 до МВК'!Q154</f>
        <v>0</v>
      </c>
    </row>
    <row r="155" spans="1:19" ht="137.25" x14ac:dyDescent="0.2">
      <c r="A155" s="424" t="s">
        <v>614</v>
      </c>
      <c r="B155" s="424" t="s">
        <v>615</v>
      </c>
      <c r="C155" s="424" t="s">
        <v>257</v>
      </c>
      <c r="D155" s="424" t="s">
        <v>616</v>
      </c>
      <c r="E155" s="338">
        <f>'dod3'!E155-'dod3 до МВК'!E155</f>
        <v>0</v>
      </c>
      <c r="F155" s="338">
        <f>'dod3'!F155-'dod3 до МВК'!F155</f>
        <v>0</v>
      </c>
      <c r="G155" s="338">
        <f>'dod3'!G155-'dod3 до МВК'!G155</f>
        <v>0</v>
      </c>
      <c r="H155" s="338">
        <f>'dod3'!H155-'dod3 до МВК'!H155</f>
        <v>0</v>
      </c>
      <c r="I155" s="338">
        <f>'dod3'!I155-'dod3 до МВК'!I155</f>
        <v>0</v>
      </c>
      <c r="J155" s="338">
        <f>'dod3'!J155-'dod3 до МВК'!J155</f>
        <v>0</v>
      </c>
      <c r="K155" s="338">
        <f>'dod3'!K155-'dod3 до МВК'!K155</f>
        <v>0</v>
      </c>
      <c r="L155" s="338">
        <f>'dod3'!L155-'dod3 до МВК'!L155</f>
        <v>0</v>
      </c>
      <c r="M155" s="338">
        <f>'dod3'!M155-'dod3 до МВК'!M155</f>
        <v>0</v>
      </c>
      <c r="N155" s="338">
        <f>'dod3'!N155-'dod3 до МВК'!N155</f>
        <v>0</v>
      </c>
      <c r="O155" s="338">
        <f>'dod3'!O155-'dod3 до МВК'!O155</f>
        <v>0</v>
      </c>
      <c r="P155" s="338">
        <f>'dod3'!P155-'dod3 до МВК'!P155</f>
        <v>0</v>
      </c>
      <c r="Q155" s="338">
        <f>'dod3'!Q155-'dod3 до МВК'!Q155</f>
        <v>0</v>
      </c>
    </row>
    <row r="156" spans="1:19" ht="135" x14ac:dyDescent="0.2">
      <c r="A156" s="282" t="s">
        <v>255</v>
      </c>
      <c r="B156" s="282"/>
      <c r="C156" s="282"/>
      <c r="D156" s="282" t="s">
        <v>48</v>
      </c>
      <c r="E156" s="365">
        <f>E157</f>
        <v>0</v>
      </c>
      <c r="F156" s="365">
        <f t="shared" ref="F156:G156" si="63">F157</f>
        <v>0</v>
      </c>
      <c r="G156" s="365">
        <f t="shared" si="63"/>
        <v>0</v>
      </c>
      <c r="H156" s="365">
        <f>H157</f>
        <v>0</v>
      </c>
      <c r="I156" s="365">
        <f t="shared" ref="I156" si="64">I157</f>
        <v>0</v>
      </c>
      <c r="J156" s="365">
        <f>J157</f>
        <v>0</v>
      </c>
      <c r="K156" s="365">
        <f>K157</f>
        <v>0</v>
      </c>
      <c r="L156" s="365">
        <f>L157</f>
        <v>0</v>
      </c>
      <c r="M156" s="365">
        <f t="shared" ref="M156" si="65">M157</f>
        <v>0</v>
      </c>
      <c r="N156" s="365">
        <f>N157</f>
        <v>0</v>
      </c>
      <c r="O156" s="283">
        <f t="shared" ref="O156:Q156" si="66">O157</f>
        <v>0</v>
      </c>
      <c r="P156" s="365">
        <f t="shared" si="51"/>
        <v>0</v>
      </c>
      <c r="Q156" s="283">
        <f t="shared" si="66"/>
        <v>0</v>
      </c>
    </row>
    <row r="157" spans="1:19" ht="180" x14ac:dyDescent="0.2">
      <c r="A157" s="286" t="s">
        <v>256</v>
      </c>
      <c r="B157" s="286"/>
      <c r="C157" s="286"/>
      <c r="D157" s="286" t="s">
        <v>66</v>
      </c>
      <c r="E157" s="284">
        <f>SUM(E158:E161)</f>
        <v>0</v>
      </c>
      <c r="F157" s="284">
        <f t="shared" ref="F157:O157" si="67">SUM(F158:F161)</f>
        <v>0</v>
      </c>
      <c r="G157" s="284">
        <f t="shared" si="67"/>
        <v>0</v>
      </c>
      <c r="H157" s="284">
        <f t="shared" si="67"/>
        <v>0</v>
      </c>
      <c r="I157" s="284">
        <f t="shared" si="67"/>
        <v>0</v>
      </c>
      <c r="J157" s="284">
        <f>L157+P157</f>
        <v>0</v>
      </c>
      <c r="K157" s="284">
        <f>SUM(K158:K161)</f>
        <v>0</v>
      </c>
      <c r="L157" s="284">
        <f t="shared" si="67"/>
        <v>0</v>
      </c>
      <c r="M157" s="284">
        <f t="shared" si="67"/>
        <v>0</v>
      </c>
      <c r="N157" s="284">
        <f t="shared" si="67"/>
        <v>0</v>
      </c>
      <c r="O157" s="284">
        <f t="shared" si="67"/>
        <v>0</v>
      </c>
      <c r="P157" s="378">
        <f t="shared" si="51"/>
        <v>0</v>
      </c>
      <c r="Q157" s="284">
        <f>E157+J157</f>
        <v>0</v>
      </c>
      <c r="R157" s="179" t="b">
        <f>Q157=Q159+Q160+Q161+Q158</f>
        <v>1</v>
      </c>
      <c r="S157" s="182" t="b">
        <f>K157='dod5'!I112</f>
        <v>0</v>
      </c>
    </row>
    <row r="158" spans="1:19" ht="228.75" x14ac:dyDescent="0.2">
      <c r="A158" s="424" t="s">
        <v>764</v>
      </c>
      <c r="B158" s="424" t="s">
        <v>344</v>
      </c>
      <c r="C158" s="424" t="s">
        <v>342</v>
      </c>
      <c r="D158" s="424" t="s">
        <v>343</v>
      </c>
      <c r="E158" s="338">
        <f>'dod3'!E158-'dod3 до МВК'!E158</f>
        <v>0</v>
      </c>
      <c r="F158" s="338">
        <f>'dod3'!F158-'dod3 до МВК'!F158</f>
        <v>0</v>
      </c>
      <c r="G158" s="338">
        <f>'dod3'!G158-'dod3 до МВК'!G158</f>
        <v>0</v>
      </c>
      <c r="H158" s="338">
        <f>'dod3'!H158-'dod3 до МВК'!H158</f>
        <v>0</v>
      </c>
      <c r="I158" s="338">
        <f>'dod3'!I158-'dod3 до МВК'!I158</f>
        <v>0</v>
      </c>
      <c r="J158" s="338">
        <f>'dod3'!J158-'dod3 до МВК'!J158</f>
        <v>0</v>
      </c>
      <c r="K158" s="338">
        <f>'dod3'!K158-'dod3 до МВК'!K158</f>
        <v>0</v>
      </c>
      <c r="L158" s="338">
        <f>'dod3'!L158-'dod3 до МВК'!L158</f>
        <v>0</v>
      </c>
      <c r="M158" s="338">
        <f>'dod3'!M158-'dod3 до МВК'!M158</f>
        <v>0</v>
      </c>
      <c r="N158" s="338">
        <f>'dod3'!N158-'dod3 до МВК'!N158</f>
        <v>0</v>
      </c>
      <c r="O158" s="338">
        <f>'dod3'!O158-'dod3 до МВК'!O158</f>
        <v>0</v>
      </c>
      <c r="P158" s="338">
        <f>'dod3'!P158-'dod3 до МВК'!P158</f>
        <v>0</v>
      </c>
      <c r="Q158" s="338">
        <f>'dod3'!Q158-'dod3 до МВК'!Q158</f>
        <v>0</v>
      </c>
      <c r="R158" s="179"/>
      <c r="S158" s="182"/>
    </row>
    <row r="159" spans="1:19" ht="91.5" x14ac:dyDescent="0.2">
      <c r="A159" s="311">
        <v>3718600</v>
      </c>
      <c r="B159" s="311">
        <v>8600</v>
      </c>
      <c r="C159" s="424" t="s">
        <v>592</v>
      </c>
      <c r="D159" s="311" t="s">
        <v>593</v>
      </c>
      <c r="E159" s="338">
        <f>'dod3'!E159-'dod3 до МВК'!E159</f>
        <v>0</v>
      </c>
      <c r="F159" s="338">
        <f>'dod3'!F159-'dod3 до МВК'!F159</f>
        <v>0</v>
      </c>
      <c r="G159" s="338">
        <f>'dod3'!G159-'dod3 до МВК'!G159</f>
        <v>0</v>
      </c>
      <c r="H159" s="338">
        <f>'dod3'!H159-'dod3 до МВК'!H159</f>
        <v>0</v>
      </c>
      <c r="I159" s="338">
        <f>'dod3'!I159-'dod3 до МВК'!I159</f>
        <v>0</v>
      </c>
      <c r="J159" s="338">
        <f>'dod3'!J159-'dod3 до МВК'!J159</f>
        <v>0</v>
      </c>
      <c r="K159" s="338">
        <f>'dod3'!K159-'dod3 до МВК'!K159</f>
        <v>0</v>
      </c>
      <c r="L159" s="338">
        <f>'dod3'!L159-'dod3 до МВК'!L159</f>
        <v>0</v>
      </c>
      <c r="M159" s="338">
        <f>'dod3'!M159-'dod3 до МВК'!M159</f>
        <v>0</v>
      </c>
      <c r="N159" s="338">
        <f>'dod3'!N159-'dod3 до МВК'!N159</f>
        <v>0</v>
      </c>
      <c r="O159" s="338">
        <f>'dod3'!O159-'dod3 до МВК'!O159</f>
        <v>0</v>
      </c>
      <c r="P159" s="338">
        <f>'dod3'!P159-'dod3 до МВК'!P159</f>
        <v>0</v>
      </c>
      <c r="Q159" s="338">
        <f>'dod3'!Q159-'dod3 до МВК'!Q159</f>
        <v>0</v>
      </c>
    </row>
    <row r="160" spans="1:19" ht="69" customHeight="1" x14ac:dyDescent="0.2">
      <c r="A160" s="311">
        <v>3718700</v>
      </c>
      <c r="B160" s="311">
        <v>8700</v>
      </c>
      <c r="C160" s="424" t="s">
        <v>70</v>
      </c>
      <c r="D160" s="306" t="s">
        <v>68</v>
      </c>
      <c r="E160" s="338">
        <f>'dod3'!E160-'dod3 до МВК'!E160</f>
        <v>0</v>
      </c>
      <c r="F160" s="338">
        <f>'dod3'!F160-'dod3 до МВК'!F160</f>
        <v>0</v>
      </c>
      <c r="G160" s="338">
        <f>'dod3'!G160-'dod3 до МВК'!G160</f>
        <v>0</v>
      </c>
      <c r="H160" s="338">
        <f>'dod3'!H160-'dod3 до МВК'!H160</f>
        <v>0</v>
      </c>
      <c r="I160" s="338">
        <f>'dod3'!I160-'dod3 до МВК'!I160</f>
        <v>0</v>
      </c>
      <c r="J160" s="338">
        <f>'dod3'!J160-'dod3 до МВК'!J160</f>
        <v>0</v>
      </c>
      <c r="K160" s="338">
        <f>'dod3'!K160-'dod3 до МВК'!K160</f>
        <v>0</v>
      </c>
      <c r="L160" s="338">
        <f>'dod3'!L160-'dod3 до МВК'!L160</f>
        <v>0</v>
      </c>
      <c r="M160" s="338">
        <f>'dod3'!M160-'dod3 до МВК'!M160</f>
        <v>0</v>
      </c>
      <c r="N160" s="338">
        <f>'dod3'!N160-'dod3 до МВК'!N160</f>
        <v>0</v>
      </c>
      <c r="O160" s="338">
        <f>'dod3'!O160-'dod3 до МВК'!O160</f>
        <v>0</v>
      </c>
      <c r="P160" s="338">
        <f>'dod3'!P160-'dod3 до МВК'!P160</f>
        <v>0</v>
      </c>
      <c r="Q160" s="338">
        <f>'dod3'!Q160-'dod3 до МВК'!Q160</f>
        <v>0</v>
      </c>
    </row>
    <row r="161" spans="1:19" ht="65.25" customHeight="1" x14ac:dyDescent="0.2">
      <c r="A161" s="311">
        <v>3719110</v>
      </c>
      <c r="B161" s="311">
        <v>9110</v>
      </c>
      <c r="C161" s="424" t="s">
        <v>71</v>
      </c>
      <c r="D161" s="306" t="s">
        <v>69</v>
      </c>
      <c r="E161" s="338">
        <f>'dod3'!E161-'dod3 до МВК'!E161</f>
        <v>0</v>
      </c>
      <c r="F161" s="338">
        <f>'dod3'!F161-'dod3 до МВК'!F161</f>
        <v>0</v>
      </c>
      <c r="G161" s="338">
        <f>'dod3'!G161-'dod3 до МВК'!G161</f>
        <v>0</v>
      </c>
      <c r="H161" s="338">
        <f>'dod3'!H161-'dod3 до МВК'!H161</f>
        <v>0</v>
      </c>
      <c r="I161" s="338">
        <f>'dod3'!I161-'dod3 до МВК'!I161</f>
        <v>0</v>
      </c>
      <c r="J161" s="338">
        <f>'dod3'!J161-'dod3 до МВК'!J161</f>
        <v>0</v>
      </c>
      <c r="K161" s="338">
        <f>'dod3'!K161-'dod3 до МВК'!K161</f>
        <v>0</v>
      </c>
      <c r="L161" s="338">
        <f>'dod3'!L161-'dod3 до МВК'!L161</f>
        <v>0</v>
      </c>
      <c r="M161" s="338">
        <f>'dod3'!M161-'dod3 до МВК'!M161</f>
        <v>0</v>
      </c>
      <c r="N161" s="338">
        <f>'dod3'!N161-'dod3 до МВК'!N161</f>
        <v>0</v>
      </c>
      <c r="O161" s="338">
        <f>'dod3'!O161-'dod3 до МВК'!O161</f>
        <v>0</v>
      </c>
      <c r="P161" s="338">
        <f>'dod3'!P161-'dod3 до МВК'!P161</f>
        <v>0</v>
      </c>
      <c r="Q161" s="338">
        <f>'dod3'!Q161-'dod3 до МВК'!Q161</f>
        <v>0</v>
      </c>
    </row>
    <row r="162" spans="1:19" s="3" customFormat="1" ht="81.75" customHeight="1" x14ac:dyDescent="0.55000000000000004">
      <c r="A162" s="259" t="s">
        <v>665</v>
      </c>
      <c r="B162" s="259" t="s">
        <v>665</v>
      </c>
      <c r="C162" s="259" t="s">
        <v>665</v>
      </c>
      <c r="D162" s="260" t="s">
        <v>683</v>
      </c>
      <c r="E162" s="168">
        <f>E13+E23+E97+E34+E46+E88+E112+E131+E137+E157+E141+E147+E152</f>
        <v>3487500</v>
      </c>
      <c r="F162" s="168">
        <f>F13+F23+F97+F34+F45+F88+F112+F131+F137+F157+F141+F147+F152</f>
        <v>3487500</v>
      </c>
      <c r="G162" s="168">
        <f t="shared" ref="G162:O162" si="68">G13+G23+G97+G34+G46+G88+G112+G131+G137+G157+G141+G147+G152</f>
        <v>0</v>
      </c>
      <c r="H162" s="168">
        <f t="shared" si="68"/>
        <v>0</v>
      </c>
      <c r="I162" s="168">
        <f t="shared" si="68"/>
        <v>0</v>
      </c>
      <c r="J162" s="168">
        <f t="shared" si="68"/>
        <v>0</v>
      </c>
      <c r="K162" s="168">
        <f t="shared" si="68"/>
        <v>0</v>
      </c>
      <c r="L162" s="168">
        <f t="shared" si="68"/>
        <v>0</v>
      </c>
      <c r="M162" s="168">
        <f t="shared" si="68"/>
        <v>0</v>
      </c>
      <c r="N162" s="168">
        <f t="shared" si="68"/>
        <v>0</v>
      </c>
      <c r="O162" s="168">
        <f t="shared" si="68"/>
        <v>0</v>
      </c>
      <c r="P162" s="389">
        <f t="shared" si="51"/>
        <v>0</v>
      </c>
      <c r="Q162" s="168">
        <f>Q13+Q23+Q97+Q34+Q45+Q88+Q112+Q131+Q137+Q157+Q141+Q147+Q152</f>
        <v>3487500</v>
      </c>
      <c r="R162" s="135" t="b">
        <f>K162='dod5'!I115</f>
        <v>0</v>
      </c>
    </row>
    <row r="163" spans="1:19" ht="129.75" customHeight="1" x14ac:dyDescent="0.2">
      <c r="A163" s="458" t="s">
        <v>457</v>
      </c>
      <c r="B163" s="459"/>
      <c r="C163" s="459"/>
      <c r="D163" s="459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13"/>
    </row>
    <row r="164" spans="1:19" ht="129.75" hidden="1" customHeight="1" x14ac:dyDescent="0.2">
      <c r="A164" s="144"/>
      <c r="B164" s="145"/>
      <c r="C164" s="145"/>
      <c r="D164" s="145"/>
      <c r="E164" s="342">
        <f>F164</f>
        <v>2605346340</v>
      </c>
      <c r="F164" s="342">
        <f>2608918648-'dod4'!Q14+'dod2'!E19</f>
        <v>2605346340</v>
      </c>
      <c r="G164" s="342">
        <f>54985000+26800000+1884600+1776300+2641000+2850700+5254100+7129200+3166500+205000+644533535+1757300+35856900+5790700+796025+4068700+10163000+2517500+1623800+714843+12402731+813300+843750+11859350+3617760+2541439</f>
        <v>846593033</v>
      </c>
      <c r="H164" s="342">
        <f>11500+10000+2450700+991000+101500+100000+60000+107000+140000+130000+117900+45478902+2848071+17996340+2220390+110770+1460520+27100+257400+144810+353700+7270+70355+17700+131400+3520+64750+387900+10250+119350+68142+31230+2900+50003+1800+13490+309408+3480+123100+30000+20000+60000+463014+55900+276730+225600+241174+286645+378445</f>
        <v>78571159</v>
      </c>
      <c r="I164" s="342">
        <v>0</v>
      </c>
      <c r="J164" s="342"/>
      <c r="K164" s="342">
        <f>3985100-2275100+13109000+5499500+8041000-566000+3886442+1408533+155532314-1371000+53000000+2000000+2000000+500000+50000</f>
        <v>244799789</v>
      </c>
      <c r="L164" s="342"/>
      <c r="M164" s="342"/>
      <c r="N164" s="342"/>
      <c r="O164" s="342"/>
      <c r="P164" s="342"/>
      <c r="Q164" s="342"/>
      <c r="R164" s="13"/>
    </row>
    <row r="165" spans="1:19" ht="129.75" customHeight="1" x14ac:dyDescent="0.2">
      <c r="A165" s="144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3"/>
    </row>
    <row r="166" spans="1:19" ht="45.75" x14ac:dyDescent="0.65">
      <c r="A166" s="420"/>
      <c r="B166" s="420"/>
      <c r="C166" s="420"/>
      <c r="D166" s="454" t="s">
        <v>656</v>
      </c>
      <c r="E166" s="454"/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14"/>
    </row>
    <row r="167" spans="1:19" ht="45.75" x14ac:dyDescent="0.2">
      <c r="E167" s="28"/>
      <c r="F167" s="4"/>
      <c r="J167" s="324"/>
      <c r="K167" s="324"/>
      <c r="O167" s="157"/>
      <c r="P167" s="157"/>
      <c r="Q167" s="23"/>
    </row>
    <row r="168" spans="1:19" ht="45.75" x14ac:dyDescent="0.65">
      <c r="D168" s="454" t="s">
        <v>231</v>
      </c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15"/>
    </row>
    <row r="169" spans="1:19" x14ac:dyDescent="0.2">
      <c r="E169" s="5"/>
      <c r="F169" s="4"/>
      <c r="J169" s="5"/>
      <c r="K169" s="5"/>
    </row>
    <row r="170" spans="1:19" x14ac:dyDescent="0.2">
      <c r="E170" s="5"/>
      <c r="F170" s="4"/>
      <c r="J170" s="5"/>
      <c r="K170" s="5"/>
    </row>
    <row r="171" spans="1:19" ht="99.75" customHeight="1" x14ac:dyDescent="0.2">
      <c r="E171" s="142" t="b">
        <f>F164=E162</f>
        <v>0</v>
      </c>
      <c r="F171" s="142" t="b">
        <f>F164=F162</f>
        <v>0</v>
      </c>
      <c r="G171" s="142" t="b">
        <f t="shared" ref="G171:Q171" si="69">G164=G162</f>
        <v>0</v>
      </c>
      <c r="H171" s="142" t="b">
        <f t="shared" si="69"/>
        <v>0</v>
      </c>
      <c r="I171" s="142" t="b">
        <f t="shared" si="69"/>
        <v>1</v>
      </c>
      <c r="J171" s="142" t="b">
        <f t="shared" si="69"/>
        <v>1</v>
      </c>
      <c r="K171" s="142" t="b">
        <f t="shared" si="69"/>
        <v>0</v>
      </c>
      <c r="L171" s="142" t="b">
        <f t="shared" si="69"/>
        <v>1</v>
      </c>
      <c r="M171" s="142" t="b">
        <f t="shared" si="69"/>
        <v>1</v>
      </c>
      <c r="N171" s="142" t="b">
        <f t="shared" si="69"/>
        <v>1</v>
      </c>
      <c r="O171" s="142" t="b">
        <f t="shared" si="69"/>
        <v>1</v>
      </c>
      <c r="P171" s="142"/>
      <c r="Q171" s="142" t="b">
        <f t="shared" si="69"/>
        <v>0</v>
      </c>
    </row>
    <row r="172" spans="1:19" ht="45.75" x14ac:dyDescent="0.55000000000000004">
      <c r="E172" s="23"/>
      <c r="F172" s="13"/>
      <c r="G172" s="4"/>
      <c r="I172" s="138"/>
      <c r="J172" s="325"/>
      <c r="K172" s="325"/>
      <c r="L172" s="138"/>
      <c r="M172" s="138"/>
      <c r="N172" s="138"/>
      <c r="O172" s="139"/>
      <c r="P172" s="139"/>
      <c r="Q172" s="135" t="b">
        <f>E162+J162=Q162</f>
        <v>1</v>
      </c>
    </row>
    <row r="173" spans="1:19" x14ac:dyDescent="0.2">
      <c r="E173" s="7"/>
      <c r="F173" s="254"/>
      <c r="G173" s="7"/>
      <c r="H173" s="7"/>
      <c r="I173" s="7"/>
      <c r="J173" s="5"/>
      <c r="K173" s="5"/>
    </row>
    <row r="174" spans="1:19" ht="45.75" x14ac:dyDescent="0.2">
      <c r="A174"/>
      <c r="B174"/>
      <c r="C174"/>
      <c r="D174" s="177"/>
      <c r="E174" s="178" t="b">
        <f>E162=F162</f>
        <v>1</v>
      </c>
      <c r="F174" s="157">
        <f>F160/Q162*100</f>
        <v>0</v>
      </c>
      <c r="G174" s="157" t="s">
        <v>500</v>
      </c>
      <c r="I174" s="177"/>
      <c r="J174" s="178"/>
      <c r="K174" s="178"/>
      <c r="L174" s="256"/>
      <c r="M174" s="256"/>
      <c r="N174" s="256"/>
      <c r="O174" s="256"/>
      <c r="P174" s="256"/>
      <c r="Q174"/>
    </row>
    <row r="175" spans="1:19" ht="60.75" x14ac:dyDescent="0.2">
      <c r="D175" s="177"/>
      <c r="E175" s="178"/>
      <c r="G175" s="27"/>
      <c r="I175" s="177"/>
      <c r="J175" s="178"/>
      <c r="K175" s="178"/>
      <c r="Q175" s="142"/>
      <c r="R175" s="143"/>
      <c r="S175" s="142"/>
    </row>
    <row r="176" spans="1:19" ht="60.75" x14ac:dyDescent="0.2">
      <c r="A176"/>
      <c r="B176"/>
      <c r="C176"/>
      <c r="D176" s="177"/>
      <c r="E176" s="178"/>
      <c r="F176" s="157"/>
      <c r="G176" s="4"/>
      <c r="I176" s="177"/>
      <c r="J176" s="178"/>
      <c r="K176" s="178"/>
      <c r="L176" s="256"/>
      <c r="M176" s="256"/>
      <c r="N176" s="256"/>
      <c r="O176" s="256"/>
      <c r="P176" s="256"/>
      <c r="Q176" s="142"/>
      <c r="R176" s="143"/>
      <c r="S176" s="142"/>
    </row>
    <row r="177" spans="1:17" ht="60.75" x14ac:dyDescent="0.2">
      <c r="D177" s="177"/>
      <c r="E177" s="178"/>
      <c r="F177" s="255"/>
      <c r="Q177" s="142"/>
    </row>
    <row r="178" spans="1:17" ht="60.75" x14ac:dyDescent="0.2">
      <c r="A178"/>
      <c r="B178"/>
      <c r="C178"/>
      <c r="D178" s="177"/>
      <c r="E178" s="178"/>
      <c r="F178" s="157"/>
      <c r="G178" s="4"/>
      <c r="J178" s="5"/>
      <c r="K178" s="5"/>
      <c r="L178" s="256"/>
      <c r="M178" s="256"/>
      <c r="N178" s="256"/>
      <c r="O178" s="256"/>
      <c r="P178" s="256"/>
      <c r="Q178" s="142"/>
    </row>
    <row r="179" spans="1:17" ht="62.25" x14ac:dyDescent="0.8">
      <c r="A179"/>
      <c r="B179"/>
      <c r="C179"/>
      <c r="D179"/>
      <c r="E179" s="25"/>
      <c r="F179" s="157"/>
      <c r="J179" s="5"/>
      <c r="K179" s="5"/>
      <c r="L179" s="256"/>
      <c r="M179" s="256"/>
      <c r="N179" s="256"/>
      <c r="O179" s="256"/>
      <c r="P179" s="256"/>
      <c r="Q179" s="193"/>
    </row>
    <row r="180" spans="1:17" ht="45.75" x14ac:dyDescent="0.2">
      <c r="E180" s="26"/>
      <c r="F180" s="255"/>
    </row>
    <row r="181" spans="1:17" ht="45.75" x14ac:dyDescent="0.2">
      <c r="A181"/>
      <c r="B181"/>
      <c r="C181"/>
      <c r="D181"/>
      <c r="E181" s="25"/>
      <c r="F181" s="157"/>
      <c r="L181" s="256"/>
      <c r="M181" s="256"/>
      <c r="N181" s="256"/>
      <c r="O181" s="256"/>
      <c r="P181" s="256"/>
      <c r="Q181"/>
    </row>
    <row r="182" spans="1:17" ht="45.75" x14ac:dyDescent="0.2">
      <c r="E182" s="26"/>
      <c r="F182" s="255"/>
    </row>
    <row r="183" spans="1:17" ht="45.75" x14ac:dyDescent="0.2">
      <c r="E183" s="26"/>
      <c r="F183" s="255"/>
    </row>
    <row r="184" spans="1:17" ht="45.75" x14ac:dyDescent="0.2">
      <c r="E184" s="26"/>
      <c r="F184" s="255"/>
    </row>
    <row r="185" spans="1:17" ht="45.75" x14ac:dyDescent="0.2">
      <c r="A185"/>
      <c r="B185"/>
      <c r="C185"/>
      <c r="D185"/>
      <c r="E185" s="26"/>
      <c r="F185" s="255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/>
    </row>
    <row r="186" spans="1:17" ht="45.75" x14ac:dyDescent="0.2">
      <c r="A186"/>
      <c r="B186"/>
      <c r="C186"/>
      <c r="D186"/>
      <c r="E186" s="26"/>
      <c r="F186" s="255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/>
    </row>
    <row r="187" spans="1:17" ht="45.75" x14ac:dyDescent="0.2">
      <c r="A187"/>
      <c r="B187"/>
      <c r="C187"/>
      <c r="D187"/>
      <c r="E187" s="26"/>
      <c r="F187" s="255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/>
    </row>
    <row r="188" spans="1:17" ht="45.75" x14ac:dyDescent="0.2">
      <c r="A188"/>
      <c r="B188"/>
      <c r="C188"/>
      <c r="D188"/>
      <c r="E188" s="26"/>
      <c r="F188" s="255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/>
    </row>
  </sheetData>
  <mergeCells count="85">
    <mergeCell ref="P127:P128"/>
    <mergeCell ref="Q127:Q128"/>
    <mergeCell ref="A163:Q163"/>
    <mergeCell ref="D166:Q166"/>
    <mergeCell ref="D168:Q168"/>
    <mergeCell ref="I127:I128"/>
    <mergeCell ref="J127:J128"/>
    <mergeCell ref="K127:K128"/>
    <mergeCell ref="L127:L128"/>
    <mergeCell ref="M127:M128"/>
    <mergeCell ref="N127:N128"/>
    <mergeCell ref="G127:G128"/>
    <mergeCell ref="H127:H128"/>
    <mergeCell ref="A127:A128"/>
    <mergeCell ref="B127:B128"/>
    <mergeCell ref="C127:C128"/>
    <mergeCell ref="E127:E128"/>
    <mergeCell ref="F127:F128"/>
    <mergeCell ref="L79:L80"/>
    <mergeCell ref="M79:M80"/>
    <mergeCell ref="N79:N80"/>
    <mergeCell ref="I79:I80"/>
    <mergeCell ref="J79:J80"/>
    <mergeCell ref="K79:K80"/>
    <mergeCell ref="I85:I86"/>
    <mergeCell ref="J85:J86"/>
    <mergeCell ref="K85:K86"/>
    <mergeCell ref="G85:G86"/>
    <mergeCell ref="H85:H86"/>
    <mergeCell ref="P85:P86"/>
    <mergeCell ref="Q85:Q86"/>
    <mergeCell ref="L85:L86"/>
    <mergeCell ref="M85:M86"/>
    <mergeCell ref="N85:N86"/>
    <mergeCell ref="A85:A86"/>
    <mergeCell ref="B85:B86"/>
    <mergeCell ref="C85:C86"/>
    <mergeCell ref="E85:E86"/>
    <mergeCell ref="F85:F86"/>
    <mergeCell ref="P18:P19"/>
    <mergeCell ref="Q18:Q19"/>
    <mergeCell ref="A79:A80"/>
    <mergeCell ref="B79:B80"/>
    <mergeCell ref="C79:C80"/>
    <mergeCell ref="E79:E80"/>
    <mergeCell ref="F79:F80"/>
    <mergeCell ref="G79:G80"/>
    <mergeCell ref="H79:H80"/>
    <mergeCell ref="J18:J19"/>
    <mergeCell ref="K18:K19"/>
    <mergeCell ref="L18:L19"/>
    <mergeCell ref="M18:M19"/>
    <mergeCell ref="N18:N19"/>
    <mergeCell ref="P79:P80"/>
    <mergeCell ref="Q79:Q80"/>
    <mergeCell ref="G18:G19"/>
    <mergeCell ref="H18:H19"/>
    <mergeCell ref="I18:I19"/>
    <mergeCell ref="A8:A10"/>
    <mergeCell ref="B8:B10"/>
    <mergeCell ref="C8:C10"/>
    <mergeCell ref="D8:D10"/>
    <mergeCell ref="A18:A19"/>
    <mergeCell ref="B18:B19"/>
    <mergeCell ref="C18:C19"/>
    <mergeCell ref="E18:E19"/>
    <mergeCell ref="F18:F19"/>
    <mergeCell ref="J8:P8"/>
    <mergeCell ref="Q8:Q10"/>
    <mergeCell ref="E9:E10"/>
    <mergeCell ref="F9:F10"/>
    <mergeCell ref="G9:H9"/>
    <mergeCell ref="I9:I10"/>
    <mergeCell ref="J9:J10"/>
    <mergeCell ref="K9:K10"/>
    <mergeCell ref="L9:L10"/>
    <mergeCell ref="M9:N9"/>
    <mergeCell ref="E8:I8"/>
    <mergeCell ref="O9:O10"/>
    <mergeCell ref="P9:P10"/>
    <mergeCell ref="O1:Q1"/>
    <mergeCell ref="O2:Q2"/>
    <mergeCell ref="O3:Q3"/>
    <mergeCell ref="A5:Q5"/>
    <mergeCell ref="A6:Q6"/>
  </mergeCells>
  <conditionalFormatting sqref="R137:S13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147:S14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8:S158 R15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2:S15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S1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141:S141">
    <cfRule type="iconSet" priority="6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1" manualBreakCount="1">
    <brk id="4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view="pageBreakPreview" topLeftCell="A27" zoomScaleSheetLayoutView="100" workbookViewId="0">
      <selection activeCell="F36" sqref="F36"/>
    </sheetView>
  </sheetViews>
  <sheetFormatPr defaultColWidth="9.140625" defaultRowHeight="12.75" x14ac:dyDescent="0.2"/>
  <cols>
    <col min="1" max="1" width="9.7109375" style="390" customWidth="1"/>
    <col min="2" max="3" width="22.140625" style="390" customWidth="1"/>
    <col min="4" max="4" width="14.140625" style="390" customWidth="1"/>
    <col min="5" max="5" width="14" style="390" customWidth="1"/>
    <col min="6" max="6" width="15.42578125" style="390" customWidth="1"/>
    <col min="7" max="7" width="15.140625" style="390" customWidth="1"/>
    <col min="8" max="8" width="16.42578125" style="390" customWidth="1"/>
    <col min="9" max="9" width="8.28515625" style="390" customWidth="1"/>
    <col min="10" max="10" width="9.140625" style="390"/>
    <col min="11" max="11" width="9.7109375" style="390" customWidth="1"/>
    <col min="12" max="12" width="9.140625" style="390"/>
    <col min="13" max="13" width="8.140625" style="390" customWidth="1"/>
    <col min="14" max="16384" width="9.140625" style="390"/>
  </cols>
  <sheetData>
    <row r="1" spans="1:17" x14ac:dyDescent="0.2">
      <c r="F1" s="100" t="s">
        <v>172</v>
      </c>
    </row>
    <row r="2" spans="1:17" x14ac:dyDescent="0.2">
      <c r="F2" s="100" t="s">
        <v>173</v>
      </c>
    </row>
    <row r="3" spans="1:17" x14ac:dyDescent="0.2">
      <c r="F3" s="100" t="s">
        <v>174</v>
      </c>
    </row>
    <row r="5" spans="1:17" ht="18.75" x14ac:dyDescent="0.3">
      <c r="A5" s="438" t="s">
        <v>670</v>
      </c>
      <c r="B5" s="438"/>
      <c r="C5" s="438"/>
      <c r="D5" s="438"/>
      <c r="E5" s="438"/>
      <c r="F5" s="438"/>
    </row>
    <row r="6" spans="1:17" ht="18.75" x14ac:dyDescent="0.3">
      <c r="A6" s="386"/>
      <c r="B6" s="386"/>
      <c r="C6" s="386"/>
      <c r="D6" s="386"/>
      <c r="E6" s="386"/>
      <c r="F6" s="386"/>
    </row>
    <row r="7" spans="1:17" x14ac:dyDescent="0.2">
      <c r="F7" s="252" t="s">
        <v>672</v>
      </c>
    </row>
    <row r="8" spans="1:17" x14ac:dyDescent="0.2">
      <c r="A8" s="439" t="s">
        <v>94</v>
      </c>
      <c r="B8" s="439" t="s">
        <v>662</v>
      </c>
      <c r="C8" s="439" t="s">
        <v>667</v>
      </c>
      <c r="D8" s="440" t="s">
        <v>25</v>
      </c>
      <c r="E8" s="439" t="s">
        <v>84</v>
      </c>
      <c r="F8" s="439"/>
    </row>
    <row r="9" spans="1:17" ht="35.450000000000003" customHeight="1" x14ac:dyDescent="0.2">
      <c r="A9" s="439"/>
      <c r="B9" s="439"/>
      <c r="C9" s="439"/>
      <c r="D9" s="441"/>
      <c r="E9" s="387" t="s">
        <v>668</v>
      </c>
      <c r="F9" s="387" t="s">
        <v>669</v>
      </c>
    </row>
    <row r="10" spans="1:17" x14ac:dyDescent="0.2">
      <c r="A10" s="101">
        <v>1</v>
      </c>
      <c r="B10" s="101">
        <v>2</v>
      </c>
      <c r="C10" s="101">
        <v>3</v>
      </c>
      <c r="D10" s="101">
        <v>4</v>
      </c>
      <c r="E10" s="101">
        <v>5</v>
      </c>
      <c r="F10" s="101">
        <v>6</v>
      </c>
    </row>
    <row r="11" spans="1:17" ht="23.25" customHeight="1" x14ac:dyDescent="0.2">
      <c r="A11" s="433" t="s">
        <v>663</v>
      </c>
      <c r="B11" s="434"/>
      <c r="C11" s="101"/>
      <c r="D11" s="101"/>
      <c r="E11" s="102"/>
      <c r="F11" s="102"/>
    </row>
    <row r="12" spans="1:17" x14ac:dyDescent="0.2">
      <c r="A12" s="103" t="s">
        <v>175</v>
      </c>
      <c r="B12" s="103" t="s">
        <v>176</v>
      </c>
      <c r="C12" s="103">
        <f>D12+E12</f>
        <v>0</v>
      </c>
      <c r="D12" s="103">
        <f>D13+D15</f>
        <v>-228528217</v>
      </c>
      <c r="E12" s="103">
        <f>E13+E15</f>
        <v>228528217</v>
      </c>
      <c r="F12" s="103">
        <f>F13+F15</f>
        <v>228528217</v>
      </c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</row>
    <row r="13" spans="1:17" ht="16.5" customHeight="1" x14ac:dyDescent="0.2">
      <c r="A13" s="104" t="s">
        <v>177</v>
      </c>
      <c r="B13" s="104" t="s">
        <v>178</v>
      </c>
      <c r="C13" s="392">
        <f>D13+E13</f>
        <v>0</v>
      </c>
      <c r="D13" s="392">
        <v>0</v>
      </c>
      <c r="E13" s="392">
        <v>0</v>
      </c>
      <c r="F13" s="392">
        <v>0</v>
      </c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</row>
    <row r="14" spans="1:17" ht="18.75" hidden="1" customHeight="1" x14ac:dyDescent="0.2">
      <c r="A14" s="104">
        <v>208200</v>
      </c>
      <c r="B14" s="104" t="s">
        <v>179</v>
      </c>
      <c r="C14" s="392">
        <f>D14+E14</f>
        <v>0</v>
      </c>
      <c r="D14" s="392"/>
      <c r="E14" s="392"/>
      <c r="F14" s="103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</row>
    <row r="15" spans="1:17" ht="51" x14ac:dyDescent="0.2">
      <c r="A15" s="104">
        <v>208400</v>
      </c>
      <c r="B15" s="105" t="s">
        <v>180</v>
      </c>
      <c r="C15" s="103">
        <f>D15+E15</f>
        <v>0</v>
      </c>
      <c r="D15" s="103">
        <v>-228528217</v>
      </c>
      <c r="E15" s="103">
        <v>228528217</v>
      </c>
      <c r="F15" s="103">
        <v>228528217</v>
      </c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</row>
    <row r="16" spans="1:17" x14ac:dyDescent="0.2">
      <c r="A16" s="160">
        <v>300000</v>
      </c>
      <c r="B16" s="137" t="s">
        <v>584</v>
      </c>
      <c r="C16" s="103">
        <v>-2128333</v>
      </c>
      <c r="D16" s="103">
        <v>0</v>
      </c>
      <c r="E16" s="103">
        <v>-2128333</v>
      </c>
      <c r="F16" s="103">
        <v>-2128333</v>
      </c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</row>
    <row r="17" spans="1:17" ht="38.25" x14ac:dyDescent="0.2">
      <c r="A17" s="160">
        <v>301000</v>
      </c>
      <c r="B17" s="137" t="s">
        <v>585</v>
      </c>
      <c r="C17" s="103">
        <v>-2128333</v>
      </c>
      <c r="D17" s="103">
        <v>0</v>
      </c>
      <c r="E17" s="103">
        <v>-2128333</v>
      </c>
      <c r="F17" s="103">
        <v>-2128333</v>
      </c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</row>
    <row r="18" spans="1:17" x14ac:dyDescent="0.2">
      <c r="A18" s="104">
        <v>301100</v>
      </c>
      <c r="B18" s="105" t="s">
        <v>586</v>
      </c>
      <c r="C18" s="103">
        <v>1183975</v>
      </c>
      <c r="D18" s="103"/>
      <c r="E18" s="103">
        <v>1183975</v>
      </c>
      <c r="F18" s="103">
        <v>1183975</v>
      </c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</row>
    <row r="19" spans="1:17" x14ac:dyDescent="0.2">
      <c r="A19" s="104">
        <v>301200</v>
      </c>
      <c r="B19" s="105" t="s">
        <v>587</v>
      </c>
      <c r="C19" s="103">
        <v>-3312308</v>
      </c>
      <c r="D19" s="103"/>
      <c r="E19" s="103">
        <v>-3312308</v>
      </c>
      <c r="F19" s="103">
        <v>-3312308</v>
      </c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</row>
    <row r="20" spans="1:17" x14ac:dyDescent="0.2">
      <c r="A20" s="160" t="s">
        <v>665</v>
      </c>
      <c r="B20" s="137" t="s">
        <v>664</v>
      </c>
      <c r="C20" s="103"/>
      <c r="D20" s="103"/>
      <c r="E20" s="103">
        <v>-2128333</v>
      </c>
      <c r="F20" s="103">
        <v>-2128333</v>
      </c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</row>
    <row r="21" spans="1:17" ht="35.450000000000003" customHeight="1" x14ac:dyDescent="0.2">
      <c r="A21" s="433" t="s">
        <v>666</v>
      </c>
      <c r="B21" s="435"/>
      <c r="C21" s="103"/>
      <c r="D21" s="103"/>
      <c r="E21" s="103"/>
      <c r="F21" s="103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</row>
    <row r="22" spans="1:17" ht="25.5" x14ac:dyDescent="0.2">
      <c r="A22" s="160">
        <v>400000</v>
      </c>
      <c r="B22" s="137" t="s">
        <v>181</v>
      </c>
      <c r="C22" s="103">
        <v>-2128333</v>
      </c>
      <c r="D22" s="103"/>
      <c r="E22" s="103">
        <v>-2128333</v>
      </c>
      <c r="F22" s="103">
        <v>-3128333</v>
      </c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</row>
    <row r="23" spans="1:17" x14ac:dyDescent="0.2">
      <c r="A23" s="160">
        <v>401000</v>
      </c>
      <c r="B23" s="137" t="s">
        <v>182</v>
      </c>
      <c r="C23" s="103">
        <v>1183975</v>
      </c>
      <c r="D23" s="103"/>
      <c r="E23" s="103">
        <v>1183975</v>
      </c>
      <c r="F23" s="103">
        <v>1183975</v>
      </c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</row>
    <row r="24" spans="1:17" s="162" customFormat="1" x14ac:dyDescent="0.2">
      <c r="A24" s="160">
        <v>401200</v>
      </c>
      <c r="B24" s="137" t="s">
        <v>588</v>
      </c>
      <c r="C24" s="103">
        <v>1183975</v>
      </c>
      <c r="D24" s="103"/>
      <c r="E24" s="103">
        <v>1183975</v>
      </c>
      <c r="F24" s="103">
        <v>1183975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1:17" ht="25.5" x14ac:dyDescent="0.2">
      <c r="A25" s="104">
        <v>401202</v>
      </c>
      <c r="B25" s="105" t="s">
        <v>589</v>
      </c>
      <c r="C25" s="392">
        <v>1183975</v>
      </c>
      <c r="D25" s="103"/>
      <c r="E25" s="392">
        <v>1183975</v>
      </c>
      <c r="F25" s="392">
        <v>1183975</v>
      </c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</row>
    <row r="26" spans="1:17" s="162" customFormat="1" x14ac:dyDescent="0.2">
      <c r="A26" s="160">
        <v>402000</v>
      </c>
      <c r="B26" s="137" t="s">
        <v>590</v>
      </c>
      <c r="C26" s="103">
        <v>-3312308</v>
      </c>
      <c r="D26" s="103"/>
      <c r="E26" s="103">
        <v>-3312308</v>
      </c>
      <c r="F26" s="103">
        <v>-3312308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s="162" customFormat="1" x14ac:dyDescent="0.2">
      <c r="A27" s="160">
        <v>402200</v>
      </c>
      <c r="B27" s="137" t="s">
        <v>591</v>
      </c>
      <c r="C27" s="103">
        <v>-3312308</v>
      </c>
      <c r="D27" s="103"/>
      <c r="E27" s="103">
        <v>-3312308</v>
      </c>
      <c r="F27" s="103">
        <v>-3312308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1:17" ht="25.5" customHeight="1" x14ac:dyDescent="0.2">
      <c r="A28" s="104">
        <v>402202</v>
      </c>
      <c r="B28" s="105" t="s">
        <v>589</v>
      </c>
      <c r="C28" s="392">
        <v>-3312308</v>
      </c>
      <c r="D28" s="103"/>
      <c r="E28" s="392">
        <v>-3312308</v>
      </c>
      <c r="F28" s="392">
        <v>-3312308</v>
      </c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</row>
    <row r="29" spans="1:17" x14ac:dyDescent="0.2">
      <c r="A29" s="160" t="s">
        <v>665</v>
      </c>
      <c r="B29" s="137" t="s">
        <v>664</v>
      </c>
      <c r="C29" s="103">
        <v>-2128333</v>
      </c>
      <c r="D29" s="103">
        <v>-228528217</v>
      </c>
      <c r="E29" s="103">
        <v>226399884</v>
      </c>
      <c r="F29" s="103">
        <v>226399884</v>
      </c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</row>
    <row r="30" spans="1:17" ht="25.5" x14ac:dyDescent="0.2">
      <c r="A30" s="160" t="s">
        <v>183</v>
      </c>
      <c r="B30" s="160" t="s">
        <v>184</v>
      </c>
      <c r="C30" s="103">
        <f>D30+E30</f>
        <v>0</v>
      </c>
      <c r="D30" s="103">
        <v>-228528217</v>
      </c>
      <c r="E30" s="103">
        <v>228528217</v>
      </c>
      <c r="F30" s="103">
        <v>228528217</v>
      </c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</row>
    <row r="31" spans="1:17" ht="36" customHeight="1" x14ac:dyDescent="0.2">
      <c r="A31" s="104">
        <v>602100</v>
      </c>
      <c r="B31" s="105" t="s">
        <v>185</v>
      </c>
      <c r="C31" s="392">
        <f>D31+E31</f>
        <v>0</v>
      </c>
      <c r="D31" s="392"/>
      <c r="E31" s="392"/>
      <c r="F31" s="392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</row>
    <row r="32" spans="1:17" ht="39.75" hidden="1" customHeight="1" x14ac:dyDescent="0.2">
      <c r="A32" s="104">
        <v>602200</v>
      </c>
      <c r="B32" s="105" t="s">
        <v>186</v>
      </c>
      <c r="C32" s="392">
        <f>SUM(D32:E32)</f>
        <v>0</v>
      </c>
      <c r="D32" s="392"/>
      <c r="E32" s="392"/>
      <c r="F32" s="103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</row>
    <row r="33" spans="1:17" ht="52.5" customHeight="1" x14ac:dyDescent="0.2">
      <c r="A33" s="104">
        <v>602400</v>
      </c>
      <c r="B33" s="105" t="s">
        <v>180</v>
      </c>
      <c r="C33" s="103">
        <v>0</v>
      </c>
      <c r="D33" s="103">
        <v>-228528217</v>
      </c>
      <c r="E33" s="103">
        <v>228528217</v>
      </c>
      <c r="F33" s="103">
        <v>228528217</v>
      </c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</row>
    <row r="34" spans="1:17" x14ac:dyDescent="0.2">
      <c r="A34" s="160" t="s">
        <v>665</v>
      </c>
      <c r="B34" s="137" t="s">
        <v>664</v>
      </c>
      <c r="C34" s="103">
        <f>D34+E34</f>
        <v>-2128333</v>
      </c>
      <c r="D34" s="103">
        <v>-228528217</v>
      </c>
      <c r="E34" s="103">
        <v>226399884</v>
      </c>
      <c r="F34" s="103">
        <v>226399884</v>
      </c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</row>
    <row r="35" spans="1:17" x14ac:dyDescent="0.2">
      <c r="A35" s="148"/>
      <c r="B35" s="148"/>
      <c r="C35" s="148"/>
      <c r="D35" s="148"/>
      <c r="E35" s="148"/>
      <c r="F35" s="148"/>
      <c r="G35" s="148"/>
      <c r="H35" s="148"/>
      <c r="I35" s="148"/>
    </row>
    <row r="36" spans="1:17" x14ac:dyDescent="0.2">
      <c r="A36" s="148"/>
      <c r="B36" s="436" t="s">
        <v>820</v>
      </c>
      <c r="C36" s="436"/>
      <c r="D36" s="437"/>
      <c r="E36" s="148"/>
      <c r="F36" s="148" t="s">
        <v>821</v>
      </c>
      <c r="G36" s="148"/>
      <c r="H36" s="148"/>
      <c r="I36" s="148"/>
    </row>
    <row r="37" spans="1:17" x14ac:dyDescent="0.2">
      <c r="A37" s="148"/>
      <c r="B37" s="385"/>
      <c r="C37" s="385"/>
      <c r="D37" s="148"/>
      <c r="E37" s="148"/>
      <c r="F37" s="148"/>
      <c r="G37" s="148"/>
      <c r="H37" s="148"/>
      <c r="I37" s="148"/>
    </row>
    <row r="38" spans="1:17" x14ac:dyDescent="0.2">
      <c r="A38" s="241" t="s">
        <v>674</v>
      </c>
      <c r="B38" s="241"/>
      <c r="C38" s="241"/>
      <c r="E38" s="241"/>
      <c r="F38" s="148" t="s">
        <v>673</v>
      </c>
      <c r="G38" s="241"/>
      <c r="H38" s="241"/>
      <c r="I38" s="241"/>
    </row>
    <row r="39" spans="1:17" x14ac:dyDescent="0.2">
      <c r="F39" s="148"/>
    </row>
  </sheetData>
  <mergeCells count="9">
    <mergeCell ref="A11:B11"/>
    <mergeCell ref="A21:B21"/>
    <mergeCell ref="B36:D36"/>
    <mergeCell ref="A5:F5"/>
    <mergeCell ref="A8:A9"/>
    <mergeCell ref="B8:B9"/>
    <mergeCell ref="C8:C9"/>
    <mergeCell ref="D8:D9"/>
    <mergeCell ref="E8:F8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88"/>
  <sheetViews>
    <sheetView view="pageBreakPreview" zoomScale="25" zoomScaleNormal="25" zoomScaleSheetLayoutView="25" zoomScalePageLayoutView="10" workbookViewId="0">
      <pane ySplit="11" topLeftCell="A12" activePane="bottomLeft" state="frozen"/>
      <selection activeCell="K153" sqref="K153"/>
      <selection pane="bottomLeft" activeCell="A8" sqref="A8:A10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6" customWidth="1"/>
    <col min="6" max="6" width="58.5703125" style="1" customWidth="1"/>
    <col min="7" max="7" width="55.42578125" style="1" customWidth="1"/>
    <col min="8" max="8" width="48.140625" style="1" customWidth="1"/>
    <col min="9" max="9" width="32.7109375" style="1" customWidth="1"/>
    <col min="10" max="10" width="50.5703125" style="6" customWidth="1"/>
    <col min="11" max="11" width="52.5703125" style="6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45.28515625" style="1" hidden="1" customWidth="1"/>
    <col min="16" max="16" width="52.7109375" style="1" bestFit="1" customWidth="1"/>
    <col min="17" max="17" width="86.28515625" style="6" customWidth="1"/>
    <col min="18" max="18" width="52.140625" customWidth="1"/>
    <col min="19" max="19" width="66.42578125" bestFit="1" customWidth="1"/>
    <col min="21" max="21" width="24.7109375" bestFit="1" customWidth="1"/>
  </cols>
  <sheetData>
    <row r="1" spans="1:19" ht="45.75" x14ac:dyDescent="0.2">
      <c r="D1" s="8"/>
      <c r="E1" s="271"/>
      <c r="F1" s="269"/>
      <c r="G1" s="271"/>
      <c r="H1" s="271"/>
      <c r="I1" s="271"/>
      <c r="J1" s="271"/>
      <c r="K1" s="271"/>
      <c r="L1" s="271"/>
      <c r="M1" s="271"/>
      <c r="N1" s="271"/>
      <c r="O1" s="460" t="s">
        <v>89</v>
      </c>
      <c r="P1" s="460"/>
      <c r="Q1" s="460"/>
    </row>
    <row r="2" spans="1:19" ht="45.75" x14ac:dyDescent="0.2">
      <c r="A2" s="8"/>
      <c r="B2" s="8"/>
      <c r="C2" s="8"/>
      <c r="D2" s="8"/>
      <c r="E2" s="271"/>
      <c r="F2" s="269"/>
      <c r="G2" s="271"/>
      <c r="H2" s="271"/>
      <c r="I2" s="271"/>
      <c r="J2" s="271"/>
      <c r="K2" s="271"/>
      <c r="L2" s="271"/>
      <c r="M2" s="271"/>
      <c r="N2" s="271"/>
      <c r="O2" s="460" t="s">
        <v>629</v>
      </c>
      <c r="P2" s="460"/>
      <c r="Q2" s="461"/>
    </row>
    <row r="3" spans="1:19" ht="40.700000000000003" customHeight="1" x14ac:dyDescent="0.2">
      <c r="A3" s="8"/>
      <c r="B3" s="8"/>
      <c r="C3" s="8"/>
      <c r="D3" s="8"/>
      <c r="E3" s="271"/>
      <c r="F3" s="269"/>
      <c r="G3" s="271"/>
      <c r="H3" s="271"/>
      <c r="I3" s="271"/>
      <c r="J3" s="271"/>
      <c r="K3" s="271"/>
      <c r="L3" s="271"/>
      <c r="M3" s="271"/>
      <c r="N3" s="271"/>
      <c r="O3" s="460"/>
      <c r="P3" s="460"/>
      <c r="Q3" s="461"/>
    </row>
    <row r="4" spans="1:19" ht="45.75" hidden="1" x14ac:dyDescent="0.2">
      <c r="A4" s="8"/>
      <c r="B4" s="8"/>
      <c r="C4" s="8"/>
      <c r="D4" s="8"/>
      <c r="E4" s="271"/>
      <c r="F4" s="269"/>
      <c r="G4" s="271"/>
      <c r="H4" s="271"/>
      <c r="I4" s="271"/>
      <c r="J4" s="271"/>
      <c r="K4" s="271"/>
      <c r="L4" s="271"/>
      <c r="M4" s="271"/>
      <c r="N4" s="271"/>
      <c r="O4" s="270"/>
      <c r="P4" s="380"/>
      <c r="Q4" s="10"/>
    </row>
    <row r="5" spans="1:19" ht="45" x14ac:dyDescent="0.2">
      <c r="A5" s="463" t="s">
        <v>88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</row>
    <row r="6" spans="1:19" ht="45" x14ac:dyDescent="0.2">
      <c r="A6" s="463" t="s">
        <v>671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</row>
    <row r="7" spans="1:19" ht="53.45" customHeight="1" x14ac:dyDescent="0.2">
      <c r="A7" s="9"/>
      <c r="B7" s="9"/>
      <c r="C7" s="9"/>
      <c r="D7" s="9"/>
      <c r="E7" s="271"/>
      <c r="F7" s="269"/>
      <c r="G7" s="271"/>
      <c r="H7" s="271"/>
      <c r="I7" s="271"/>
      <c r="J7" s="271"/>
      <c r="K7" s="271"/>
      <c r="L7" s="271"/>
      <c r="M7" s="271"/>
      <c r="N7" s="271"/>
      <c r="O7" s="271"/>
      <c r="P7" s="381"/>
      <c r="Q7" s="11" t="s">
        <v>672</v>
      </c>
    </row>
    <row r="8" spans="1:19" ht="62.45" customHeight="1" x14ac:dyDescent="0.2">
      <c r="A8" s="465" t="s">
        <v>29</v>
      </c>
      <c r="B8" s="465" t="s">
        <v>675</v>
      </c>
      <c r="C8" s="465" t="s">
        <v>682</v>
      </c>
      <c r="D8" s="465" t="s">
        <v>676</v>
      </c>
      <c r="E8" s="462" t="s">
        <v>25</v>
      </c>
      <c r="F8" s="462"/>
      <c r="G8" s="462"/>
      <c r="H8" s="462"/>
      <c r="I8" s="462"/>
      <c r="J8" s="469" t="s">
        <v>84</v>
      </c>
      <c r="K8" s="470"/>
      <c r="L8" s="470"/>
      <c r="M8" s="470"/>
      <c r="N8" s="470"/>
      <c r="O8" s="470"/>
      <c r="P8" s="471"/>
      <c r="Q8" s="462" t="s">
        <v>24</v>
      </c>
    </row>
    <row r="9" spans="1:19" ht="255" customHeight="1" x14ac:dyDescent="0.2">
      <c r="A9" s="466"/>
      <c r="B9" s="468"/>
      <c r="C9" s="468"/>
      <c r="D9" s="466"/>
      <c r="E9" s="464" t="s">
        <v>668</v>
      </c>
      <c r="F9" s="464" t="s">
        <v>85</v>
      </c>
      <c r="G9" s="464" t="s">
        <v>26</v>
      </c>
      <c r="H9" s="464"/>
      <c r="I9" s="464" t="s">
        <v>87</v>
      </c>
      <c r="J9" s="464" t="s">
        <v>668</v>
      </c>
      <c r="K9" s="464" t="s">
        <v>669</v>
      </c>
      <c r="L9" s="464" t="s">
        <v>85</v>
      </c>
      <c r="M9" s="464" t="s">
        <v>26</v>
      </c>
      <c r="N9" s="464"/>
      <c r="O9" s="464" t="s">
        <v>87</v>
      </c>
      <c r="P9" s="464" t="s">
        <v>87</v>
      </c>
      <c r="Q9" s="462"/>
    </row>
    <row r="10" spans="1:19" ht="180" x14ac:dyDescent="0.2">
      <c r="A10" s="467"/>
      <c r="B10" s="467"/>
      <c r="C10" s="467"/>
      <c r="D10" s="467"/>
      <c r="E10" s="464"/>
      <c r="F10" s="464"/>
      <c r="G10" s="272" t="s">
        <v>86</v>
      </c>
      <c r="H10" s="272" t="s">
        <v>28</v>
      </c>
      <c r="I10" s="464"/>
      <c r="J10" s="464"/>
      <c r="K10" s="464"/>
      <c r="L10" s="464"/>
      <c r="M10" s="272" t="s">
        <v>86</v>
      </c>
      <c r="N10" s="272" t="s">
        <v>28</v>
      </c>
      <c r="O10" s="464"/>
      <c r="P10" s="464"/>
      <c r="Q10" s="462"/>
    </row>
    <row r="11" spans="1:19" s="2" customFormat="1" ht="111" customHeight="1" x14ac:dyDescent="0.2">
      <c r="A11" s="12" t="s">
        <v>4</v>
      </c>
      <c r="B11" s="12" t="s">
        <v>5</v>
      </c>
      <c r="C11" s="12" t="s">
        <v>27</v>
      </c>
      <c r="D11" s="12" t="s">
        <v>7</v>
      </c>
      <c r="E11" s="12" t="s">
        <v>685</v>
      </c>
      <c r="F11" s="12" t="s">
        <v>686</v>
      </c>
      <c r="G11" s="12" t="s">
        <v>687</v>
      </c>
      <c r="H11" s="12" t="s">
        <v>688</v>
      </c>
      <c r="I11" s="12" t="s">
        <v>689</v>
      </c>
      <c r="J11" s="12" t="s">
        <v>690</v>
      </c>
      <c r="K11" s="12" t="s">
        <v>691</v>
      </c>
      <c r="L11" s="12" t="s">
        <v>692</v>
      </c>
      <c r="M11" s="12" t="s">
        <v>693</v>
      </c>
      <c r="N11" s="12" t="s">
        <v>694</v>
      </c>
      <c r="O11" s="12" t="s">
        <v>695</v>
      </c>
      <c r="P11" s="12" t="s">
        <v>695</v>
      </c>
      <c r="Q11" s="12" t="s">
        <v>696</v>
      </c>
    </row>
    <row r="12" spans="1:19" s="2" customFormat="1" ht="135" x14ac:dyDescent="0.2">
      <c r="A12" s="282" t="s">
        <v>235</v>
      </c>
      <c r="B12" s="282"/>
      <c r="C12" s="282"/>
      <c r="D12" s="347" t="s">
        <v>237</v>
      </c>
      <c r="E12" s="365">
        <f>E13</f>
        <v>85998150</v>
      </c>
      <c r="F12" s="365">
        <f t="shared" ref="F12:N12" si="0">F13</f>
        <v>85998150</v>
      </c>
      <c r="G12" s="365">
        <f t="shared" si="0"/>
        <v>54985000</v>
      </c>
      <c r="H12" s="365">
        <f t="shared" si="0"/>
        <v>2450700</v>
      </c>
      <c r="I12" s="365">
        <f t="shared" si="0"/>
        <v>0</v>
      </c>
      <c r="J12" s="365">
        <f t="shared" si="0"/>
        <v>3985100</v>
      </c>
      <c r="K12" s="365">
        <f t="shared" si="0"/>
        <v>1710000</v>
      </c>
      <c r="L12" s="365">
        <f t="shared" si="0"/>
        <v>2225100</v>
      </c>
      <c r="M12" s="365">
        <f t="shared" si="0"/>
        <v>0</v>
      </c>
      <c r="N12" s="365">
        <f t="shared" si="0"/>
        <v>0</v>
      </c>
      <c r="O12" s="365">
        <f t="shared" ref="O12:Q12" si="1">O13</f>
        <v>50000</v>
      </c>
      <c r="P12" s="365">
        <f>K12+O12</f>
        <v>1760000</v>
      </c>
      <c r="Q12" s="365">
        <f t="shared" si="1"/>
        <v>89983250</v>
      </c>
    </row>
    <row r="13" spans="1:19" s="2" customFormat="1" ht="180" x14ac:dyDescent="0.2">
      <c r="A13" s="286" t="s">
        <v>236</v>
      </c>
      <c r="B13" s="286"/>
      <c r="C13" s="286"/>
      <c r="D13" s="348" t="s">
        <v>238</v>
      </c>
      <c r="E13" s="284">
        <f>SUM(E14:E21)</f>
        <v>85998150</v>
      </c>
      <c r="F13" s="284">
        <f>SUM(F14:F21)</f>
        <v>85998150</v>
      </c>
      <c r="G13" s="284">
        <f>SUM(G14:G21)</f>
        <v>54985000</v>
      </c>
      <c r="H13" s="284">
        <f>SUM(H14:H21)</f>
        <v>2450700</v>
      </c>
      <c r="I13" s="284">
        <f>SUM(I14:I21)</f>
        <v>0</v>
      </c>
      <c r="J13" s="284">
        <f>L13+P13</f>
        <v>3985100</v>
      </c>
      <c r="K13" s="284">
        <f>SUM(K14:K21)</f>
        <v>1710000</v>
      </c>
      <c r="L13" s="284">
        <f>SUM(L14:L21)</f>
        <v>2225100</v>
      </c>
      <c r="M13" s="284">
        <f>SUM(M14:M21)</f>
        <v>0</v>
      </c>
      <c r="N13" s="284">
        <f>SUM(N14:N21)</f>
        <v>0</v>
      </c>
      <c r="O13" s="284">
        <f>SUM(O14:O21)</f>
        <v>50000</v>
      </c>
      <c r="P13" s="378">
        <f t="shared" ref="P13:P75" si="2">K13+O13</f>
        <v>1760000</v>
      </c>
      <c r="Q13" s="284">
        <f>E13+J13</f>
        <v>89983250</v>
      </c>
      <c r="R13" s="166" t="b">
        <f>Q14+Q15+Q16+Q17+Q20+Q21+Q18=Q13</f>
        <v>1</v>
      </c>
      <c r="S13" s="166" t="b">
        <f>K13='dod5'!I6</f>
        <v>1</v>
      </c>
    </row>
    <row r="14" spans="1:19" ht="366" x14ac:dyDescent="0.2">
      <c r="A14" s="335" t="s">
        <v>340</v>
      </c>
      <c r="B14" s="335" t="s">
        <v>341</v>
      </c>
      <c r="C14" s="335" t="s">
        <v>342</v>
      </c>
      <c r="D14" s="335" t="s">
        <v>339</v>
      </c>
      <c r="E14" s="337">
        <f t="shared" ref="E14:E21" si="3">F14</f>
        <v>77586750</v>
      </c>
      <c r="F14" s="133">
        <v>77586750</v>
      </c>
      <c r="G14" s="133">
        <v>54985000</v>
      </c>
      <c r="H14" s="133">
        <v>2450700</v>
      </c>
      <c r="I14" s="133"/>
      <c r="J14" s="337">
        <f>L14+P14</f>
        <v>210000</v>
      </c>
      <c r="K14" s="133">
        <v>210000</v>
      </c>
      <c r="L14" s="181"/>
      <c r="M14" s="351"/>
      <c r="N14" s="351"/>
      <c r="O14" s="338">
        <v>0</v>
      </c>
      <c r="P14" s="388">
        <f t="shared" si="2"/>
        <v>210000</v>
      </c>
      <c r="Q14" s="337">
        <f>+J14+E14</f>
        <v>77796750</v>
      </c>
    </row>
    <row r="15" spans="1:19" ht="91.5" x14ac:dyDescent="0.2">
      <c r="A15" s="335" t="s">
        <v>356</v>
      </c>
      <c r="B15" s="335" t="s">
        <v>71</v>
      </c>
      <c r="C15" s="335" t="s">
        <v>70</v>
      </c>
      <c r="D15" s="335" t="s">
        <v>357</v>
      </c>
      <c r="E15" s="337">
        <f t="shared" ref="E15:E18" si="4">F15</f>
        <v>1305000</v>
      </c>
      <c r="F15" s="338">
        <v>1305000</v>
      </c>
      <c r="G15" s="338"/>
      <c r="H15" s="338"/>
      <c r="I15" s="338"/>
      <c r="J15" s="382">
        <f t="shared" ref="J15:J21" si="5">L15+P15</f>
        <v>0</v>
      </c>
      <c r="K15" s="338"/>
      <c r="L15" s="338"/>
      <c r="M15" s="338"/>
      <c r="N15" s="338"/>
      <c r="O15" s="338"/>
      <c r="P15" s="388">
        <f t="shared" si="2"/>
        <v>0</v>
      </c>
      <c r="Q15" s="337">
        <f>E15+J15</f>
        <v>1305000</v>
      </c>
    </row>
    <row r="16" spans="1:19" ht="91.5" x14ac:dyDescent="0.2">
      <c r="A16" s="335" t="s">
        <v>346</v>
      </c>
      <c r="B16" s="335" t="s">
        <v>347</v>
      </c>
      <c r="C16" s="335" t="s">
        <v>348</v>
      </c>
      <c r="D16" s="335" t="s">
        <v>345</v>
      </c>
      <c r="E16" s="337">
        <f t="shared" si="4"/>
        <v>3236400</v>
      </c>
      <c r="F16" s="338">
        <v>3236400</v>
      </c>
      <c r="G16" s="338">
        <f>H16+I16</f>
        <v>0</v>
      </c>
      <c r="H16" s="338"/>
      <c r="I16" s="338"/>
      <c r="J16" s="382">
        <f t="shared" si="5"/>
        <v>1500000</v>
      </c>
      <c r="K16" s="338">
        <v>1500000</v>
      </c>
      <c r="L16" s="338"/>
      <c r="M16" s="338"/>
      <c r="N16" s="338"/>
      <c r="O16" s="338"/>
      <c r="P16" s="388">
        <f t="shared" si="2"/>
        <v>1500000</v>
      </c>
      <c r="Q16" s="337">
        <f>+J16+E16</f>
        <v>4736400</v>
      </c>
    </row>
    <row r="17" spans="1:21" ht="137.25" x14ac:dyDescent="0.2">
      <c r="A17" s="335" t="s">
        <v>448</v>
      </c>
      <c r="B17" s="335" t="s">
        <v>449</v>
      </c>
      <c r="C17" s="335" t="s">
        <v>257</v>
      </c>
      <c r="D17" s="334" t="s">
        <v>447</v>
      </c>
      <c r="E17" s="337">
        <f t="shared" si="4"/>
        <v>165000</v>
      </c>
      <c r="F17" s="338">
        <v>165000</v>
      </c>
      <c r="G17" s="338"/>
      <c r="H17" s="338"/>
      <c r="I17" s="338"/>
      <c r="J17" s="382">
        <f t="shared" si="5"/>
        <v>0</v>
      </c>
      <c r="K17" s="338"/>
      <c r="L17" s="338"/>
      <c r="M17" s="338"/>
      <c r="N17" s="338"/>
      <c r="O17" s="338"/>
      <c r="P17" s="388">
        <f t="shared" si="2"/>
        <v>0</v>
      </c>
      <c r="Q17" s="337">
        <f>+J17+E17</f>
        <v>165000</v>
      </c>
    </row>
    <row r="18" spans="1:21" s="146" customFormat="1" ht="409.5" x14ac:dyDescent="0.2">
      <c r="A18" s="444" t="s">
        <v>542</v>
      </c>
      <c r="B18" s="444" t="s">
        <v>541</v>
      </c>
      <c r="C18" s="444" t="s">
        <v>257</v>
      </c>
      <c r="D18" s="352" t="s">
        <v>552</v>
      </c>
      <c r="E18" s="442">
        <f t="shared" si="4"/>
        <v>0</v>
      </c>
      <c r="F18" s="446"/>
      <c r="G18" s="446"/>
      <c r="H18" s="446"/>
      <c r="I18" s="446"/>
      <c r="J18" s="449">
        <f t="shared" si="5"/>
        <v>2275100</v>
      </c>
      <c r="K18" s="446"/>
      <c r="L18" s="446">
        <v>2225100</v>
      </c>
      <c r="M18" s="446"/>
      <c r="N18" s="446"/>
      <c r="O18" s="446">
        <v>50000</v>
      </c>
      <c r="P18" s="450">
        <f t="shared" si="2"/>
        <v>50000</v>
      </c>
      <c r="Q18" s="442">
        <f>E18+J18</f>
        <v>2275100</v>
      </c>
      <c r="R18" s="400">
        <f>Q18</f>
        <v>2275100</v>
      </c>
    </row>
    <row r="19" spans="1:21" s="146" customFormat="1" ht="137.25" x14ac:dyDescent="0.2">
      <c r="A19" s="445"/>
      <c r="B19" s="445"/>
      <c r="C19" s="445"/>
      <c r="D19" s="362" t="s">
        <v>553</v>
      </c>
      <c r="E19" s="443"/>
      <c r="F19" s="447"/>
      <c r="G19" s="447"/>
      <c r="H19" s="447"/>
      <c r="I19" s="447"/>
      <c r="J19" s="441"/>
      <c r="K19" s="445"/>
      <c r="L19" s="447"/>
      <c r="M19" s="447"/>
      <c r="N19" s="447"/>
      <c r="O19" s="447"/>
      <c r="P19" s="451"/>
      <c r="Q19" s="443"/>
    </row>
    <row r="20" spans="1:21" ht="91.5" x14ac:dyDescent="0.2">
      <c r="A20" s="335" t="s">
        <v>349</v>
      </c>
      <c r="B20" s="335" t="s">
        <v>350</v>
      </c>
      <c r="C20" s="335" t="s">
        <v>351</v>
      </c>
      <c r="D20" s="334" t="s">
        <v>352</v>
      </c>
      <c r="E20" s="337">
        <f>F20</f>
        <v>3515000</v>
      </c>
      <c r="F20" s="338">
        <v>3515000</v>
      </c>
      <c r="G20" s="338"/>
      <c r="H20" s="338"/>
      <c r="I20" s="338"/>
      <c r="J20" s="382">
        <f t="shared" si="5"/>
        <v>0</v>
      </c>
      <c r="K20" s="338"/>
      <c r="L20" s="338"/>
      <c r="M20" s="338"/>
      <c r="N20" s="338"/>
      <c r="O20" s="338"/>
      <c r="P20" s="388">
        <f t="shared" si="2"/>
        <v>0</v>
      </c>
      <c r="Q20" s="337">
        <f>E20+J20</f>
        <v>3515000</v>
      </c>
    </row>
    <row r="21" spans="1:21" ht="320.25" x14ac:dyDescent="0.2">
      <c r="A21" s="335" t="s">
        <v>353</v>
      </c>
      <c r="B21" s="335" t="s">
        <v>354</v>
      </c>
      <c r="C21" s="335" t="s">
        <v>71</v>
      </c>
      <c r="D21" s="335" t="s">
        <v>355</v>
      </c>
      <c r="E21" s="337">
        <f t="shared" si="3"/>
        <v>190000</v>
      </c>
      <c r="F21" s="338">
        <v>190000</v>
      </c>
      <c r="G21" s="338"/>
      <c r="H21" s="338"/>
      <c r="I21" s="338"/>
      <c r="J21" s="382">
        <f t="shared" si="5"/>
        <v>0</v>
      </c>
      <c r="K21" s="338"/>
      <c r="L21" s="338"/>
      <c r="M21" s="338"/>
      <c r="N21" s="338"/>
      <c r="O21" s="338"/>
      <c r="P21" s="388">
        <f t="shared" si="2"/>
        <v>0</v>
      </c>
      <c r="Q21" s="337">
        <f>E21+J21</f>
        <v>190000</v>
      </c>
    </row>
    <row r="22" spans="1:21" ht="180" x14ac:dyDescent="0.2">
      <c r="A22" s="282" t="s">
        <v>239</v>
      </c>
      <c r="B22" s="282"/>
      <c r="C22" s="282"/>
      <c r="D22" s="347" t="s">
        <v>0</v>
      </c>
      <c r="E22" s="365">
        <f>E23</f>
        <v>955304293</v>
      </c>
      <c r="F22" s="365">
        <f t="shared" ref="F22" si="6">F23</f>
        <v>955304293</v>
      </c>
      <c r="G22" s="365">
        <f t="shared" ref="G22" si="7">G23</f>
        <v>644533535</v>
      </c>
      <c r="H22" s="365">
        <f>H23</f>
        <v>68543703</v>
      </c>
      <c r="I22" s="365">
        <f t="shared" ref="I22" si="8">I23</f>
        <v>0</v>
      </c>
      <c r="J22" s="365">
        <f>J23</f>
        <v>116070990</v>
      </c>
      <c r="K22" s="365">
        <f>K23</f>
        <v>13109000</v>
      </c>
      <c r="L22" s="365">
        <f>L23</f>
        <v>101650540</v>
      </c>
      <c r="M22" s="365">
        <f t="shared" ref="M22" si="9">M23</f>
        <v>26627480</v>
      </c>
      <c r="N22" s="365">
        <f>N23</f>
        <v>8054210</v>
      </c>
      <c r="O22" s="283">
        <f t="shared" ref="O22:Q22" si="10">O23</f>
        <v>1311450</v>
      </c>
      <c r="P22" s="365">
        <f>K22+O22</f>
        <v>14420450</v>
      </c>
      <c r="Q22" s="283">
        <f t="shared" si="10"/>
        <v>1071375283</v>
      </c>
    </row>
    <row r="23" spans="1:21" ht="225" x14ac:dyDescent="0.2">
      <c r="A23" s="286" t="s">
        <v>240</v>
      </c>
      <c r="B23" s="286"/>
      <c r="C23" s="286"/>
      <c r="D23" s="348" t="s">
        <v>1</v>
      </c>
      <c r="E23" s="284">
        <f>SUM(E24:E32)</f>
        <v>955304293</v>
      </c>
      <c r="F23" s="284">
        <f t="shared" ref="F23:O23" si="11">SUM(F24:F32)</f>
        <v>955304293</v>
      </c>
      <c r="G23" s="284">
        <f>SUM(G24:G32)</f>
        <v>644533535</v>
      </c>
      <c r="H23" s="284">
        <f t="shared" si="11"/>
        <v>68543703</v>
      </c>
      <c r="I23" s="284">
        <f t="shared" si="11"/>
        <v>0</v>
      </c>
      <c r="J23" s="284">
        <f>L23+P23</f>
        <v>116070990</v>
      </c>
      <c r="K23" s="284">
        <f t="shared" si="11"/>
        <v>13109000</v>
      </c>
      <c r="L23" s="284">
        <f t="shared" si="11"/>
        <v>101650540</v>
      </c>
      <c r="M23" s="284">
        <f t="shared" si="11"/>
        <v>26627480</v>
      </c>
      <c r="N23" s="284">
        <f t="shared" si="11"/>
        <v>8054210</v>
      </c>
      <c r="O23" s="284">
        <f t="shared" si="11"/>
        <v>1311450</v>
      </c>
      <c r="P23" s="378">
        <f t="shared" si="2"/>
        <v>14420450</v>
      </c>
      <c r="Q23" s="284">
        <f>E23+J23</f>
        <v>1071375283</v>
      </c>
      <c r="R23" s="166" t="b">
        <f>Q23=Q24+Q25+Q26+Q27+Q28+Q29+Q30+Q31+Q32</f>
        <v>1</v>
      </c>
      <c r="S23" s="166" t="b">
        <f>K23='dod5'!I11</f>
        <v>1</v>
      </c>
    </row>
    <row r="24" spans="1:21" ht="46.5" x14ac:dyDescent="0.55000000000000004">
      <c r="A24" s="335" t="s">
        <v>297</v>
      </c>
      <c r="B24" s="335" t="s">
        <v>298</v>
      </c>
      <c r="C24" s="335" t="s">
        <v>300</v>
      </c>
      <c r="D24" s="335" t="s">
        <v>301</v>
      </c>
      <c r="E24" s="337">
        <f>F24</f>
        <v>259096280</v>
      </c>
      <c r="F24" s="338">
        <f>165508870+36411952+4442800+121320+24563500+1338350+273720+18519120+1241048+6540100+35500+100000</f>
        <v>259096280</v>
      </c>
      <c r="G24" s="338">
        <v>165508870</v>
      </c>
      <c r="H24" s="338">
        <f>18519120+1241048+6540100</f>
        <v>26300268</v>
      </c>
      <c r="I24" s="338"/>
      <c r="J24" s="382">
        <f t="shared" ref="J24:J85" si="12">L24+P24</f>
        <v>42872420</v>
      </c>
      <c r="K24" s="338">
        <f>252000+2500000</f>
        <v>2752000</v>
      </c>
      <c r="L24" s="338">
        <v>39787420</v>
      </c>
      <c r="M24" s="338">
        <v>7603840</v>
      </c>
      <c r="N24" s="338">
        <v>826450</v>
      </c>
      <c r="O24" s="338">
        <v>333000</v>
      </c>
      <c r="P24" s="388">
        <f t="shared" si="2"/>
        <v>3085000</v>
      </c>
      <c r="Q24" s="337">
        <f t="shared" ref="Q24:Q32" si="13">E24+J24</f>
        <v>301968700</v>
      </c>
      <c r="R24" s="15"/>
      <c r="S24" s="15"/>
    </row>
    <row r="25" spans="1:21" ht="366" x14ac:dyDescent="0.55000000000000004">
      <c r="A25" s="335" t="s">
        <v>303</v>
      </c>
      <c r="B25" s="335" t="s">
        <v>299</v>
      </c>
      <c r="C25" s="335" t="s">
        <v>304</v>
      </c>
      <c r="D25" s="335" t="s">
        <v>633</v>
      </c>
      <c r="E25" s="337">
        <f t="shared" ref="E25:E31" si="14">F25</f>
        <v>531289067</v>
      </c>
      <c r="F25" s="338">
        <f>377515910+83053501+7371100+178740+32183400+3499459+415560+30995614+945670+7256140+593970+178740+8163+2093100-15000000</f>
        <v>531289067</v>
      </c>
      <c r="G25" s="338">
        <v>377515910</v>
      </c>
      <c r="H25" s="338">
        <f>30995614+945670+7256140+593970-15000000</f>
        <v>24791394</v>
      </c>
      <c r="I25" s="338"/>
      <c r="J25" s="382">
        <f t="shared" si="12"/>
        <v>44968360</v>
      </c>
      <c r="K25" s="338">
        <f>171000+2450000+400000</f>
        <v>3021000</v>
      </c>
      <c r="L25" s="338">
        <v>41102910</v>
      </c>
      <c r="M25" s="338">
        <v>13732800</v>
      </c>
      <c r="N25" s="338">
        <v>963180</v>
      </c>
      <c r="O25" s="338">
        <v>844450</v>
      </c>
      <c r="P25" s="388">
        <f t="shared" si="2"/>
        <v>3865450</v>
      </c>
      <c r="Q25" s="337">
        <f t="shared" si="13"/>
        <v>576257427</v>
      </c>
      <c r="R25" s="15"/>
      <c r="S25" s="15"/>
      <c r="U25" s="134"/>
    </row>
    <row r="26" spans="1:21" ht="409.5" x14ac:dyDescent="0.2">
      <c r="A26" s="335" t="s">
        <v>307</v>
      </c>
      <c r="B26" s="335" t="s">
        <v>306</v>
      </c>
      <c r="C26" s="335" t="s">
        <v>308</v>
      </c>
      <c r="D26" s="335" t="s">
        <v>32</v>
      </c>
      <c r="E26" s="337">
        <f t="shared" si="14"/>
        <v>16875606</v>
      </c>
      <c r="F26" s="338">
        <f>11987275+2637201+297700+3970+635400+74400+12000+1090080+19380+107800+5400+5000</f>
        <v>16875606</v>
      </c>
      <c r="G26" s="338">
        <v>11987275</v>
      </c>
      <c r="H26" s="338">
        <f>1090080+19380+107800</f>
        <v>1217260</v>
      </c>
      <c r="I26" s="338"/>
      <c r="J26" s="382">
        <f t="shared" si="12"/>
        <v>59000</v>
      </c>
      <c r="K26" s="338">
        <v>9000</v>
      </c>
      <c r="L26" s="338">
        <v>50000</v>
      </c>
      <c r="M26" s="338"/>
      <c r="N26" s="338">
        <v>29400</v>
      </c>
      <c r="O26" s="338"/>
      <c r="P26" s="388">
        <f t="shared" si="2"/>
        <v>9000</v>
      </c>
      <c r="Q26" s="337">
        <f t="shared" si="13"/>
        <v>16934606</v>
      </c>
    </row>
    <row r="27" spans="1:21" ht="228.75" x14ac:dyDescent="0.2">
      <c r="A27" s="335" t="s">
        <v>309</v>
      </c>
      <c r="B27" s="335" t="s">
        <v>288</v>
      </c>
      <c r="C27" s="335" t="s">
        <v>276</v>
      </c>
      <c r="D27" s="335" t="s">
        <v>33</v>
      </c>
      <c r="E27" s="337">
        <f t="shared" si="14"/>
        <v>27335937</v>
      </c>
      <c r="F27" s="338">
        <f>19190813+4221979+572200+13650+0+820000+23640+304700+1254870+46020+589810+263715+3840+30500+200</f>
        <v>27335937</v>
      </c>
      <c r="G27" s="338">
        <v>19190813</v>
      </c>
      <c r="H27" s="338">
        <f>1254870+46020+589810+263715</f>
        <v>2154415</v>
      </c>
      <c r="I27" s="338"/>
      <c r="J27" s="382">
        <f t="shared" si="12"/>
        <v>7031670</v>
      </c>
      <c r="K27" s="338">
        <f>18000+2000000+300000</f>
        <v>2318000</v>
      </c>
      <c r="L27" s="338">
        <v>4579670</v>
      </c>
      <c r="M27" s="338">
        <v>1037200</v>
      </c>
      <c r="N27" s="338">
        <v>348290</v>
      </c>
      <c r="O27" s="338">
        <v>134000</v>
      </c>
      <c r="P27" s="388">
        <f t="shared" si="2"/>
        <v>2452000</v>
      </c>
      <c r="Q27" s="337">
        <f t="shared" si="13"/>
        <v>34367607</v>
      </c>
    </row>
    <row r="28" spans="1:21" ht="183" x14ac:dyDescent="0.2">
      <c r="A28" s="335" t="s">
        <v>310</v>
      </c>
      <c r="B28" s="335" t="s">
        <v>311</v>
      </c>
      <c r="C28" s="335" t="s">
        <v>312</v>
      </c>
      <c r="D28" s="335" t="s">
        <v>313</v>
      </c>
      <c r="E28" s="337">
        <f t="shared" si="14"/>
        <v>99743470</v>
      </c>
      <c r="F28" s="338">
        <f>55361620+12179557+98200+14420+3078726+14900+65640+8051698+582633+3183200+1360000+15250000+502876</f>
        <v>99743470</v>
      </c>
      <c r="G28" s="338">
        <v>55361620</v>
      </c>
      <c r="H28" s="338">
        <f>8051698+582633+3183200+1360000</f>
        <v>13177531</v>
      </c>
      <c r="I28" s="338"/>
      <c r="J28" s="382">
        <f t="shared" si="12"/>
        <v>15728160</v>
      </c>
      <c r="K28" s="338"/>
      <c r="L28" s="338">
        <v>15728160</v>
      </c>
      <c r="M28" s="338">
        <v>4054000</v>
      </c>
      <c r="N28" s="338">
        <v>5883570</v>
      </c>
      <c r="O28" s="338"/>
      <c r="P28" s="388">
        <f t="shared" si="2"/>
        <v>0</v>
      </c>
      <c r="Q28" s="337">
        <f t="shared" si="13"/>
        <v>115471630</v>
      </c>
    </row>
    <row r="29" spans="1:21" ht="137.25" x14ac:dyDescent="0.2">
      <c r="A29" s="335" t="s">
        <v>315</v>
      </c>
      <c r="B29" s="335" t="s">
        <v>316</v>
      </c>
      <c r="C29" s="335" t="s">
        <v>317</v>
      </c>
      <c r="D29" s="335" t="s">
        <v>314</v>
      </c>
      <c r="E29" s="337">
        <f t="shared" si="14"/>
        <v>4604366</v>
      </c>
      <c r="F29" s="338">
        <f>3056197+672364+210900+430000+3120+40000+126900+4845+57140+400+2500</f>
        <v>4604366</v>
      </c>
      <c r="G29" s="338">
        <v>3056197</v>
      </c>
      <c r="H29" s="338">
        <f>126900+4845+57140</f>
        <v>188885</v>
      </c>
      <c r="I29" s="338"/>
      <c r="J29" s="382">
        <f t="shared" si="12"/>
        <v>73740</v>
      </c>
      <c r="K29" s="338"/>
      <c r="L29" s="338">
        <v>73740</v>
      </c>
      <c r="M29" s="338"/>
      <c r="N29" s="338"/>
      <c r="O29" s="338"/>
      <c r="P29" s="388">
        <f t="shared" si="2"/>
        <v>0</v>
      </c>
      <c r="Q29" s="337">
        <f t="shared" si="13"/>
        <v>4678106</v>
      </c>
    </row>
    <row r="30" spans="1:21" s="146" customFormat="1" ht="137.25" x14ac:dyDescent="0.2">
      <c r="A30" s="334" t="s">
        <v>506</v>
      </c>
      <c r="B30" s="334" t="s">
        <v>507</v>
      </c>
      <c r="C30" s="334" t="s">
        <v>317</v>
      </c>
      <c r="D30" s="334" t="s">
        <v>505</v>
      </c>
      <c r="E30" s="337">
        <f t="shared" si="14"/>
        <v>16210607</v>
      </c>
      <c r="F30" s="338">
        <f>11912850+2620827+577800+1200+362900+12480+440620+8475+262150+2705+4360+400+3840</f>
        <v>16210607</v>
      </c>
      <c r="G30" s="338">
        <v>11912850</v>
      </c>
      <c r="H30" s="338">
        <f>440620+8475+262150+2705</f>
        <v>713950</v>
      </c>
      <c r="I30" s="336"/>
      <c r="J30" s="382">
        <f t="shared" si="12"/>
        <v>337640</v>
      </c>
      <c r="K30" s="338">
        <v>9000</v>
      </c>
      <c r="L30" s="338">
        <v>328640</v>
      </c>
      <c r="M30" s="338">
        <v>199640</v>
      </c>
      <c r="N30" s="338">
        <v>3320</v>
      </c>
      <c r="O30" s="338"/>
      <c r="P30" s="388">
        <f t="shared" si="2"/>
        <v>9000</v>
      </c>
      <c r="Q30" s="337">
        <f t="shared" si="13"/>
        <v>16548247</v>
      </c>
    </row>
    <row r="31" spans="1:21" s="146" customFormat="1" ht="91.5" x14ac:dyDescent="0.2">
      <c r="A31" s="334" t="s">
        <v>539</v>
      </c>
      <c r="B31" s="334" t="s">
        <v>540</v>
      </c>
      <c r="C31" s="334" t="s">
        <v>317</v>
      </c>
      <c r="D31" s="335" t="s">
        <v>538</v>
      </c>
      <c r="E31" s="333">
        <f t="shared" si="14"/>
        <v>148960</v>
      </c>
      <c r="F31" s="336">
        <v>148960</v>
      </c>
      <c r="G31" s="336"/>
      <c r="H31" s="336"/>
      <c r="I31" s="336"/>
      <c r="J31" s="382">
        <f t="shared" si="12"/>
        <v>0</v>
      </c>
      <c r="K31" s="336"/>
      <c r="L31" s="336"/>
      <c r="M31" s="336"/>
      <c r="N31" s="336"/>
      <c r="O31" s="336"/>
      <c r="P31" s="388">
        <f t="shared" si="2"/>
        <v>0</v>
      </c>
      <c r="Q31" s="337">
        <f t="shared" si="13"/>
        <v>148960</v>
      </c>
    </row>
    <row r="32" spans="1:21" s="146" customFormat="1" ht="46.5" x14ac:dyDescent="0.2">
      <c r="A32" s="335" t="s">
        <v>319</v>
      </c>
      <c r="B32" s="335" t="s">
        <v>320</v>
      </c>
      <c r="C32" s="335" t="s">
        <v>321</v>
      </c>
      <c r="D32" s="335" t="s">
        <v>67</v>
      </c>
      <c r="E32" s="333"/>
      <c r="F32" s="336"/>
      <c r="G32" s="336"/>
      <c r="H32" s="336"/>
      <c r="I32" s="336"/>
      <c r="J32" s="382">
        <f t="shared" si="12"/>
        <v>5000000</v>
      </c>
      <c r="K32" s="336">
        <v>5000000</v>
      </c>
      <c r="L32" s="336"/>
      <c r="M32" s="336"/>
      <c r="N32" s="336"/>
      <c r="O32" s="336"/>
      <c r="P32" s="388">
        <f t="shared" si="2"/>
        <v>5000000</v>
      </c>
      <c r="Q32" s="337">
        <f t="shared" si="13"/>
        <v>5000000</v>
      </c>
    </row>
    <row r="33" spans="1:23" ht="180" x14ac:dyDescent="0.2">
      <c r="A33" s="353" t="s">
        <v>241</v>
      </c>
      <c r="B33" s="354"/>
      <c r="C33" s="354"/>
      <c r="D33" s="347" t="s">
        <v>36</v>
      </c>
      <c r="E33" s="365">
        <f>E34</f>
        <v>346314218</v>
      </c>
      <c r="F33" s="365">
        <f t="shared" ref="F33" si="15">F34</f>
        <v>346314218</v>
      </c>
      <c r="G33" s="365">
        <f t="shared" ref="G33" si="16">G34</f>
        <v>3641900</v>
      </c>
      <c r="H33" s="365">
        <f>H34</f>
        <v>212270</v>
      </c>
      <c r="I33" s="365">
        <f t="shared" ref="I33" si="17">I34</f>
        <v>0</v>
      </c>
      <c r="J33" s="365">
        <f>J34</f>
        <v>22172971</v>
      </c>
      <c r="K33" s="365">
        <f>K34</f>
        <v>5499500</v>
      </c>
      <c r="L33" s="365">
        <f>L34</f>
        <v>15931071</v>
      </c>
      <c r="M33" s="365">
        <f t="shared" ref="M33" si="18">M34</f>
        <v>0</v>
      </c>
      <c r="N33" s="365">
        <f>N34</f>
        <v>0</v>
      </c>
      <c r="O33" s="355">
        <f t="shared" ref="O33:Q33" si="19">O34</f>
        <v>742400</v>
      </c>
      <c r="P33" s="365">
        <f t="shared" si="2"/>
        <v>6241900</v>
      </c>
      <c r="Q33" s="355">
        <f t="shared" si="19"/>
        <v>368487189</v>
      </c>
    </row>
    <row r="34" spans="1:23" ht="225" x14ac:dyDescent="0.2">
      <c r="A34" s="286" t="s">
        <v>242</v>
      </c>
      <c r="B34" s="286"/>
      <c r="C34" s="286"/>
      <c r="D34" s="348" t="s">
        <v>59</v>
      </c>
      <c r="E34" s="284">
        <f>SUM(E35:E44)</f>
        <v>346314218</v>
      </c>
      <c r="F34" s="284">
        <f>SUM(F35:F44)</f>
        <v>346314218</v>
      </c>
      <c r="G34" s="284">
        <f>SUM(G35:G44)</f>
        <v>3641900</v>
      </c>
      <c r="H34" s="284">
        <f>SUM(H35:H44)</f>
        <v>212270</v>
      </c>
      <c r="I34" s="284">
        <f t="shared" ref="I34:O34" si="20">SUM(I35:I44)</f>
        <v>0</v>
      </c>
      <c r="J34" s="284">
        <f>L34+P34</f>
        <v>22172971</v>
      </c>
      <c r="K34" s="284">
        <f>SUM(K35:K44)</f>
        <v>5499500</v>
      </c>
      <c r="L34" s="284">
        <f>SUM(L35:L44)</f>
        <v>15931071</v>
      </c>
      <c r="M34" s="284">
        <f>SUM(M35:M44)</f>
        <v>0</v>
      </c>
      <c r="N34" s="284">
        <f>SUM(N35:N44)</f>
        <v>0</v>
      </c>
      <c r="O34" s="284">
        <f t="shared" si="20"/>
        <v>742400</v>
      </c>
      <c r="P34" s="378">
        <f>K34+O34</f>
        <v>6241900</v>
      </c>
      <c r="Q34" s="284">
        <f>E34+J34</f>
        <v>368487189</v>
      </c>
      <c r="R34" s="166" t="b">
        <f>Q34=Q36+Q37+Q38+Q39+Q40+Q41+Q42+Q43+Q44+Q35</f>
        <v>1</v>
      </c>
      <c r="S34" s="166" t="b">
        <f>K34='dod5'!I21</f>
        <v>1</v>
      </c>
    </row>
    <row r="35" spans="1:23" ht="228.75" x14ac:dyDescent="0.2">
      <c r="A35" s="335" t="s">
        <v>746</v>
      </c>
      <c r="B35" s="335" t="s">
        <v>344</v>
      </c>
      <c r="C35" s="335" t="s">
        <v>342</v>
      </c>
      <c r="D35" s="335" t="s">
        <v>343</v>
      </c>
      <c r="E35" s="337">
        <f>F35</f>
        <v>2501100</v>
      </c>
      <c r="F35" s="338">
        <v>2501100</v>
      </c>
      <c r="G35" s="338">
        <v>1884600</v>
      </c>
      <c r="H35" s="338">
        <v>101500</v>
      </c>
      <c r="I35" s="338"/>
      <c r="J35" s="382">
        <f t="shared" si="12"/>
        <v>0</v>
      </c>
      <c r="K35" s="337"/>
      <c r="L35" s="337"/>
      <c r="M35" s="337"/>
      <c r="N35" s="337"/>
      <c r="O35" s="337"/>
      <c r="P35" s="388">
        <f t="shared" si="2"/>
        <v>0</v>
      </c>
      <c r="Q35" s="337">
        <f t="shared" ref="Q35:Q44" si="21">E35+J35</f>
        <v>2501100</v>
      </c>
      <c r="R35" s="166"/>
      <c r="S35" s="166"/>
    </row>
    <row r="36" spans="1:23" ht="137.25" x14ac:dyDescent="0.2">
      <c r="A36" s="335" t="s">
        <v>322</v>
      </c>
      <c r="B36" s="335" t="s">
        <v>318</v>
      </c>
      <c r="C36" s="335" t="s">
        <v>323</v>
      </c>
      <c r="D36" s="335" t="s">
        <v>37</v>
      </c>
      <c r="E36" s="337">
        <f>F36</f>
        <v>191097912</v>
      </c>
      <c r="F36" s="338">
        <f>190671412+426500</f>
        <v>191097912</v>
      </c>
      <c r="G36" s="338"/>
      <c r="H36" s="338"/>
      <c r="I36" s="338"/>
      <c r="J36" s="382">
        <f t="shared" si="12"/>
        <v>9050900</v>
      </c>
      <c r="K36" s="338">
        <v>4532900</v>
      </c>
      <c r="L36" s="338">
        <v>4218000</v>
      </c>
      <c r="M36" s="338"/>
      <c r="N36" s="338"/>
      <c r="O36" s="338">
        <v>300000</v>
      </c>
      <c r="P36" s="388">
        <f t="shared" si="2"/>
        <v>4832900</v>
      </c>
      <c r="Q36" s="337">
        <f t="shared" si="21"/>
        <v>200148812</v>
      </c>
    </row>
    <row r="37" spans="1:23" ht="183" x14ac:dyDescent="0.2">
      <c r="A37" s="335" t="s">
        <v>324</v>
      </c>
      <c r="B37" s="335" t="s">
        <v>325</v>
      </c>
      <c r="C37" s="335" t="s">
        <v>326</v>
      </c>
      <c r="D37" s="335" t="s">
        <v>327</v>
      </c>
      <c r="E37" s="337">
        <f t="shared" ref="E37:E40" si="22">F37</f>
        <v>59783500</v>
      </c>
      <c r="F37" s="338">
        <v>59783500</v>
      </c>
      <c r="G37" s="338"/>
      <c r="H37" s="338"/>
      <c r="I37" s="338"/>
      <c r="J37" s="382">
        <f t="shared" si="12"/>
        <v>1164271</v>
      </c>
      <c r="K37" s="338">
        <v>126000</v>
      </c>
      <c r="L37" s="338">
        <v>1038271</v>
      </c>
      <c r="M37" s="338"/>
      <c r="N37" s="338"/>
      <c r="O37" s="338"/>
      <c r="P37" s="388">
        <f>K37+O37</f>
        <v>126000</v>
      </c>
      <c r="Q37" s="337">
        <f t="shared" si="21"/>
        <v>60947771</v>
      </c>
    </row>
    <row r="38" spans="1:23" ht="183" x14ac:dyDescent="0.2">
      <c r="A38" s="335" t="s">
        <v>328</v>
      </c>
      <c r="B38" s="335" t="s">
        <v>329</v>
      </c>
      <c r="C38" s="335" t="s">
        <v>330</v>
      </c>
      <c r="D38" s="335" t="s">
        <v>554</v>
      </c>
      <c r="E38" s="337">
        <f t="shared" si="22"/>
        <v>57684870</v>
      </c>
      <c r="F38" s="338">
        <v>57684870</v>
      </c>
      <c r="G38" s="338"/>
      <c r="H38" s="338"/>
      <c r="I38" s="338"/>
      <c r="J38" s="382">
        <f t="shared" si="12"/>
        <v>6437900</v>
      </c>
      <c r="K38" s="338">
        <f>939600-99000</f>
        <v>840600</v>
      </c>
      <c r="L38" s="338">
        <v>5254900</v>
      </c>
      <c r="M38" s="338"/>
      <c r="N38" s="338"/>
      <c r="O38" s="338">
        <v>342400</v>
      </c>
      <c r="P38" s="388">
        <f t="shared" si="2"/>
        <v>1183000</v>
      </c>
      <c r="Q38" s="337">
        <f t="shared" si="21"/>
        <v>64122770</v>
      </c>
    </row>
    <row r="39" spans="1:23" ht="91.5" x14ac:dyDescent="0.2">
      <c r="A39" s="335" t="s">
        <v>331</v>
      </c>
      <c r="B39" s="335" t="s">
        <v>332</v>
      </c>
      <c r="C39" s="335" t="s">
        <v>333</v>
      </c>
      <c r="D39" s="335" t="s">
        <v>334</v>
      </c>
      <c r="E39" s="337">
        <f t="shared" si="22"/>
        <v>9871950</v>
      </c>
      <c r="F39" s="338">
        <v>9871950</v>
      </c>
      <c r="G39" s="338"/>
      <c r="H39" s="338"/>
      <c r="I39" s="338"/>
      <c r="J39" s="382">
        <f t="shared" si="12"/>
        <v>5497900</v>
      </c>
      <c r="K39" s="338"/>
      <c r="L39" s="338">
        <v>5397900</v>
      </c>
      <c r="M39" s="338"/>
      <c r="N39" s="338"/>
      <c r="O39" s="338">
        <v>100000</v>
      </c>
      <c r="P39" s="388">
        <f t="shared" si="2"/>
        <v>100000</v>
      </c>
      <c r="Q39" s="337">
        <f t="shared" si="21"/>
        <v>15369850</v>
      </c>
    </row>
    <row r="40" spans="1:23" ht="228.75" x14ac:dyDescent="0.2">
      <c r="A40" s="335" t="s">
        <v>335</v>
      </c>
      <c r="B40" s="334" t="s">
        <v>336</v>
      </c>
      <c r="C40" s="334" t="s">
        <v>555</v>
      </c>
      <c r="D40" s="335" t="s">
        <v>337</v>
      </c>
      <c r="E40" s="337">
        <f t="shared" si="22"/>
        <v>8891316</v>
      </c>
      <c r="F40" s="338">
        <v>8891316</v>
      </c>
      <c r="G40" s="338"/>
      <c r="H40" s="338"/>
      <c r="I40" s="338"/>
      <c r="J40" s="382">
        <f t="shared" si="12"/>
        <v>0</v>
      </c>
      <c r="K40" s="338"/>
      <c r="L40" s="338"/>
      <c r="M40" s="338"/>
      <c r="N40" s="338"/>
      <c r="O40" s="338"/>
      <c r="P40" s="388">
        <f t="shared" si="2"/>
        <v>0</v>
      </c>
      <c r="Q40" s="337">
        <f t="shared" si="21"/>
        <v>8891316</v>
      </c>
    </row>
    <row r="41" spans="1:23" ht="183" x14ac:dyDescent="0.2">
      <c r="A41" s="335" t="s">
        <v>594</v>
      </c>
      <c r="B41" s="335" t="s">
        <v>595</v>
      </c>
      <c r="C41" s="334" t="s">
        <v>338</v>
      </c>
      <c r="D41" s="306" t="s">
        <v>596</v>
      </c>
      <c r="E41" s="337">
        <f t="shared" ref="E41:E42" si="23">F41</f>
        <v>8972700</v>
      </c>
      <c r="F41" s="338">
        <v>8972700</v>
      </c>
      <c r="G41" s="338"/>
      <c r="H41" s="338"/>
      <c r="I41" s="338"/>
      <c r="J41" s="382">
        <f t="shared" si="12"/>
        <v>0</v>
      </c>
      <c r="K41" s="338"/>
      <c r="L41" s="338"/>
      <c r="M41" s="338"/>
      <c r="N41" s="338"/>
      <c r="O41" s="338"/>
      <c r="P41" s="388">
        <f t="shared" si="2"/>
        <v>0</v>
      </c>
      <c r="Q41" s="337">
        <f t="shared" si="21"/>
        <v>8972700</v>
      </c>
    </row>
    <row r="42" spans="1:23" ht="183" x14ac:dyDescent="0.2">
      <c r="A42" s="335" t="s">
        <v>599</v>
      </c>
      <c r="B42" s="335" t="s">
        <v>598</v>
      </c>
      <c r="C42" s="334" t="s">
        <v>338</v>
      </c>
      <c r="D42" s="306" t="s">
        <v>597</v>
      </c>
      <c r="E42" s="337">
        <f t="shared" si="23"/>
        <v>1734200</v>
      </c>
      <c r="F42" s="338">
        <v>1734200</v>
      </c>
      <c r="G42" s="338"/>
      <c r="H42" s="338"/>
      <c r="I42" s="338"/>
      <c r="J42" s="382">
        <f t="shared" si="12"/>
        <v>0</v>
      </c>
      <c r="K42" s="338"/>
      <c r="L42" s="338"/>
      <c r="M42" s="338"/>
      <c r="N42" s="338"/>
      <c r="O42" s="338"/>
      <c r="P42" s="388">
        <f t="shared" si="2"/>
        <v>0</v>
      </c>
      <c r="Q42" s="337">
        <f t="shared" si="21"/>
        <v>1734200</v>
      </c>
    </row>
    <row r="43" spans="1:23" s="146" customFormat="1" ht="137.25" x14ac:dyDescent="0.2">
      <c r="A43" s="335" t="s">
        <v>510</v>
      </c>
      <c r="B43" s="335" t="s">
        <v>512</v>
      </c>
      <c r="C43" s="334" t="s">
        <v>338</v>
      </c>
      <c r="D43" s="306" t="s">
        <v>508</v>
      </c>
      <c r="E43" s="337">
        <f t="shared" ref="E43:E44" si="24">F43</f>
        <v>2416670</v>
      </c>
      <c r="F43" s="338">
        <v>2416670</v>
      </c>
      <c r="G43" s="338">
        <v>1757300</v>
      </c>
      <c r="H43" s="338">
        <v>110770</v>
      </c>
      <c r="I43" s="338"/>
      <c r="J43" s="382">
        <f t="shared" si="12"/>
        <v>22000</v>
      </c>
      <c r="K43" s="338"/>
      <c r="L43" s="338">
        <v>22000</v>
      </c>
      <c r="M43" s="338"/>
      <c r="N43" s="338"/>
      <c r="O43" s="338"/>
      <c r="P43" s="388">
        <f t="shared" si="2"/>
        <v>0</v>
      </c>
      <c r="Q43" s="337">
        <f t="shared" si="21"/>
        <v>2438670</v>
      </c>
    </row>
    <row r="44" spans="1:23" s="146" customFormat="1" ht="91.5" x14ac:dyDescent="0.2">
      <c r="A44" s="335" t="s">
        <v>511</v>
      </c>
      <c r="B44" s="335" t="s">
        <v>513</v>
      </c>
      <c r="C44" s="334" t="s">
        <v>338</v>
      </c>
      <c r="D44" s="306" t="s">
        <v>509</v>
      </c>
      <c r="E44" s="337">
        <f t="shared" si="24"/>
        <v>3360000</v>
      </c>
      <c r="F44" s="338">
        <v>3360000</v>
      </c>
      <c r="G44" s="338"/>
      <c r="H44" s="338"/>
      <c r="I44" s="338"/>
      <c r="J44" s="382">
        <f t="shared" si="12"/>
        <v>0</v>
      </c>
      <c r="K44" s="338"/>
      <c r="L44" s="338"/>
      <c r="M44" s="338"/>
      <c r="N44" s="338"/>
      <c r="O44" s="338"/>
      <c r="P44" s="388">
        <f t="shared" si="2"/>
        <v>0</v>
      </c>
      <c r="Q44" s="337">
        <f t="shared" si="21"/>
        <v>3360000</v>
      </c>
    </row>
    <row r="45" spans="1:23" ht="225" x14ac:dyDescent="0.2">
      <c r="A45" s="282" t="s">
        <v>243</v>
      </c>
      <c r="B45" s="282"/>
      <c r="C45" s="282"/>
      <c r="D45" s="347" t="s">
        <v>60</v>
      </c>
      <c r="E45" s="365">
        <f>E46</f>
        <v>775767046</v>
      </c>
      <c r="F45" s="365">
        <f t="shared" ref="F45" si="25">F46</f>
        <v>775767046</v>
      </c>
      <c r="G45" s="365">
        <f t="shared" ref="G45" si="26">G46</f>
        <v>45023549</v>
      </c>
      <c r="H45" s="365">
        <f>H46</f>
        <v>1897264</v>
      </c>
      <c r="I45" s="365">
        <f t="shared" ref="I45" si="27">I46</f>
        <v>0</v>
      </c>
      <c r="J45" s="365">
        <f>J46</f>
        <v>8150400</v>
      </c>
      <c r="K45" s="365">
        <f>K46</f>
        <v>7475000</v>
      </c>
      <c r="L45" s="365">
        <f>L46</f>
        <v>675400</v>
      </c>
      <c r="M45" s="365">
        <f t="shared" ref="M45" si="28">M46</f>
        <v>60000</v>
      </c>
      <c r="N45" s="365">
        <f>N46</f>
        <v>4000</v>
      </c>
      <c r="O45" s="283">
        <f t="shared" ref="O45" si="29">O46</f>
        <v>0</v>
      </c>
      <c r="P45" s="365">
        <f t="shared" si="2"/>
        <v>7475000</v>
      </c>
      <c r="Q45" s="283">
        <f>Q46</f>
        <v>783917446</v>
      </c>
    </row>
    <row r="46" spans="1:23" ht="270" x14ac:dyDescent="0.2">
      <c r="A46" s="286" t="s">
        <v>244</v>
      </c>
      <c r="B46" s="286"/>
      <c r="C46" s="286"/>
      <c r="D46" s="348" t="s">
        <v>61</v>
      </c>
      <c r="E46" s="284">
        <f>SUM(E47:E86)</f>
        <v>775767046</v>
      </c>
      <c r="F46" s="284">
        <f t="shared" ref="F46:O46" si="30">SUM(F47:F86)</f>
        <v>775767046</v>
      </c>
      <c r="G46" s="284">
        <f>SUM(G47:G86)</f>
        <v>45023549</v>
      </c>
      <c r="H46" s="284">
        <f t="shared" si="30"/>
        <v>1897264</v>
      </c>
      <c r="I46" s="284">
        <f t="shared" si="30"/>
        <v>0</v>
      </c>
      <c r="J46" s="284">
        <f>L46+P46</f>
        <v>8150400</v>
      </c>
      <c r="K46" s="284">
        <f t="shared" si="30"/>
        <v>7475000</v>
      </c>
      <c r="L46" s="284">
        <f t="shared" si="30"/>
        <v>675400</v>
      </c>
      <c r="M46" s="284">
        <f t="shared" si="30"/>
        <v>60000</v>
      </c>
      <c r="N46" s="284">
        <f t="shared" si="30"/>
        <v>4000</v>
      </c>
      <c r="O46" s="284">
        <f t="shared" si="30"/>
        <v>0</v>
      </c>
      <c r="P46" s="378">
        <f t="shared" si="2"/>
        <v>7475000</v>
      </c>
      <c r="Q46" s="284">
        <f>E46+J46</f>
        <v>783917446</v>
      </c>
      <c r="R46" s="179" t="b">
        <f>Q46=Q48+Q49+Q50+Q51+Q52+Q53+Q54+Q55+Q56+Q57+Q58+Q59+Q60+Q61+Q62+Q63+Q64+Q65+Q66+Q67+Q68+Q69+Q70+Q71+Q72+Q73+Q74+Q75+Q76+Q77+Q79+Q81+Q82+Q83+Q78+Q84+Q47+Q85</f>
        <v>1</v>
      </c>
      <c r="S46" s="182" t="b">
        <f>K46='dod5'!I30</f>
        <v>1</v>
      </c>
      <c r="T46" s="180"/>
      <c r="U46" s="179"/>
      <c r="V46" s="180"/>
      <c r="W46" s="180"/>
    </row>
    <row r="47" spans="1:23" ht="228.75" x14ac:dyDescent="0.2">
      <c r="A47" s="335" t="s">
        <v>745</v>
      </c>
      <c r="B47" s="335" t="s">
        <v>344</v>
      </c>
      <c r="C47" s="335" t="s">
        <v>342</v>
      </c>
      <c r="D47" s="335" t="s">
        <v>343</v>
      </c>
      <c r="E47" s="333">
        <f t="shared" ref="E47:E51" si="31">F47</f>
        <v>35993100</v>
      </c>
      <c r="F47" s="338">
        <v>35993100</v>
      </c>
      <c r="G47" s="338">
        <v>26800000</v>
      </c>
      <c r="H47" s="338">
        <v>991000</v>
      </c>
      <c r="I47" s="338"/>
      <c r="J47" s="382">
        <f t="shared" si="12"/>
        <v>450000</v>
      </c>
      <c r="K47" s="338">
        <v>450000</v>
      </c>
      <c r="L47" s="338"/>
      <c r="M47" s="338"/>
      <c r="N47" s="338"/>
      <c r="O47" s="338"/>
      <c r="P47" s="388">
        <f t="shared" si="2"/>
        <v>450000</v>
      </c>
      <c r="Q47" s="333">
        <f t="shared" ref="Q47:Q64" si="32">E47+J47</f>
        <v>36443100</v>
      </c>
      <c r="R47" s="179"/>
      <c r="S47" s="182"/>
      <c r="T47" s="180"/>
      <c r="U47" s="179"/>
      <c r="V47" s="180"/>
      <c r="W47" s="180"/>
    </row>
    <row r="48" spans="1:23" ht="228.75" x14ac:dyDescent="0.2">
      <c r="A48" s="242" t="s">
        <v>359</v>
      </c>
      <c r="B48" s="242" t="s">
        <v>360</v>
      </c>
      <c r="C48" s="242" t="s">
        <v>305</v>
      </c>
      <c r="D48" s="309" t="s">
        <v>358</v>
      </c>
      <c r="E48" s="305">
        <f t="shared" si="31"/>
        <v>43000000</v>
      </c>
      <c r="F48" s="300">
        <f>44000000-1000000</f>
        <v>43000000</v>
      </c>
      <c r="G48" s="300"/>
      <c r="H48" s="300"/>
      <c r="I48" s="300"/>
      <c r="J48" s="382">
        <f t="shared" si="12"/>
        <v>0</v>
      </c>
      <c r="K48" s="336"/>
      <c r="L48" s="336"/>
      <c r="M48" s="336"/>
      <c r="N48" s="336"/>
      <c r="O48" s="336"/>
      <c r="P48" s="388">
        <f t="shared" si="2"/>
        <v>0</v>
      </c>
      <c r="Q48" s="301">
        <f t="shared" si="32"/>
        <v>43000000</v>
      </c>
    </row>
    <row r="49" spans="1:17" ht="228.75" x14ac:dyDescent="0.2">
      <c r="A49" s="310" t="s">
        <v>378</v>
      </c>
      <c r="B49" s="242" t="s">
        <v>379</v>
      </c>
      <c r="C49" s="242" t="s">
        <v>79</v>
      </c>
      <c r="D49" s="243" t="s">
        <v>8</v>
      </c>
      <c r="E49" s="314">
        <f t="shared" si="31"/>
        <v>194190900</v>
      </c>
      <c r="F49" s="279">
        <f>200838400-6647500</f>
        <v>194190900</v>
      </c>
      <c r="G49" s="279"/>
      <c r="H49" s="279"/>
      <c r="I49" s="279"/>
      <c r="J49" s="382">
        <f t="shared" si="12"/>
        <v>0</v>
      </c>
      <c r="K49" s="336"/>
      <c r="L49" s="338"/>
      <c r="M49" s="338"/>
      <c r="N49" s="338"/>
      <c r="O49" s="338"/>
      <c r="P49" s="388">
        <f t="shared" si="2"/>
        <v>0</v>
      </c>
      <c r="Q49" s="244">
        <f t="shared" si="32"/>
        <v>194190900</v>
      </c>
    </row>
    <row r="50" spans="1:17" ht="274.5" x14ac:dyDescent="0.2">
      <c r="A50" s="243" t="s">
        <v>381</v>
      </c>
      <c r="B50" s="243" t="s">
        <v>382</v>
      </c>
      <c r="C50" s="243" t="s">
        <v>305</v>
      </c>
      <c r="D50" s="311" t="s">
        <v>380</v>
      </c>
      <c r="E50" s="305">
        <f t="shared" si="31"/>
        <v>3000</v>
      </c>
      <c r="F50" s="300">
        <v>3000</v>
      </c>
      <c r="G50" s="300"/>
      <c r="H50" s="300"/>
      <c r="I50" s="300"/>
      <c r="J50" s="382">
        <f t="shared" si="12"/>
        <v>0</v>
      </c>
      <c r="K50" s="336"/>
      <c r="L50" s="336"/>
      <c r="M50" s="336"/>
      <c r="N50" s="336"/>
      <c r="O50" s="336"/>
      <c r="P50" s="388">
        <f t="shared" si="2"/>
        <v>0</v>
      </c>
      <c r="Q50" s="301">
        <f t="shared" si="32"/>
        <v>3000</v>
      </c>
    </row>
    <row r="51" spans="1:17" ht="274.5" x14ac:dyDescent="0.2">
      <c r="A51" s="243" t="s">
        <v>383</v>
      </c>
      <c r="B51" s="243" t="s">
        <v>384</v>
      </c>
      <c r="C51" s="311">
        <v>1060</v>
      </c>
      <c r="D51" s="312" t="s">
        <v>19</v>
      </c>
      <c r="E51" s="304">
        <f t="shared" si="31"/>
        <v>46300</v>
      </c>
      <c r="F51" s="279">
        <f>44700+1600</f>
        <v>46300</v>
      </c>
      <c r="G51" s="279"/>
      <c r="H51" s="279"/>
      <c r="I51" s="279"/>
      <c r="J51" s="382">
        <f t="shared" si="12"/>
        <v>0</v>
      </c>
      <c r="K51" s="279"/>
      <c r="L51" s="279"/>
      <c r="M51" s="279"/>
      <c r="N51" s="279"/>
      <c r="O51" s="279"/>
      <c r="P51" s="388">
        <f>K51+O51</f>
        <v>0</v>
      </c>
      <c r="Q51" s="244">
        <f t="shared" si="32"/>
        <v>46300</v>
      </c>
    </row>
    <row r="52" spans="1:17" s="146" customFormat="1" ht="183" x14ac:dyDescent="0.2">
      <c r="A52" s="242" t="s">
        <v>409</v>
      </c>
      <c r="B52" s="242" t="s">
        <v>410</v>
      </c>
      <c r="C52" s="242" t="s">
        <v>305</v>
      </c>
      <c r="D52" s="313" t="s">
        <v>411</v>
      </c>
      <c r="E52" s="305">
        <f>F52</f>
        <v>322970</v>
      </c>
      <c r="F52" s="300">
        <v>322970</v>
      </c>
      <c r="G52" s="300"/>
      <c r="H52" s="300"/>
      <c r="I52" s="300"/>
      <c r="J52" s="382">
        <f t="shared" si="12"/>
        <v>100000</v>
      </c>
      <c r="K52" s="300">
        <v>100000</v>
      </c>
      <c r="L52" s="300"/>
      <c r="M52" s="300"/>
      <c r="N52" s="300"/>
      <c r="O52" s="300"/>
      <c r="P52" s="388">
        <f t="shared" si="2"/>
        <v>100000</v>
      </c>
      <c r="Q52" s="301">
        <f t="shared" si="32"/>
        <v>422970</v>
      </c>
    </row>
    <row r="53" spans="1:17" s="146" customFormat="1" ht="137.25" x14ac:dyDescent="0.2">
      <c r="A53" s="243" t="s">
        <v>412</v>
      </c>
      <c r="B53" s="243" t="s">
        <v>413</v>
      </c>
      <c r="C53" s="243" t="s">
        <v>306</v>
      </c>
      <c r="D53" s="243" t="s">
        <v>16</v>
      </c>
      <c r="E53" s="304">
        <f t="shared" ref="E53:E75" si="33">F53</f>
        <v>1360000</v>
      </c>
      <c r="F53" s="279">
        <v>1360000</v>
      </c>
      <c r="G53" s="279"/>
      <c r="H53" s="279"/>
      <c r="I53" s="279"/>
      <c r="J53" s="382">
        <f t="shared" si="12"/>
        <v>0</v>
      </c>
      <c r="K53" s="279"/>
      <c r="L53" s="279"/>
      <c r="M53" s="279"/>
      <c r="N53" s="279"/>
      <c r="O53" s="279"/>
      <c r="P53" s="388">
        <f t="shared" si="2"/>
        <v>0</v>
      </c>
      <c r="Q53" s="244">
        <f t="shared" si="32"/>
        <v>1360000</v>
      </c>
    </row>
    <row r="54" spans="1:17" s="146" customFormat="1" ht="228.75" x14ac:dyDescent="0.2">
      <c r="A54" s="243" t="s">
        <v>415</v>
      </c>
      <c r="B54" s="243" t="s">
        <v>416</v>
      </c>
      <c r="C54" s="243" t="s">
        <v>306</v>
      </c>
      <c r="D54" s="242" t="s">
        <v>17</v>
      </c>
      <c r="E54" s="304">
        <f t="shared" si="33"/>
        <v>8000000</v>
      </c>
      <c r="F54" s="279">
        <v>8000000</v>
      </c>
      <c r="G54" s="279"/>
      <c r="H54" s="279"/>
      <c r="I54" s="279"/>
      <c r="J54" s="382">
        <f t="shared" si="12"/>
        <v>0</v>
      </c>
      <c r="K54" s="279"/>
      <c r="L54" s="279"/>
      <c r="M54" s="279"/>
      <c r="N54" s="279"/>
      <c r="O54" s="279"/>
      <c r="P54" s="388">
        <f t="shared" si="2"/>
        <v>0</v>
      </c>
      <c r="Q54" s="244">
        <f t="shared" si="32"/>
        <v>8000000</v>
      </c>
    </row>
    <row r="55" spans="1:17" s="146" customFormat="1" ht="183" x14ac:dyDescent="0.2">
      <c r="A55" s="242" t="s">
        <v>417</v>
      </c>
      <c r="B55" s="242" t="s">
        <v>414</v>
      </c>
      <c r="C55" s="242" t="s">
        <v>306</v>
      </c>
      <c r="D55" s="242" t="s">
        <v>18</v>
      </c>
      <c r="E55" s="304">
        <f t="shared" si="33"/>
        <v>600000</v>
      </c>
      <c r="F55" s="279">
        <v>600000</v>
      </c>
      <c r="G55" s="279"/>
      <c r="H55" s="279"/>
      <c r="I55" s="279"/>
      <c r="J55" s="382">
        <f t="shared" si="12"/>
        <v>0</v>
      </c>
      <c r="K55" s="279"/>
      <c r="L55" s="279"/>
      <c r="M55" s="279"/>
      <c r="N55" s="279"/>
      <c r="O55" s="279"/>
      <c r="P55" s="388">
        <f t="shared" si="2"/>
        <v>0</v>
      </c>
      <c r="Q55" s="244">
        <f t="shared" si="32"/>
        <v>600000</v>
      </c>
    </row>
    <row r="56" spans="1:17" s="146" customFormat="1" ht="228.75" x14ac:dyDescent="0.2">
      <c r="A56" s="242" t="s">
        <v>418</v>
      </c>
      <c r="B56" s="242" t="s">
        <v>419</v>
      </c>
      <c r="C56" s="242" t="s">
        <v>306</v>
      </c>
      <c r="D56" s="242" t="s">
        <v>21</v>
      </c>
      <c r="E56" s="304">
        <f t="shared" si="33"/>
        <v>82000000</v>
      </c>
      <c r="F56" s="279">
        <v>82000000</v>
      </c>
      <c r="G56" s="279"/>
      <c r="H56" s="279"/>
      <c r="I56" s="279"/>
      <c r="J56" s="382">
        <f t="shared" si="12"/>
        <v>0</v>
      </c>
      <c r="K56" s="279"/>
      <c r="L56" s="279"/>
      <c r="M56" s="279"/>
      <c r="N56" s="279"/>
      <c r="O56" s="279"/>
      <c r="P56" s="388">
        <f t="shared" si="2"/>
        <v>0</v>
      </c>
      <c r="Q56" s="244">
        <f t="shared" si="32"/>
        <v>82000000</v>
      </c>
    </row>
    <row r="57" spans="1:17" s="146" customFormat="1" ht="91.5" x14ac:dyDescent="0.2">
      <c r="A57" s="243" t="s">
        <v>369</v>
      </c>
      <c r="B57" s="243" t="s">
        <v>361</v>
      </c>
      <c r="C57" s="243" t="s">
        <v>280</v>
      </c>
      <c r="D57" s="243" t="s">
        <v>10</v>
      </c>
      <c r="E57" s="304">
        <f t="shared" si="33"/>
        <v>2814000</v>
      </c>
      <c r="F57" s="279">
        <v>2814000</v>
      </c>
      <c r="G57" s="279"/>
      <c r="H57" s="279"/>
      <c r="I57" s="279"/>
      <c r="J57" s="382">
        <f t="shared" si="12"/>
        <v>0</v>
      </c>
      <c r="K57" s="279"/>
      <c r="L57" s="279"/>
      <c r="M57" s="279"/>
      <c r="N57" s="279"/>
      <c r="O57" s="279"/>
      <c r="P57" s="388">
        <f t="shared" si="2"/>
        <v>0</v>
      </c>
      <c r="Q57" s="244">
        <f t="shared" si="32"/>
        <v>2814000</v>
      </c>
    </row>
    <row r="58" spans="1:17" s="146" customFormat="1" ht="91.5" x14ac:dyDescent="0.2">
      <c r="A58" s="243" t="s">
        <v>370</v>
      </c>
      <c r="B58" s="243" t="s">
        <v>362</v>
      </c>
      <c r="C58" s="243" t="s">
        <v>280</v>
      </c>
      <c r="D58" s="243" t="s">
        <v>368</v>
      </c>
      <c r="E58" s="304">
        <f>F58</f>
        <v>371520</v>
      </c>
      <c r="F58" s="279">
        <v>371520</v>
      </c>
      <c r="G58" s="279"/>
      <c r="H58" s="279"/>
      <c r="I58" s="279"/>
      <c r="J58" s="382">
        <f t="shared" si="12"/>
        <v>0</v>
      </c>
      <c r="K58" s="279"/>
      <c r="L58" s="279"/>
      <c r="M58" s="279"/>
      <c r="N58" s="279"/>
      <c r="O58" s="279"/>
      <c r="P58" s="388">
        <f t="shared" si="2"/>
        <v>0</v>
      </c>
      <c r="Q58" s="244">
        <f t="shared" si="32"/>
        <v>371520</v>
      </c>
    </row>
    <row r="59" spans="1:17" s="146" customFormat="1" ht="91.5" x14ac:dyDescent="0.2">
      <c r="A59" s="243" t="s">
        <v>371</v>
      </c>
      <c r="B59" s="243" t="s">
        <v>363</v>
      </c>
      <c r="C59" s="243" t="s">
        <v>280</v>
      </c>
      <c r="D59" s="243" t="s">
        <v>11</v>
      </c>
      <c r="E59" s="304">
        <f t="shared" si="33"/>
        <v>157736000</v>
      </c>
      <c r="F59" s="279">
        <v>157736000</v>
      </c>
      <c r="G59" s="279"/>
      <c r="H59" s="279"/>
      <c r="I59" s="279"/>
      <c r="J59" s="382">
        <f t="shared" si="12"/>
        <v>0</v>
      </c>
      <c r="K59" s="279"/>
      <c r="L59" s="279"/>
      <c r="M59" s="279"/>
      <c r="N59" s="279"/>
      <c r="O59" s="279"/>
      <c r="P59" s="388">
        <f t="shared" si="2"/>
        <v>0</v>
      </c>
      <c r="Q59" s="244">
        <f t="shared" si="32"/>
        <v>157736000</v>
      </c>
    </row>
    <row r="60" spans="1:17" s="146" customFormat="1" ht="137.25" x14ac:dyDescent="0.2">
      <c r="A60" s="243" t="s">
        <v>372</v>
      </c>
      <c r="B60" s="243" t="s">
        <v>364</v>
      </c>
      <c r="C60" s="243" t="s">
        <v>280</v>
      </c>
      <c r="D60" s="243" t="s">
        <v>12</v>
      </c>
      <c r="E60" s="304">
        <f t="shared" si="33"/>
        <v>4266000</v>
      </c>
      <c r="F60" s="279">
        <v>4266000</v>
      </c>
      <c r="G60" s="279"/>
      <c r="H60" s="279"/>
      <c r="I60" s="279"/>
      <c r="J60" s="382">
        <f t="shared" si="12"/>
        <v>0</v>
      </c>
      <c r="K60" s="279"/>
      <c r="L60" s="279"/>
      <c r="M60" s="279"/>
      <c r="N60" s="279"/>
      <c r="O60" s="279"/>
      <c r="P60" s="388">
        <f t="shared" si="2"/>
        <v>0</v>
      </c>
      <c r="Q60" s="244">
        <f t="shared" si="32"/>
        <v>4266000</v>
      </c>
    </row>
    <row r="61" spans="1:17" s="146" customFormat="1" ht="91.5" x14ac:dyDescent="0.2">
      <c r="A61" s="243" t="s">
        <v>373</v>
      </c>
      <c r="B61" s="243" t="s">
        <v>365</v>
      </c>
      <c r="C61" s="243" t="s">
        <v>280</v>
      </c>
      <c r="D61" s="243" t="s">
        <v>13</v>
      </c>
      <c r="E61" s="304">
        <f t="shared" si="33"/>
        <v>27062400</v>
      </c>
      <c r="F61" s="279">
        <v>27062400</v>
      </c>
      <c r="G61" s="279"/>
      <c r="H61" s="279"/>
      <c r="I61" s="279"/>
      <c r="J61" s="382">
        <f t="shared" si="12"/>
        <v>0</v>
      </c>
      <c r="K61" s="279"/>
      <c r="L61" s="279"/>
      <c r="M61" s="279"/>
      <c r="N61" s="279"/>
      <c r="O61" s="279"/>
      <c r="P61" s="388">
        <f t="shared" si="2"/>
        <v>0</v>
      </c>
      <c r="Q61" s="244">
        <f t="shared" si="32"/>
        <v>27062400</v>
      </c>
    </row>
    <row r="62" spans="1:17" s="146" customFormat="1" ht="91.5" x14ac:dyDescent="0.2">
      <c r="A62" s="243" t="s">
        <v>374</v>
      </c>
      <c r="B62" s="243" t="s">
        <v>366</v>
      </c>
      <c r="C62" s="243" t="s">
        <v>280</v>
      </c>
      <c r="D62" s="243" t="s">
        <v>14</v>
      </c>
      <c r="E62" s="304">
        <f t="shared" si="33"/>
        <v>2700000</v>
      </c>
      <c r="F62" s="279">
        <v>2700000</v>
      </c>
      <c r="G62" s="279"/>
      <c r="H62" s="279"/>
      <c r="I62" s="279"/>
      <c r="J62" s="382">
        <f t="shared" si="12"/>
        <v>0</v>
      </c>
      <c r="K62" s="279"/>
      <c r="L62" s="279"/>
      <c r="M62" s="279"/>
      <c r="N62" s="279"/>
      <c r="O62" s="279"/>
      <c r="P62" s="388">
        <f t="shared" si="2"/>
        <v>0</v>
      </c>
      <c r="Q62" s="244">
        <f t="shared" si="32"/>
        <v>2700000</v>
      </c>
    </row>
    <row r="63" spans="1:17" s="146" customFormat="1" ht="137.25" x14ac:dyDescent="0.2">
      <c r="A63" s="243" t="s">
        <v>375</v>
      </c>
      <c r="B63" s="243" t="s">
        <v>367</v>
      </c>
      <c r="C63" s="243" t="s">
        <v>280</v>
      </c>
      <c r="D63" s="243" t="s">
        <v>15</v>
      </c>
      <c r="E63" s="304">
        <f t="shared" si="33"/>
        <v>39337958</v>
      </c>
      <c r="F63" s="279">
        <v>39337958</v>
      </c>
      <c r="G63" s="279"/>
      <c r="H63" s="279"/>
      <c r="I63" s="279"/>
      <c r="J63" s="382">
        <f t="shared" si="12"/>
        <v>0</v>
      </c>
      <c r="K63" s="279"/>
      <c r="L63" s="279"/>
      <c r="M63" s="279"/>
      <c r="N63" s="279"/>
      <c r="O63" s="279"/>
      <c r="P63" s="388">
        <f t="shared" si="2"/>
        <v>0</v>
      </c>
      <c r="Q63" s="244">
        <f t="shared" si="32"/>
        <v>39337958</v>
      </c>
    </row>
    <row r="64" spans="1:17" ht="183" x14ac:dyDescent="0.2">
      <c r="A64" s="243" t="s">
        <v>385</v>
      </c>
      <c r="B64" s="243" t="s">
        <v>376</v>
      </c>
      <c r="C64" s="243" t="s">
        <v>306</v>
      </c>
      <c r="D64" s="243" t="s">
        <v>9</v>
      </c>
      <c r="E64" s="304">
        <f t="shared" si="33"/>
        <v>179080</v>
      </c>
      <c r="F64" s="279">
        <v>179080</v>
      </c>
      <c r="G64" s="279"/>
      <c r="H64" s="279"/>
      <c r="I64" s="279"/>
      <c r="J64" s="382">
        <f t="shared" si="12"/>
        <v>0</v>
      </c>
      <c r="K64" s="244"/>
      <c r="L64" s="279"/>
      <c r="M64" s="279"/>
      <c r="N64" s="279"/>
      <c r="O64" s="279"/>
      <c r="P64" s="388">
        <f t="shared" si="2"/>
        <v>0</v>
      </c>
      <c r="Q64" s="244">
        <f t="shared" si="32"/>
        <v>179080</v>
      </c>
    </row>
    <row r="65" spans="1:17" s="146" customFormat="1" ht="183" x14ac:dyDescent="0.2">
      <c r="A65" s="243" t="s">
        <v>559</v>
      </c>
      <c r="B65" s="243" t="s">
        <v>560</v>
      </c>
      <c r="C65" s="243" t="s">
        <v>298</v>
      </c>
      <c r="D65" s="243" t="s">
        <v>558</v>
      </c>
      <c r="E65" s="304">
        <f t="shared" ref="E65:E69" si="34">F65</f>
        <v>78472603.400000006</v>
      </c>
      <c r="F65" s="279">
        <v>78472603.400000006</v>
      </c>
      <c r="G65" s="279"/>
      <c r="H65" s="279"/>
      <c r="I65" s="279"/>
      <c r="J65" s="382">
        <f t="shared" si="12"/>
        <v>0</v>
      </c>
      <c r="K65" s="279"/>
      <c r="L65" s="279"/>
      <c r="M65" s="279"/>
      <c r="N65" s="279"/>
      <c r="O65" s="279"/>
      <c r="P65" s="388">
        <f t="shared" si="2"/>
        <v>0</v>
      </c>
      <c r="Q65" s="244">
        <f t="shared" ref="Q65:Q72" si="35">E65+J65</f>
        <v>78472603.400000006</v>
      </c>
    </row>
    <row r="66" spans="1:17" s="146" customFormat="1" ht="320.25" x14ac:dyDescent="0.2">
      <c r="A66" s="243" t="s">
        <v>619</v>
      </c>
      <c r="B66" s="243" t="s">
        <v>620</v>
      </c>
      <c r="C66" s="243" t="s">
        <v>298</v>
      </c>
      <c r="D66" s="243" t="s">
        <v>621</v>
      </c>
      <c r="E66" s="304">
        <f t="shared" ref="E66" si="36">F66</f>
        <v>25694626.600000001</v>
      </c>
      <c r="F66" s="279">
        <v>25694626.600000001</v>
      </c>
      <c r="G66" s="279"/>
      <c r="H66" s="279"/>
      <c r="I66" s="279"/>
      <c r="J66" s="382">
        <f t="shared" si="12"/>
        <v>0</v>
      </c>
      <c r="K66" s="279"/>
      <c r="L66" s="279"/>
      <c r="M66" s="279"/>
      <c r="N66" s="279"/>
      <c r="O66" s="279"/>
      <c r="P66" s="388">
        <f t="shared" si="2"/>
        <v>0</v>
      </c>
      <c r="Q66" s="244">
        <f t="shared" si="35"/>
        <v>25694626.600000001</v>
      </c>
    </row>
    <row r="67" spans="1:17" s="146" customFormat="1" ht="228.75" x14ac:dyDescent="0.2">
      <c r="A67" s="243" t="s">
        <v>556</v>
      </c>
      <c r="B67" s="243" t="s">
        <v>557</v>
      </c>
      <c r="C67" s="243" t="s">
        <v>298</v>
      </c>
      <c r="D67" s="243" t="s">
        <v>514</v>
      </c>
      <c r="E67" s="304">
        <f t="shared" ref="E67:E68" si="37">F67</f>
        <v>14110200</v>
      </c>
      <c r="F67" s="279">
        <v>14110200</v>
      </c>
      <c r="G67" s="279"/>
      <c r="H67" s="279"/>
      <c r="I67" s="279"/>
      <c r="J67" s="382">
        <f t="shared" si="12"/>
        <v>0</v>
      </c>
      <c r="K67" s="279"/>
      <c r="L67" s="279"/>
      <c r="M67" s="279"/>
      <c r="N67" s="279"/>
      <c r="O67" s="279"/>
      <c r="P67" s="388">
        <f t="shared" si="2"/>
        <v>0</v>
      </c>
      <c r="Q67" s="244">
        <f t="shared" si="35"/>
        <v>14110200</v>
      </c>
    </row>
    <row r="68" spans="1:17" s="146" customFormat="1" ht="320.25" x14ac:dyDescent="0.2">
      <c r="A68" s="243" t="s">
        <v>563</v>
      </c>
      <c r="B68" s="243" t="s">
        <v>564</v>
      </c>
      <c r="C68" s="243" t="s">
        <v>298</v>
      </c>
      <c r="D68" s="243" t="s">
        <v>565</v>
      </c>
      <c r="E68" s="304">
        <f t="shared" si="37"/>
        <v>1200000</v>
      </c>
      <c r="F68" s="279">
        <v>1200000</v>
      </c>
      <c r="G68" s="279"/>
      <c r="H68" s="279"/>
      <c r="I68" s="279"/>
      <c r="J68" s="382">
        <f t="shared" si="12"/>
        <v>0</v>
      </c>
      <c r="K68" s="279"/>
      <c r="L68" s="279"/>
      <c r="M68" s="279"/>
      <c r="N68" s="279"/>
      <c r="O68" s="279"/>
      <c r="P68" s="388">
        <f t="shared" si="2"/>
        <v>0</v>
      </c>
      <c r="Q68" s="244">
        <f t="shared" si="35"/>
        <v>1200000</v>
      </c>
    </row>
    <row r="69" spans="1:17" s="146" customFormat="1" ht="320.25" x14ac:dyDescent="0.2">
      <c r="A69" s="243" t="s">
        <v>561</v>
      </c>
      <c r="B69" s="243" t="s">
        <v>562</v>
      </c>
      <c r="C69" s="243" t="s">
        <v>298</v>
      </c>
      <c r="D69" s="243" t="s">
        <v>566</v>
      </c>
      <c r="E69" s="304">
        <f t="shared" si="34"/>
        <v>264192</v>
      </c>
      <c r="F69" s="279">
        <v>264192</v>
      </c>
      <c r="G69" s="279"/>
      <c r="H69" s="279"/>
      <c r="I69" s="279"/>
      <c r="J69" s="382">
        <f t="shared" si="12"/>
        <v>0</v>
      </c>
      <c r="K69" s="279"/>
      <c r="L69" s="279"/>
      <c r="M69" s="279"/>
      <c r="N69" s="279"/>
      <c r="O69" s="279"/>
      <c r="P69" s="388">
        <f t="shared" si="2"/>
        <v>0</v>
      </c>
      <c r="Q69" s="244">
        <f t="shared" si="35"/>
        <v>264192</v>
      </c>
    </row>
    <row r="70" spans="1:17" ht="163.5" customHeight="1" x14ac:dyDescent="0.2">
      <c r="A70" s="243" t="s">
        <v>386</v>
      </c>
      <c r="B70" s="243" t="s">
        <v>377</v>
      </c>
      <c r="C70" s="243" t="s">
        <v>305</v>
      </c>
      <c r="D70" s="243" t="s">
        <v>515</v>
      </c>
      <c r="E70" s="304">
        <f t="shared" si="33"/>
        <v>152280</v>
      </c>
      <c r="F70" s="279">
        <v>152280</v>
      </c>
      <c r="G70" s="279"/>
      <c r="H70" s="279"/>
      <c r="I70" s="279"/>
      <c r="J70" s="382">
        <f t="shared" si="12"/>
        <v>0</v>
      </c>
      <c r="K70" s="244"/>
      <c r="L70" s="279"/>
      <c r="M70" s="279"/>
      <c r="N70" s="279"/>
      <c r="O70" s="279"/>
      <c r="P70" s="388">
        <f t="shared" si="2"/>
        <v>0</v>
      </c>
      <c r="Q70" s="244">
        <f t="shared" si="35"/>
        <v>152280</v>
      </c>
    </row>
    <row r="71" spans="1:17" ht="301.7" customHeight="1" x14ac:dyDescent="0.2">
      <c r="A71" s="243" t="s">
        <v>407</v>
      </c>
      <c r="B71" s="243" t="s">
        <v>405</v>
      </c>
      <c r="C71" s="243" t="s">
        <v>299</v>
      </c>
      <c r="D71" s="243" t="s">
        <v>35</v>
      </c>
      <c r="E71" s="304">
        <f t="shared" si="33"/>
        <v>17332984</v>
      </c>
      <c r="F71" s="279">
        <v>17332984</v>
      </c>
      <c r="G71" s="279">
        <v>11859350</v>
      </c>
      <c r="H71" s="279">
        <v>241174</v>
      </c>
      <c r="I71" s="279"/>
      <c r="J71" s="382">
        <f t="shared" si="12"/>
        <v>284400</v>
      </c>
      <c r="K71" s="279">
        <v>175000</v>
      </c>
      <c r="L71" s="279">
        <v>109400</v>
      </c>
      <c r="M71" s="279">
        <v>60000</v>
      </c>
      <c r="N71" s="279">
        <v>4000</v>
      </c>
      <c r="O71" s="279"/>
      <c r="P71" s="388">
        <f t="shared" si="2"/>
        <v>175000</v>
      </c>
      <c r="Q71" s="244">
        <f t="shared" si="35"/>
        <v>17617384</v>
      </c>
    </row>
    <row r="72" spans="1:17" ht="183" x14ac:dyDescent="0.2">
      <c r="A72" s="243" t="s">
        <v>408</v>
      </c>
      <c r="B72" s="243" t="s">
        <v>406</v>
      </c>
      <c r="C72" s="243" t="s">
        <v>298</v>
      </c>
      <c r="D72" s="243" t="s">
        <v>516</v>
      </c>
      <c r="E72" s="304">
        <f t="shared" si="33"/>
        <v>5162423</v>
      </c>
      <c r="F72" s="279">
        <v>5162423</v>
      </c>
      <c r="G72" s="279">
        <v>3617760</v>
      </c>
      <c r="H72" s="279">
        <v>286645</v>
      </c>
      <c r="I72" s="279"/>
      <c r="J72" s="382">
        <f t="shared" si="12"/>
        <v>0</v>
      </c>
      <c r="K72" s="279"/>
      <c r="L72" s="279"/>
      <c r="M72" s="279"/>
      <c r="N72" s="279"/>
      <c r="O72" s="279"/>
      <c r="P72" s="388">
        <f>K72+O72</f>
        <v>0</v>
      </c>
      <c r="Q72" s="244">
        <f t="shared" si="35"/>
        <v>5162423</v>
      </c>
    </row>
    <row r="73" spans="1:17" ht="409.5" x14ac:dyDescent="0.2">
      <c r="A73" s="243" t="s">
        <v>403</v>
      </c>
      <c r="B73" s="243" t="s">
        <v>404</v>
      </c>
      <c r="C73" s="243" t="s">
        <v>298</v>
      </c>
      <c r="D73" s="243" t="s">
        <v>517</v>
      </c>
      <c r="E73" s="304">
        <f t="shared" si="33"/>
        <v>1554600</v>
      </c>
      <c r="F73" s="279">
        <v>1554600</v>
      </c>
      <c r="G73" s="279"/>
      <c r="H73" s="279"/>
      <c r="I73" s="279"/>
      <c r="J73" s="382">
        <f t="shared" si="12"/>
        <v>0</v>
      </c>
      <c r="K73" s="244"/>
      <c r="L73" s="279"/>
      <c r="M73" s="279"/>
      <c r="N73" s="279"/>
      <c r="O73" s="279"/>
      <c r="P73" s="388">
        <f t="shared" si="2"/>
        <v>0</v>
      </c>
      <c r="Q73" s="244">
        <f>+J73+E73</f>
        <v>1554600</v>
      </c>
    </row>
    <row r="74" spans="1:17" ht="320.25" x14ac:dyDescent="0.2">
      <c r="A74" s="243" t="s">
        <v>518</v>
      </c>
      <c r="B74" s="243" t="s">
        <v>519</v>
      </c>
      <c r="C74" s="243" t="s">
        <v>298</v>
      </c>
      <c r="D74" s="243" t="s">
        <v>567</v>
      </c>
      <c r="E74" s="304">
        <f t="shared" si="33"/>
        <v>135534</v>
      </c>
      <c r="F74" s="279">
        <v>135534</v>
      </c>
      <c r="G74" s="338"/>
      <c r="H74" s="279"/>
      <c r="I74" s="279"/>
      <c r="J74" s="382">
        <f t="shared" si="12"/>
        <v>0</v>
      </c>
      <c r="K74" s="279"/>
      <c r="L74" s="279"/>
      <c r="M74" s="279"/>
      <c r="N74" s="279"/>
      <c r="O74" s="279"/>
      <c r="P74" s="388">
        <f t="shared" si="2"/>
        <v>0</v>
      </c>
      <c r="Q74" s="244">
        <f>+J74+E74</f>
        <v>135534</v>
      </c>
    </row>
    <row r="75" spans="1:17" ht="112.7" customHeight="1" x14ac:dyDescent="0.2">
      <c r="A75" s="243" t="s">
        <v>520</v>
      </c>
      <c r="B75" s="243" t="s">
        <v>521</v>
      </c>
      <c r="C75" s="243" t="s">
        <v>298</v>
      </c>
      <c r="D75" s="243" t="s">
        <v>568</v>
      </c>
      <c r="E75" s="304">
        <f t="shared" si="33"/>
        <v>168</v>
      </c>
      <c r="F75" s="279">
        <v>168</v>
      </c>
      <c r="G75" s="338"/>
      <c r="H75" s="279"/>
      <c r="I75" s="279"/>
      <c r="J75" s="382">
        <f t="shared" si="12"/>
        <v>0</v>
      </c>
      <c r="K75" s="279"/>
      <c r="L75" s="279"/>
      <c r="M75" s="279"/>
      <c r="N75" s="279"/>
      <c r="O75" s="279"/>
      <c r="P75" s="388">
        <f t="shared" si="2"/>
        <v>0</v>
      </c>
      <c r="Q75" s="244">
        <f>+J75+E75</f>
        <v>168</v>
      </c>
    </row>
    <row r="76" spans="1:17" ht="409.5" x14ac:dyDescent="0.2">
      <c r="A76" s="243" t="s">
        <v>571</v>
      </c>
      <c r="B76" s="243" t="s">
        <v>570</v>
      </c>
      <c r="C76" s="243" t="s">
        <v>79</v>
      </c>
      <c r="D76" s="243" t="s">
        <v>569</v>
      </c>
      <c r="E76" s="304">
        <f t="shared" ref="E76" si="38">F76</f>
        <v>1808500</v>
      </c>
      <c r="F76" s="279">
        <v>1808500</v>
      </c>
      <c r="G76" s="279"/>
      <c r="H76" s="279"/>
      <c r="I76" s="279"/>
      <c r="J76" s="382">
        <f t="shared" si="12"/>
        <v>0</v>
      </c>
      <c r="K76" s="244"/>
      <c r="L76" s="279"/>
      <c r="M76" s="279"/>
      <c r="N76" s="279"/>
      <c r="O76" s="279"/>
      <c r="P76" s="388">
        <f t="shared" ref="P76:P85" si="39">K76+O76</f>
        <v>0</v>
      </c>
      <c r="Q76" s="244">
        <f>E76+J76</f>
        <v>1808500</v>
      </c>
    </row>
    <row r="77" spans="1:17" ht="274.5" x14ac:dyDescent="0.2">
      <c r="A77" s="243" t="s">
        <v>522</v>
      </c>
      <c r="B77" s="243" t="s">
        <v>523</v>
      </c>
      <c r="C77" s="243" t="s">
        <v>305</v>
      </c>
      <c r="D77" s="243" t="s">
        <v>572</v>
      </c>
      <c r="E77" s="304">
        <f t="shared" ref="E77:E82" si="40">F77</f>
        <v>550000</v>
      </c>
      <c r="F77" s="279">
        <v>550000</v>
      </c>
      <c r="G77" s="279"/>
      <c r="H77" s="279"/>
      <c r="I77" s="279"/>
      <c r="J77" s="382">
        <f t="shared" si="12"/>
        <v>0</v>
      </c>
      <c r="K77" s="279"/>
      <c r="L77" s="279"/>
      <c r="M77" s="279"/>
      <c r="N77" s="279"/>
      <c r="O77" s="279"/>
      <c r="P77" s="388">
        <f t="shared" si="39"/>
        <v>0</v>
      </c>
      <c r="Q77" s="244">
        <f>E77+J77</f>
        <v>550000</v>
      </c>
    </row>
    <row r="78" spans="1:17" ht="91.5" x14ac:dyDescent="0.2">
      <c r="A78" s="335" t="s">
        <v>825</v>
      </c>
      <c r="B78" s="335" t="s">
        <v>640</v>
      </c>
      <c r="C78" s="335" t="s">
        <v>641</v>
      </c>
      <c r="D78" s="335" t="s">
        <v>638</v>
      </c>
      <c r="E78" s="337">
        <f t="shared" ref="E78" si="41">F78</f>
        <v>250000</v>
      </c>
      <c r="F78" s="338">
        <v>250000</v>
      </c>
      <c r="G78" s="338">
        <v>205000</v>
      </c>
      <c r="H78" s="338"/>
      <c r="I78" s="338"/>
      <c r="J78" s="382">
        <f t="shared" si="12"/>
        <v>0</v>
      </c>
      <c r="K78" s="338"/>
      <c r="L78" s="338"/>
      <c r="M78" s="338"/>
      <c r="N78" s="338"/>
      <c r="O78" s="338"/>
      <c r="P78" s="388">
        <f t="shared" si="39"/>
        <v>0</v>
      </c>
      <c r="Q78" s="337">
        <f>E78+J78</f>
        <v>250000</v>
      </c>
    </row>
    <row r="79" spans="1:17" ht="409.5" x14ac:dyDescent="0.2">
      <c r="A79" s="444" t="s">
        <v>402</v>
      </c>
      <c r="B79" s="444" t="s">
        <v>287</v>
      </c>
      <c r="C79" s="452" t="s">
        <v>280</v>
      </c>
      <c r="D79" s="303" t="s">
        <v>524</v>
      </c>
      <c r="E79" s="455">
        <f>F79</f>
        <v>1030700</v>
      </c>
      <c r="F79" s="457">
        <v>1030700</v>
      </c>
      <c r="G79" s="457"/>
      <c r="H79" s="457"/>
      <c r="I79" s="457"/>
      <c r="J79" s="449">
        <f t="shared" si="12"/>
        <v>0</v>
      </c>
      <c r="K79" s="449"/>
      <c r="L79" s="457"/>
      <c r="M79" s="457"/>
      <c r="N79" s="457"/>
      <c r="O79" s="457"/>
      <c r="P79" s="450">
        <f t="shared" si="39"/>
        <v>0</v>
      </c>
      <c r="Q79" s="449">
        <f>E79+J79</f>
        <v>1030700</v>
      </c>
    </row>
    <row r="80" spans="1:17" ht="327.75" customHeight="1" x14ac:dyDescent="0.2">
      <c r="A80" s="445"/>
      <c r="B80" s="445"/>
      <c r="C80" s="453"/>
      <c r="D80" s="308" t="s">
        <v>525</v>
      </c>
      <c r="E80" s="456"/>
      <c r="F80" s="445"/>
      <c r="G80" s="445"/>
      <c r="H80" s="445"/>
      <c r="I80" s="445"/>
      <c r="J80" s="441"/>
      <c r="K80" s="441"/>
      <c r="L80" s="445"/>
      <c r="M80" s="445"/>
      <c r="N80" s="445"/>
      <c r="O80" s="445"/>
      <c r="P80" s="451"/>
      <c r="Q80" s="472"/>
    </row>
    <row r="81" spans="1:19" ht="183" x14ac:dyDescent="0.2">
      <c r="A81" s="243" t="s">
        <v>526</v>
      </c>
      <c r="B81" s="243" t="s">
        <v>528</v>
      </c>
      <c r="C81" s="243" t="s">
        <v>288</v>
      </c>
      <c r="D81" s="306" t="s">
        <v>530</v>
      </c>
      <c r="E81" s="304">
        <f t="shared" si="40"/>
        <v>4578467</v>
      </c>
      <c r="F81" s="279">
        <v>4578467</v>
      </c>
      <c r="G81" s="133">
        <v>2541439</v>
      </c>
      <c r="H81" s="133">
        <v>378445</v>
      </c>
      <c r="I81" s="279"/>
      <c r="J81" s="382">
        <f t="shared" si="12"/>
        <v>2030000</v>
      </c>
      <c r="K81" s="279">
        <f>1380000+650000</f>
        <v>2030000</v>
      </c>
      <c r="L81" s="279"/>
      <c r="M81" s="279"/>
      <c r="N81" s="279"/>
      <c r="O81" s="279"/>
      <c r="P81" s="388">
        <f t="shared" si="39"/>
        <v>2030000</v>
      </c>
      <c r="Q81" s="244">
        <f>E81+J81</f>
        <v>6608467</v>
      </c>
    </row>
    <row r="82" spans="1:19" ht="137.25" x14ac:dyDescent="0.2">
      <c r="A82" s="243" t="s">
        <v>527</v>
      </c>
      <c r="B82" s="243" t="s">
        <v>529</v>
      </c>
      <c r="C82" s="243" t="s">
        <v>288</v>
      </c>
      <c r="D82" s="306" t="s">
        <v>531</v>
      </c>
      <c r="E82" s="304">
        <f t="shared" si="40"/>
        <v>23486540</v>
      </c>
      <c r="F82" s="279">
        <v>23486540</v>
      </c>
      <c r="G82" s="279"/>
      <c r="H82" s="279"/>
      <c r="I82" s="279"/>
      <c r="J82" s="382">
        <f t="shared" si="12"/>
        <v>220000</v>
      </c>
      <c r="K82" s="279">
        <v>220000</v>
      </c>
      <c r="L82" s="279"/>
      <c r="M82" s="279"/>
      <c r="N82" s="279"/>
      <c r="O82" s="279"/>
      <c r="P82" s="388">
        <f t="shared" si="39"/>
        <v>220000</v>
      </c>
      <c r="Q82" s="244">
        <f>E82+J82</f>
        <v>23706540</v>
      </c>
    </row>
    <row r="83" spans="1:19" ht="183" x14ac:dyDescent="0.2">
      <c r="A83" s="243" t="s">
        <v>612</v>
      </c>
      <c r="B83" s="243" t="s">
        <v>610</v>
      </c>
      <c r="C83" s="243" t="s">
        <v>545</v>
      </c>
      <c r="D83" s="306" t="s">
        <v>611</v>
      </c>
      <c r="E83" s="304">
        <f t="shared" ref="E83:E85" si="42">F83</f>
        <v>0</v>
      </c>
      <c r="F83" s="279"/>
      <c r="G83" s="279"/>
      <c r="H83" s="279"/>
      <c r="I83" s="279"/>
      <c r="J83" s="382">
        <f t="shared" si="12"/>
        <v>3500000</v>
      </c>
      <c r="K83" s="279">
        <v>3500000</v>
      </c>
      <c r="L83" s="279"/>
      <c r="M83" s="279"/>
      <c r="N83" s="279"/>
      <c r="O83" s="279"/>
      <c r="P83" s="388">
        <f t="shared" si="39"/>
        <v>3500000</v>
      </c>
      <c r="Q83" s="244">
        <f>E83+J83</f>
        <v>3500000</v>
      </c>
    </row>
    <row r="84" spans="1:19" ht="91.5" x14ac:dyDescent="0.2">
      <c r="A84" s="243" t="s">
        <v>721</v>
      </c>
      <c r="B84" s="243" t="s">
        <v>722</v>
      </c>
      <c r="C84" s="243" t="s">
        <v>453</v>
      </c>
      <c r="D84" s="306" t="s">
        <v>723</v>
      </c>
      <c r="E84" s="337">
        <f t="shared" si="42"/>
        <v>0</v>
      </c>
      <c r="F84" s="279"/>
      <c r="G84" s="279"/>
      <c r="H84" s="279"/>
      <c r="I84" s="279"/>
      <c r="J84" s="382">
        <f t="shared" si="12"/>
        <v>1000000</v>
      </c>
      <c r="K84" s="279">
        <v>1000000</v>
      </c>
      <c r="L84" s="279"/>
      <c r="M84" s="279"/>
      <c r="N84" s="279"/>
      <c r="O84" s="279"/>
      <c r="P84" s="388">
        <f t="shared" si="39"/>
        <v>1000000</v>
      </c>
      <c r="Q84" s="244">
        <f>E84+J84</f>
        <v>1000000</v>
      </c>
    </row>
    <row r="85" spans="1:19" ht="409.5" x14ac:dyDescent="0.2">
      <c r="A85" s="444" t="s">
        <v>771</v>
      </c>
      <c r="B85" s="444" t="s">
        <v>541</v>
      </c>
      <c r="C85" s="444" t="s">
        <v>257</v>
      </c>
      <c r="D85" s="352" t="s">
        <v>552</v>
      </c>
      <c r="E85" s="442">
        <f t="shared" si="42"/>
        <v>0</v>
      </c>
      <c r="F85" s="446"/>
      <c r="G85" s="446"/>
      <c r="H85" s="446"/>
      <c r="I85" s="446"/>
      <c r="J85" s="449">
        <f t="shared" si="12"/>
        <v>566000</v>
      </c>
      <c r="K85" s="446"/>
      <c r="L85" s="446">
        <v>566000</v>
      </c>
      <c r="M85" s="446"/>
      <c r="N85" s="446"/>
      <c r="O85" s="446"/>
      <c r="P85" s="450">
        <f t="shared" si="39"/>
        <v>0</v>
      </c>
      <c r="Q85" s="442">
        <f>E85+J85</f>
        <v>566000</v>
      </c>
      <c r="R85" s="143">
        <f>Q85</f>
        <v>566000</v>
      </c>
    </row>
    <row r="86" spans="1:19" ht="137.25" x14ac:dyDescent="0.2">
      <c r="A86" s="445"/>
      <c r="B86" s="445"/>
      <c r="C86" s="445"/>
      <c r="D86" s="362" t="s">
        <v>553</v>
      </c>
      <c r="E86" s="443"/>
      <c r="F86" s="447"/>
      <c r="G86" s="447"/>
      <c r="H86" s="447"/>
      <c r="I86" s="447"/>
      <c r="J86" s="441"/>
      <c r="K86" s="445"/>
      <c r="L86" s="447"/>
      <c r="M86" s="447"/>
      <c r="N86" s="447"/>
      <c r="O86" s="447"/>
      <c r="P86" s="451"/>
      <c r="Q86" s="443"/>
    </row>
    <row r="87" spans="1:19" ht="180" x14ac:dyDescent="0.2">
      <c r="A87" s="281">
        <v>1000000</v>
      </c>
      <c r="B87" s="281"/>
      <c r="C87" s="281"/>
      <c r="D87" s="282" t="s">
        <v>43</v>
      </c>
      <c r="E87" s="365">
        <f>E88</f>
        <v>80851044</v>
      </c>
      <c r="F87" s="365">
        <f t="shared" ref="F87" si="43">F88</f>
        <v>80851044</v>
      </c>
      <c r="G87" s="365">
        <f t="shared" ref="G87" si="44">G88</f>
        <v>56675325</v>
      </c>
      <c r="H87" s="365">
        <f>H88</f>
        <v>3158297</v>
      </c>
      <c r="I87" s="365">
        <f t="shared" ref="I87" si="45">I88</f>
        <v>0</v>
      </c>
      <c r="J87" s="365">
        <f>J88</f>
        <v>11373222</v>
      </c>
      <c r="K87" s="365">
        <f>K88</f>
        <v>3886442</v>
      </c>
      <c r="L87" s="365">
        <f>L88</f>
        <v>7451780</v>
      </c>
      <c r="M87" s="365">
        <f t="shared" ref="M87" si="46">M88</f>
        <v>5409770</v>
      </c>
      <c r="N87" s="365">
        <f>N88</f>
        <v>197280</v>
      </c>
      <c r="O87" s="284">
        <f t="shared" ref="O87:Q87" si="47">O88</f>
        <v>35000</v>
      </c>
      <c r="P87" s="365">
        <f>K87+O87</f>
        <v>3921442</v>
      </c>
      <c r="Q87" s="283">
        <f t="shared" si="47"/>
        <v>92224266</v>
      </c>
    </row>
    <row r="88" spans="1:19" ht="225" x14ac:dyDescent="0.2">
      <c r="A88" s="285">
        <v>1010000</v>
      </c>
      <c r="B88" s="285"/>
      <c r="C88" s="285"/>
      <c r="D88" s="286" t="s">
        <v>62</v>
      </c>
      <c r="E88" s="284">
        <f>F88</f>
        <v>80851044</v>
      </c>
      <c r="F88" s="284">
        <f>SUM(F89:F95)</f>
        <v>80851044</v>
      </c>
      <c r="G88" s="284">
        <f t="shared" ref="G88:I88" si="48">SUM(G89:G95)</f>
        <v>56675325</v>
      </c>
      <c r="H88" s="284">
        <f t="shared" si="48"/>
        <v>3158297</v>
      </c>
      <c r="I88" s="284">
        <f t="shared" si="48"/>
        <v>0</v>
      </c>
      <c r="J88" s="284">
        <f>L88+P88</f>
        <v>11373222</v>
      </c>
      <c r="K88" s="284">
        <f t="shared" ref="K88:O88" si="49">SUM(K89:K95)</f>
        <v>3886442</v>
      </c>
      <c r="L88" s="284">
        <f t="shared" si="49"/>
        <v>7451780</v>
      </c>
      <c r="M88" s="284">
        <f t="shared" si="49"/>
        <v>5409770</v>
      </c>
      <c r="N88" s="284">
        <f t="shared" si="49"/>
        <v>197280</v>
      </c>
      <c r="O88" s="284">
        <f t="shared" si="49"/>
        <v>35000</v>
      </c>
      <c r="P88" s="378">
        <f t="shared" ref="P88:P112" si="50">K88+O88</f>
        <v>3921442</v>
      </c>
      <c r="Q88" s="284">
        <f>E88+J88</f>
        <v>92224266</v>
      </c>
      <c r="R88" s="179" t="b">
        <f>Q88=Q89+Q90+Q91+Q92+Q93+Q94+Q95</f>
        <v>1</v>
      </c>
      <c r="S88" s="182" t="b">
        <f>K88='dod5'!I40</f>
        <v>1</v>
      </c>
    </row>
    <row r="89" spans="1:19" ht="320.25" x14ac:dyDescent="0.2">
      <c r="A89" s="243" t="s">
        <v>34</v>
      </c>
      <c r="B89" s="243" t="s">
        <v>275</v>
      </c>
      <c r="C89" s="243" t="s">
        <v>276</v>
      </c>
      <c r="D89" s="243" t="s">
        <v>274</v>
      </c>
      <c r="E89" s="304">
        <f>F89</f>
        <v>46221680</v>
      </c>
      <c r="F89" s="279">
        <v>46221680</v>
      </c>
      <c r="G89" s="279">
        <v>35856900</v>
      </c>
      <c r="H89" s="279">
        <v>1889830</v>
      </c>
      <c r="I89" s="279"/>
      <c r="J89" s="382">
        <f t="shared" ref="J89:J129" si="51">L89+P89</f>
        <v>7217822</v>
      </c>
      <c r="K89" s="279">
        <v>386442</v>
      </c>
      <c r="L89" s="279">
        <v>6805480</v>
      </c>
      <c r="M89" s="279">
        <v>5170040</v>
      </c>
      <c r="N89" s="279">
        <v>138080</v>
      </c>
      <c r="O89" s="279">
        <v>25900</v>
      </c>
      <c r="P89" s="388">
        <f t="shared" si="50"/>
        <v>412342</v>
      </c>
      <c r="Q89" s="244">
        <f t="shared" ref="Q89:Q95" si="52">E89+J89</f>
        <v>53439502</v>
      </c>
    </row>
    <row r="90" spans="1:19" ht="46.5" x14ac:dyDescent="0.2">
      <c r="A90" s="243" t="s">
        <v>258</v>
      </c>
      <c r="B90" s="243" t="s">
        <v>259</v>
      </c>
      <c r="C90" s="243" t="s">
        <v>262</v>
      </c>
      <c r="D90" s="243" t="s">
        <v>263</v>
      </c>
      <c r="E90" s="304">
        <f t="shared" ref="E90:E93" si="53">F90</f>
        <v>726700</v>
      </c>
      <c r="F90" s="279">
        <v>726700</v>
      </c>
      <c r="G90" s="279"/>
      <c r="H90" s="279"/>
      <c r="I90" s="279"/>
      <c r="J90" s="382">
        <f t="shared" si="51"/>
        <v>0</v>
      </c>
      <c r="K90" s="279"/>
      <c r="L90" s="279"/>
      <c r="M90" s="279"/>
      <c r="N90" s="279"/>
      <c r="O90" s="279"/>
      <c r="P90" s="388">
        <f t="shared" si="50"/>
        <v>0</v>
      </c>
      <c r="Q90" s="244">
        <f t="shared" si="52"/>
        <v>726700</v>
      </c>
    </row>
    <row r="91" spans="1:19" ht="91.5" x14ac:dyDescent="0.2">
      <c r="A91" s="243" t="s">
        <v>264</v>
      </c>
      <c r="B91" s="243" t="s">
        <v>265</v>
      </c>
      <c r="C91" s="243" t="s">
        <v>266</v>
      </c>
      <c r="D91" s="243" t="s">
        <v>267</v>
      </c>
      <c r="E91" s="304">
        <f t="shared" si="53"/>
        <v>7716225</v>
      </c>
      <c r="F91" s="279">
        <v>7716225</v>
      </c>
      <c r="G91" s="279">
        <v>5790700</v>
      </c>
      <c r="H91" s="279">
        <v>449025</v>
      </c>
      <c r="I91" s="279"/>
      <c r="J91" s="382">
        <f t="shared" si="51"/>
        <v>85000</v>
      </c>
      <c r="K91" s="279"/>
      <c r="L91" s="279">
        <v>85000</v>
      </c>
      <c r="M91" s="279">
        <v>9800</v>
      </c>
      <c r="N91" s="279">
        <v>18500</v>
      </c>
      <c r="O91" s="279"/>
      <c r="P91" s="388">
        <f t="shared" si="50"/>
        <v>0</v>
      </c>
      <c r="Q91" s="244">
        <f t="shared" si="52"/>
        <v>7801225</v>
      </c>
    </row>
    <row r="92" spans="1:19" ht="91.5" x14ac:dyDescent="0.2">
      <c r="A92" s="243" t="s">
        <v>268</v>
      </c>
      <c r="B92" s="243" t="s">
        <v>269</v>
      </c>
      <c r="C92" s="243" t="s">
        <v>266</v>
      </c>
      <c r="D92" s="243" t="s">
        <v>270</v>
      </c>
      <c r="E92" s="304">
        <f t="shared" si="53"/>
        <v>1220535</v>
      </c>
      <c r="F92" s="279">
        <v>1220535</v>
      </c>
      <c r="G92" s="279">
        <v>796025</v>
      </c>
      <c r="H92" s="279">
        <v>199670</v>
      </c>
      <c r="I92" s="279"/>
      <c r="J92" s="382">
        <f t="shared" si="51"/>
        <v>3075000</v>
      </c>
      <c r="K92" s="279">
        <v>3000000</v>
      </c>
      <c r="L92" s="279">
        <v>75000</v>
      </c>
      <c r="M92" s="279">
        <v>6100</v>
      </c>
      <c r="N92" s="279">
        <v>3300</v>
      </c>
      <c r="O92" s="279"/>
      <c r="P92" s="388">
        <f t="shared" si="50"/>
        <v>3000000</v>
      </c>
      <c r="Q92" s="244">
        <f t="shared" si="52"/>
        <v>4295535</v>
      </c>
    </row>
    <row r="93" spans="1:19" ht="183" x14ac:dyDescent="0.2">
      <c r="A93" s="243" t="s">
        <v>271</v>
      </c>
      <c r="B93" s="243" t="s">
        <v>260</v>
      </c>
      <c r="C93" s="243" t="s">
        <v>272</v>
      </c>
      <c r="D93" s="243" t="s">
        <v>273</v>
      </c>
      <c r="E93" s="304">
        <f t="shared" si="53"/>
        <v>5699642</v>
      </c>
      <c r="F93" s="279">
        <v>5699642</v>
      </c>
      <c r="G93" s="279">
        <v>4068700</v>
      </c>
      <c r="H93" s="279">
        <v>585642</v>
      </c>
      <c r="I93" s="279"/>
      <c r="J93" s="382">
        <f t="shared" si="51"/>
        <v>865400</v>
      </c>
      <c r="K93" s="279">
        <v>500000</v>
      </c>
      <c r="L93" s="279">
        <v>356300</v>
      </c>
      <c r="M93" s="279">
        <v>218030</v>
      </c>
      <c r="N93" s="279">
        <v>37400</v>
      </c>
      <c r="O93" s="279">
        <v>9100</v>
      </c>
      <c r="P93" s="388">
        <f t="shared" si="50"/>
        <v>509100</v>
      </c>
      <c r="Q93" s="244">
        <f t="shared" si="52"/>
        <v>6565042</v>
      </c>
    </row>
    <row r="94" spans="1:19" ht="137.25" x14ac:dyDescent="0.2">
      <c r="A94" s="243" t="s">
        <v>533</v>
      </c>
      <c r="B94" s="243" t="s">
        <v>534</v>
      </c>
      <c r="C94" s="243" t="s">
        <v>277</v>
      </c>
      <c r="D94" s="243" t="s">
        <v>532</v>
      </c>
      <c r="E94" s="304">
        <f>F94</f>
        <v>13266262</v>
      </c>
      <c r="F94" s="279">
        <v>13266262</v>
      </c>
      <c r="G94" s="279">
        <v>10163000</v>
      </c>
      <c r="H94" s="279">
        <v>34130</v>
      </c>
      <c r="I94" s="279"/>
      <c r="J94" s="382">
        <f t="shared" si="51"/>
        <v>130000</v>
      </c>
      <c r="K94" s="279"/>
      <c r="L94" s="279">
        <v>130000</v>
      </c>
      <c r="M94" s="279">
        <v>5800</v>
      </c>
      <c r="N94" s="279"/>
      <c r="O94" s="279"/>
      <c r="P94" s="388">
        <f t="shared" si="50"/>
        <v>0</v>
      </c>
      <c r="Q94" s="244">
        <f t="shared" si="52"/>
        <v>13396262</v>
      </c>
    </row>
    <row r="95" spans="1:19" ht="91.5" x14ac:dyDescent="0.2">
      <c r="A95" s="243" t="s">
        <v>535</v>
      </c>
      <c r="B95" s="243" t="s">
        <v>536</v>
      </c>
      <c r="C95" s="243" t="s">
        <v>277</v>
      </c>
      <c r="D95" s="243" t="s">
        <v>537</v>
      </c>
      <c r="E95" s="304">
        <f>F95</f>
        <v>6000000</v>
      </c>
      <c r="F95" s="279">
        <v>6000000</v>
      </c>
      <c r="G95" s="279"/>
      <c r="H95" s="279"/>
      <c r="I95" s="279"/>
      <c r="J95" s="382">
        <f t="shared" si="51"/>
        <v>0</v>
      </c>
      <c r="K95" s="279"/>
      <c r="L95" s="279"/>
      <c r="M95" s="279"/>
      <c r="N95" s="279"/>
      <c r="O95" s="279"/>
      <c r="P95" s="388">
        <f t="shared" si="50"/>
        <v>0</v>
      </c>
      <c r="Q95" s="244">
        <f t="shared" si="52"/>
        <v>6000000</v>
      </c>
    </row>
    <row r="96" spans="1:19" ht="180" x14ac:dyDescent="0.2">
      <c r="A96" s="282" t="s">
        <v>40</v>
      </c>
      <c r="B96" s="282"/>
      <c r="C96" s="282"/>
      <c r="D96" s="282" t="s">
        <v>41</v>
      </c>
      <c r="E96" s="365">
        <f>E97</f>
        <v>50014852</v>
      </c>
      <c r="F96" s="365">
        <f t="shared" ref="F96" si="54">F97</f>
        <v>50014852</v>
      </c>
      <c r="G96" s="365">
        <f t="shared" ref="G96" si="55">G97</f>
        <v>18072174</v>
      </c>
      <c r="H96" s="365">
        <f>H97</f>
        <v>1632525</v>
      </c>
      <c r="I96" s="365">
        <f t="shared" ref="I96" si="56">I97</f>
        <v>0</v>
      </c>
      <c r="J96" s="365">
        <f>J97</f>
        <v>3425177</v>
      </c>
      <c r="K96" s="365">
        <f>K97</f>
        <v>1408533</v>
      </c>
      <c r="L96" s="365">
        <f>L97</f>
        <v>2016644</v>
      </c>
      <c r="M96" s="365">
        <f t="shared" ref="M96" si="57">M97</f>
        <v>946255</v>
      </c>
      <c r="N96" s="365">
        <f>N97</f>
        <v>338236</v>
      </c>
      <c r="O96" s="283">
        <f t="shared" ref="O96:Q96" si="58">O97</f>
        <v>0</v>
      </c>
      <c r="P96" s="365">
        <f t="shared" si="50"/>
        <v>1408533</v>
      </c>
      <c r="Q96" s="283">
        <f t="shared" si="58"/>
        <v>53440029</v>
      </c>
    </row>
    <row r="97" spans="1:19" ht="225" x14ac:dyDescent="0.2">
      <c r="A97" s="286" t="s">
        <v>39</v>
      </c>
      <c r="B97" s="286"/>
      <c r="C97" s="286"/>
      <c r="D97" s="286" t="s">
        <v>58</v>
      </c>
      <c r="E97" s="284">
        <f t="shared" ref="E97:O97" si="59">SUM(E98:E109)</f>
        <v>50014852</v>
      </c>
      <c r="F97" s="284">
        <f t="shared" si="59"/>
        <v>50014852</v>
      </c>
      <c r="G97" s="284">
        <f t="shared" si="59"/>
        <v>18072174</v>
      </c>
      <c r="H97" s="284">
        <f t="shared" si="59"/>
        <v>1632525</v>
      </c>
      <c r="I97" s="284">
        <f t="shared" si="59"/>
        <v>0</v>
      </c>
      <c r="J97" s="284">
        <f>L97+P97</f>
        <v>3425177</v>
      </c>
      <c r="K97" s="284">
        <f t="shared" si="59"/>
        <v>1408533</v>
      </c>
      <c r="L97" s="284">
        <f t="shared" si="59"/>
        <v>2016644</v>
      </c>
      <c r="M97" s="284">
        <f t="shared" si="59"/>
        <v>946255</v>
      </c>
      <c r="N97" s="284">
        <f t="shared" si="59"/>
        <v>338236</v>
      </c>
      <c r="O97" s="284">
        <f t="shared" si="59"/>
        <v>0</v>
      </c>
      <c r="P97" s="378">
        <f t="shared" si="50"/>
        <v>1408533</v>
      </c>
      <c r="Q97" s="284">
        <f>E97+J97</f>
        <v>53440029</v>
      </c>
      <c r="R97" s="179" t="b">
        <f>Q97=Q98+Q99+Q100+Q101+Q102+Q103+Q104+Q105+Q106+Q107+Q108+Q109</f>
        <v>1</v>
      </c>
      <c r="S97" s="182" t="b">
        <f>K97='dod5'!I47</f>
        <v>1</v>
      </c>
    </row>
    <row r="98" spans="1:19" ht="183" x14ac:dyDescent="0.2">
      <c r="A98" s="243" t="s">
        <v>278</v>
      </c>
      <c r="B98" s="243" t="s">
        <v>279</v>
      </c>
      <c r="C98" s="243" t="s">
        <v>280</v>
      </c>
      <c r="D98" s="243" t="s">
        <v>281</v>
      </c>
      <c r="E98" s="167">
        <f t="shared" ref="E98:E101" si="60">F98</f>
        <v>3278423</v>
      </c>
      <c r="F98" s="133">
        <v>3278423</v>
      </c>
      <c r="G98" s="133">
        <v>2517500</v>
      </c>
      <c r="H98" s="133">
        <v>65293</v>
      </c>
      <c r="I98" s="133"/>
      <c r="J98" s="382">
        <f t="shared" si="51"/>
        <v>0</v>
      </c>
      <c r="K98" s="133"/>
      <c r="L98" s="181"/>
      <c r="M98" s="181"/>
      <c r="N98" s="181"/>
      <c r="O98" s="181"/>
      <c r="P98" s="388">
        <f t="shared" si="50"/>
        <v>0</v>
      </c>
      <c r="Q98" s="244">
        <f>+J98+E98</f>
        <v>3278423</v>
      </c>
    </row>
    <row r="99" spans="1:19" ht="274.5" x14ac:dyDescent="0.2">
      <c r="A99" s="243" t="s">
        <v>72</v>
      </c>
      <c r="B99" s="243" t="s">
        <v>261</v>
      </c>
      <c r="C99" s="243" t="s">
        <v>280</v>
      </c>
      <c r="D99" s="243" t="s">
        <v>22</v>
      </c>
      <c r="E99" s="167">
        <f t="shared" si="60"/>
        <v>875790</v>
      </c>
      <c r="F99" s="133">
        <v>875790</v>
      </c>
      <c r="G99" s="133"/>
      <c r="H99" s="133"/>
      <c r="I99" s="133"/>
      <c r="J99" s="382">
        <f t="shared" si="51"/>
        <v>0</v>
      </c>
      <c r="K99" s="133"/>
      <c r="L99" s="181"/>
      <c r="M99" s="181"/>
      <c r="N99" s="181"/>
      <c r="O99" s="181"/>
      <c r="P99" s="388">
        <f t="shared" si="50"/>
        <v>0</v>
      </c>
      <c r="Q99" s="244">
        <f>+J99+E99</f>
        <v>875790</v>
      </c>
    </row>
    <row r="100" spans="1:19" ht="137.25" x14ac:dyDescent="0.2">
      <c r="A100" s="243" t="s">
        <v>285</v>
      </c>
      <c r="B100" s="243" t="s">
        <v>286</v>
      </c>
      <c r="C100" s="243" t="s">
        <v>280</v>
      </c>
      <c r="D100" s="243" t="s">
        <v>23</v>
      </c>
      <c r="E100" s="167">
        <f t="shared" si="60"/>
        <v>3054118</v>
      </c>
      <c r="F100" s="133">
        <v>3054118</v>
      </c>
      <c r="G100" s="133">
        <v>1623800</v>
      </c>
      <c r="H100" s="133">
        <v>435988</v>
      </c>
      <c r="I100" s="133"/>
      <c r="J100" s="382">
        <f t="shared" si="51"/>
        <v>917430</v>
      </c>
      <c r="K100" s="133">
        <v>592430</v>
      </c>
      <c r="L100" s="181">
        <v>325000</v>
      </c>
      <c r="M100" s="181">
        <v>189100</v>
      </c>
      <c r="N100" s="181">
        <v>89400</v>
      </c>
      <c r="O100" s="181"/>
      <c r="P100" s="388">
        <f t="shared" si="50"/>
        <v>592430</v>
      </c>
      <c r="Q100" s="244">
        <f t="shared" ref="Q100:Q110" si="61">E100+J100</f>
        <v>3971548</v>
      </c>
    </row>
    <row r="101" spans="1:19" ht="91.5" x14ac:dyDescent="0.2">
      <c r="A101" s="243" t="s">
        <v>577</v>
      </c>
      <c r="B101" s="243" t="s">
        <v>578</v>
      </c>
      <c r="C101" s="243" t="s">
        <v>280</v>
      </c>
      <c r="D101" s="243" t="s">
        <v>579</v>
      </c>
      <c r="E101" s="167">
        <f t="shared" si="60"/>
        <v>5941879</v>
      </c>
      <c r="F101" s="133">
        <f>5640576+301303</f>
        <v>5941879</v>
      </c>
      <c r="G101" s="133">
        <v>714843</v>
      </c>
      <c r="H101" s="133">
        <v>110000</v>
      </c>
      <c r="I101" s="133"/>
      <c r="J101" s="382">
        <f t="shared" si="51"/>
        <v>816103</v>
      </c>
      <c r="K101" s="133">
        <v>816103</v>
      </c>
      <c r="L101" s="181"/>
      <c r="M101" s="181"/>
      <c r="N101" s="181"/>
      <c r="O101" s="181"/>
      <c r="P101" s="388">
        <f t="shared" si="50"/>
        <v>816103</v>
      </c>
      <c r="Q101" s="244">
        <f t="shared" si="61"/>
        <v>6757982</v>
      </c>
    </row>
    <row r="102" spans="1:19" ht="183" x14ac:dyDescent="0.2">
      <c r="A102" s="243" t="s">
        <v>73</v>
      </c>
      <c r="B102" s="243" t="s">
        <v>282</v>
      </c>
      <c r="C102" s="243" t="s">
        <v>292</v>
      </c>
      <c r="D102" s="243" t="s">
        <v>74</v>
      </c>
      <c r="E102" s="167">
        <f t="shared" ref="E102:E107" si="62">F102</f>
        <v>10002475</v>
      </c>
      <c r="F102" s="133">
        <v>10002475</v>
      </c>
      <c r="G102" s="279"/>
      <c r="H102" s="279"/>
      <c r="I102" s="279"/>
      <c r="J102" s="382">
        <f t="shared" si="51"/>
        <v>0</v>
      </c>
      <c r="K102" s="279"/>
      <c r="L102" s="279"/>
      <c r="M102" s="279"/>
      <c r="N102" s="279"/>
      <c r="O102" s="181"/>
      <c r="P102" s="388">
        <f t="shared" si="50"/>
        <v>0</v>
      </c>
      <c r="Q102" s="244">
        <f t="shared" si="61"/>
        <v>10002475</v>
      </c>
    </row>
    <row r="103" spans="1:19" ht="183" x14ac:dyDescent="0.2">
      <c r="A103" s="243" t="s">
        <v>75</v>
      </c>
      <c r="B103" s="243" t="s">
        <v>283</v>
      </c>
      <c r="C103" s="243" t="s">
        <v>292</v>
      </c>
      <c r="D103" s="243" t="s">
        <v>6</v>
      </c>
      <c r="E103" s="167">
        <f t="shared" si="62"/>
        <v>1727513</v>
      </c>
      <c r="F103" s="133">
        <v>1727513</v>
      </c>
      <c r="G103" s="279"/>
      <c r="H103" s="279"/>
      <c r="I103" s="279"/>
      <c r="J103" s="382">
        <f t="shared" si="51"/>
        <v>0</v>
      </c>
      <c r="K103" s="279"/>
      <c r="L103" s="279"/>
      <c r="M103" s="279"/>
      <c r="N103" s="279"/>
      <c r="O103" s="181"/>
      <c r="P103" s="388">
        <f t="shared" si="50"/>
        <v>0</v>
      </c>
      <c r="Q103" s="244">
        <f t="shared" si="61"/>
        <v>1727513</v>
      </c>
    </row>
    <row r="104" spans="1:19" ht="183" x14ac:dyDescent="0.2">
      <c r="A104" s="243" t="s">
        <v>76</v>
      </c>
      <c r="B104" s="243" t="s">
        <v>284</v>
      </c>
      <c r="C104" s="243" t="s">
        <v>292</v>
      </c>
      <c r="D104" s="243" t="s">
        <v>573</v>
      </c>
      <c r="E104" s="167">
        <f>F104</f>
        <v>53014</v>
      </c>
      <c r="F104" s="133">
        <v>53014</v>
      </c>
      <c r="G104" s="133"/>
      <c r="H104" s="133"/>
      <c r="I104" s="279"/>
      <c r="J104" s="382">
        <f t="shared" si="51"/>
        <v>0</v>
      </c>
      <c r="K104" s="279"/>
      <c r="L104" s="133"/>
      <c r="M104" s="133"/>
      <c r="N104" s="133"/>
      <c r="O104" s="181"/>
      <c r="P104" s="388">
        <f t="shared" si="50"/>
        <v>0</v>
      </c>
      <c r="Q104" s="244">
        <f t="shared" si="61"/>
        <v>53014</v>
      </c>
    </row>
    <row r="105" spans="1:19" ht="183" x14ac:dyDescent="0.2">
      <c r="A105" s="243" t="s">
        <v>49</v>
      </c>
      <c r="B105" s="243" t="s">
        <v>289</v>
      </c>
      <c r="C105" s="243" t="s">
        <v>292</v>
      </c>
      <c r="D105" s="243" t="s">
        <v>77</v>
      </c>
      <c r="E105" s="167">
        <f t="shared" si="62"/>
        <v>18126095</v>
      </c>
      <c r="F105" s="133">
        <v>18126095</v>
      </c>
      <c r="G105" s="133">
        <f>12402731</f>
        <v>12402731</v>
      </c>
      <c r="H105" s="133">
        <v>1021244</v>
      </c>
      <c r="I105" s="133"/>
      <c r="J105" s="382">
        <f t="shared" si="51"/>
        <v>1649644</v>
      </c>
      <c r="K105" s="133"/>
      <c r="L105" s="133">
        <v>1649644</v>
      </c>
      <c r="M105" s="133">
        <v>757155</v>
      </c>
      <c r="N105" s="133">
        <v>248836</v>
      </c>
      <c r="O105" s="181"/>
      <c r="P105" s="388">
        <f t="shared" si="50"/>
        <v>0</v>
      </c>
      <c r="Q105" s="244">
        <f t="shared" si="61"/>
        <v>19775739</v>
      </c>
    </row>
    <row r="106" spans="1:19" ht="183" x14ac:dyDescent="0.2">
      <c r="A106" s="243" t="s">
        <v>50</v>
      </c>
      <c r="B106" s="243" t="s">
        <v>290</v>
      </c>
      <c r="C106" s="243" t="s">
        <v>292</v>
      </c>
      <c r="D106" s="243" t="s">
        <v>78</v>
      </c>
      <c r="E106" s="167">
        <f t="shared" si="62"/>
        <v>4254685</v>
      </c>
      <c r="F106" s="133">
        <v>4254685</v>
      </c>
      <c r="G106" s="133"/>
      <c r="H106" s="133"/>
      <c r="I106" s="133"/>
      <c r="J106" s="382">
        <f t="shared" si="51"/>
        <v>0</v>
      </c>
      <c r="K106" s="133"/>
      <c r="L106" s="133"/>
      <c r="M106" s="133"/>
      <c r="N106" s="133"/>
      <c r="O106" s="181"/>
      <c r="P106" s="388">
        <f t="shared" si="50"/>
        <v>0</v>
      </c>
      <c r="Q106" s="244">
        <f t="shared" si="61"/>
        <v>4254685</v>
      </c>
    </row>
    <row r="107" spans="1:19" ht="320.25" x14ac:dyDescent="0.2">
      <c r="A107" s="289" t="s">
        <v>51</v>
      </c>
      <c r="B107" s="289" t="s">
        <v>291</v>
      </c>
      <c r="C107" s="289" t="s">
        <v>292</v>
      </c>
      <c r="D107" s="243" t="s">
        <v>52</v>
      </c>
      <c r="E107" s="167">
        <f t="shared" si="62"/>
        <v>1500611</v>
      </c>
      <c r="F107" s="133">
        <v>1500611</v>
      </c>
      <c r="G107" s="279"/>
      <c r="H107" s="279"/>
      <c r="I107" s="279"/>
      <c r="J107" s="382">
        <f t="shared" si="51"/>
        <v>0</v>
      </c>
      <c r="K107" s="279"/>
      <c r="L107" s="279"/>
      <c r="M107" s="279"/>
      <c r="N107" s="279"/>
      <c r="O107" s="181"/>
      <c r="P107" s="388">
        <f t="shared" si="50"/>
        <v>0</v>
      </c>
      <c r="Q107" s="244">
        <f t="shared" si="61"/>
        <v>1500611</v>
      </c>
    </row>
    <row r="108" spans="1:19" ht="91.5" x14ac:dyDescent="0.2">
      <c r="A108" s="289" t="s">
        <v>53</v>
      </c>
      <c r="B108" s="289" t="s">
        <v>293</v>
      </c>
      <c r="C108" s="289" t="s">
        <v>292</v>
      </c>
      <c r="D108" s="243" t="s">
        <v>54</v>
      </c>
      <c r="E108" s="167">
        <f>F108</f>
        <v>1179249</v>
      </c>
      <c r="F108" s="133">
        <v>1179249</v>
      </c>
      <c r="G108" s="279">
        <v>813300</v>
      </c>
      <c r="H108" s="279"/>
      <c r="I108" s="279"/>
      <c r="J108" s="382">
        <f t="shared" si="51"/>
        <v>42000</v>
      </c>
      <c r="K108" s="279"/>
      <c r="L108" s="279">
        <v>42000</v>
      </c>
      <c r="M108" s="279"/>
      <c r="N108" s="279"/>
      <c r="O108" s="181"/>
      <c r="P108" s="388">
        <f t="shared" si="50"/>
        <v>0</v>
      </c>
      <c r="Q108" s="244">
        <f t="shared" si="61"/>
        <v>1221249</v>
      </c>
    </row>
    <row r="109" spans="1:19" ht="320.25" x14ac:dyDescent="0.2">
      <c r="A109" s="289" t="s">
        <v>547</v>
      </c>
      <c r="B109" s="289" t="s">
        <v>546</v>
      </c>
      <c r="C109" s="289" t="s">
        <v>545</v>
      </c>
      <c r="D109" s="243" t="s">
        <v>544</v>
      </c>
      <c r="E109" s="167">
        <f>F109</f>
        <v>21000</v>
      </c>
      <c r="F109" s="133">
        <v>21000</v>
      </c>
      <c r="G109" s="279"/>
      <c r="H109" s="279"/>
      <c r="I109" s="279"/>
      <c r="J109" s="382">
        <f t="shared" si="51"/>
        <v>0</v>
      </c>
      <c r="K109" s="279"/>
      <c r="L109" s="279"/>
      <c r="M109" s="279"/>
      <c r="N109" s="279"/>
      <c r="O109" s="181"/>
      <c r="P109" s="388">
        <f t="shared" si="50"/>
        <v>0</v>
      </c>
      <c r="Q109" s="244">
        <f t="shared" si="61"/>
        <v>21000</v>
      </c>
    </row>
    <row r="110" spans="1:19" ht="91.5" hidden="1" x14ac:dyDescent="0.2">
      <c r="A110" s="202" t="s">
        <v>647</v>
      </c>
      <c r="B110" s="201" t="s">
        <v>604</v>
      </c>
      <c r="C110" s="201" t="s">
        <v>71</v>
      </c>
      <c r="D110" s="201" t="s">
        <v>605</v>
      </c>
      <c r="E110" s="167">
        <f>F110</f>
        <v>0</v>
      </c>
      <c r="F110" s="133">
        <f>30000-30000</f>
        <v>0</v>
      </c>
      <c r="G110" s="133"/>
      <c r="H110" s="133"/>
      <c r="I110" s="133"/>
      <c r="J110" s="382" t="e">
        <f t="shared" si="51"/>
        <v>#REF!</v>
      </c>
      <c r="K110" s="244"/>
      <c r="L110" s="133"/>
      <c r="M110" s="133"/>
      <c r="N110" s="133"/>
      <c r="O110" s="181" t="e">
        <f>#REF!</f>
        <v>#REF!</v>
      </c>
      <c r="P110" s="365" t="e">
        <f t="shared" si="50"/>
        <v>#REF!</v>
      </c>
      <c r="Q110" s="244" t="e">
        <f t="shared" si="61"/>
        <v>#REF!</v>
      </c>
    </row>
    <row r="111" spans="1:19" ht="225" x14ac:dyDescent="0.2">
      <c r="A111" s="282" t="s">
        <v>245</v>
      </c>
      <c r="B111" s="282"/>
      <c r="C111" s="282"/>
      <c r="D111" s="282" t="s">
        <v>42</v>
      </c>
      <c r="E111" s="365">
        <f>E112</f>
        <v>227887687</v>
      </c>
      <c r="F111" s="365">
        <f t="shared" ref="F111" si="63">F112</f>
        <v>227887687</v>
      </c>
      <c r="G111" s="365">
        <f t="shared" ref="G111" si="64">G112</f>
        <v>7972950</v>
      </c>
      <c r="H111" s="365">
        <f>H112</f>
        <v>151500</v>
      </c>
      <c r="I111" s="365">
        <f t="shared" ref="I111" si="65">I112</f>
        <v>0</v>
      </c>
      <c r="J111" s="365">
        <f>J112</f>
        <v>154962314</v>
      </c>
      <c r="K111" s="365">
        <f>K112</f>
        <v>153591314</v>
      </c>
      <c r="L111" s="365">
        <f>L112</f>
        <v>1371000</v>
      </c>
      <c r="M111" s="365">
        <f t="shared" ref="M111" si="66">M112</f>
        <v>0</v>
      </c>
      <c r="N111" s="365">
        <f>N112</f>
        <v>0</v>
      </c>
      <c r="O111" s="283">
        <f t="shared" ref="O111:Q111" si="67">O112</f>
        <v>0</v>
      </c>
      <c r="P111" s="365">
        <f t="shared" si="50"/>
        <v>153591314</v>
      </c>
      <c r="Q111" s="283">
        <f t="shared" si="67"/>
        <v>382850001</v>
      </c>
    </row>
    <row r="112" spans="1:19" ht="270" x14ac:dyDescent="0.2">
      <c r="A112" s="286" t="s">
        <v>246</v>
      </c>
      <c r="B112" s="286"/>
      <c r="C112" s="286"/>
      <c r="D112" s="286" t="s">
        <v>63</v>
      </c>
      <c r="E112" s="284">
        <f>SUM(E113:E129)</f>
        <v>227887687</v>
      </c>
      <c r="F112" s="284">
        <f t="shared" ref="F112:O112" si="68">SUM(F113:F129)</f>
        <v>227887687</v>
      </c>
      <c r="G112" s="284">
        <f t="shared" si="68"/>
        <v>7972950</v>
      </c>
      <c r="H112" s="284">
        <f t="shared" si="68"/>
        <v>151500</v>
      </c>
      <c r="I112" s="284">
        <f t="shared" si="68"/>
        <v>0</v>
      </c>
      <c r="J112" s="284">
        <f>L112+P112</f>
        <v>154962314</v>
      </c>
      <c r="K112" s="284">
        <f t="shared" si="68"/>
        <v>153591314</v>
      </c>
      <c r="L112" s="284">
        <f t="shared" si="68"/>
        <v>1371000</v>
      </c>
      <c r="M112" s="284">
        <f t="shared" si="68"/>
        <v>0</v>
      </c>
      <c r="N112" s="284">
        <f t="shared" si="68"/>
        <v>0</v>
      </c>
      <c r="O112" s="284">
        <f t="shared" si="68"/>
        <v>0</v>
      </c>
      <c r="P112" s="378">
        <f t="shared" si="50"/>
        <v>153591314</v>
      </c>
      <c r="Q112" s="284">
        <f>E112+J112</f>
        <v>382850001</v>
      </c>
      <c r="R112" s="179" t="b">
        <f>Q112=Q114+Q116+Q117+Q118+Q119+Q120+Q121+Q124+Q125+Q126+Q129+Q115+Q113+Q122+Q123+Q127</f>
        <v>1</v>
      </c>
      <c r="S112" s="182" t="b">
        <f>K112='dod5'!I51</f>
        <v>1</v>
      </c>
    </row>
    <row r="113" spans="1:19" ht="228.75" x14ac:dyDescent="0.2">
      <c r="A113" s="335" t="s">
        <v>765</v>
      </c>
      <c r="B113" s="335" t="s">
        <v>344</v>
      </c>
      <c r="C113" s="335" t="s">
        <v>342</v>
      </c>
      <c r="D113" s="335" t="s">
        <v>343</v>
      </c>
      <c r="E113" s="167">
        <f>F113</f>
        <v>9531200</v>
      </c>
      <c r="F113" s="133">
        <v>9531200</v>
      </c>
      <c r="G113" s="133">
        <v>7129200</v>
      </c>
      <c r="H113" s="133">
        <v>130000</v>
      </c>
      <c r="I113" s="133"/>
      <c r="J113" s="382">
        <f t="shared" si="51"/>
        <v>0</v>
      </c>
      <c r="K113" s="133"/>
      <c r="L113" s="181"/>
      <c r="M113" s="181"/>
      <c r="N113" s="181"/>
      <c r="O113" s="181"/>
      <c r="P113" s="388">
        <f>K113+O113</f>
        <v>0</v>
      </c>
      <c r="Q113" s="337">
        <f t="shared" ref="Q113:Q118" si="69">+J113+E113</f>
        <v>9531200</v>
      </c>
      <c r="R113" s="179"/>
      <c r="S113" s="182"/>
    </row>
    <row r="114" spans="1:19" ht="137.25" x14ac:dyDescent="0.2">
      <c r="A114" s="302" t="s">
        <v>420</v>
      </c>
      <c r="B114" s="302" t="s">
        <v>421</v>
      </c>
      <c r="C114" s="302" t="s">
        <v>423</v>
      </c>
      <c r="D114" s="302" t="s">
        <v>422</v>
      </c>
      <c r="E114" s="167">
        <f t="shared" ref="E114:E129" si="70">F114</f>
        <v>50000</v>
      </c>
      <c r="F114" s="133">
        <v>50000</v>
      </c>
      <c r="G114" s="133"/>
      <c r="H114" s="133"/>
      <c r="I114" s="133"/>
      <c r="J114" s="382">
        <f t="shared" si="51"/>
        <v>4550000</v>
      </c>
      <c r="K114" s="133">
        <v>4550000</v>
      </c>
      <c r="L114" s="181"/>
      <c r="M114" s="181"/>
      <c r="N114" s="181"/>
      <c r="O114" s="181"/>
      <c r="P114" s="388">
        <f>K114+O114</f>
        <v>4550000</v>
      </c>
      <c r="Q114" s="304">
        <f t="shared" si="69"/>
        <v>4600000</v>
      </c>
    </row>
    <row r="115" spans="1:19" ht="183" x14ac:dyDescent="0.2">
      <c r="A115" s="302" t="s">
        <v>649</v>
      </c>
      <c r="B115" s="302" t="s">
        <v>650</v>
      </c>
      <c r="C115" s="302" t="s">
        <v>423</v>
      </c>
      <c r="D115" s="302" t="s">
        <v>651</v>
      </c>
      <c r="E115" s="167">
        <f t="shared" si="70"/>
        <v>18000000</v>
      </c>
      <c r="F115" s="133">
        <v>18000000</v>
      </c>
      <c r="G115" s="133"/>
      <c r="H115" s="133"/>
      <c r="I115" s="133"/>
      <c r="J115" s="382">
        <f t="shared" si="51"/>
        <v>0</v>
      </c>
      <c r="K115" s="133"/>
      <c r="L115" s="181"/>
      <c r="M115" s="181"/>
      <c r="N115" s="181"/>
      <c r="O115" s="181"/>
      <c r="P115" s="388">
        <f t="shared" ref="P115:P136" si="71">K115+O115</f>
        <v>0</v>
      </c>
      <c r="Q115" s="304">
        <f t="shared" si="69"/>
        <v>18000000</v>
      </c>
    </row>
    <row r="116" spans="1:19" ht="183" x14ac:dyDescent="0.2">
      <c r="A116" s="302" t="s">
        <v>427</v>
      </c>
      <c r="B116" s="302" t="s">
        <v>428</v>
      </c>
      <c r="C116" s="302" t="s">
        <v>423</v>
      </c>
      <c r="D116" s="302" t="s">
        <v>429</v>
      </c>
      <c r="E116" s="167">
        <f t="shared" si="70"/>
        <v>553700</v>
      </c>
      <c r="F116" s="133">
        <v>553700</v>
      </c>
      <c r="G116" s="133"/>
      <c r="H116" s="133"/>
      <c r="I116" s="133"/>
      <c r="J116" s="382">
        <f t="shared" si="51"/>
        <v>0</v>
      </c>
      <c r="K116" s="133"/>
      <c r="L116" s="181"/>
      <c r="M116" s="181"/>
      <c r="N116" s="181"/>
      <c r="O116" s="181"/>
      <c r="P116" s="388">
        <f t="shared" si="71"/>
        <v>0</v>
      </c>
      <c r="Q116" s="304">
        <f t="shared" si="69"/>
        <v>553700</v>
      </c>
    </row>
    <row r="117" spans="1:19" ht="137.25" x14ac:dyDescent="0.2">
      <c r="A117" s="302" t="s">
        <v>450</v>
      </c>
      <c r="B117" s="302" t="s">
        <v>451</v>
      </c>
      <c r="C117" s="302" t="s">
        <v>423</v>
      </c>
      <c r="D117" s="302" t="s">
        <v>452</v>
      </c>
      <c r="E117" s="167">
        <f t="shared" si="70"/>
        <v>0</v>
      </c>
      <c r="F117" s="133"/>
      <c r="G117" s="133"/>
      <c r="H117" s="133"/>
      <c r="I117" s="133"/>
      <c r="J117" s="382">
        <f t="shared" si="51"/>
        <v>5000000</v>
      </c>
      <c r="K117" s="133">
        <v>5000000</v>
      </c>
      <c r="L117" s="181"/>
      <c r="M117" s="181"/>
      <c r="N117" s="181"/>
      <c r="O117" s="181"/>
      <c r="P117" s="388">
        <f t="shared" si="71"/>
        <v>5000000</v>
      </c>
      <c r="Q117" s="304">
        <f t="shared" si="69"/>
        <v>5000000</v>
      </c>
    </row>
    <row r="118" spans="1:19" ht="183" x14ac:dyDescent="0.2">
      <c r="A118" s="302" t="s">
        <v>424</v>
      </c>
      <c r="B118" s="302" t="s">
        <v>425</v>
      </c>
      <c r="C118" s="302" t="s">
        <v>423</v>
      </c>
      <c r="D118" s="302" t="s">
        <v>426</v>
      </c>
      <c r="E118" s="167">
        <f t="shared" si="70"/>
        <v>0</v>
      </c>
      <c r="F118" s="133">
        <v>0</v>
      </c>
      <c r="G118" s="133"/>
      <c r="H118" s="133"/>
      <c r="I118" s="133"/>
      <c r="J118" s="382">
        <f t="shared" si="51"/>
        <v>23000000</v>
      </c>
      <c r="K118" s="133">
        <v>23000000</v>
      </c>
      <c r="L118" s="181"/>
      <c r="M118" s="181"/>
      <c r="N118" s="181"/>
      <c r="O118" s="181"/>
      <c r="P118" s="388">
        <f t="shared" si="71"/>
        <v>23000000</v>
      </c>
      <c r="Q118" s="304">
        <f t="shared" si="69"/>
        <v>23000000</v>
      </c>
    </row>
    <row r="119" spans="1:19" ht="320.25" x14ac:dyDescent="0.2">
      <c r="A119" s="302" t="s">
        <v>444</v>
      </c>
      <c r="B119" s="302" t="s">
        <v>445</v>
      </c>
      <c r="C119" s="302" t="s">
        <v>423</v>
      </c>
      <c r="D119" s="302" t="s">
        <v>446</v>
      </c>
      <c r="E119" s="167">
        <f t="shared" si="70"/>
        <v>370575</v>
      </c>
      <c r="F119" s="133">
        <v>370575</v>
      </c>
      <c r="G119" s="133"/>
      <c r="H119" s="133"/>
      <c r="I119" s="133"/>
      <c r="J119" s="382">
        <f t="shared" si="51"/>
        <v>0</v>
      </c>
      <c r="K119" s="307"/>
      <c r="L119" s="133"/>
      <c r="M119" s="133"/>
      <c r="N119" s="133"/>
      <c r="O119" s="181"/>
      <c r="P119" s="388">
        <f t="shared" si="71"/>
        <v>0</v>
      </c>
      <c r="Q119" s="304">
        <f>E119+J119</f>
        <v>370575</v>
      </c>
    </row>
    <row r="120" spans="1:19" ht="91.5" x14ac:dyDescent="0.2">
      <c r="A120" s="302" t="s">
        <v>430</v>
      </c>
      <c r="B120" s="302" t="s">
        <v>431</v>
      </c>
      <c r="C120" s="302" t="s">
        <v>423</v>
      </c>
      <c r="D120" s="302" t="s">
        <v>432</v>
      </c>
      <c r="E120" s="167">
        <f t="shared" si="70"/>
        <v>111566028</v>
      </c>
      <c r="F120" s="133">
        <v>111566028</v>
      </c>
      <c r="G120" s="133"/>
      <c r="H120" s="133">
        <v>10000</v>
      </c>
      <c r="I120" s="133"/>
      <c r="J120" s="382">
        <f t="shared" si="51"/>
        <v>19160721</v>
      </c>
      <c r="K120" s="307">
        <v>19160721</v>
      </c>
      <c r="L120" s="133"/>
      <c r="M120" s="133"/>
      <c r="N120" s="133"/>
      <c r="O120" s="181"/>
      <c r="P120" s="388">
        <f t="shared" si="71"/>
        <v>19160721</v>
      </c>
      <c r="Q120" s="304">
        <f>E120+J120</f>
        <v>130726749</v>
      </c>
    </row>
    <row r="121" spans="1:19" ht="138" x14ac:dyDescent="0.2">
      <c r="A121" s="302" t="s">
        <v>454</v>
      </c>
      <c r="B121" s="302" t="s">
        <v>455</v>
      </c>
      <c r="C121" s="302" t="s">
        <v>453</v>
      </c>
      <c r="D121" s="302" t="s">
        <v>456</v>
      </c>
      <c r="E121" s="167">
        <f t="shared" si="70"/>
        <v>0</v>
      </c>
      <c r="F121" s="133"/>
      <c r="G121" s="133"/>
      <c r="H121" s="133"/>
      <c r="I121" s="133"/>
      <c r="J121" s="382">
        <f t="shared" si="51"/>
        <v>9700000</v>
      </c>
      <c r="K121" s="307">
        <v>9700000</v>
      </c>
      <c r="L121" s="133"/>
      <c r="M121" s="133"/>
      <c r="N121" s="133"/>
      <c r="O121" s="181"/>
      <c r="P121" s="388">
        <f t="shared" si="71"/>
        <v>9700000</v>
      </c>
      <c r="Q121" s="304">
        <f>E121+J121</f>
        <v>9700000</v>
      </c>
    </row>
    <row r="122" spans="1:19" ht="91.5" x14ac:dyDescent="0.2">
      <c r="A122" s="335" t="s">
        <v>741</v>
      </c>
      <c r="B122" s="335" t="s">
        <v>742</v>
      </c>
      <c r="C122" s="335" t="s">
        <v>743</v>
      </c>
      <c r="D122" s="335" t="s">
        <v>744</v>
      </c>
      <c r="E122" s="167">
        <f t="shared" si="70"/>
        <v>10620634</v>
      </c>
      <c r="F122" s="133">
        <v>10620634</v>
      </c>
      <c r="G122" s="133"/>
      <c r="H122" s="133"/>
      <c r="I122" s="133"/>
      <c r="J122" s="382">
        <f t="shared" si="51"/>
        <v>0</v>
      </c>
      <c r="K122" s="338"/>
      <c r="L122" s="133"/>
      <c r="M122" s="133"/>
      <c r="N122" s="133"/>
      <c r="O122" s="181"/>
      <c r="P122" s="388">
        <f t="shared" si="71"/>
        <v>0</v>
      </c>
      <c r="Q122" s="337">
        <f>E122+J122</f>
        <v>10620634</v>
      </c>
    </row>
    <row r="123" spans="1:19" ht="91.5" x14ac:dyDescent="0.2">
      <c r="A123" s="335" t="s">
        <v>433</v>
      </c>
      <c r="B123" s="335" t="s">
        <v>434</v>
      </c>
      <c r="C123" s="335" t="s">
        <v>436</v>
      </c>
      <c r="D123" s="335" t="s">
        <v>435</v>
      </c>
      <c r="E123" s="167">
        <f t="shared" si="70"/>
        <v>16217135</v>
      </c>
      <c r="F123" s="133">
        <v>16217135</v>
      </c>
      <c r="G123" s="133"/>
      <c r="H123" s="133"/>
      <c r="I123" s="133"/>
      <c r="J123" s="382">
        <f t="shared" si="51"/>
        <v>0</v>
      </c>
      <c r="K123" s="338"/>
      <c r="L123" s="133"/>
      <c r="M123" s="133"/>
      <c r="N123" s="133"/>
      <c r="O123" s="181"/>
      <c r="P123" s="388">
        <f t="shared" si="71"/>
        <v>0</v>
      </c>
      <c r="Q123" s="337">
        <f>E123+J123</f>
        <v>16217135</v>
      </c>
    </row>
    <row r="124" spans="1:19" ht="228.75" x14ac:dyDescent="0.2">
      <c r="A124" s="302" t="s">
        <v>437</v>
      </c>
      <c r="B124" s="302" t="s">
        <v>438</v>
      </c>
      <c r="C124" s="302" t="s">
        <v>440</v>
      </c>
      <c r="D124" s="302" t="s">
        <v>439</v>
      </c>
      <c r="E124" s="167">
        <f t="shared" si="70"/>
        <v>59477425</v>
      </c>
      <c r="F124" s="133">
        <v>59477425</v>
      </c>
      <c r="G124" s="133"/>
      <c r="H124" s="133"/>
      <c r="I124" s="133"/>
      <c r="J124" s="382">
        <f t="shared" si="51"/>
        <v>82193108</v>
      </c>
      <c r="K124" s="133">
        <f>82763108-570000</f>
        <v>82193108</v>
      </c>
      <c r="L124" s="181"/>
      <c r="M124" s="181"/>
      <c r="N124" s="181"/>
      <c r="O124" s="181"/>
      <c r="P124" s="388">
        <f t="shared" si="71"/>
        <v>82193108</v>
      </c>
      <c r="Q124" s="304">
        <f>+J124+E124</f>
        <v>141670533</v>
      </c>
    </row>
    <row r="125" spans="1:19" ht="46.5" x14ac:dyDescent="0.2">
      <c r="A125" s="302" t="s">
        <v>441</v>
      </c>
      <c r="B125" s="302" t="s">
        <v>320</v>
      </c>
      <c r="C125" s="302" t="s">
        <v>321</v>
      </c>
      <c r="D125" s="302" t="s">
        <v>67</v>
      </c>
      <c r="E125" s="167">
        <f t="shared" si="70"/>
        <v>250000</v>
      </c>
      <c r="F125" s="133">
        <v>250000</v>
      </c>
      <c r="G125" s="133"/>
      <c r="H125" s="133"/>
      <c r="I125" s="133"/>
      <c r="J125" s="382">
        <f t="shared" si="51"/>
        <v>1250000</v>
      </c>
      <c r="K125" s="307">
        <f>1000000+250000</f>
        <v>1250000</v>
      </c>
      <c r="L125" s="133"/>
      <c r="M125" s="133"/>
      <c r="N125" s="133"/>
      <c r="O125" s="181"/>
      <c r="P125" s="388">
        <f t="shared" si="71"/>
        <v>1250000</v>
      </c>
      <c r="Q125" s="304">
        <f>E125+J125</f>
        <v>1500000</v>
      </c>
    </row>
    <row r="126" spans="1:19" ht="137.25" x14ac:dyDescent="0.65">
      <c r="A126" s="302" t="s">
        <v>458</v>
      </c>
      <c r="B126" s="302" t="s">
        <v>294</v>
      </c>
      <c r="C126" s="302" t="s">
        <v>257</v>
      </c>
      <c r="D126" s="302" t="s">
        <v>57</v>
      </c>
      <c r="E126" s="167">
        <f t="shared" si="70"/>
        <v>0</v>
      </c>
      <c r="F126" s="133"/>
      <c r="G126" s="133"/>
      <c r="H126" s="133"/>
      <c r="I126" s="133"/>
      <c r="J126" s="382">
        <f t="shared" si="51"/>
        <v>8737485</v>
      </c>
      <c r="K126" s="307">
        <f>8180115+557370</f>
        <v>8737485</v>
      </c>
      <c r="L126" s="133"/>
      <c r="M126" s="133"/>
      <c r="N126" s="133"/>
      <c r="O126" s="181"/>
      <c r="P126" s="388">
        <f t="shared" si="71"/>
        <v>8737485</v>
      </c>
      <c r="Q126" s="304">
        <f>E126+J126</f>
        <v>8737485</v>
      </c>
      <c r="R126" s="221"/>
    </row>
    <row r="127" spans="1:19" ht="409.5" x14ac:dyDescent="0.2">
      <c r="A127" s="444" t="s">
        <v>772</v>
      </c>
      <c r="B127" s="444" t="s">
        <v>541</v>
      </c>
      <c r="C127" s="444" t="s">
        <v>257</v>
      </c>
      <c r="D127" s="352" t="s">
        <v>552</v>
      </c>
      <c r="E127" s="442">
        <f t="shared" si="70"/>
        <v>0</v>
      </c>
      <c r="F127" s="446"/>
      <c r="G127" s="446"/>
      <c r="H127" s="446"/>
      <c r="I127" s="446"/>
      <c r="J127" s="449">
        <f t="shared" si="51"/>
        <v>1371000</v>
      </c>
      <c r="K127" s="446"/>
      <c r="L127" s="446">
        <v>1371000</v>
      </c>
      <c r="M127" s="446"/>
      <c r="N127" s="446"/>
      <c r="O127" s="446"/>
      <c r="P127" s="450">
        <f t="shared" si="71"/>
        <v>0</v>
      </c>
      <c r="Q127" s="442">
        <f>E127+J127</f>
        <v>1371000</v>
      </c>
      <c r="R127" s="401">
        <f>Q127</f>
        <v>1371000</v>
      </c>
    </row>
    <row r="128" spans="1:19" ht="137.25" x14ac:dyDescent="0.65">
      <c r="A128" s="445"/>
      <c r="B128" s="445"/>
      <c r="C128" s="445"/>
      <c r="D128" s="362" t="s">
        <v>553</v>
      </c>
      <c r="E128" s="443"/>
      <c r="F128" s="447"/>
      <c r="G128" s="448"/>
      <c r="H128" s="447"/>
      <c r="I128" s="447"/>
      <c r="J128" s="441"/>
      <c r="K128" s="445"/>
      <c r="L128" s="447"/>
      <c r="M128" s="447"/>
      <c r="N128" s="447"/>
      <c r="O128" s="447"/>
      <c r="P128" s="451"/>
      <c r="Q128" s="443"/>
      <c r="R128" s="221"/>
    </row>
    <row r="129" spans="1:19" ht="91.5" x14ac:dyDescent="0.2">
      <c r="A129" s="302" t="s">
        <v>388</v>
      </c>
      <c r="B129" s="302" t="s">
        <v>389</v>
      </c>
      <c r="C129" s="302" t="s">
        <v>390</v>
      </c>
      <c r="D129" s="302" t="s">
        <v>387</v>
      </c>
      <c r="E129" s="167">
        <f t="shared" si="70"/>
        <v>1250990</v>
      </c>
      <c r="F129" s="133">
        <v>1250990</v>
      </c>
      <c r="G129" s="133">
        <v>843750</v>
      </c>
      <c r="H129" s="133">
        <v>11500</v>
      </c>
      <c r="I129" s="133"/>
      <c r="J129" s="382">
        <f t="shared" si="51"/>
        <v>0</v>
      </c>
      <c r="K129" s="307"/>
      <c r="L129" s="133"/>
      <c r="M129" s="133"/>
      <c r="N129" s="133"/>
      <c r="O129" s="181"/>
      <c r="P129" s="388">
        <f t="shared" si="71"/>
        <v>0</v>
      </c>
      <c r="Q129" s="304">
        <f>E129+J129</f>
        <v>1250990</v>
      </c>
    </row>
    <row r="130" spans="1:19" ht="360" x14ac:dyDescent="0.2">
      <c r="A130" s="282" t="s">
        <v>44</v>
      </c>
      <c r="B130" s="282"/>
      <c r="C130" s="282"/>
      <c r="D130" s="282" t="s">
        <v>643</v>
      </c>
      <c r="E130" s="365">
        <f>E131</f>
        <v>2696500</v>
      </c>
      <c r="F130" s="365">
        <f t="shared" ref="F130" si="72">F131</f>
        <v>2696500</v>
      </c>
      <c r="G130" s="365">
        <f t="shared" ref="G130" si="73">G131</f>
        <v>1776300</v>
      </c>
      <c r="H130" s="365">
        <f>H131</f>
        <v>100000</v>
      </c>
      <c r="I130" s="365">
        <f t="shared" ref="I130" si="74">I131</f>
        <v>0</v>
      </c>
      <c r="J130" s="365">
        <f>J131</f>
        <v>53000000</v>
      </c>
      <c r="K130" s="365">
        <f>K131</f>
        <v>53000000</v>
      </c>
      <c r="L130" s="365">
        <f>L131</f>
        <v>0</v>
      </c>
      <c r="M130" s="365">
        <f t="shared" ref="M130" si="75">M131</f>
        <v>0</v>
      </c>
      <c r="N130" s="365">
        <f>N131</f>
        <v>0</v>
      </c>
      <c r="O130" s="283">
        <f t="shared" ref="O130:Q130" si="76">O131</f>
        <v>0</v>
      </c>
      <c r="P130" s="365">
        <f t="shared" si="71"/>
        <v>53000000</v>
      </c>
      <c r="Q130" s="283">
        <f t="shared" si="76"/>
        <v>55696500</v>
      </c>
    </row>
    <row r="131" spans="1:19" ht="405" x14ac:dyDescent="0.2">
      <c r="A131" s="286" t="s">
        <v>45</v>
      </c>
      <c r="B131" s="286"/>
      <c r="C131" s="286"/>
      <c r="D131" s="286" t="s">
        <v>642</v>
      </c>
      <c r="E131" s="284">
        <f t="shared" ref="E131:O131" si="77">SUM(E132:E135)</f>
        <v>2696500</v>
      </c>
      <c r="F131" s="284">
        <f t="shared" si="77"/>
        <v>2696500</v>
      </c>
      <c r="G131" s="284">
        <f t="shared" si="77"/>
        <v>1776300</v>
      </c>
      <c r="H131" s="284">
        <f t="shared" si="77"/>
        <v>100000</v>
      </c>
      <c r="I131" s="284">
        <f t="shared" si="77"/>
        <v>0</v>
      </c>
      <c r="J131" s="284">
        <f>L131+P131</f>
        <v>53000000</v>
      </c>
      <c r="K131" s="284">
        <f t="shared" si="77"/>
        <v>53000000</v>
      </c>
      <c r="L131" s="284">
        <f t="shared" si="77"/>
        <v>0</v>
      </c>
      <c r="M131" s="284">
        <f t="shared" si="77"/>
        <v>0</v>
      </c>
      <c r="N131" s="284">
        <f t="shared" si="77"/>
        <v>0</v>
      </c>
      <c r="O131" s="284">
        <f t="shared" si="77"/>
        <v>0</v>
      </c>
      <c r="P131" s="378">
        <f t="shared" si="71"/>
        <v>53000000</v>
      </c>
      <c r="Q131" s="284">
        <f>E131+J131</f>
        <v>55696500</v>
      </c>
      <c r="R131" s="179" t="b">
        <f>Q131=Q133+Q134+Q135+Q132</f>
        <v>1</v>
      </c>
      <c r="S131" s="182" t="b">
        <f>K131='dod5'!I76</f>
        <v>1</v>
      </c>
    </row>
    <row r="132" spans="1:19" ht="228.75" x14ac:dyDescent="0.2">
      <c r="A132" s="335" t="s">
        <v>761</v>
      </c>
      <c r="B132" s="335" t="s">
        <v>344</v>
      </c>
      <c r="C132" s="335" t="s">
        <v>342</v>
      </c>
      <c r="D132" s="335" t="s">
        <v>343</v>
      </c>
      <c r="E132" s="337">
        <f t="shared" ref="E132" si="78">F132</f>
        <v>2696500</v>
      </c>
      <c r="F132" s="338">
        <v>2696500</v>
      </c>
      <c r="G132" s="338">
        <v>1776300</v>
      </c>
      <c r="H132" s="338">
        <v>100000</v>
      </c>
      <c r="I132" s="338"/>
      <c r="J132" s="382">
        <f t="shared" ref="J132:J135" si="79">L132+P132</f>
        <v>0</v>
      </c>
      <c r="K132" s="338"/>
      <c r="L132" s="338"/>
      <c r="M132" s="338"/>
      <c r="N132" s="338"/>
      <c r="O132" s="338"/>
      <c r="P132" s="388">
        <f t="shared" si="71"/>
        <v>0</v>
      </c>
      <c r="Q132" s="337">
        <f>E132+J132</f>
        <v>2696500</v>
      </c>
      <c r="R132" s="179"/>
      <c r="S132" s="182"/>
    </row>
    <row r="133" spans="1:19" ht="91.5" x14ac:dyDescent="0.2">
      <c r="A133" s="335" t="s">
        <v>472</v>
      </c>
      <c r="B133" s="335" t="s">
        <v>473</v>
      </c>
      <c r="C133" s="335" t="s">
        <v>453</v>
      </c>
      <c r="D133" s="335" t="s">
        <v>471</v>
      </c>
      <c r="E133" s="337">
        <f t="shared" ref="E133:E134" si="80">F133</f>
        <v>0</v>
      </c>
      <c r="F133" s="338"/>
      <c r="G133" s="338"/>
      <c r="H133" s="338"/>
      <c r="I133" s="338"/>
      <c r="J133" s="382">
        <f t="shared" si="79"/>
        <v>37000000</v>
      </c>
      <c r="K133" s="338">
        <v>37000000</v>
      </c>
      <c r="L133" s="338"/>
      <c r="M133" s="338"/>
      <c r="N133" s="338"/>
      <c r="O133" s="338"/>
      <c r="P133" s="388">
        <f t="shared" si="71"/>
        <v>37000000</v>
      </c>
      <c r="Q133" s="337">
        <f>E133+J133</f>
        <v>37000000</v>
      </c>
    </row>
    <row r="134" spans="1:19" ht="137.25" x14ac:dyDescent="0.2">
      <c r="A134" s="335" t="s">
        <v>474</v>
      </c>
      <c r="B134" s="335" t="s">
        <v>475</v>
      </c>
      <c r="C134" s="335" t="s">
        <v>453</v>
      </c>
      <c r="D134" s="335" t="s">
        <v>476</v>
      </c>
      <c r="E134" s="337">
        <f t="shared" si="80"/>
        <v>0</v>
      </c>
      <c r="F134" s="338"/>
      <c r="G134" s="338"/>
      <c r="H134" s="338"/>
      <c r="I134" s="338"/>
      <c r="J134" s="382">
        <f t="shared" si="79"/>
        <v>4500000</v>
      </c>
      <c r="K134" s="338">
        <v>4500000</v>
      </c>
      <c r="L134" s="338"/>
      <c r="M134" s="338"/>
      <c r="N134" s="338"/>
      <c r="O134" s="338"/>
      <c r="P134" s="388">
        <f t="shared" si="71"/>
        <v>4500000</v>
      </c>
      <c r="Q134" s="337">
        <f>E134+J134</f>
        <v>4500000</v>
      </c>
    </row>
    <row r="135" spans="1:19" ht="183" x14ac:dyDescent="0.2">
      <c r="A135" s="335" t="s">
        <v>478</v>
      </c>
      <c r="B135" s="335" t="s">
        <v>479</v>
      </c>
      <c r="C135" s="335" t="s">
        <v>453</v>
      </c>
      <c r="D135" s="335" t="s">
        <v>477</v>
      </c>
      <c r="E135" s="337">
        <f>F135</f>
        <v>0</v>
      </c>
      <c r="F135" s="338"/>
      <c r="G135" s="338"/>
      <c r="H135" s="338"/>
      <c r="I135" s="338"/>
      <c r="J135" s="338">
        <f t="shared" si="79"/>
        <v>11500000</v>
      </c>
      <c r="K135" s="338">
        <v>11500000</v>
      </c>
      <c r="L135" s="338"/>
      <c r="M135" s="338"/>
      <c r="N135" s="338"/>
      <c r="O135" s="338"/>
      <c r="P135" s="388">
        <f t="shared" si="71"/>
        <v>11500000</v>
      </c>
      <c r="Q135" s="337">
        <f>E135+J135</f>
        <v>11500000</v>
      </c>
    </row>
    <row r="136" spans="1:19" ht="315" x14ac:dyDescent="0.2">
      <c r="A136" s="282" t="s">
        <v>247</v>
      </c>
      <c r="B136" s="282"/>
      <c r="C136" s="282"/>
      <c r="D136" s="282" t="s">
        <v>46</v>
      </c>
      <c r="E136" s="365">
        <f>E137</f>
        <v>3880500</v>
      </c>
      <c r="F136" s="365">
        <f t="shared" ref="F136" si="81">F137</f>
        <v>3880500</v>
      </c>
      <c r="G136" s="365">
        <f t="shared" ref="G136" si="82">G137</f>
        <v>2850700</v>
      </c>
      <c r="H136" s="365">
        <f>H137</f>
        <v>107000</v>
      </c>
      <c r="I136" s="365">
        <f t="shared" ref="I136" si="83">I137</f>
        <v>0</v>
      </c>
      <c r="J136" s="365">
        <f>J137</f>
        <v>2000000</v>
      </c>
      <c r="K136" s="365">
        <f>K137</f>
        <v>2000000</v>
      </c>
      <c r="L136" s="365">
        <f>L137</f>
        <v>0</v>
      </c>
      <c r="M136" s="365">
        <f t="shared" ref="M136" si="84">M137</f>
        <v>0</v>
      </c>
      <c r="N136" s="365">
        <f>N137</f>
        <v>0</v>
      </c>
      <c r="O136" s="283">
        <f t="shared" ref="O136:Q136" si="85">O137</f>
        <v>0</v>
      </c>
      <c r="P136" s="365">
        <f t="shared" si="71"/>
        <v>2000000</v>
      </c>
      <c r="Q136" s="283">
        <f t="shared" si="85"/>
        <v>5880500</v>
      </c>
    </row>
    <row r="137" spans="1:19" ht="360" x14ac:dyDescent="0.2">
      <c r="A137" s="286" t="s">
        <v>248</v>
      </c>
      <c r="B137" s="286"/>
      <c r="C137" s="286"/>
      <c r="D137" s="286" t="s">
        <v>64</v>
      </c>
      <c r="E137" s="284">
        <f>SUM(E138:E139)</f>
        <v>3880500</v>
      </c>
      <c r="F137" s="284">
        <f t="shared" ref="F137:O137" si="86">SUM(F138:F139)</f>
        <v>3880500</v>
      </c>
      <c r="G137" s="284">
        <f t="shared" si="86"/>
        <v>2850700</v>
      </c>
      <c r="H137" s="284">
        <f t="shared" si="86"/>
        <v>107000</v>
      </c>
      <c r="I137" s="284">
        <f t="shared" si="86"/>
        <v>0</v>
      </c>
      <c r="J137" s="284">
        <f>L137+P137</f>
        <v>2000000</v>
      </c>
      <c r="K137" s="284">
        <f t="shared" si="86"/>
        <v>2000000</v>
      </c>
      <c r="L137" s="284">
        <f t="shared" si="86"/>
        <v>0</v>
      </c>
      <c r="M137" s="284">
        <f t="shared" si="86"/>
        <v>0</v>
      </c>
      <c r="N137" s="284">
        <f t="shared" si="86"/>
        <v>0</v>
      </c>
      <c r="O137" s="284">
        <f t="shared" si="86"/>
        <v>0</v>
      </c>
      <c r="P137" s="378">
        <f>K137+O137</f>
        <v>2000000</v>
      </c>
      <c r="Q137" s="284">
        <f>E137+J137</f>
        <v>5880500</v>
      </c>
      <c r="R137" s="179" t="b">
        <f>Q137=Q139+Q138</f>
        <v>1</v>
      </c>
      <c r="S137" s="182" t="b">
        <f>K137='dod5'!I100</f>
        <v>0</v>
      </c>
    </row>
    <row r="138" spans="1:19" ht="228.75" x14ac:dyDescent="0.2">
      <c r="A138" s="335" t="s">
        <v>763</v>
      </c>
      <c r="B138" s="335" t="s">
        <v>344</v>
      </c>
      <c r="C138" s="335" t="s">
        <v>342</v>
      </c>
      <c r="D138" s="335" t="s">
        <v>343</v>
      </c>
      <c r="E138" s="337">
        <f>F138</f>
        <v>3880500</v>
      </c>
      <c r="F138" s="338">
        <v>3880500</v>
      </c>
      <c r="G138" s="338">
        <v>2850700</v>
      </c>
      <c r="H138" s="338">
        <v>107000</v>
      </c>
      <c r="I138" s="338"/>
      <c r="J138" s="338">
        <f t="shared" ref="J138:J139" si="87">L138+P138</f>
        <v>0</v>
      </c>
      <c r="K138" s="338"/>
      <c r="L138" s="338"/>
      <c r="M138" s="338"/>
      <c r="N138" s="338"/>
      <c r="O138" s="338"/>
      <c r="P138" s="388">
        <f t="shared" ref="P138:P162" si="88">K138+O138</f>
        <v>0</v>
      </c>
      <c r="Q138" s="337">
        <f>E138+J138</f>
        <v>3880500</v>
      </c>
      <c r="R138" s="179"/>
      <c r="S138" s="182"/>
    </row>
    <row r="139" spans="1:19" ht="183" x14ac:dyDescent="0.2">
      <c r="A139" s="302" t="s">
        <v>463</v>
      </c>
      <c r="B139" s="302" t="s">
        <v>464</v>
      </c>
      <c r="C139" s="302" t="s">
        <v>453</v>
      </c>
      <c r="D139" s="302" t="s">
        <v>465</v>
      </c>
      <c r="E139" s="304">
        <f>F139</f>
        <v>0</v>
      </c>
      <c r="F139" s="307">
        <v>0</v>
      </c>
      <c r="G139" s="307"/>
      <c r="H139" s="307"/>
      <c r="I139" s="307"/>
      <c r="J139" s="382">
        <f t="shared" si="87"/>
        <v>2000000</v>
      </c>
      <c r="K139" s="307">
        <v>2000000</v>
      </c>
      <c r="L139" s="307"/>
      <c r="M139" s="307"/>
      <c r="N139" s="307"/>
      <c r="O139" s="307"/>
      <c r="P139" s="388">
        <f t="shared" si="88"/>
        <v>2000000</v>
      </c>
      <c r="Q139" s="304">
        <f>E139+J139</f>
        <v>2000000</v>
      </c>
    </row>
    <row r="140" spans="1:19" ht="135" x14ac:dyDescent="0.2">
      <c r="A140" s="282" t="s">
        <v>253</v>
      </c>
      <c r="B140" s="282"/>
      <c r="C140" s="282"/>
      <c r="D140" s="282" t="s">
        <v>580</v>
      </c>
      <c r="E140" s="365">
        <f>E141</f>
        <v>4870650</v>
      </c>
      <c r="F140" s="365">
        <f t="shared" ref="F140" si="89">F141</f>
        <v>4870650</v>
      </c>
      <c r="G140" s="365">
        <f t="shared" ref="G140" si="90">G141</f>
        <v>0</v>
      </c>
      <c r="H140" s="365">
        <f>H141</f>
        <v>0</v>
      </c>
      <c r="I140" s="365">
        <f t="shared" ref="I140" si="91">I141</f>
        <v>0</v>
      </c>
      <c r="J140" s="365">
        <f>J141</f>
        <v>2570000</v>
      </c>
      <c r="K140" s="365">
        <f>K141</f>
        <v>2570000</v>
      </c>
      <c r="L140" s="365">
        <f>L141</f>
        <v>0</v>
      </c>
      <c r="M140" s="365">
        <f t="shared" ref="M140" si="92">M141</f>
        <v>0</v>
      </c>
      <c r="N140" s="365">
        <f>N141</f>
        <v>0</v>
      </c>
      <c r="O140" s="283">
        <f t="shared" ref="O140:Q140" si="93">O141</f>
        <v>0</v>
      </c>
      <c r="P140" s="365">
        <f t="shared" si="88"/>
        <v>2570000</v>
      </c>
      <c r="Q140" s="283">
        <f t="shared" si="93"/>
        <v>7440650</v>
      </c>
    </row>
    <row r="141" spans="1:19" ht="180" x14ac:dyDescent="0.2">
      <c r="A141" s="286" t="s">
        <v>254</v>
      </c>
      <c r="B141" s="286"/>
      <c r="C141" s="286"/>
      <c r="D141" s="286" t="s">
        <v>581</v>
      </c>
      <c r="E141" s="284">
        <f>SUM(E142:E145)</f>
        <v>4870650</v>
      </c>
      <c r="F141" s="284">
        <f t="shared" ref="F141:O141" si="94">SUM(F142:F145)</f>
        <v>4870650</v>
      </c>
      <c r="G141" s="284">
        <f t="shared" si="94"/>
        <v>0</v>
      </c>
      <c r="H141" s="284">
        <f t="shared" si="94"/>
        <v>0</v>
      </c>
      <c r="I141" s="284">
        <f t="shared" si="94"/>
        <v>0</v>
      </c>
      <c r="J141" s="284">
        <f>L141+P141</f>
        <v>2570000</v>
      </c>
      <c r="K141" s="284">
        <f t="shared" si="94"/>
        <v>2570000</v>
      </c>
      <c r="L141" s="284">
        <f t="shared" si="94"/>
        <v>0</v>
      </c>
      <c r="M141" s="284">
        <f t="shared" si="94"/>
        <v>0</v>
      </c>
      <c r="N141" s="284">
        <f t="shared" si="94"/>
        <v>0</v>
      </c>
      <c r="O141" s="284">
        <f t="shared" si="94"/>
        <v>0</v>
      </c>
      <c r="P141" s="378">
        <f t="shared" si="88"/>
        <v>2570000</v>
      </c>
      <c r="Q141" s="284">
        <f>E141+J141</f>
        <v>7440650</v>
      </c>
      <c r="R141" s="179" t="b">
        <f>Q141=Q142+Q143+Q144+Q145</f>
        <v>1</v>
      </c>
      <c r="S141" s="182" t="b">
        <f>K141='dod5'!I101</f>
        <v>1</v>
      </c>
    </row>
    <row r="142" spans="1:19" ht="183" x14ac:dyDescent="0.2">
      <c r="A142" s="335" t="s">
        <v>574</v>
      </c>
      <c r="B142" s="335" t="s">
        <v>575</v>
      </c>
      <c r="C142" s="335" t="s">
        <v>257</v>
      </c>
      <c r="D142" s="335" t="s">
        <v>401</v>
      </c>
      <c r="E142" s="337">
        <f>F142</f>
        <v>0</v>
      </c>
      <c r="F142" s="338"/>
      <c r="G142" s="338"/>
      <c r="H142" s="338"/>
      <c r="I142" s="338"/>
      <c r="J142" s="382">
        <f t="shared" ref="J142:J145" si="95">L142+P142</f>
        <v>2000000</v>
      </c>
      <c r="K142" s="338">
        <v>2000000</v>
      </c>
      <c r="L142" s="338"/>
      <c r="M142" s="338"/>
      <c r="N142" s="338"/>
      <c r="O142" s="338"/>
      <c r="P142" s="388">
        <f t="shared" si="88"/>
        <v>2000000</v>
      </c>
      <c r="Q142" s="337">
        <f>E142+J142</f>
        <v>2000000</v>
      </c>
    </row>
    <row r="143" spans="1:19" ht="137.25" x14ac:dyDescent="0.2">
      <c r="A143" s="335" t="s">
        <v>399</v>
      </c>
      <c r="B143" s="335" t="s">
        <v>400</v>
      </c>
      <c r="C143" s="335" t="s">
        <v>398</v>
      </c>
      <c r="D143" s="335" t="s">
        <v>397</v>
      </c>
      <c r="E143" s="337">
        <f t="shared" ref="E143:E145" si="96">F143</f>
        <v>2656650</v>
      </c>
      <c r="F143" s="338">
        <v>2656650</v>
      </c>
      <c r="G143" s="338"/>
      <c r="H143" s="338"/>
      <c r="I143" s="338"/>
      <c r="J143" s="382">
        <f t="shared" si="95"/>
        <v>570000</v>
      </c>
      <c r="K143" s="338">
        <v>570000</v>
      </c>
      <c r="L143" s="338"/>
      <c r="M143" s="338"/>
      <c r="N143" s="338"/>
      <c r="O143" s="338"/>
      <c r="P143" s="388">
        <f t="shared" si="88"/>
        <v>570000</v>
      </c>
      <c r="Q143" s="337">
        <f>E143+J143</f>
        <v>3226650</v>
      </c>
    </row>
    <row r="144" spans="1:19" ht="183" x14ac:dyDescent="0.2">
      <c r="A144" s="335" t="s">
        <v>391</v>
      </c>
      <c r="B144" s="335" t="s">
        <v>393</v>
      </c>
      <c r="C144" s="335" t="s">
        <v>321</v>
      </c>
      <c r="D144" s="335" t="s">
        <v>392</v>
      </c>
      <c r="E144" s="337">
        <f t="shared" si="96"/>
        <v>420000</v>
      </c>
      <c r="F144" s="338">
        <v>420000</v>
      </c>
      <c r="G144" s="338"/>
      <c r="H144" s="338"/>
      <c r="I144" s="338"/>
      <c r="J144" s="382">
        <f t="shared" si="95"/>
        <v>0</v>
      </c>
      <c r="K144" s="338"/>
      <c r="L144" s="338"/>
      <c r="M144" s="338"/>
      <c r="N144" s="338"/>
      <c r="O144" s="338"/>
      <c r="P144" s="388">
        <f t="shared" si="88"/>
        <v>0</v>
      </c>
      <c r="Q144" s="337">
        <f>E144+J144</f>
        <v>420000</v>
      </c>
    </row>
    <row r="145" spans="1:19" ht="91.5" x14ac:dyDescent="0.2">
      <c r="A145" s="335" t="s">
        <v>395</v>
      </c>
      <c r="B145" s="335" t="s">
        <v>396</v>
      </c>
      <c r="C145" s="335" t="s">
        <v>257</v>
      </c>
      <c r="D145" s="335" t="s">
        <v>394</v>
      </c>
      <c r="E145" s="337">
        <f t="shared" si="96"/>
        <v>1794000</v>
      </c>
      <c r="F145" s="338">
        <v>1794000</v>
      </c>
      <c r="G145" s="338"/>
      <c r="H145" s="338"/>
      <c r="I145" s="338"/>
      <c r="J145" s="382">
        <f t="shared" si="95"/>
        <v>0</v>
      </c>
      <c r="K145" s="338"/>
      <c r="L145" s="338"/>
      <c r="M145" s="338"/>
      <c r="N145" s="338"/>
      <c r="O145" s="338"/>
      <c r="P145" s="388">
        <f t="shared" si="88"/>
        <v>0</v>
      </c>
      <c r="Q145" s="337">
        <f>E145+J145</f>
        <v>1794000</v>
      </c>
    </row>
    <row r="146" spans="1:19" ht="180" x14ac:dyDescent="0.2">
      <c r="A146" s="282" t="s">
        <v>251</v>
      </c>
      <c r="B146" s="282"/>
      <c r="C146" s="282"/>
      <c r="D146" s="282" t="s">
        <v>47</v>
      </c>
      <c r="E146" s="365">
        <f>E147</f>
        <v>4223100</v>
      </c>
      <c r="F146" s="365">
        <f t="shared" ref="F146" si="97">F147</f>
        <v>4223100</v>
      </c>
      <c r="G146" s="365">
        <f t="shared" ref="G146" si="98">G147</f>
        <v>3166500</v>
      </c>
      <c r="H146" s="365">
        <f>H147</f>
        <v>117900</v>
      </c>
      <c r="I146" s="365">
        <f t="shared" ref="I146" si="99">I147</f>
        <v>0</v>
      </c>
      <c r="J146" s="365">
        <f>J147</f>
        <v>500000</v>
      </c>
      <c r="K146" s="365">
        <f>K147</f>
        <v>0</v>
      </c>
      <c r="L146" s="365">
        <f>L147</f>
        <v>0</v>
      </c>
      <c r="M146" s="365">
        <f t="shared" ref="M146" si="100">M147</f>
        <v>0</v>
      </c>
      <c r="N146" s="365">
        <f>N147</f>
        <v>0</v>
      </c>
      <c r="O146" s="283">
        <f t="shared" ref="O146:Q146" si="101">O147</f>
        <v>500000</v>
      </c>
      <c r="P146" s="365">
        <f t="shared" si="88"/>
        <v>500000</v>
      </c>
      <c r="Q146" s="283">
        <f t="shared" si="101"/>
        <v>4723100</v>
      </c>
    </row>
    <row r="147" spans="1:19" ht="225" x14ac:dyDescent="0.2">
      <c r="A147" s="286" t="s">
        <v>252</v>
      </c>
      <c r="B147" s="286"/>
      <c r="C147" s="286"/>
      <c r="D147" s="286" t="s">
        <v>65</v>
      </c>
      <c r="E147" s="284">
        <f t="shared" ref="E147:O147" si="102">SUM(E148:E150)</f>
        <v>4223100</v>
      </c>
      <c r="F147" s="284">
        <f t="shared" si="102"/>
        <v>4223100</v>
      </c>
      <c r="G147" s="284">
        <f t="shared" si="102"/>
        <v>3166500</v>
      </c>
      <c r="H147" s="284">
        <f t="shared" si="102"/>
        <v>117900</v>
      </c>
      <c r="I147" s="284">
        <f t="shared" si="102"/>
        <v>0</v>
      </c>
      <c r="J147" s="284">
        <f>L147+P147</f>
        <v>500000</v>
      </c>
      <c r="K147" s="284">
        <f t="shared" si="102"/>
        <v>0</v>
      </c>
      <c r="L147" s="284">
        <f t="shared" si="102"/>
        <v>0</v>
      </c>
      <c r="M147" s="284">
        <f t="shared" si="102"/>
        <v>0</v>
      </c>
      <c r="N147" s="284">
        <f t="shared" si="102"/>
        <v>0</v>
      </c>
      <c r="O147" s="284">
        <f t="shared" si="102"/>
        <v>500000</v>
      </c>
      <c r="P147" s="378">
        <f t="shared" si="88"/>
        <v>500000</v>
      </c>
      <c r="Q147" s="284">
        <f>E147+J147</f>
        <v>4723100</v>
      </c>
      <c r="R147" s="179" t="b">
        <f>Q147=Q149+Q150+Q148</f>
        <v>1</v>
      </c>
      <c r="S147" s="182" t="b">
        <f>J147='dod7'!F13</f>
        <v>1</v>
      </c>
    </row>
    <row r="148" spans="1:19" ht="228.75" x14ac:dyDescent="0.2">
      <c r="A148" s="335" t="s">
        <v>766</v>
      </c>
      <c r="B148" s="335" t="s">
        <v>344</v>
      </c>
      <c r="C148" s="335" t="s">
        <v>342</v>
      </c>
      <c r="D148" s="335" t="s">
        <v>343</v>
      </c>
      <c r="E148" s="337">
        <f>F148</f>
        <v>4223100</v>
      </c>
      <c r="F148" s="338">
        <v>4223100</v>
      </c>
      <c r="G148" s="338">
        <v>3166500</v>
      </c>
      <c r="H148" s="338">
        <v>117900</v>
      </c>
      <c r="I148" s="338"/>
      <c r="J148" s="382">
        <f t="shared" ref="J148:J150" si="103">L148+P148</f>
        <v>0</v>
      </c>
      <c r="K148" s="338"/>
      <c r="L148" s="338"/>
      <c r="M148" s="338"/>
      <c r="N148" s="338"/>
      <c r="O148" s="338"/>
      <c r="P148" s="388">
        <f t="shared" si="88"/>
        <v>0</v>
      </c>
      <c r="Q148" s="337">
        <f>E148+J148</f>
        <v>4223100</v>
      </c>
      <c r="R148" s="179"/>
      <c r="S148" s="182"/>
    </row>
    <row r="149" spans="1:19" ht="137.25" x14ac:dyDescent="0.2">
      <c r="A149" s="302" t="s">
        <v>466</v>
      </c>
      <c r="B149" s="302" t="s">
        <v>467</v>
      </c>
      <c r="C149" s="302" t="s">
        <v>81</v>
      </c>
      <c r="D149" s="302" t="s">
        <v>82</v>
      </c>
      <c r="E149" s="304">
        <f t="shared" ref="E149" si="104">F149</f>
        <v>0</v>
      </c>
      <c r="F149" s="307"/>
      <c r="G149" s="307"/>
      <c r="H149" s="307"/>
      <c r="I149" s="307"/>
      <c r="J149" s="382">
        <f t="shared" si="103"/>
        <v>400000</v>
      </c>
      <c r="K149" s="307"/>
      <c r="L149" s="307"/>
      <c r="M149" s="307"/>
      <c r="N149" s="307"/>
      <c r="O149" s="307">
        <v>400000</v>
      </c>
      <c r="P149" s="388">
        <f t="shared" si="88"/>
        <v>400000</v>
      </c>
      <c r="Q149" s="304">
        <f>E149+J149</f>
        <v>400000</v>
      </c>
    </row>
    <row r="150" spans="1:19" ht="137.25" x14ac:dyDescent="0.2">
      <c r="A150" s="302" t="s">
        <v>468</v>
      </c>
      <c r="B150" s="302" t="s">
        <v>469</v>
      </c>
      <c r="C150" s="302" t="s">
        <v>83</v>
      </c>
      <c r="D150" s="302" t="s">
        <v>470</v>
      </c>
      <c r="E150" s="304">
        <v>0</v>
      </c>
      <c r="F150" s="307"/>
      <c r="G150" s="307"/>
      <c r="H150" s="307"/>
      <c r="I150" s="307"/>
      <c r="J150" s="382">
        <f t="shared" si="103"/>
        <v>100000</v>
      </c>
      <c r="K150" s="304"/>
      <c r="L150" s="307"/>
      <c r="M150" s="307"/>
      <c r="N150" s="307"/>
      <c r="O150" s="181">
        <v>100000</v>
      </c>
      <c r="P150" s="388">
        <f t="shared" si="88"/>
        <v>100000</v>
      </c>
      <c r="Q150" s="304">
        <f>E150+J150</f>
        <v>100000</v>
      </c>
    </row>
    <row r="151" spans="1:19" ht="315" x14ac:dyDescent="0.2">
      <c r="A151" s="282" t="s">
        <v>249</v>
      </c>
      <c r="B151" s="282"/>
      <c r="C151" s="282"/>
      <c r="D151" s="282" t="s">
        <v>582</v>
      </c>
      <c r="E151" s="365">
        <f>E152</f>
        <v>3469300</v>
      </c>
      <c r="F151" s="365">
        <f t="shared" ref="F151" si="105">F152</f>
        <v>3469300</v>
      </c>
      <c r="G151" s="365">
        <f t="shared" ref="G151" si="106">G152</f>
        <v>2641000</v>
      </c>
      <c r="H151" s="365">
        <f>H152</f>
        <v>60000</v>
      </c>
      <c r="I151" s="365">
        <f t="shared" ref="I151" si="107">I152</f>
        <v>0</v>
      </c>
      <c r="J151" s="365">
        <f>J152</f>
        <v>500000</v>
      </c>
      <c r="K151" s="365">
        <f>K152</f>
        <v>500000</v>
      </c>
      <c r="L151" s="365">
        <f>L152</f>
        <v>0</v>
      </c>
      <c r="M151" s="365">
        <f t="shared" ref="M151" si="108">M152</f>
        <v>0</v>
      </c>
      <c r="N151" s="365">
        <f>N152</f>
        <v>0</v>
      </c>
      <c r="O151" s="283">
        <f t="shared" ref="O151:Q151" si="109">O152</f>
        <v>0</v>
      </c>
      <c r="P151" s="365">
        <f t="shared" si="88"/>
        <v>500000</v>
      </c>
      <c r="Q151" s="283">
        <f t="shared" si="109"/>
        <v>3969300</v>
      </c>
    </row>
    <row r="152" spans="1:19" ht="360" x14ac:dyDescent="0.2">
      <c r="A152" s="286" t="s">
        <v>250</v>
      </c>
      <c r="B152" s="286"/>
      <c r="C152" s="286"/>
      <c r="D152" s="286" t="s">
        <v>583</v>
      </c>
      <c r="E152" s="284">
        <f>SUM(E153:E155)</f>
        <v>3469300</v>
      </c>
      <c r="F152" s="284">
        <f t="shared" ref="F152:O152" si="110">SUM(F153:F155)</f>
        <v>3469300</v>
      </c>
      <c r="G152" s="284">
        <f t="shared" si="110"/>
        <v>2641000</v>
      </c>
      <c r="H152" s="284">
        <f t="shared" si="110"/>
        <v>60000</v>
      </c>
      <c r="I152" s="284">
        <f t="shared" si="110"/>
        <v>0</v>
      </c>
      <c r="J152" s="284">
        <f>L152+P152</f>
        <v>500000</v>
      </c>
      <c r="K152" s="284">
        <f t="shared" si="110"/>
        <v>500000</v>
      </c>
      <c r="L152" s="284">
        <f t="shared" si="110"/>
        <v>0</v>
      </c>
      <c r="M152" s="284">
        <f t="shared" si="110"/>
        <v>0</v>
      </c>
      <c r="N152" s="284">
        <f t="shared" si="110"/>
        <v>0</v>
      </c>
      <c r="O152" s="284">
        <f t="shared" si="110"/>
        <v>0</v>
      </c>
      <c r="P152" s="378">
        <f t="shared" si="88"/>
        <v>500000</v>
      </c>
      <c r="Q152" s="284">
        <f>E152+J152</f>
        <v>3969300</v>
      </c>
      <c r="R152" s="179" t="b">
        <f>Q152=Q154+Q155+Q153</f>
        <v>1</v>
      </c>
      <c r="S152" s="182" t="b">
        <f>K152='dod5'!I104</f>
        <v>1</v>
      </c>
    </row>
    <row r="153" spans="1:19" ht="228.75" x14ac:dyDescent="0.2">
      <c r="A153" s="335" t="s">
        <v>762</v>
      </c>
      <c r="B153" s="335" t="s">
        <v>344</v>
      </c>
      <c r="C153" s="335" t="s">
        <v>342</v>
      </c>
      <c r="D153" s="335" t="s">
        <v>343</v>
      </c>
      <c r="E153" s="337">
        <f>F153</f>
        <v>3469300</v>
      </c>
      <c r="F153" s="338">
        <v>3469300</v>
      </c>
      <c r="G153" s="338">
        <v>2641000</v>
      </c>
      <c r="H153" s="338">
        <v>60000</v>
      </c>
      <c r="I153" s="338"/>
      <c r="J153" s="382">
        <f t="shared" ref="J153:J155" si="111">L153+P153</f>
        <v>0</v>
      </c>
      <c r="K153" s="338"/>
      <c r="L153" s="338"/>
      <c r="M153" s="338"/>
      <c r="N153" s="338"/>
      <c r="O153" s="338"/>
      <c r="P153" s="388">
        <f t="shared" si="88"/>
        <v>0</v>
      </c>
      <c r="Q153" s="337">
        <f>E153+J153</f>
        <v>3469300</v>
      </c>
      <c r="R153" s="179"/>
      <c r="S153" s="182"/>
    </row>
    <row r="154" spans="1:19" ht="91.5" x14ac:dyDescent="0.2">
      <c r="A154" s="302" t="s">
        <v>460</v>
      </c>
      <c r="B154" s="302" t="s">
        <v>461</v>
      </c>
      <c r="C154" s="302" t="s">
        <v>462</v>
      </c>
      <c r="D154" s="302" t="s">
        <v>459</v>
      </c>
      <c r="E154" s="304">
        <f>F154</f>
        <v>0</v>
      </c>
      <c r="F154" s="307">
        <v>0</v>
      </c>
      <c r="G154" s="307"/>
      <c r="H154" s="307"/>
      <c r="I154" s="307"/>
      <c r="J154" s="382">
        <f t="shared" si="111"/>
        <v>410000</v>
      </c>
      <c r="K154" s="307">
        <v>410000</v>
      </c>
      <c r="L154" s="307"/>
      <c r="M154" s="307"/>
      <c r="N154" s="307"/>
      <c r="O154" s="307"/>
      <c r="P154" s="388">
        <f t="shared" si="88"/>
        <v>410000</v>
      </c>
      <c r="Q154" s="304">
        <f>E154+J154</f>
        <v>410000</v>
      </c>
    </row>
    <row r="155" spans="1:19" ht="137.25" x14ac:dyDescent="0.2">
      <c r="A155" s="302" t="s">
        <v>614</v>
      </c>
      <c r="B155" s="302" t="s">
        <v>615</v>
      </c>
      <c r="C155" s="302" t="s">
        <v>257</v>
      </c>
      <c r="D155" s="302" t="s">
        <v>616</v>
      </c>
      <c r="E155" s="304">
        <f>F155</f>
        <v>0</v>
      </c>
      <c r="F155" s="307">
        <v>0</v>
      </c>
      <c r="G155" s="307"/>
      <c r="H155" s="307"/>
      <c r="I155" s="307"/>
      <c r="J155" s="382">
        <f t="shared" si="111"/>
        <v>90000</v>
      </c>
      <c r="K155" s="307">
        <v>90000</v>
      </c>
      <c r="L155" s="307"/>
      <c r="M155" s="307"/>
      <c r="N155" s="307"/>
      <c r="O155" s="307"/>
      <c r="P155" s="388">
        <f t="shared" si="88"/>
        <v>90000</v>
      </c>
      <c r="Q155" s="304">
        <f>E155+J155</f>
        <v>90000</v>
      </c>
    </row>
    <row r="156" spans="1:19" ht="135" x14ac:dyDescent="0.2">
      <c r="A156" s="282" t="s">
        <v>255</v>
      </c>
      <c r="B156" s="282"/>
      <c r="C156" s="282"/>
      <c r="D156" s="282" t="s">
        <v>48</v>
      </c>
      <c r="E156" s="365">
        <f>E157</f>
        <v>67556500</v>
      </c>
      <c r="F156" s="365">
        <f t="shared" ref="F156" si="112">F157</f>
        <v>67556500</v>
      </c>
      <c r="G156" s="365">
        <f t="shared" ref="G156" si="113">G157</f>
        <v>5254100</v>
      </c>
      <c r="H156" s="365">
        <f>H157</f>
        <v>140000</v>
      </c>
      <c r="I156" s="365">
        <f t="shared" ref="I156" si="114">I157</f>
        <v>0</v>
      </c>
      <c r="J156" s="365">
        <f>J157</f>
        <v>50000</v>
      </c>
      <c r="K156" s="365">
        <f>K157</f>
        <v>50000</v>
      </c>
      <c r="L156" s="365">
        <f>L157</f>
        <v>0</v>
      </c>
      <c r="M156" s="365">
        <f t="shared" ref="M156" si="115">M157</f>
        <v>0</v>
      </c>
      <c r="N156" s="365">
        <f>N157</f>
        <v>0</v>
      </c>
      <c r="O156" s="283">
        <f t="shared" ref="O156:Q156" si="116">O157</f>
        <v>0</v>
      </c>
      <c r="P156" s="365">
        <f t="shared" si="88"/>
        <v>50000</v>
      </c>
      <c r="Q156" s="283">
        <f t="shared" si="116"/>
        <v>67606500</v>
      </c>
    </row>
    <row r="157" spans="1:19" ht="180" x14ac:dyDescent="0.2">
      <c r="A157" s="286" t="s">
        <v>256</v>
      </c>
      <c r="B157" s="286"/>
      <c r="C157" s="286"/>
      <c r="D157" s="286" t="s">
        <v>66</v>
      </c>
      <c r="E157" s="284">
        <f>SUM(E158:E161)</f>
        <v>67556500</v>
      </c>
      <c r="F157" s="284">
        <f t="shared" ref="F157:O157" si="117">SUM(F158:F161)</f>
        <v>67556500</v>
      </c>
      <c r="G157" s="284">
        <f t="shared" si="117"/>
        <v>5254100</v>
      </c>
      <c r="H157" s="284">
        <f t="shared" si="117"/>
        <v>140000</v>
      </c>
      <c r="I157" s="284">
        <f t="shared" si="117"/>
        <v>0</v>
      </c>
      <c r="J157" s="284">
        <f>L157+P157</f>
        <v>50000</v>
      </c>
      <c r="K157" s="284">
        <f>SUM(K158:K161)</f>
        <v>50000</v>
      </c>
      <c r="L157" s="284">
        <f t="shared" si="117"/>
        <v>0</v>
      </c>
      <c r="M157" s="284">
        <f t="shared" si="117"/>
        <v>0</v>
      </c>
      <c r="N157" s="284">
        <f t="shared" si="117"/>
        <v>0</v>
      </c>
      <c r="O157" s="284">
        <f t="shared" si="117"/>
        <v>0</v>
      </c>
      <c r="P157" s="378">
        <f t="shared" si="88"/>
        <v>50000</v>
      </c>
      <c r="Q157" s="284">
        <f>E157+J157</f>
        <v>67606500</v>
      </c>
      <c r="R157" s="179" t="b">
        <f>Q157=Q159+Q160+Q161+Q158</f>
        <v>1</v>
      </c>
      <c r="S157" s="182" t="b">
        <f>K157='dod5'!I112</f>
        <v>1</v>
      </c>
    </row>
    <row r="158" spans="1:19" ht="228.75" x14ac:dyDescent="0.2">
      <c r="A158" s="335" t="s">
        <v>764</v>
      </c>
      <c r="B158" s="335" t="s">
        <v>344</v>
      </c>
      <c r="C158" s="335" t="s">
        <v>342</v>
      </c>
      <c r="D158" s="335" t="s">
        <v>343</v>
      </c>
      <c r="E158" s="337">
        <f>F158</f>
        <v>6887800</v>
      </c>
      <c r="F158" s="338">
        <v>6887800</v>
      </c>
      <c r="G158" s="338">
        <v>5254100</v>
      </c>
      <c r="H158" s="338">
        <v>140000</v>
      </c>
      <c r="I158" s="338"/>
      <c r="J158" s="382">
        <f t="shared" ref="J158:J161" si="118">L158+P158</f>
        <v>50000</v>
      </c>
      <c r="K158" s="338">
        <v>50000</v>
      </c>
      <c r="L158" s="338"/>
      <c r="M158" s="338"/>
      <c r="N158" s="338"/>
      <c r="O158" s="338"/>
      <c r="P158" s="388">
        <f t="shared" si="88"/>
        <v>50000</v>
      </c>
      <c r="Q158" s="337">
        <f>E158+J158</f>
        <v>6937800</v>
      </c>
      <c r="R158" s="179"/>
      <c r="S158" s="182"/>
    </row>
    <row r="159" spans="1:19" ht="91.5" x14ac:dyDescent="0.2">
      <c r="A159" s="311">
        <v>3718600</v>
      </c>
      <c r="B159" s="311">
        <v>8600</v>
      </c>
      <c r="C159" s="335" t="s">
        <v>592</v>
      </c>
      <c r="D159" s="311" t="s">
        <v>593</v>
      </c>
      <c r="E159" s="337">
        <f>F159</f>
        <v>1282700</v>
      </c>
      <c r="F159" s="338">
        <v>1282700</v>
      </c>
      <c r="G159" s="338"/>
      <c r="H159" s="338"/>
      <c r="I159" s="338"/>
      <c r="J159" s="382">
        <f t="shared" si="118"/>
        <v>0</v>
      </c>
      <c r="K159" s="338"/>
      <c r="L159" s="338"/>
      <c r="M159" s="338"/>
      <c r="N159" s="338"/>
      <c r="O159" s="338"/>
      <c r="P159" s="388">
        <f t="shared" si="88"/>
        <v>0</v>
      </c>
      <c r="Q159" s="337">
        <f>E159+J159</f>
        <v>1282700</v>
      </c>
    </row>
    <row r="160" spans="1:19" ht="69" customHeight="1" x14ac:dyDescent="0.2">
      <c r="A160" s="311">
        <v>3718700</v>
      </c>
      <c r="B160" s="311">
        <v>8700</v>
      </c>
      <c r="C160" s="335" t="s">
        <v>70</v>
      </c>
      <c r="D160" s="306" t="s">
        <v>68</v>
      </c>
      <c r="E160" s="337">
        <f>F160</f>
        <v>5000000</v>
      </c>
      <c r="F160" s="338">
        <v>5000000</v>
      </c>
      <c r="G160" s="338"/>
      <c r="H160" s="338"/>
      <c r="I160" s="338"/>
      <c r="J160" s="382">
        <f t="shared" si="118"/>
        <v>0</v>
      </c>
      <c r="K160" s="338"/>
      <c r="L160" s="338"/>
      <c r="M160" s="338"/>
      <c r="N160" s="338"/>
      <c r="O160" s="338"/>
      <c r="P160" s="388">
        <f t="shared" si="88"/>
        <v>0</v>
      </c>
      <c r="Q160" s="337">
        <f>E160+J160</f>
        <v>5000000</v>
      </c>
    </row>
    <row r="161" spans="1:19" ht="65.25" customHeight="1" x14ac:dyDescent="0.2">
      <c r="A161" s="311">
        <v>3719110</v>
      </c>
      <c r="B161" s="311">
        <v>9110</v>
      </c>
      <c r="C161" s="335" t="s">
        <v>71</v>
      </c>
      <c r="D161" s="306" t="s">
        <v>69</v>
      </c>
      <c r="E161" s="337">
        <f>F161</f>
        <v>54386000</v>
      </c>
      <c r="F161" s="338">
        <v>54386000</v>
      </c>
      <c r="G161" s="338"/>
      <c r="H161" s="338"/>
      <c r="I161" s="338"/>
      <c r="J161" s="382">
        <f t="shared" si="118"/>
        <v>0</v>
      </c>
      <c r="K161" s="338"/>
      <c r="L161" s="338"/>
      <c r="M161" s="338"/>
      <c r="N161" s="338"/>
      <c r="O161" s="338"/>
      <c r="P161" s="388">
        <f t="shared" si="88"/>
        <v>0</v>
      </c>
      <c r="Q161" s="337">
        <f>E161+J161</f>
        <v>54386000</v>
      </c>
    </row>
    <row r="162" spans="1:19" s="3" customFormat="1" ht="81.75" customHeight="1" x14ac:dyDescent="0.55000000000000004">
      <c r="A162" s="259" t="s">
        <v>665</v>
      </c>
      <c r="B162" s="259" t="s">
        <v>665</v>
      </c>
      <c r="C162" s="259" t="s">
        <v>665</v>
      </c>
      <c r="D162" s="260" t="s">
        <v>683</v>
      </c>
      <c r="E162" s="168">
        <f>E13+E23+E97+E34+E46+E88+E112+E131+E137+E157+E141+E147+E152</f>
        <v>2608833840</v>
      </c>
      <c r="F162" s="168">
        <f>F13+F23+F97+F34+F45+F88+F112+F131+F137+F157+F141+F147+F152</f>
        <v>2608833840</v>
      </c>
      <c r="G162" s="168">
        <f t="shared" ref="G162:O162" si="119">G13+G23+G97+G34+G46+G88+G112+G131+G137+G157+G141+G147+G152</f>
        <v>846593033</v>
      </c>
      <c r="H162" s="168">
        <f t="shared" si="119"/>
        <v>78571159</v>
      </c>
      <c r="I162" s="168">
        <f t="shared" si="119"/>
        <v>0</v>
      </c>
      <c r="J162" s="168">
        <f t="shared" si="119"/>
        <v>378760174</v>
      </c>
      <c r="K162" s="168">
        <f t="shared" si="119"/>
        <v>244799789</v>
      </c>
      <c r="L162" s="168">
        <f t="shared" si="119"/>
        <v>131321535</v>
      </c>
      <c r="M162" s="168">
        <f t="shared" si="119"/>
        <v>33043505</v>
      </c>
      <c r="N162" s="168">
        <f t="shared" si="119"/>
        <v>8593726</v>
      </c>
      <c r="O162" s="168">
        <f t="shared" si="119"/>
        <v>2638850</v>
      </c>
      <c r="P162" s="389">
        <f t="shared" si="88"/>
        <v>247438639</v>
      </c>
      <c r="Q162" s="168">
        <f>Q13+Q23+Q97+Q34+Q45+Q88+Q112+Q131+Q137+Q157+Q141+Q147+Q152</f>
        <v>2987594014</v>
      </c>
      <c r="R162" s="135" t="b">
        <f>K162='dod5'!I115</f>
        <v>1</v>
      </c>
    </row>
    <row r="163" spans="1:19" ht="45.75" x14ac:dyDescent="0.2">
      <c r="A163" s="458" t="s">
        <v>457</v>
      </c>
      <c r="B163" s="459"/>
      <c r="C163" s="459"/>
      <c r="D163" s="459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13"/>
    </row>
    <row r="164" spans="1:19" ht="45.75" hidden="1" x14ac:dyDescent="0.2">
      <c r="A164" s="144"/>
      <c r="B164" s="145"/>
      <c r="C164" s="145"/>
      <c r="D164" s="145"/>
      <c r="E164" s="342">
        <f>F164</f>
        <v>2608833840</v>
      </c>
      <c r="F164" s="342">
        <f>2608918648-'dod4'!Q14+'dod2'!E19+9399200+1734200+1600-7647500</f>
        <v>2608833840</v>
      </c>
      <c r="G164" s="342">
        <f>54985000+26800000+1884600+1776300+2641000+2850700+5254100+7129200+3166500+205000+644533535+1757300+35856900+5790700+796025+4068700+10163000+2517500+1623800+714843+12402731+813300+843750+11859350+3617760+2541439</f>
        <v>846593033</v>
      </c>
      <c r="H164" s="342">
        <f>11500+10000+2450700+991000+101500+100000+60000+107000+140000+130000+117900+45478902+2848071+17996340+2220390+110770+1460520+27100+257400+144810+353700+7270+70355+17700+131400+3520+64750+387900+10250+119350+68142+31230+2900+50003+1800+13490+309408+3480+123100+30000+20000+60000+463014+55900+276730+225600+241174+286645+378445</f>
        <v>78571159</v>
      </c>
      <c r="I164" s="342">
        <v>0</v>
      </c>
      <c r="J164" s="342"/>
      <c r="K164" s="342">
        <f>3985100-2275100+13109000+5499500+8041000-566000+3886442+1408533+155532314-1371000+53000000+2000000+2000000+500000+50000</f>
        <v>244799789</v>
      </c>
      <c r="L164" s="342"/>
      <c r="M164" s="342"/>
      <c r="N164" s="342"/>
      <c r="O164" s="342"/>
      <c r="P164" s="342"/>
      <c r="Q164" s="342"/>
      <c r="R164" s="13"/>
    </row>
    <row r="165" spans="1:19" ht="45.75" x14ac:dyDescent="0.2">
      <c r="A165" s="144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3"/>
    </row>
    <row r="166" spans="1:19" ht="45.75" x14ac:dyDescent="0.65">
      <c r="A166" s="8"/>
      <c r="B166" s="8"/>
      <c r="C166" s="8"/>
      <c r="D166" s="454" t="s">
        <v>656</v>
      </c>
      <c r="E166" s="454"/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14"/>
    </row>
    <row r="167" spans="1:19" ht="45.75" x14ac:dyDescent="0.2">
      <c r="E167" s="28"/>
      <c r="F167" s="4"/>
      <c r="J167" s="324"/>
      <c r="K167" s="324"/>
      <c r="O167" s="157"/>
      <c r="P167" s="157"/>
      <c r="Q167" s="23"/>
    </row>
    <row r="168" spans="1:19" ht="45.75" x14ac:dyDescent="0.65">
      <c r="D168" s="454" t="s">
        <v>231</v>
      </c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15"/>
    </row>
    <row r="169" spans="1:19" x14ac:dyDescent="0.2">
      <c r="E169" s="5"/>
      <c r="F169" s="4"/>
      <c r="J169" s="5"/>
      <c r="K169" s="5"/>
    </row>
    <row r="170" spans="1:19" x14ac:dyDescent="0.2">
      <c r="E170" s="5"/>
      <c r="F170" s="4"/>
      <c r="J170" s="5"/>
      <c r="K170" s="5"/>
    </row>
    <row r="171" spans="1:19" ht="99.75" customHeight="1" x14ac:dyDescent="0.2">
      <c r="E171" s="142" t="b">
        <f>F164=E162</f>
        <v>1</v>
      </c>
      <c r="F171" s="142" t="b">
        <f>F164=F162</f>
        <v>1</v>
      </c>
      <c r="G171" s="142" t="b">
        <f t="shared" ref="G171:Q171" si="120">G164=G162</f>
        <v>1</v>
      </c>
      <c r="H171" s="142" t="b">
        <f t="shared" si="120"/>
        <v>1</v>
      </c>
      <c r="I171" s="142" t="b">
        <f t="shared" si="120"/>
        <v>1</v>
      </c>
      <c r="J171" s="142" t="b">
        <f t="shared" si="120"/>
        <v>0</v>
      </c>
      <c r="K171" s="142" t="b">
        <f t="shared" si="120"/>
        <v>1</v>
      </c>
      <c r="L171" s="142" t="b">
        <f t="shared" si="120"/>
        <v>0</v>
      </c>
      <c r="M171" s="142" t="b">
        <f t="shared" si="120"/>
        <v>0</v>
      </c>
      <c r="N171" s="142" t="b">
        <f t="shared" si="120"/>
        <v>0</v>
      </c>
      <c r="O171" s="142" t="b">
        <f t="shared" si="120"/>
        <v>0</v>
      </c>
      <c r="P171" s="142"/>
      <c r="Q171" s="142" t="b">
        <f t="shared" si="120"/>
        <v>0</v>
      </c>
    </row>
    <row r="172" spans="1:19" ht="45.75" x14ac:dyDescent="0.55000000000000004">
      <c r="E172" s="23"/>
      <c r="F172" s="13"/>
      <c r="G172" s="4"/>
      <c r="I172" s="138"/>
      <c r="J172" s="325"/>
      <c r="K172" s="325"/>
      <c r="L172" s="138"/>
      <c r="M172" s="138"/>
      <c r="N172" s="138"/>
      <c r="O172" s="139"/>
      <c r="P172" s="139"/>
      <c r="Q172" s="135" t="b">
        <f>E162+J162=Q162</f>
        <v>1</v>
      </c>
    </row>
    <row r="173" spans="1:19" x14ac:dyDescent="0.2">
      <c r="E173" s="7"/>
      <c r="F173" s="254"/>
      <c r="G173" s="7"/>
      <c r="H173" s="7"/>
      <c r="I173" s="7"/>
      <c r="J173" s="5"/>
      <c r="K173" s="5"/>
    </row>
    <row r="174" spans="1:19" ht="45.75" x14ac:dyDescent="0.2">
      <c r="A174"/>
      <c r="B174"/>
      <c r="C174"/>
      <c r="D174" s="177"/>
      <c r="E174" s="178" t="b">
        <f>E162=F162</f>
        <v>1</v>
      </c>
      <c r="F174" s="157">
        <f>F160/Q162*100</f>
        <v>0.16735875010358753</v>
      </c>
      <c r="G174" s="157" t="s">
        <v>500</v>
      </c>
      <c r="I174" s="177"/>
      <c r="J174" s="178"/>
      <c r="K174" s="178"/>
      <c r="L174" s="256"/>
      <c r="M174" s="256"/>
      <c r="N174" s="256"/>
      <c r="O174" s="256"/>
      <c r="P174" s="256"/>
      <c r="Q174"/>
    </row>
    <row r="175" spans="1:19" ht="60.75" x14ac:dyDescent="0.2">
      <c r="D175" s="177"/>
      <c r="E175" s="178"/>
      <c r="G175" s="27"/>
      <c r="I175" s="177"/>
      <c r="J175" s="178"/>
      <c r="K175" s="178"/>
      <c r="Q175" s="142"/>
      <c r="R175" s="143"/>
      <c r="S175" s="142"/>
    </row>
    <row r="176" spans="1:19" ht="60.75" x14ac:dyDescent="0.2">
      <c r="A176"/>
      <c r="B176"/>
      <c r="C176"/>
      <c r="D176" s="177"/>
      <c r="E176" s="178"/>
      <c r="F176" s="157"/>
      <c r="G176" s="4"/>
      <c r="I176" s="177"/>
      <c r="J176" s="178"/>
      <c r="K176" s="178"/>
      <c r="L176" s="256"/>
      <c r="M176" s="256"/>
      <c r="N176" s="256"/>
      <c r="O176" s="256"/>
      <c r="P176" s="256"/>
      <c r="Q176" s="142"/>
      <c r="R176" s="143"/>
      <c r="S176" s="142"/>
    </row>
    <row r="177" spans="1:17" ht="60.75" x14ac:dyDescent="0.2">
      <c r="D177" s="177"/>
      <c r="E177" s="178"/>
      <c r="F177" s="255"/>
      <c r="Q177" s="142"/>
    </row>
    <row r="178" spans="1:17" ht="60.75" x14ac:dyDescent="0.2">
      <c r="A178"/>
      <c r="B178"/>
      <c r="C178"/>
      <c r="D178" s="177"/>
      <c r="E178" s="178"/>
      <c r="F178" s="157"/>
      <c r="G178" s="4"/>
      <c r="J178" s="5"/>
      <c r="K178" s="5"/>
      <c r="L178" s="256"/>
      <c r="M178" s="256"/>
      <c r="N178" s="256"/>
      <c r="O178" s="256"/>
      <c r="P178" s="256"/>
      <c r="Q178" s="142"/>
    </row>
    <row r="179" spans="1:17" ht="62.25" x14ac:dyDescent="0.8">
      <c r="A179"/>
      <c r="B179"/>
      <c r="C179"/>
      <c r="D179"/>
      <c r="E179" s="25"/>
      <c r="F179" s="157"/>
      <c r="J179" s="5"/>
      <c r="K179" s="5"/>
      <c r="L179" s="256"/>
      <c r="M179" s="256"/>
      <c r="N179" s="256"/>
      <c r="O179" s="256"/>
      <c r="P179" s="256"/>
      <c r="Q179" s="193"/>
    </row>
    <row r="180" spans="1:17" ht="45.75" x14ac:dyDescent="0.2">
      <c r="E180" s="26"/>
      <c r="F180" s="255"/>
    </row>
    <row r="181" spans="1:17" ht="45.75" x14ac:dyDescent="0.2">
      <c r="A181"/>
      <c r="B181"/>
      <c r="C181"/>
      <c r="D181"/>
      <c r="E181" s="25"/>
      <c r="F181" s="157"/>
      <c r="L181" s="256"/>
      <c r="M181" s="256"/>
      <c r="N181" s="256"/>
      <c r="O181" s="256"/>
      <c r="P181" s="256"/>
      <c r="Q181"/>
    </row>
    <row r="182" spans="1:17" ht="45.75" x14ac:dyDescent="0.2">
      <c r="E182" s="26"/>
      <c r="F182" s="255"/>
    </row>
    <row r="183" spans="1:17" ht="45.75" x14ac:dyDescent="0.2">
      <c r="E183" s="26"/>
      <c r="F183" s="255"/>
    </row>
    <row r="184" spans="1:17" ht="45.75" x14ac:dyDescent="0.2">
      <c r="E184" s="26"/>
      <c r="F184" s="255"/>
    </row>
    <row r="185" spans="1:17" ht="45.75" x14ac:dyDescent="0.2">
      <c r="A185"/>
      <c r="B185"/>
      <c r="C185"/>
      <c r="D185"/>
      <c r="E185" s="26"/>
      <c r="F185" s="255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/>
    </row>
    <row r="186" spans="1:17" ht="45.75" x14ac:dyDescent="0.2">
      <c r="A186"/>
      <c r="B186"/>
      <c r="C186"/>
      <c r="D186"/>
      <c r="E186" s="26"/>
      <c r="F186" s="255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/>
    </row>
    <row r="187" spans="1:17" ht="45.75" x14ac:dyDescent="0.2">
      <c r="A187"/>
      <c r="B187"/>
      <c r="C187"/>
      <c r="D187"/>
      <c r="E187" s="26"/>
      <c r="F187" s="255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/>
    </row>
    <row r="188" spans="1:17" ht="45.75" x14ac:dyDescent="0.2">
      <c r="A188"/>
      <c r="B188"/>
      <c r="C188"/>
      <c r="D188"/>
      <c r="E188" s="26"/>
      <c r="F188" s="255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/>
    </row>
  </sheetData>
  <mergeCells count="89">
    <mergeCell ref="J9:J10"/>
    <mergeCell ref="L18:L19"/>
    <mergeCell ref="H85:H86"/>
    <mergeCell ref="I85:I86"/>
    <mergeCell ref="J85:J86"/>
    <mergeCell ref="L85:L86"/>
    <mergeCell ref="Q79:Q80"/>
    <mergeCell ref="N79:N80"/>
    <mergeCell ref="O79:O80"/>
    <mergeCell ref="L79:L80"/>
    <mergeCell ref="M79:M80"/>
    <mergeCell ref="P79:P80"/>
    <mergeCell ref="Q18:Q19"/>
    <mergeCell ref="O18:O19"/>
    <mergeCell ref="M18:M19"/>
    <mergeCell ref="N18:N19"/>
    <mergeCell ref="E8:I8"/>
    <mergeCell ref="G9:H9"/>
    <mergeCell ref="E18:E19"/>
    <mergeCell ref="F18:F19"/>
    <mergeCell ref="G18:G19"/>
    <mergeCell ref="H18:H19"/>
    <mergeCell ref="I18:I19"/>
    <mergeCell ref="P9:P10"/>
    <mergeCell ref="J8:P8"/>
    <mergeCell ref="P18:P19"/>
    <mergeCell ref="L9:L10"/>
    <mergeCell ref="J18:J19"/>
    <mergeCell ref="O1:Q1"/>
    <mergeCell ref="O2:Q2"/>
    <mergeCell ref="O3:Q3"/>
    <mergeCell ref="Q8:Q10"/>
    <mergeCell ref="A5:Q5"/>
    <mergeCell ref="E9:E10"/>
    <mergeCell ref="I9:I10"/>
    <mergeCell ref="A8:A10"/>
    <mergeCell ref="A6:Q6"/>
    <mergeCell ref="O9:O10"/>
    <mergeCell ref="M9:N9"/>
    <mergeCell ref="B8:B10"/>
    <mergeCell ref="C8:C10"/>
    <mergeCell ref="F9:F10"/>
    <mergeCell ref="D8:D10"/>
    <mergeCell ref="K9:K10"/>
    <mergeCell ref="D168:Q168"/>
    <mergeCell ref="D166:Q166"/>
    <mergeCell ref="J79:J80"/>
    <mergeCell ref="E79:E80"/>
    <mergeCell ref="F79:F80"/>
    <mergeCell ref="G79:G80"/>
    <mergeCell ref="H79:H80"/>
    <mergeCell ref="I79:I80"/>
    <mergeCell ref="A163:Q163"/>
    <mergeCell ref="E85:E86"/>
    <mergeCell ref="F85:F86"/>
    <mergeCell ref="M85:M86"/>
    <mergeCell ref="N85:N86"/>
    <mergeCell ref="O85:O86"/>
    <mergeCell ref="Q85:Q86"/>
    <mergeCell ref="G85:G86"/>
    <mergeCell ref="P85:P86"/>
    <mergeCell ref="K79:K80"/>
    <mergeCell ref="K18:K19"/>
    <mergeCell ref="K85:K86"/>
    <mergeCell ref="A18:A19"/>
    <mergeCell ref="B18:B19"/>
    <mergeCell ref="C18:C19"/>
    <mergeCell ref="A85:A86"/>
    <mergeCell ref="B85:B86"/>
    <mergeCell ref="C85:C86"/>
    <mergeCell ref="A79:A80"/>
    <mergeCell ref="B79:B80"/>
    <mergeCell ref="C79:C80"/>
    <mergeCell ref="Q127:Q128"/>
    <mergeCell ref="A127:A128"/>
    <mergeCell ref="B127:B128"/>
    <mergeCell ref="C127:C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P127:P128"/>
    <mergeCell ref="O127:O128"/>
  </mergeCells>
  <phoneticPr fontId="0" type="noConversion"/>
  <conditionalFormatting sqref="R137:S13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147:S14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158:S158 R15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2:S15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S1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141:S141">
    <cfRule type="iconSet" priority="8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1" manualBreakCount="1">
    <brk id="4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58"/>
  <sheetViews>
    <sheetView showGridLines="0" showZeros="0" view="pageBreakPreview" topLeftCell="B1" zoomScale="85" zoomScaleNormal="85" zoomScaleSheetLayoutView="85" workbookViewId="0">
      <selection activeCell="L25" sqref="L25"/>
    </sheetView>
  </sheetViews>
  <sheetFormatPr defaultColWidth="7.85546875" defaultRowHeight="12.75" x14ac:dyDescent="0.2"/>
  <cols>
    <col min="1" max="1" width="0" style="18" hidden="1" customWidth="1"/>
    <col min="2" max="2" width="13" style="107" customWidth="1"/>
    <col min="3" max="3" width="12.42578125" style="107" customWidth="1"/>
    <col min="4" max="4" width="15.28515625" style="107" customWidth="1"/>
    <col min="5" max="5" width="37" style="107" customWidth="1"/>
    <col min="6" max="6" width="10.5703125" style="107" customWidth="1"/>
    <col min="7" max="7" width="11.85546875" style="107" customWidth="1"/>
    <col min="8" max="8" width="13.28515625" style="107" customWidth="1"/>
    <col min="9" max="9" width="12.5703125" style="107" customWidth="1"/>
    <col min="10" max="10" width="12.140625" style="107" customWidth="1"/>
    <col min="11" max="11" width="18.140625" style="107" customWidth="1"/>
    <col min="12" max="12" width="13.5703125" style="107" customWidth="1"/>
    <col min="13" max="13" width="13" style="107" customWidth="1"/>
    <col min="14" max="14" width="11.42578125" style="107" customWidth="1"/>
    <col min="15" max="15" width="12.7109375" style="107" customWidth="1"/>
    <col min="16" max="16" width="12.5703125" style="107" customWidth="1"/>
    <col min="17" max="17" width="12.7109375" style="107" customWidth="1"/>
    <col min="18" max="16384" width="7.85546875" style="107"/>
  </cols>
  <sheetData>
    <row r="2" spans="1:21" ht="64.5" customHeight="1" x14ac:dyDescent="0.2">
      <c r="B2" s="18"/>
      <c r="C2" s="18"/>
      <c r="D2" s="18"/>
      <c r="E2" s="106"/>
      <c r="F2" s="106"/>
      <c r="G2" s="106"/>
      <c r="H2" s="106"/>
      <c r="I2" s="106"/>
      <c r="J2" s="106"/>
      <c r="K2" s="106"/>
      <c r="L2" s="106"/>
      <c r="M2" s="476" t="s">
        <v>634</v>
      </c>
      <c r="N2" s="476"/>
      <c r="O2" s="476"/>
      <c r="P2" s="476"/>
      <c r="Q2" s="476"/>
    </row>
    <row r="3" spans="1:21" ht="32.450000000000003" customHeight="1" x14ac:dyDescent="0.2">
      <c r="B3" s="18"/>
      <c r="C3" s="18"/>
      <c r="D3" s="18"/>
      <c r="E3" s="477" t="s">
        <v>677</v>
      </c>
      <c r="F3" s="477"/>
      <c r="G3" s="477"/>
      <c r="H3" s="477"/>
      <c r="I3" s="477"/>
      <c r="J3" s="477"/>
      <c r="K3" s="477"/>
      <c r="L3" s="477"/>
      <c r="M3" s="477"/>
      <c r="N3" s="109"/>
      <c r="O3" s="109"/>
      <c r="P3" s="109"/>
      <c r="Q3" s="109"/>
    </row>
    <row r="4" spans="1:21" ht="12" customHeight="1" x14ac:dyDescent="0.3">
      <c r="B4" s="110"/>
      <c r="C4" s="110"/>
      <c r="D4" s="111"/>
      <c r="E4" s="477"/>
      <c r="F4" s="477"/>
      <c r="G4" s="477"/>
      <c r="H4" s="477"/>
      <c r="I4" s="477"/>
      <c r="J4" s="477"/>
      <c r="K4" s="477"/>
      <c r="L4" s="477"/>
      <c r="M4" s="477"/>
      <c r="N4" s="18"/>
      <c r="O4" s="18"/>
      <c r="P4" s="18"/>
      <c r="Q4" s="112"/>
      <c r="R4" s="106"/>
      <c r="S4" s="106"/>
      <c r="T4" s="106"/>
      <c r="U4" s="106"/>
    </row>
    <row r="5" spans="1:21" ht="21" customHeight="1" x14ac:dyDescent="0.3">
      <c r="B5" s="110"/>
      <c r="C5" s="110"/>
      <c r="D5" s="111"/>
      <c r="E5" s="108"/>
      <c r="F5" s="108"/>
      <c r="G5" s="108"/>
      <c r="H5" s="245"/>
      <c r="I5" s="108"/>
      <c r="J5" s="108"/>
      <c r="K5" s="108"/>
      <c r="L5" s="245"/>
      <c r="M5" s="108"/>
      <c r="N5" s="18"/>
      <c r="O5" s="18"/>
      <c r="P5" s="18"/>
      <c r="Q5" s="257" t="s">
        <v>672</v>
      </c>
      <c r="R5" s="106"/>
      <c r="S5" s="106"/>
      <c r="T5" s="106"/>
      <c r="U5" s="106"/>
    </row>
    <row r="6" spans="1:21" ht="30.75" customHeight="1" x14ac:dyDescent="0.2">
      <c r="A6" s="113"/>
      <c r="B6" s="480" t="s">
        <v>29</v>
      </c>
      <c r="C6" s="481" t="s">
        <v>675</v>
      </c>
      <c r="D6" s="481" t="s">
        <v>682</v>
      </c>
      <c r="E6" s="481" t="s">
        <v>676</v>
      </c>
      <c r="F6" s="478" t="s">
        <v>187</v>
      </c>
      <c r="G6" s="478"/>
      <c r="H6" s="478"/>
      <c r="I6" s="478"/>
      <c r="J6" s="478" t="s">
        <v>188</v>
      </c>
      <c r="K6" s="478"/>
      <c r="L6" s="478"/>
      <c r="M6" s="478"/>
      <c r="N6" s="478" t="s">
        <v>681</v>
      </c>
      <c r="O6" s="478"/>
      <c r="P6" s="478"/>
      <c r="Q6" s="478"/>
      <c r="R6" s="106"/>
      <c r="S6" s="106"/>
      <c r="T6" s="106"/>
      <c r="U6" s="106"/>
    </row>
    <row r="7" spans="1:21" ht="28.5" customHeight="1" x14ac:dyDescent="0.2">
      <c r="A7" s="114"/>
      <c r="B7" s="480"/>
      <c r="C7" s="482"/>
      <c r="D7" s="482"/>
      <c r="E7" s="483"/>
      <c r="F7" s="473" t="s">
        <v>678</v>
      </c>
      <c r="G7" s="473" t="s">
        <v>679</v>
      </c>
      <c r="H7" s="474"/>
      <c r="I7" s="473" t="s">
        <v>680</v>
      </c>
      <c r="J7" s="473" t="s">
        <v>678</v>
      </c>
      <c r="K7" s="473" t="s">
        <v>679</v>
      </c>
      <c r="L7" s="474"/>
      <c r="M7" s="473" t="s">
        <v>680</v>
      </c>
      <c r="N7" s="473" t="s">
        <v>678</v>
      </c>
      <c r="O7" s="473" t="s">
        <v>679</v>
      </c>
      <c r="P7" s="474"/>
      <c r="Q7" s="473" t="s">
        <v>680</v>
      </c>
      <c r="R7" s="106"/>
      <c r="S7" s="106"/>
      <c r="T7" s="106"/>
      <c r="U7" s="106"/>
    </row>
    <row r="8" spans="1:21" ht="50.25" customHeight="1" x14ac:dyDescent="0.2">
      <c r="A8" s="115"/>
      <c r="B8" s="480"/>
      <c r="C8" s="482"/>
      <c r="D8" s="482"/>
      <c r="E8" s="482"/>
      <c r="F8" s="473"/>
      <c r="G8" s="262" t="s">
        <v>668</v>
      </c>
      <c r="H8" s="262" t="s">
        <v>669</v>
      </c>
      <c r="I8" s="473"/>
      <c r="J8" s="473"/>
      <c r="K8" s="262" t="s">
        <v>668</v>
      </c>
      <c r="L8" s="262" t="s">
        <v>669</v>
      </c>
      <c r="M8" s="473"/>
      <c r="N8" s="473"/>
      <c r="O8" s="262" t="s">
        <v>668</v>
      </c>
      <c r="P8" s="262" t="s">
        <v>669</v>
      </c>
      <c r="Q8" s="473"/>
      <c r="R8" s="106"/>
      <c r="S8" s="106"/>
      <c r="T8" s="106"/>
      <c r="U8" s="106"/>
    </row>
    <row r="9" spans="1:21" ht="15" customHeight="1" x14ac:dyDescent="0.2">
      <c r="A9" s="115"/>
      <c r="B9" s="21">
        <v>1</v>
      </c>
      <c r="C9" s="263">
        <v>2</v>
      </c>
      <c r="D9" s="21">
        <v>3</v>
      </c>
      <c r="E9" s="263">
        <v>4</v>
      </c>
      <c r="F9" s="21">
        <v>5</v>
      </c>
      <c r="G9" s="263">
        <v>6</v>
      </c>
      <c r="H9" s="21">
        <v>7</v>
      </c>
      <c r="I9" s="263">
        <v>8</v>
      </c>
      <c r="J9" s="21">
        <v>9</v>
      </c>
      <c r="K9" s="263">
        <v>10</v>
      </c>
      <c r="L9" s="21">
        <v>11</v>
      </c>
      <c r="M9" s="263">
        <v>12</v>
      </c>
      <c r="N9" s="21">
        <v>13</v>
      </c>
      <c r="O9" s="263">
        <v>14</v>
      </c>
      <c r="P9" s="21">
        <v>15</v>
      </c>
      <c r="Q9" s="263">
        <v>16</v>
      </c>
      <c r="R9" s="106"/>
      <c r="S9" s="106"/>
      <c r="T9" s="106"/>
      <c r="U9" s="106"/>
    </row>
    <row r="10" spans="1:21" s="117" customFormat="1" ht="45" x14ac:dyDescent="0.2">
      <c r="A10" s="116"/>
      <c r="B10" s="297" t="s">
        <v>40</v>
      </c>
      <c r="C10" s="297"/>
      <c r="D10" s="297"/>
      <c r="E10" s="298" t="s">
        <v>41</v>
      </c>
      <c r="F10" s="299">
        <f>F11</f>
        <v>260000</v>
      </c>
      <c r="G10" s="299">
        <f t="shared" ref="G10:Q10" si="0">G11</f>
        <v>90000</v>
      </c>
      <c r="H10" s="299">
        <f t="shared" si="0"/>
        <v>0</v>
      </c>
      <c r="I10" s="299">
        <f t="shared" si="0"/>
        <v>350000</v>
      </c>
      <c r="J10" s="299">
        <f t="shared" si="0"/>
        <v>0</v>
      </c>
      <c r="K10" s="299">
        <f t="shared" si="0"/>
        <v>-90000</v>
      </c>
      <c r="L10" s="299">
        <f t="shared" si="0"/>
        <v>0</v>
      </c>
      <c r="M10" s="299">
        <f t="shared" si="0"/>
        <v>-90000</v>
      </c>
      <c r="N10" s="299">
        <f t="shared" si="0"/>
        <v>260000</v>
      </c>
      <c r="O10" s="299">
        <f t="shared" si="0"/>
        <v>0</v>
      </c>
      <c r="P10" s="299">
        <f t="shared" si="0"/>
        <v>0</v>
      </c>
      <c r="Q10" s="299">
        <f t="shared" si="0"/>
        <v>260000</v>
      </c>
    </row>
    <row r="11" spans="1:21" ht="42.75" x14ac:dyDescent="0.2">
      <c r="B11" s="294" t="s">
        <v>39</v>
      </c>
      <c r="C11" s="294"/>
      <c r="D11" s="294"/>
      <c r="E11" s="295" t="s">
        <v>58</v>
      </c>
      <c r="F11" s="296">
        <f>F12</f>
        <v>260000</v>
      </c>
      <c r="G11" s="296">
        <f t="shared" ref="G11:I11" si="1">G12</f>
        <v>90000</v>
      </c>
      <c r="H11" s="296">
        <f t="shared" si="1"/>
        <v>0</v>
      </c>
      <c r="I11" s="296">
        <f t="shared" si="1"/>
        <v>350000</v>
      </c>
      <c r="J11" s="296">
        <f>J13</f>
        <v>0</v>
      </c>
      <c r="K11" s="296">
        <f t="shared" ref="K11:M11" si="2">K13</f>
        <v>-90000</v>
      </c>
      <c r="L11" s="296">
        <f t="shared" si="2"/>
        <v>0</v>
      </c>
      <c r="M11" s="296">
        <f t="shared" si="2"/>
        <v>-90000</v>
      </c>
      <c r="N11" s="296">
        <f>F11+J11</f>
        <v>260000</v>
      </c>
      <c r="O11" s="296">
        <f t="shared" ref="O11:Q11" si="3">G11+K11</f>
        <v>0</v>
      </c>
      <c r="P11" s="296">
        <f t="shared" si="3"/>
        <v>0</v>
      </c>
      <c r="Q11" s="296">
        <f t="shared" si="3"/>
        <v>260000</v>
      </c>
    </row>
    <row r="12" spans="1:21" ht="15" x14ac:dyDescent="0.2">
      <c r="B12" s="290" t="s">
        <v>600</v>
      </c>
      <c r="C12" s="290" t="s">
        <v>602</v>
      </c>
      <c r="D12" s="290" t="s">
        <v>79</v>
      </c>
      <c r="E12" s="291" t="s">
        <v>295</v>
      </c>
      <c r="F12" s="292">
        <v>260000</v>
      </c>
      <c r="G12" s="292">
        <v>90000</v>
      </c>
      <c r="H12" s="292">
        <v>0</v>
      </c>
      <c r="I12" s="292">
        <f>F12+G12</f>
        <v>350000</v>
      </c>
      <c r="J12" s="292">
        <v>0</v>
      </c>
      <c r="K12" s="292">
        <v>0</v>
      </c>
      <c r="L12" s="292"/>
      <c r="M12" s="292">
        <f>J12+K12</f>
        <v>0</v>
      </c>
      <c r="N12" s="292">
        <f>F12+J12</f>
        <v>260000</v>
      </c>
      <c r="O12" s="293">
        <f>G12+K12</f>
        <v>90000</v>
      </c>
      <c r="P12" s="292" t="s">
        <v>189</v>
      </c>
      <c r="Q12" s="293">
        <f>I12+M12</f>
        <v>350000</v>
      </c>
    </row>
    <row r="13" spans="1:21" ht="15" x14ac:dyDescent="0.2">
      <c r="B13" s="290" t="s">
        <v>601</v>
      </c>
      <c r="C13" s="290" t="s">
        <v>603</v>
      </c>
      <c r="D13" s="290" t="s">
        <v>79</v>
      </c>
      <c r="E13" s="291" t="s">
        <v>296</v>
      </c>
      <c r="F13" s="292"/>
      <c r="G13" s="292">
        <f>H13+I13</f>
        <v>0</v>
      </c>
      <c r="H13" s="292"/>
      <c r="I13" s="292"/>
      <c r="J13" s="292"/>
      <c r="K13" s="292">
        <v>-90000</v>
      </c>
      <c r="L13" s="292"/>
      <c r="M13" s="293">
        <f>J13+K13</f>
        <v>-90000</v>
      </c>
      <c r="N13" s="292">
        <f>F13+J13</f>
        <v>0</v>
      </c>
      <c r="O13" s="293">
        <f>G13+K13</f>
        <v>-90000</v>
      </c>
      <c r="P13" s="292" t="s">
        <v>189</v>
      </c>
      <c r="Q13" s="293">
        <f>I13+M13</f>
        <v>-90000</v>
      </c>
    </row>
    <row r="14" spans="1:21" ht="27.75" customHeight="1" x14ac:dyDescent="0.2">
      <c r="B14" s="169" t="s">
        <v>665</v>
      </c>
      <c r="C14" s="169" t="s">
        <v>665</v>
      </c>
      <c r="D14" s="261" t="s">
        <v>665</v>
      </c>
      <c r="E14" s="258" t="s">
        <v>683</v>
      </c>
      <c r="F14" s="170">
        <f>F10</f>
        <v>260000</v>
      </c>
      <c r="G14" s="170">
        <f>H14+I14</f>
        <v>350000</v>
      </c>
      <c r="H14" s="170">
        <f t="shared" ref="H14:I14" si="4">H10</f>
        <v>0</v>
      </c>
      <c r="I14" s="170">
        <f t="shared" si="4"/>
        <v>350000</v>
      </c>
      <c r="J14" s="170">
        <f>J10</f>
        <v>0</v>
      </c>
      <c r="K14" s="170">
        <f>K10</f>
        <v>-90000</v>
      </c>
      <c r="L14" s="170">
        <f>L10</f>
        <v>0</v>
      </c>
      <c r="M14" s="170">
        <f t="shared" ref="M14:Q14" si="5">M10</f>
        <v>-90000</v>
      </c>
      <c r="N14" s="170">
        <f t="shared" si="5"/>
        <v>260000</v>
      </c>
      <c r="O14" s="170">
        <f t="shared" si="5"/>
        <v>0</v>
      </c>
      <c r="P14" s="170">
        <f t="shared" si="5"/>
        <v>0</v>
      </c>
      <c r="Q14" s="170">
        <f t="shared" si="5"/>
        <v>260000</v>
      </c>
    </row>
    <row r="15" spans="1:21" ht="27.75" customHeight="1" x14ac:dyDescent="0.25">
      <c r="B15" s="223"/>
      <c r="C15" s="223"/>
      <c r="D15" s="475" t="s">
        <v>656</v>
      </c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224"/>
    </row>
    <row r="16" spans="1:21" ht="15.75" customHeight="1" x14ac:dyDescent="0.25">
      <c r="B16" s="223"/>
      <c r="C16" s="223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224"/>
    </row>
    <row r="17" spans="4:16" ht="15" x14ac:dyDescent="0.25">
      <c r="D17" s="475" t="s">
        <v>231</v>
      </c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5"/>
    </row>
    <row r="18" spans="4:16" ht="15" x14ac:dyDescent="0.25"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</row>
    <row r="19" spans="4:16" ht="15" x14ac:dyDescent="0.2">
      <c r="D19" s="225"/>
      <c r="E19" s="226"/>
      <c r="F19" s="227"/>
      <c r="G19" s="225">
        <f>H19+I19</f>
        <v>0</v>
      </c>
      <c r="H19" s="225"/>
      <c r="I19" s="228"/>
      <c r="J19" s="226"/>
      <c r="K19" s="228"/>
      <c r="L19" s="225"/>
      <c r="M19" s="225"/>
      <c r="N19" s="228"/>
      <c r="O19" s="229"/>
      <c r="P19" s="230"/>
    </row>
    <row r="20" spans="4:16" ht="15" x14ac:dyDescent="0.25">
      <c r="D20" s="231"/>
      <c r="E20" s="231"/>
      <c r="F20" s="231"/>
      <c r="G20" s="231">
        <f>H20+I20</f>
        <v>0</v>
      </c>
      <c r="H20" s="231"/>
      <c r="I20" s="231"/>
      <c r="J20" s="231"/>
      <c r="K20" s="231"/>
      <c r="L20" s="231"/>
      <c r="M20" s="231"/>
      <c r="N20" s="231"/>
      <c r="O20" s="231"/>
      <c r="P20" s="231"/>
    </row>
    <row r="21" spans="4:16" x14ac:dyDescent="0.2">
      <c r="G21" s="107">
        <f>H21+I21</f>
        <v>0</v>
      </c>
    </row>
    <row r="22" spans="4:16" x14ac:dyDescent="0.2">
      <c r="G22" s="107">
        <f>H22+I22</f>
        <v>0</v>
      </c>
    </row>
    <row r="23" spans="4:16" x14ac:dyDescent="0.2">
      <c r="G23" s="107">
        <f>H23+I23</f>
        <v>0</v>
      </c>
    </row>
    <row r="45" spans="7:7" x14ac:dyDescent="0.2">
      <c r="G45" s="107">
        <f>H45+I45</f>
        <v>0</v>
      </c>
    </row>
    <row r="47" spans="7:7" x14ac:dyDescent="0.2">
      <c r="G47" s="107">
        <f t="shared" ref="G47:G65" si="6">H47+I47</f>
        <v>0</v>
      </c>
    </row>
    <row r="48" spans="7:7" x14ac:dyDescent="0.2">
      <c r="G48" s="107">
        <f t="shared" si="6"/>
        <v>0</v>
      </c>
    </row>
    <row r="49" spans="7:7" x14ac:dyDescent="0.2">
      <c r="G49" s="107">
        <f t="shared" si="6"/>
        <v>0</v>
      </c>
    </row>
    <row r="50" spans="7:7" x14ac:dyDescent="0.2">
      <c r="G50" s="107">
        <f t="shared" si="6"/>
        <v>0</v>
      </c>
    </row>
    <row r="51" spans="7:7" x14ac:dyDescent="0.2">
      <c r="G51" s="107">
        <f t="shared" si="6"/>
        <v>0</v>
      </c>
    </row>
    <row r="52" spans="7:7" x14ac:dyDescent="0.2">
      <c r="G52" s="107">
        <f t="shared" si="6"/>
        <v>0</v>
      </c>
    </row>
    <row r="53" spans="7:7" x14ac:dyDescent="0.2">
      <c r="G53" s="107">
        <f t="shared" si="6"/>
        <v>0</v>
      </c>
    </row>
    <row r="54" spans="7:7" x14ac:dyDescent="0.2">
      <c r="G54" s="107">
        <f t="shared" si="6"/>
        <v>0</v>
      </c>
    </row>
    <row r="55" spans="7:7" x14ac:dyDescent="0.2">
      <c r="G55" s="107">
        <f t="shared" si="6"/>
        <v>0</v>
      </c>
    </row>
    <row r="56" spans="7:7" x14ac:dyDescent="0.2">
      <c r="G56" s="107">
        <f t="shared" si="6"/>
        <v>0</v>
      </c>
    </row>
    <row r="57" spans="7:7" x14ac:dyDescent="0.2">
      <c r="G57" s="107">
        <f t="shared" si="6"/>
        <v>0</v>
      </c>
    </row>
    <row r="58" spans="7:7" x14ac:dyDescent="0.2">
      <c r="G58" s="107">
        <f t="shared" si="6"/>
        <v>0</v>
      </c>
    </row>
    <row r="59" spans="7:7" x14ac:dyDescent="0.2">
      <c r="G59" s="107">
        <f t="shared" si="6"/>
        <v>0</v>
      </c>
    </row>
    <row r="60" spans="7:7" x14ac:dyDescent="0.2">
      <c r="G60" s="107">
        <f t="shared" si="6"/>
        <v>0</v>
      </c>
    </row>
    <row r="61" spans="7:7" x14ac:dyDescent="0.2">
      <c r="G61" s="107">
        <f t="shared" si="6"/>
        <v>0</v>
      </c>
    </row>
    <row r="62" spans="7:7" x14ac:dyDescent="0.2">
      <c r="G62" s="107">
        <f t="shared" si="6"/>
        <v>0</v>
      </c>
    </row>
    <row r="63" spans="7:7" x14ac:dyDescent="0.2">
      <c r="G63" s="107">
        <f t="shared" si="6"/>
        <v>0</v>
      </c>
    </row>
    <row r="64" spans="7:7" x14ac:dyDescent="0.2">
      <c r="G64" s="107">
        <f t="shared" si="6"/>
        <v>0</v>
      </c>
    </row>
    <row r="65" spans="7:7" x14ac:dyDescent="0.2">
      <c r="G65" s="107">
        <f t="shared" si="6"/>
        <v>0</v>
      </c>
    </row>
    <row r="67" spans="7:7" x14ac:dyDescent="0.2">
      <c r="G67" s="107">
        <f>H67+I67</f>
        <v>0</v>
      </c>
    </row>
    <row r="68" spans="7:7" x14ac:dyDescent="0.2">
      <c r="G68" s="107">
        <f>H68+I68</f>
        <v>0</v>
      </c>
    </row>
    <row r="69" spans="7:7" x14ac:dyDescent="0.2">
      <c r="G69" s="107">
        <f>H69+I69</f>
        <v>0</v>
      </c>
    </row>
    <row r="70" spans="7:7" x14ac:dyDescent="0.2">
      <c r="G70" s="107">
        <f>H70+I70</f>
        <v>0</v>
      </c>
    </row>
    <row r="72" spans="7:7" x14ac:dyDescent="0.2">
      <c r="G72" s="107">
        <f>H72+I72</f>
        <v>0</v>
      </c>
    </row>
    <row r="75" spans="7:7" x14ac:dyDescent="0.2">
      <c r="G75" s="479"/>
    </row>
    <row r="76" spans="7:7" x14ac:dyDescent="0.2">
      <c r="G76" s="426"/>
    </row>
    <row r="112" spans="7:7" x14ac:dyDescent="0.2">
      <c r="G112" s="107">
        <f>H112+I112</f>
        <v>0</v>
      </c>
    </row>
    <row r="114" spans="7:7" x14ac:dyDescent="0.2">
      <c r="G114" s="107">
        <f t="shared" ref="G114:G124" si="7">H114+I114</f>
        <v>0</v>
      </c>
    </row>
    <row r="115" spans="7:7" x14ac:dyDescent="0.2">
      <c r="G115" s="107">
        <f t="shared" si="7"/>
        <v>0</v>
      </c>
    </row>
    <row r="116" spans="7:7" x14ac:dyDescent="0.2">
      <c r="G116" s="107">
        <f t="shared" si="7"/>
        <v>0</v>
      </c>
    </row>
    <row r="117" spans="7:7" x14ac:dyDescent="0.2">
      <c r="G117" s="107">
        <f t="shared" si="7"/>
        <v>0</v>
      </c>
    </row>
    <row r="118" spans="7:7" x14ac:dyDescent="0.2">
      <c r="G118" s="107">
        <f t="shared" si="7"/>
        <v>0</v>
      </c>
    </row>
    <row r="119" spans="7:7" x14ac:dyDescent="0.2">
      <c r="G119" s="107">
        <f t="shared" si="7"/>
        <v>0</v>
      </c>
    </row>
    <row r="120" spans="7:7" x14ac:dyDescent="0.2">
      <c r="G120" s="107">
        <f t="shared" si="7"/>
        <v>0</v>
      </c>
    </row>
    <row r="121" spans="7:7" x14ac:dyDescent="0.2">
      <c r="G121" s="107">
        <f t="shared" si="7"/>
        <v>0</v>
      </c>
    </row>
    <row r="122" spans="7:7" x14ac:dyDescent="0.2">
      <c r="G122" s="107">
        <f t="shared" si="7"/>
        <v>0</v>
      </c>
    </row>
    <row r="123" spans="7:7" x14ac:dyDescent="0.2">
      <c r="G123" s="107">
        <f t="shared" si="7"/>
        <v>0</v>
      </c>
    </row>
    <row r="124" spans="7:7" x14ac:dyDescent="0.2">
      <c r="G124" s="107">
        <f t="shared" si="7"/>
        <v>0</v>
      </c>
    </row>
    <row r="126" spans="7:7" x14ac:dyDescent="0.2">
      <c r="G126" s="107">
        <f>H127+I127</f>
        <v>0</v>
      </c>
    </row>
    <row r="127" spans="7:7" x14ac:dyDescent="0.2">
      <c r="G127" s="107">
        <f t="shared" ref="G127" si="8">H127+I127</f>
        <v>0</v>
      </c>
    </row>
    <row r="128" spans="7:7" x14ac:dyDescent="0.2">
      <c r="G128" s="107">
        <f>H128+I128</f>
        <v>0</v>
      </c>
    </row>
    <row r="129" spans="7:10" x14ac:dyDescent="0.2">
      <c r="G129" s="107">
        <f>H129+I129</f>
        <v>0</v>
      </c>
    </row>
    <row r="130" spans="7:10" x14ac:dyDescent="0.2">
      <c r="G130" s="107">
        <f>H130+I130</f>
        <v>0</v>
      </c>
    </row>
    <row r="131" spans="7:10" x14ac:dyDescent="0.2">
      <c r="G131" s="107">
        <f>H131+I131</f>
        <v>0</v>
      </c>
    </row>
    <row r="136" spans="7:10" ht="46.5" x14ac:dyDescent="0.65">
      <c r="J136" s="399"/>
    </row>
    <row r="139" spans="7:10" ht="46.5" x14ac:dyDescent="0.65">
      <c r="G139" s="399">
        <f>H139+I139</f>
        <v>0</v>
      </c>
      <c r="J139" s="399"/>
    </row>
    <row r="158" spans="11:11" ht="90" x14ac:dyDescent="1.1499999999999999">
      <c r="K158" s="396" t="b">
        <f>G158=H158+I158</f>
        <v>1</v>
      </c>
    </row>
  </sheetData>
  <mergeCells count="23">
    <mergeCell ref="G75:G76"/>
    <mergeCell ref="B6:B8"/>
    <mergeCell ref="C6:C8"/>
    <mergeCell ref="D6:D8"/>
    <mergeCell ref="E6:E8"/>
    <mergeCell ref="F6:I6"/>
    <mergeCell ref="F7:F8"/>
    <mergeCell ref="I7:I8"/>
    <mergeCell ref="O7:P7"/>
    <mergeCell ref="D18:P18"/>
    <mergeCell ref="D15:P15"/>
    <mergeCell ref="D17:P17"/>
    <mergeCell ref="M2:Q2"/>
    <mergeCell ref="E3:M4"/>
    <mergeCell ref="J6:M6"/>
    <mergeCell ref="N6:Q6"/>
    <mergeCell ref="Q7:Q8"/>
    <mergeCell ref="M7:M8"/>
    <mergeCell ref="N7:N8"/>
    <mergeCell ref="J7:J8"/>
    <mergeCell ref="D16:P16"/>
    <mergeCell ref="G7:H7"/>
    <mergeCell ref="K7:L7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59"/>
  <sheetViews>
    <sheetView tabSelected="1" view="pageBreakPreview" topLeftCell="B1" zoomScaleNormal="40" zoomScaleSheetLayoutView="100" workbookViewId="0">
      <pane ySplit="5" topLeftCell="A32" activePane="bottomLeft" state="frozen"/>
      <selection activeCell="K153" sqref="K153"/>
      <selection pane="bottomLeft" activeCell="J35" sqref="J35"/>
    </sheetView>
  </sheetViews>
  <sheetFormatPr defaultColWidth="7.85546875" defaultRowHeight="12.75" x14ac:dyDescent="0.2"/>
  <cols>
    <col min="1" max="1" width="3.28515625" style="18" hidden="1" customWidth="1"/>
    <col min="2" max="2" width="14.28515625" style="164" customWidth="1"/>
    <col min="3" max="3" width="14" style="164" customWidth="1"/>
    <col min="4" max="4" width="16.85546875" style="164" customWidth="1"/>
    <col min="5" max="5" width="41.5703125" style="164" customWidth="1"/>
    <col min="6" max="6" width="38.5703125" style="164" customWidth="1"/>
    <col min="7" max="10" width="18.140625" style="164" customWidth="1"/>
    <col min="11" max="11" width="52.5703125" style="19" customWidth="1"/>
    <col min="12" max="12" width="16.5703125" style="19" customWidth="1"/>
    <col min="13" max="13" width="13.7109375" style="19" customWidth="1"/>
    <col min="14" max="14" width="12.7109375" style="19" customWidth="1"/>
    <col min="15" max="16384" width="7.85546875" style="19"/>
  </cols>
  <sheetData>
    <row r="1" spans="1:10" s="17" customFormat="1" ht="22.7" customHeight="1" x14ac:dyDescent="0.25">
      <c r="A1" s="16"/>
      <c r="B1" s="487"/>
      <c r="C1" s="487"/>
      <c r="D1" s="487"/>
      <c r="E1" s="487"/>
      <c r="F1" s="487"/>
      <c r="G1" s="487"/>
      <c r="H1" s="487"/>
      <c r="I1" s="487"/>
      <c r="J1" s="487"/>
    </row>
    <row r="2" spans="1:10" ht="41.25" customHeight="1" x14ac:dyDescent="0.2">
      <c r="G2" s="476" t="s">
        <v>635</v>
      </c>
      <c r="H2" s="476"/>
      <c r="I2" s="476"/>
      <c r="J2" s="476"/>
    </row>
    <row r="3" spans="1:10" ht="34.5" customHeight="1" x14ac:dyDescent="0.2">
      <c r="B3" s="488" t="s">
        <v>684</v>
      </c>
      <c r="C3" s="489"/>
      <c r="D3" s="489"/>
      <c r="E3" s="489"/>
      <c r="F3" s="489"/>
      <c r="G3" s="489"/>
      <c r="H3" s="489"/>
      <c r="I3" s="489"/>
      <c r="J3" s="489"/>
    </row>
    <row r="4" spans="1:10" ht="173.25" customHeight="1" x14ac:dyDescent="0.2">
      <c r="A4" s="20"/>
      <c r="B4" s="264" t="s">
        <v>29</v>
      </c>
      <c r="C4" s="264" t="s">
        <v>675</v>
      </c>
      <c r="D4" s="264" t="s">
        <v>682</v>
      </c>
      <c r="E4" s="264" t="s">
        <v>676</v>
      </c>
      <c r="F4" s="22" t="s">
        <v>697</v>
      </c>
      <c r="G4" s="22" t="s">
        <v>698</v>
      </c>
      <c r="H4" s="22" t="s">
        <v>699</v>
      </c>
      <c r="I4" s="22" t="s">
        <v>700</v>
      </c>
      <c r="J4" s="22" t="s">
        <v>701</v>
      </c>
    </row>
    <row r="5" spans="1:10" ht="20.25" customHeight="1" x14ac:dyDescent="0.2">
      <c r="A5" s="20"/>
      <c r="B5" s="264">
        <v>1</v>
      </c>
      <c r="C5" s="264">
        <v>2</v>
      </c>
      <c r="D5" s="264">
        <v>3</v>
      </c>
      <c r="E5" s="264">
        <v>4</v>
      </c>
      <c r="F5" s="264">
        <v>5</v>
      </c>
      <c r="G5" s="264">
        <v>6</v>
      </c>
      <c r="H5" s="264">
        <v>7</v>
      </c>
      <c r="I5" s="264">
        <v>8</v>
      </c>
      <c r="J5" s="264">
        <v>9</v>
      </c>
    </row>
    <row r="6" spans="1:10" ht="39.75" customHeight="1" x14ac:dyDescent="0.2">
      <c r="A6" s="20"/>
      <c r="B6" s="316" t="s">
        <v>235</v>
      </c>
      <c r="C6" s="316"/>
      <c r="D6" s="316"/>
      <c r="E6" s="317" t="s">
        <v>237</v>
      </c>
      <c r="F6" s="369"/>
      <c r="G6" s="369"/>
      <c r="H6" s="369"/>
      <c r="I6" s="370">
        <f>I7</f>
        <v>1710000</v>
      </c>
      <c r="J6" s="370"/>
    </row>
    <row r="7" spans="1:10" ht="47.25" customHeight="1" x14ac:dyDescent="0.2">
      <c r="A7" s="20"/>
      <c r="B7" s="321" t="s">
        <v>236</v>
      </c>
      <c r="C7" s="321"/>
      <c r="D7" s="321"/>
      <c r="E7" s="322" t="s">
        <v>238</v>
      </c>
      <c r="F7" s="369"/>
      <c r="G7" s="369"/>
      <c r="H7" s="369"/>
      <c r="I7" s="371">
        <f>SUM(I8:I9)</f>
        <v>1710000</v>
      </c>
      <c r="J7" s="371"/>
    </row>
    <row r="8" spans="1:10" ht="93.75" customHeight="1" x14ac:dyDescent="0.2">
      <c r="A8" s="20"/>
      <c r="B8" s="340" t="s">
        <v>340</v>
      </c>
      <c r="C8" s="340" t="s">
        <v>341</v>
      </c>
      <c r="D8" s="340" t="s">
        <v>342</v>
      </c>
      <c r="E8" s="340" t="s">
        <v>339</v>
      </c>
      <c r="F8" s="195" t="s">
        <v>90</v>
      </c>
      <c r="G8" s="363"/>
      <c r="H8" s="363"/>
      <c r="I8" s="341">
        <v>210000</v>
      </c>
      <c r="J8" s="341"/>
    </row>
    <row r="9" spans="1:10" ht="30" x14ac:dyDescent="0.2">
      <c r="A9" s="20"/>
      <c r="B9" s="340" t="s">
        <v>346</v>
      </c>
      <c r="C9" s="340" t="s">
        <v>347</v>
      </c>
      <c r="D9" s="340" t="s">
        <v>348</v>
      </c>
      <c r="E9" s="340" t="s">
        <v>345</v>
      </c>
      <c r="F9" s="195" t="s">
        <v>90</v>
      </c>
      <c r="G9" s="363"/>
      <c r="H9" s="363"/>
      <c r="I9" s="341">
        <v>1500000</v>
      </c>
      <c r="J9" s="341"/>
    </row>
    <row r="10" spans="1:10" ht="45" x14ac:dyDescent="0.2">
      <c r="A10" s="24"/>
      <c r="B10" s="316" t="s">
        <v>239</v>
      </c>
      <c r="C10" s="372"/>
      <c r="D10" s="372"/>
      <c r="E10" s="317" t="s">
        <v>0</v>
      </c>
      <c r="F10" s="373"/>
      <c r="G10" s="374"/>
      <c r="H10" s="374"/>
      <c r="I10" s="320">
        <f>I11</f>
        <v>13109000</v>
      </c>
      <c r="J10" s="320"/>
    </row>
    <row r="11" spans="1:10" ht="42.75" x14ac:dyDescent="0.2">
      <c r="A11" s="24"/>
      <c r="B11" s="321" t="s">
        <v>240</v>
      </c>
      <c r="C11" s="369"/>
      <c r="D11" s="375"/>
      <c r="E11" s="322" t="s">
        <v>1</v>
      </c>
      <c r="F11" s="318"/>
      <c r="G11" s="319"/>
      <c r="H11" s="319"/>
      <c r="I11" s="323">
        <f>SUM(I12:I20)</f>
        <v>13109000</v>
      </c>
      <c r="J11" s="323"/>
    </row>
    <row r="12" spans="1:10" ht="15" x14ac:dyDescent="0.2">
      <c r="B12" s="340" t="s">
        <v>297</v>
      </c>
      <c r="C12" s="340" t="s">
        <v>298</v>
      </c>
      <c r="D12" s="340" t="s">
        <v>300</v>
      </c>
      <c r="E12" s="340" t="s">
        <v>301</v>
      </c>
      <c r="F12" s="195" t="s">
        <v>90</v>
      </c>
      <c r="G12" s="195"/>
      <c r="H12" s="195"/>
      <c r="I12" s="341">
        <f>252000+2500000</f>
        <v>2752000</v>
      </c>
      <c r="J12" s="341"/>
    </row>
    <row r="13" spans="1:10" ht="89.45" customHeight="1" x14ac:dyDescent="0.2">
      <c r="B13" s="340" t="s">
        <v>303</v>
      </c>
      <c r="C13" s="340" t="s">
        <v>299</v>
      </c>
      <c r="D13" s="340" t="s">
        <v>304</v>
      </c>
      <c r="E13" s="340" t="s">
        <v>633</v>
      </c>
      <c r="F13" s="195" t="s">
        <v>90</v>
      </c>
      <c r="G13" s="195"/>
      <c r="H13" s="195"/>
      <c r="I13" s="341">
        <f>171000+2450000</f>
        <v>2621000</v>
      </c>
      <c r="J13" s="341"/>
    </row>
    <row r="14" spans="1:10" ht="89.45" customHeight="1" x14ac:dyDescent="0.2">
      <c r="B14" s="340" t="s">
        <v>303</v>
      </c>
      <c r="C14" s="340" t="s">
        <v>299</v>
      </c>
      <c r="D14" s="340" t="s">
        <v>304</v>
      </c>
      <c r="E14" s="340" t="s">
        <v>633</v>
      </c>
      <c r="F14" s="196" t="s">
        <v>737</v>
      </c>
      <c r="G14" s="195" t="s">
        <v>796</v>
      </c>
      <c r="H14" s="195">
        <v>305362</v>
      </c>
      <c r="I14" s="341">
        <v>100000</v>
      </c>
      <c r="J14" s="402">
        <f>I14/H14</f>
        <v>0.32748017107564137</v>
      </c>
    </row>
    <row r="15" spans="1:10" ht="89.45" customHeight="1" x14ac:dyDescent="0.2">
      <c r="B15" s="340" t="s">
        <v>303</v>
      </c>
      <c r="C15" s="340" t="s">
        <v>299</v>
      </c>
      <c r="D15" s="340" t="s">
        <v>304</v>
      </c>
      <c r="E15" s="340" t="s">
        <v>633</v>
      </c>
      <c r="F15" s="196" t="s">
        <v>738</v>
      </c>
      <c r="G15" s="195"/>
      <c r="H15" s="195"/>
      <c r="I15" s="341">
        <v>300000</v>
      </c>
      <c r="J15" s="341"/>
    </row>
    <row r="16" spans="1:10" ht="90" x14ac:dyDescent="0.2">
      <c r="B16" s="340" t="s">
        <v>307</v>
      </c>
      <c r="C16" s="340" t="s">
        <v>306</v>
      </c>
      <c r="D16" s="340" t="s">
        <v>308</v>
      </c>
      <c r="E16" s="340" t="s">
        <v>32</v>
      </c>
      <c r="F16" s="195" t="s">
        <v>90</v>
      </c>
      <c r="G16" s="195"/>
      <c r="H16" s="195"/>
      <c r="I16" s="341">
        <v>9000</v>
      </c>
      <c r="J16" s="341"/>
    </row>
    <row r="17" spans="1:10" ht="45" x14ac:dyDescent="0.2">
      <c r="B17" s="340" t="s">
        <v>309</v>
      </c>
      <c r="C17" s="340" t="s">
        <v>288</v>
      </c>
      <c r="D17" s="340" t="s">
        <v>276</v>
      </c>
      <c r="E17" s="340" t="s">
        <v>33</v>
      </c>
      <c r="F17" s="195" t="s">
        <v>90</v>
      </c>
      <c r="G17" s="195"/>
      <c r="H17" s="195"/>
      <c r="I17" s="341">
        <f>18000+2000000</f>
        <v>2018000</v>
      </c>
      <c r="J17" s="341"/>
    </row>
    <row r="18" spans="1:10" ht="45" x14ac:dyDescent="0.2">
      <c r="B18" s="340" t="s">
        <v>309</v>
      </c>
      <c r="C18" s="340" t="s">
        <v>288</v>
      </c>
      <c r="D18" s="340" t="s">
        <v>276</v>
      </c>
      <c r="E18" s="340" t="s">
        <v>33</v>
      </c>
      <c r="F18" s="196" t="s">
        <v>628</v>
      </c>
      <c r="G18" s="195"/>
      <c r="H18" s="195"/>
      <c r="I18" s="341">
        <v>300000</v>
      </c>
      <c r="J18" s="341"/>
    </row>
    <row r="19" spans="1:10" ht="30" x14ac:dyDescent="0.2">
      <c r="B19" s="340" t="s">
        <v>506</v>
      </c>
      <c r="C19" s="340" t="s">
        <v>507</v>
      </c>
      <c r="D19" s="340" t="s">
        <v>317</v>
      </c>
      <c r="E19" s="340" t="s">
        <v>505</v>
      </c>
      <c r="F19" s="195" t="s">
        <v>90</v>
      </c>
      <c r="G19" s="195"/>
      <c r="H19" s="195"/>
      <c r="I19" s="341">
        <v>9000</v>
      </c>
      <c r="J19" s="341"/>
    </row>
    <row r="20" spans="1:10" ht="19.5" customHeight="1" x14ac:dyDescent="0.2">
      <c r="B20" s="340" t="s">
        <v>319</v>
      </c>
      <c r="C20" s="340" t="s">
        <v>320</v>
      </c>
      <c r="D20" s="340" t="s">
        <v>321</v>
      </c>
      <c r="E20" s="340" t="s">
        <v>67</v>
      </c>
      <c r="F20" s="195" t="s">
        <v>90</v>
      </c>
      <c r="G20" s="195"/>
      <c r="H20" s="195"/>
      <c r="I20" s="341">
        <v>5000000</v>
      </c>
      <c r="J20" s="341"/>
    </row>
    <row r="21" spans="1:10" ht="45" x14ac:dyDescent="0.2">
      <c r="B21" s="345" t="s">
        <v>241</v>
      </c>
      <c r="C21" s="346"/>
      <c r="D21" s="346"/>
      <c r="E21" s="317" t="s">
        <v>36</v>
      </c>
      <c r="F21" s="318"/>
      <c r="G21" s="319"/>
      <c r="H21" s="319"/>
      <c r="I21" s="320">
        <f>I22</f>
        <v>5499500</v>
      </c>
      <c r="J21" s="320"/>
    </row>
    <row r="22" spans="1:10" ht="42.75" x14ac:dyDescent="0.2">
      <c r="B22" s="316" t="s">
        <v>242</v>
      </c>
      <c r="C22" s="316"/>
      <c r="D22" s="316"/>
      <c r="E22" s="322" t="s">
        <v>59</v>
      </c>
      <c r="F22" s="318"/>
      <c r="G22" s="319"/>
      <c r="H22" s="319"/>
      <c r="I22" s="323">
        <f>SUM(I23:I28)</f>
        <v>5499500</v>
      </c>
      <c r="J22" s="323"/>
    </row>
    <row r="23" spans="1:10" ht="30" x14ac:dyDescent="0.2">
      <c r="A23" s="19"/>
      <c r="B23" s="340" t="s">
        <v>322</v>
      </c>
      <c r="C23" s="340" t="s">
        <v>318</v>
      </c>
      <c r="D23" s="340" t="s">
        <v>323</v>
      </c>
      <c r="E23" s="340" t="s">
        <v>37</v>
      </c>
      <c r="F23" s="195" t="s">
        <v>90</v>
      </c>
      <c r="G23" s="195"/>
      <c r="H23" s="195"/>
      <c r="I23" s="341">
        <v>3342900</v>
      </c>
      <c r="J23" s="341"/>
    </row>
    <row r="24" spans="1:10" ht="75" x14ac:dyDescent="0.2">
      <c r="A24" s="19"/>
      <c r="B24" s="340" t="s">
        <v>322</v>
      </c>
      <c r="C24" s="340" t="s">
        <v>318</v>
      </c>
      <c r="D24" s="340" t="s">
        <v>323</v>
      </c>
      <c r="E24" s="340" t="s">
        <v>37</v>
      </c>
      <c r="F24" s="196" t="s">
        <v>732</v>
      </c>
      <c r="G24" s="195"/>
      <c r="H24" s="195"/>
      <c r="I24" s="341">
        <v>200000</v>
      </c>
      <c r="J24" s="341"/>
    </row>
    <row r="25" spans="1:10" ht="75" x14ac:dyDescent="0.2">
      <c r="A25" s="19"/>
      <c r="B25" s="340" t="s">
        <v>322</v>
      </c>
      <c r="C25" s="340" t="s">
        <v>318</v>
      </c>
      <c r="D25" s="340" t="s">
        <v>323</v>
      </c>
      <c r="E25" s="340" t="s">
        <v>37</v>
      </c>
      <c r="F25" s="196" t="s">
        <v>734</v>
      </c>
      <c r="G25" s="195"/>
      <c r="H25" s="195"/>
      <c r="I25" s="341">
        <v>600000</v>
      </c>
      <c r="J25" s="341"/>
    </row>
    <row r="26" spans="1:10" ht="60" x14ac:dyDescent="0.2">
      <c r="A26" s="19"/>
      <c r="B26" s="340" t="s">
        <v>322</v>
      </c>
      <c r="C26" s="340" t="s">
        <v>318</v>
      </c>
      <c r="D26" s="340" t="s">
        <v>323</v>
      </c>
      <c r="E26" s="340" t="s">
        <v>37</v>
      </c>
      <c r="F26" s="196" t="s">
        <v>733</v>
      </c>
      <c r="G26" s="195"/>
      <c r="H26" s="195"/>
      <c r="I26" s="341">
        <v>390000</v>
      </c>
      <c r="J26" s="341"/>
    </row>
    <row r="27" spans="1:10" ht="30" x14ac:dyDescent="0.2">
      <c r="A27" s="163"/>
      <c r="B27" s="340" t="s">
        <v>324</v>
      </c>
      <c r="C27" s="340" t="s">
        <v>325</v>
      </c>
      <c r="D27" s="340" t="s">
        <v>326</v>
      </c>
      <c r="E27" s="340" t="s">
        <v>327</v>
      </c>
      <c r="F27" s="195" t="s">
        <v>90</v>
      </c>
      <c r="G27" s="341"/>
      <c r="H27" s="341"/>
      <c r="I27" s="341">
        <v>126000</v>
      </c>
      <c r="J27" s="341"/>
    </row>
    <row r="28" spans="1:10" ht="52.5" customHeight="1" x14ac:dyDescent="0.2">
      <c r="A28" s="19"/>
      <c r="B28" s="340" t="s">
        <v>328</v>
      </c>
      <c r="C28" s="340" t="s">
        <v>329</v>
      </c>
      <c r="D28" s="340" t="s">
        <v>330</v>
      </c>
      <c r="E28" s="340" t="s">
        <v>554</v>
      </c>
      <c r="F28" s="195" t="s">
        <v>90</v>
      </c>
      <c r="G28" s="195"/>
      <c r="H28" s="195"/>
      <c r="I28" s="341">
        <f>939600-99000</f>
        <v>840600</v>
      </c>
      <c r="J28" s="341"/>
    </row>
    <row r="29" spans="1:10" ht="45" x14ac:dyDescent="0.2">
      <c r="A29" s="19"/>
      <c r="B29" s="316" t="s">
        <v>243</v>
      </c>
      <c r="C29" s="316"/>
      <c r="D29" s="316"/>
      <c r="E29" s="317" t="s">
        <v>60</v>
      </c>
      <c r="F29" s="318"/>
      <c r="G29" s="319"/>
      <c r="H29" s="319"/>
      <c r="I29" s="320">
        <f>I30</f>
        <v>7475000</v>
      </c>
      <c r="J29" s="320"/>
    </row>
    <row r="30" spans="1:10" ht="57" x14ac:dyDescent="0.2">
      <c r="A30" s="19"/>
      <c r="B30" s="321" t="s">
        <v>244</v>
      </c>
      <c r="C30" s="321"/>
      <c r="D30" s="321"/>
      <c r="E30" s="322" t="s">
        <v>61</v>
      </c>
      <c r="F30" s="318"/>
      <c r="G30" s="319"/>
      <c r="H30" s="319"/>
      <c r="I30" s="323">
        <f>SUM(I31:I38)</f>
        <v>7475000</v>
      </c>
      <c r="J30" s="323"/>
    </row>
    <row r="31" spans="1:10" ht="45" x14ac:dyDescent="0.2">
      <c r="A31" s="19"/>
      <c r="B31" s="340" t="s">
        <v>745</v>
      </c>
      <c r="C31" s="340" t="s">
        <v>344</v>
      </c>
      <c r="D31" s="340" t="s">
        <v>342</v>
      </c>
      <c r="E31" s="340" t="s">
        <v>343</v>
      </c>
      <c r="F31" s="195" t="s">
        <v>90</v>
      </c>
      <c r="G31" s="195"/>
      <c r="H31" s="195"/>
      <c r="I31" s="197">
        <v>450000</v>
      </c>
      <c r="J31" s="197"/>
    </row>
    <row r="32" spans="1:10" ht="30" x14ac:dyDescent="0.2">
      <c r="A32" s="19"/>
      <c r="B32" s="273" t="s">
        <v>409</v>
      </c>
      <c r="C32" s="273" t="s">
        <v>410</v>
      </c>
      <c r="D32" s="273" t="s">
        <v>305</v>
      </c>
      <c r="E32" s="315" t="s">
        <v>411</v>
      </c>
      <c r="F32" s="195" t="s">
        <v>90</v>
      </c>
      <c r="G32" s="275"/>
      <c r="H32" s="275"/>
      <c r="I32" s="276">
        <v>100000</v>
      </c>
      <c r="J32" s="276"/>
    </row>
    <row r="33" spans="1:10" ht="75" customHeight="1" x14ac:dyDescent="0.2">
      <c r="A33" s="19"/>
      <c r="B33" s="274" t="s">
        <v>407</v>
      </c>
      <c r="C33" s="274" t="s">
        <v>405</v>
      </c>
      <c r="D33" s="274" t="s">
        <v>299</v>
      </c>
      <c r="E33" s="274" t="s">
        <v>35</v>
      </c>
      <c r="F33" s="195" t="s">
        <v>90</v>
      </c>
      <c r="G33" s="195"/>
      <c r="H33" s="195"/>
      <c r="I33" s="197">
        <v>175000</v>
      </c>
      <c r="J33" s="197"/>
    </row>
    <row r="34" spans="1:10" ht="45" x14ac:dyDescent="0.2">
      <c r="A34" s="19"/>
      <c r="B34" s="274" t="s">
        <v>526</v>
      </c>
      <c r="C34" s="274" t="s">
        <v>528</v>
      </c>
      <c r="D34" s="274" t="s">
        <v>288</v>
      </c>
      <c r="E34" s="214" t="s">
        <v>530</v>
      </c>
      <c r="F34" s="195" t="s">
        <v>90</v>
      </c>
      <c r="G34" s="276"/>
      <c r="H34" s="198"/>
      <c r="I34" s="197">
        <f>300000+900000+650000</f>
        <v>1850000</v>
      </c>
      <c r="J34" s="197"/>
    </row>
    <row r="35" spans="1:10" ht="105" x14ac:dyDescent="0.2">
      <c r="A35" s="19"/>
      <c r="B35" s="274" t="s">
        <v>526</v>
      </c>
      <c r="C35" s="274" t="s">
        <v>528</v>
      </c>
      <c r="D35" s="274" t="s">
        <v>288</v>
      </c>
      <c r="E35" s="214" t="s">
        <v>530</v>
      </c>
      <c r="F35" s="196" t="s">
        <v>834</v>
      </c>
      <c r="G35" s="276"/>
      <c r="H35" s="198"/>
      <c r="I35" s="197">
        <v>180000</v>
      </c>
      <c r="J35" s="197"/>
    </row>
    <row r="36" spans="1:10" ht="30" x14ac:dyDescent="0.2">
      <c r="A36" s="19"/>
      <c r="B36" s="274" t="s">
        <v>527</v>
      </c>
      <c r="C36" s="274" t="s">
        <v>529</v>
      </c>
      <c r="D36" s="274" t="s">
        <v>288</v>
      </c>
      <c r="E36" s="214" t="s">
        <v>531</v>
      </c>
      <c r="F36" s="196" t="s">
        <v>576</v>
      </c>
      <c r="G36" s="276"/>
      <c r="H36" s="276"/>
      <c r="I36" s="197">
        <v>220000</v>
      </c>
      <c r="J36" s="197"/>
    </row>
    <row r="37" spans="1:10" ht="30" x14ac:dyDescent="0.2">
      <c r="A37" s="19"/>
      <c r="B37" s="274" t="s">
        <v>612</v>
      </c>
      <c r="C37" s="274" t="s">
        <v>610</v>
      </c>
      <c r="D37" s="274" t="s">
        <v>545</v>
      </c>
      <c r="E37" s="214" t="s">
        <v>611</v>
      </c>
      <c r="F37" s="195" t="s">
        <v>90</v>
      </c>
      <c r="G37" s="276"/>
      <c r="H37" s="198"/>
      <c r="I37" s="197">
        <v>3500000</v>
      </c>
      <c r="J37" s="197"/>
    </row>
    <row r="38" spans="1:10" ht="105" x14ac:dyDescent="0.2">
      <c r="A38" s="19"/>
      <c r="B38" s="274" t="s">
        <v>721</v>
      </c>
      <c r="C38" s="274" t="s">
        <v>722</v>
      </c>
      <c r="D38" s="274" t="s">
        <v>453</v>
      </c>
      <c r="E38" s="214" t="s">
        <v>723</v>
      </c>
      <c r="F38" s="196" t="s">
        <v>724</v>
      </c>
      <c r="G38" s="276"/>
      <c r="H38" s="198"/>
      <c r="I38" s="197">
        <v>1000000</v>
      </c>
      <c r="J38" s="197"/>
    </row>
    <row r="39" spans="1:10" ht="45" x14ac:dyDescent="0.2">
      <c r="A39" s="19"/>
      <c r="B39" s="376">
        <v>1000000</v>
      </c>
      <c r="C39" s="376"/>
      <c r="D39" s="376"/>
      <c r="E39" s="316" t="s">
        <v>43</v>
      </c>
      <c r="F39" s="318"/>
      <c r="G39" s="319"/>
      <c r="H39" s="319"/>
      <c r="I39" s="320">
        <f>I40</f>
        <v>3886442</v>
      </c>
      <c r="J39" s="320"/>
    </row>
    <row r="40" spans="1:10" ht="42.75" x14ac:dyDescent="0.2">
      <c r="A40" s="19"/>
      <c r="B40" s="377">
        <v>1010000</v>
      </c>
      <c r="C40" s="377"/>
      <c r="D40" s="377"/>
      <c r="E40" s="321" t="s">
        <v>62</v>
      </c>
      <c r="F40" s="318"/>
      <c r="G40" s="319"/>
      <c r="H40" s="319"/>
      <c r="I40" s="323">
        <f>SUM(I41:I45)</f>
        <v>3886442</v>
      </c>
      <c r="J40" s="323"/>
    </row>
    <row r="41" spans="1:10" ht="60" x14ac:dyDescent="0.2">
      <c r="A41" s="19"/>
      <c r="B41" s="274" t="s">
        <v>34</v>
      </c>
      <c r="C41" s="274" t="s">
        <v>275</v>
      </c>
      <c r="D41" s="274" t="s">
        <v>276</v>
      </c>
      <c r="E41" s="274" t="s">
        <v>274</v>
      </c>
      <c r="F41" s="195" t="s">
        <v>90</v>
      </c>
      <c r="G41" s="195"/>
      <c r="H41" s="195"/>
      <c r="I41" s="197">
        <v>386442</v>
      </c>
      <c r="J41" s="197"/>
    </row>
    <row r="42" spans="1:10" ht="30" customHeight="1" x14ac:dyDescent="0.2">
      <c r="A42" s="19"/>
      <c r="B42" s="274" t="s">
        <v>268</v>
      </c>
      <c r="C42" s="274" t="s">
        <v>269</v>
      </c>
      <c r="D42" s="274" t="s">
        <v>266</v>
      </c>
      <c r="E42" s="274" t="s">
        <v>270</v>
      </c>
      <c r="F42" s="195" t="s">
        <v>90</v>
      </c>
      <c r="G42" s="195"/>
      <c r="H42" s="195"/>
      <c r="I42" s="197">
        <v>70000</v>
      </c>
      <c r="J42" s="197"/>
    </row>
    <row r="43" spans="1:10" ht="75" hidden="1" customHeight="1" x14ac:dyDescent="0.2">
      <c r="A43" s="19"/>
      <c r="B43" s="274" t="s">
        <v>268</v>
      </c>
      <c r="C43" s="274" t="s">
        <v>269</v>
      </c>
      <c r="D43" s="274" t="s">
        <v>266</v>
      </c>
      <c r="E43" s="274" t="s">
        <v>270</v>
      </c>
      <c r="F43" s="196" t="s">
        <v>608</v>
      </c>
      <c r="G43" s="195"/>
      <c r="H43" s="195"/>
      <c r="I43" s="197"/>
      <c r="J43" s="197"/>
    </row>
    <row r="44" spans="1:10" ht="60" x14ac:dyDescent="0.2">
      <c r="A44" s="19"/>
      <c r="B44" s="274" t="s">
        <v>268</v>
      </c>
      <c r="C44" s="274" t="s">
        <v>269</v>
      </c>
      <c r="D44" s="274" t="s">
        <v>266</v>
      </c>
      <c r="E44" s="274" t="s">
        <v>270</v>
      </c>
      <c r="F44" s="196" t="s">
        <v>31</v>
      </c>
      <c r="G44" s="197" t="s">
        <v>717</v>
      </c>
      <c r="H44" s="197">
        <v>26997397.190000001</v>
      </c>
      <c r="I44" s="197">
        <v>2930000</v>
      </c>
      <c r="J44" s="403">
        <f>1-18158597.19/H44</f>
        <v>0.32739452391632573</v>
      </c>
    </row>
    <row r="45" spans="1:10" ht="45" x14ac:dyDescent="0.2">
      <c r="A45" s="19"/>
      <c r="B45" s="274" t="s">
        <v>271</v>
      </c>
      <c r="C45" s="274" t="s">
        <v>260</v>
      </c>
      <c r="D45" s="274" t="s">
        <v>272</v>
      </c>
      <c r="E45" s="274" t="s">
        <v>273</v>
      </c>
      <c r="F45" s="195" t="s">
        <v>90</v>
      </c>
      <c r="G45" s="197"/>
      <c r="H45" s="198"/>
      <c r="I45" s="197">
        <v>500000</v>
      </c>
      <c r="J45" s="197"/>
    </row>
    <row r="46" spans="1:10" ht="45" x14ac:dyDescent="0.2">
      <c r="A46" s="19"/>
      <c r="B46" s="316" t="s">
        <v>40</v>
      </c>
      <c r="C46" s="316"/>
      <c r="D46" s="316"/>
      <c r="E46" s="316" t="s">
        <v>41</v>
      </c>
      <c r="F46" s="319"/>
      <c r="G46" s="319"/>
      <c r="H46" s="319"/>
      <c r="I46" s="329">
        <f>I47</f>
        <v>1408533</v>
      </c>
      <c r="J46" s="329"/>
    </row>
    <row r="47" spans="1:10" ht="42.75" x14ac:dyDescent="0.2">
      <c r="A47" s="19"/>
      <c r="B47" s="321" t="s">
        <v>39</v>
      </c>
      <c r="C47" s="321"/>
      <c r="D47" s="321"/>
      <c r="E47" s="321" t="s">
        <v>58</v>
      </c>
      <c r="F47" s="319"/>
      <c r="G47" s="319"/>
      <c r="H47" s="319"/>
      <c r="I47" s="330">
        <f>SUM(I48:I49)</f>
        <v>1408533</v>
      </c>
      <c r="J47" s="330"/>
    </row>
    <row r="48" spans="1:10" s="165" customFormat="1" ht="30" x14ac:dyDescent="0.2">
      <c r="B48" s="274" t="s">
        <v>285</v>
      </c>
      <c r="C48" s="274" t="s">
        <v>286</v>
      </c>
      <c r="D48" s="274" t="s">
        <v>280</v>
      </c>
      <c r="E48" s="274" t="s">
        <v>23</v>
      </c>
      <c r="F48" s="195" t="s">
        <v>90</v>
      </c>
      <c r="G48" s="203"/>
      <c r="H48" s="203"/>
      <c r="I48" s="276">
        <v>592430</v>
      </c>
      <c r="J48" s="276"/>
    </row>
    <row r="49" spans="1:12" s="165" customFormat="1" ht="15" x14ac:dyDescent="0.2">
      <c r="B49" s="274" t="s">
        <v>577</v>
      </c>
      <c r="C49" s="274" t="s">
        <v>578</v>
      </c>
      <c r="D49" s="274" t="s">
        <v>280</v>
      </c>
      <c r="E49" s="274" t="s">
        <v>579</v>
      </c>
      <c r="F49" s="195" t="s">
        <v>90</v>
      </c>
      <c r="G49" s="203"/>
      <c r="H49" s="203"/>
      <c r="I49" s="276">
        <v>816103</v>
      </c>
      <c r="J49" s="276"/>
    </row>
    <row r="50" spans="1:12" ht="45" x14ac:dyDescent="0.2">
      <c r="A50" s="19"/>
      <c r="B50" s="316" t="s">
        <v>245</v>
      </c>
      <c r="C50" s="316"/>
      <c r="D50" s="316"/>
      <c r="E50" s="316" t="s">
        <v>42</v>
      </c>
      <c r="F50" s="318"/>
      <c r="G50" s="319"/>
      <c r="H50" s="319"/>
      <c r="I50" s="320">
        <f>I51</f>
        <v>153591314</v>
      </c>
      <c r="J50" s="320"/>
    </row>
    <row r="51" spans="1:12" ht="45" customHeight="1" x14ac:dyDescent="0.2">
      <c r="A51" s="19"/>
      <c r="B51" s="321" t="s">
        <v>246</v>
      </c>
      <c r="C51" s="321"/>
      <c r="D51" s="321"/>
      <c r="E51" s="321" t="s">
        <v>63</v>
      </c>
      <c r="F51" s="318"/>
      <c r="G51" s="319"/>
      <c r="H51" s="319"/>
      <c r="I51" s="323">
        <f>SUM(I52:I55)+I56+I63+I64+I65</f>
        <v>153591314</v>
      </c>
      <c r="J51" s="323"/>
    </row>
    <row r="52" spans="1:12" ht="37.5" customHeight="1" x14ac:dyDescent="0.2">
      <c r="A52" s="19"/>
      <c r="B52" s="277" t="s">
        <v>420</v>
      </c>
      <c r="C52" s="277" t="s">
        <v>421</v>
      </c>
      <c r="D52" s="277" t="s">
        <v>423</v>
      </c>
      <c r="E52" s="277" t="s">
        <v>422</v>
      </c>
      <c r="F52" s="195" t="s">
        <v>90</v>
      </c>
      <c r="G52" s="195"/>
      <c r="H52" s="195"/>
      <c r="I52" s="204">
        <v>4550000</v>
      </c>
      <c r="J52" s="204"/>
    </row>
    <row r="53" spans="1:12" ht="53.45" customHeight="1" x14ac:dyDescent="0.2">
      <c r="A53" s="19"/>
      <c r="B53" s="277" t="s">
        <v>450</v>
      </c>
      <c r="C53" s="277" t="s">
        <v>451</v>
      </c>
      <c r="D53" s="277" t="s">
        <v>423</v>
      </c>
      <c r="E53" s="277" t="s">
        <v>452</v>
      </c>
      <c r="F53" s="195" t="s">
        <v>90</v>
      </c>
      <c r="G53" s="195"/>
      <c r="H53" s="195"/>
      <c r="I53" s="204">
        <v>5000000</v>
      </c>
      <c r="J53" s="204"/>
    </row>
    <row r="54" spans="1:12" ht="37.5" customHeight="1" x14ac:dyDescent="0.2">
      <c r="A54" s="19"/>
      <c r="B54" s="277" t="s">
        <v>424</v>
      </c>
      <c r="C54" s="277" t="s">
        <v>425</v>
      </c>
      <c r="D54" s="277" t="s">
        <v>423</v>
      </c>
      <c r="E54" s="277" t="s">
        <v>426</v>
      </c>
      <c r="F54" s="195" t="s">
        <v>90</v>
      </c>
      <c r="G54" s="195"/>
      <c r="H54" s="195"/>
      <c r="I54" s="204">
        <v>23000000</v>
      </c>
      <c r="J54" s="204"/>
    </row>
    <row r="55" spans="1:12" ht="37.5" customHeight="1" x14ac:dyDescent="0.2">
      <c r="A55" s="19"/>
      <c r="B55" s="277" t="s">
        <v>430</v>
      </c>
      <c r="C55" s="277" t="s">
        <v>431</v>
      </c>
      <c r="D55" s="277" t="s">
        <v>423</v>
      </c>
      <c r="E55" s="277" t="s">
        <v>432</v>
      </c>
      <c r="F55" s="195" t="s">
        <v>90</v>
      </c>
      <c r="G55" s="195"/>
      <c r="H55" s="195"/>
      <c r="I55" s="204">
        <v>19160721</v>
      </c>
      <c r="J55" s="204"/>
    </row>
    <row r="56" spans="1:12" ht="38.25" customHeight="1" x14ac:dyDescent="0.2">
      <c r="A56" s="19"/>
      <c r="B56" s="277" t="s">
        <v>454</v>
      </c>
      <c r="C56" s="277" t="s">
        <v>455</v>
      </c>
      <c r="D56" s="277" t="s">
        <v>453</v>
      </c>
      <c r="E56" s="277" t="s">
        <v>490</v>
      </c>
      <c r="F56" s="195" t="s">
        <v>80</v>
      </c>
      <c r="G56" s="195"/>
      <c r="H56" s="195"/>
      <c r="I56" s="278">
        <f>I57+I58+I59+I60+I61+I62</f>
        <v>9700000</v>
      </c>
      <c r="J56" s="278"/>
    </row>
    <row r="57" spans="1:12" ht="126.75" customHeight="1" x14ac:dyDescent="0.2">
      <c r="A57" s="19"/>
      <c r="B57" s="222" t="s">
        <v>454</v>
      </c>
      <c r="C57" s="222" t="s">
        <v>455</v>
      </c>
      <c r="D57" s="222" t="s">
        <v>453</v>
      </c>
      <c r="E57" s="222" t="s">
        <v>490</v>
      </c>
      <c r="F57" s="212" t="s">
        <v>91</v>
      </c>
      <c r="G57" s="200"/>
      <c r="H57" s="200"/>
      <c r="I57" s="210">
        <v>100000</v>
      </c>
      <c r="J57" s="210"/>
    </row>
    <row r="58" spans="1:12" ht="55.5" customHeight="1" x14ac:dyDescent="0.2">
      <c r="A58" s="19"/>
      <c r="B58" s="222" t="s">
        <v>454</v>
      </c>
      <c r="C58" s="222" t="s">
        <v>455</v>
      </c>
      <c r="D58" s="222" t="s">
        <v>453</v>
      </c>
      <c r="E58" s="222" t="s">
        <v>490</v>
      </c>
      <c r="F58" s="212" t="s">
        <v>233</v>
      </c>
      <c r="G58" s="200"/>
      <c r="H58" s="200"/>
      <c r="I58" s="210">
        <v>2000000</v>
      </c>
      <c r="J58" s="210"/>
    </row>
    <row r="59" spans="1:12" ht="33.75" customHeight="1" x14ac:dyDescent="0.2">
      <c r="A59" s="19"/>
      <c r="B59" s="222" t="s">
        <v>454</v>
      </c>
      <c r="C59" s="222" t="s">
        <v>455</v>
      </c>
      <c r="D59" s="222" t="s">
        <v>453</v>
      </c>
      <c r="E59" s="222" t="s">
        <v>490</v>
      </c>
      <c r="F59" s="212" t="s">
        <v>491</v>
      </c>
      <c r="G59" s="200"/>
      <c r="H59" s="200"/>
      <c r="I59" s="210">
        <v>2000000</v>
      </c>
      <c r="J59" s="210"/>
    </row>
    <row r="60" spans="1:12" ht="58.7" customHeight="1" x14ac:dyDescent="0.2">
      <c r="A60" s="19"/>
      <c r="B60" s="222" t="s">
        <v>454</v>
      </c>
      <c r="C60" s="222" t="s">
        <v>455</v>
      </c>
      <c r="D60" s="222" t="s">
        <v>453</v>
      </c>
      <c r="E60" s="222" t="s">
        <v>490</v>
      </c>
      <c r="F60" s="212" t="s">
        <v>492</v>
      </c>
      <c r="G60" s="200"/>
      <c r="H60" s="200">
        <v>3589039</v>
      </c>
      <c r="I60" s="210">
        <v>1500000</v>
      </c>
      <c r="J60" s="210"/>
    </row>
    <row r="61" spans="1:12" ht="66" customHeight="1" x14ac:dyDescent="0.2">
      <c r="A61" s="19"/>
      <c r="B61" s="222" t="s">
        <v>454</v>
      </c>
      <c r="C61" s="222" t="s">
        <v>455</v>
      </c>
      <c r="D61" s="222" t="s">
        <v>453</v>
      </c>
      <c r="E61" s="222" t="s">
        <v>490</v>
      </c>
      <c r="F61" s="212" t="s">
        <v>493</v>
      </c>
      <c r="G61" s="200"/>
      <c r="H61" s="200"/>
      <c r="I61" s="210">
        <v>100000</v>
      </c>
      <c r="J61" s="210"/>
    </row>
    <row r="62" spans="1:12" ht="59.25" customHeight="1" x14ac:dyDescent="0.2">
      <c r="A62" s="19"/>
      <c r="B62" s="222" t="s">
        <v>454</v>
      </c>
      <c r="C62" s="222" t="s">
        <v>455</v>
      </c>
      <c r="D62" s="222" t="s">
        <v>453</v>
      </c>
      <c r="E62" s="222" t="s">
        <v>490</v>
      </c>
      <c r="F62" s="212" t="s">
        <v>2</v>
      </c>
      <c r="G62" s="197" t="s">
        <v>827</v>
      </c>
      <c r="H62" s="200">
        <v>181970000</v>
      </c>
      <c r="I62" s="210">
        <v>4000000</v>
      </c>
      <c r="J62" s="536">
        <v>0.52900000000000003</v>
      </c>
      <c r="L62" s="19" t="s">
        <v>826</v>
      </c>
    </row>
    <row r="63" spans="1:12" ht="45" x14ac:dyDescent="0.2">
      <c r="A63" s="19"/>
      <c r="B63" s="277" t="s">
        <v>437</v>
      </c>
      <c r="C63" s="277" t="s">
        <v>438</v>
      </c>
      <c r="D63" s="277" t="s">
        <v>440</v>
      </c>
      <c r="E63" s="277" t="s">
        <v>439</v>
      </c>
      <c r="F63" s="195" t="s">
        <v>90</v>
      </c>
      <c r="G63" s="195"/>
      <c r="H63" s="195"/>
      <c r="I63" s="204">
        <f>82763108-570000</f>
        <v>82193108</v>
      </c>
      <c r="J63" s="204"/>
    </row>
    <row r="64" spans="1:12" ht="15" x14ac:dyDescent="0.2">
      <c r="A64" s="19"/>
      <c r="B64" s="277" t="s">
        <v>441</v>
      </c>
      <c r="C64" s="277" t="s">
        <v>320</v>
      </c>
      <c r="D64" s="277" t="s">
        <v>321</v>
      </c>
      <c r="E64" s="277" t="s">
        <v>67</v>
      </c>
      <c r="F64" s="195" t="s">
        <v>90</v>
      </c>
      <c r="G64" s="195"/>
      <c r="H64" s="195"/>
      <c r="I64" s="204">
        <f>1000000+250000</f>
        <v>1250000</v>
      </c>
      <c r="J64" s="204"/>
    </row>
    <row r="65" spans="1:11" ht="30" x14ac:dyDescent="0.2">
      <c r="A65" s="19"/>
      <c r="B65" s="277" t="s">
        <v>458</v>
      </c>
      <c r="C65" s="277" t="s">
        <v>294</v>
      </c>
      <c r="D65" s="277" t="s">
        <v>257</v>
      </c>
      <c r="E65" s="277" t="s">
        <v>57</v>
      </c>
      <c r="F65" s="195" t="s">
        <v>80</v>
      </c>
      <c r="G65" s="195"/>
      <c r="H65" s="195"/>
      <c r="I65" s="204">
        <f>I66+I67+I68+I69+I71+I72+I73+I74+I70</f>
        <v>8737485</v>
      </c>
      <c r="J65" s="204"/>
    </row>
    <row r="66" spans="1:11" ht="90" x14ac:dyDescent="0.2">
      <c r="A66" s="19"/>
      <c r="B66" s="222" t="s">
        <v>458</v>
      </c>
      <c r="C66" s="222" t="s">
        <v>294</v>
      </c>
      <c r="D66" s="222" t="s">
        <v>257</v>
      </c>
      <c r="E66" s="222" t="s">
        <v>57</v>
      </c>
      <c r="F66" s="213" t="s">
        <v>728</v>
      </c>
      <c r="G66" s="200"/>
      <c r="H66" s="200"/>
      <c r="I66" s="210">
        <v>1452515</v>
      </c>
      <c r="J66" s="204"/>
    </row>
    <row r="67" spans="1:11" ht="45" x14ac:dyDescent="0.2">
      <c r="A67" s="19"/>
      <c r="B67" s="222" t="s">
        <v>458</v>
      </c>
      <c r="C67" s="222" t="s">
        <v>294</v>
      </c>
      <c r="D67" s="222" t="s">
        <v>257</v>
      </c>
      <c r="E67" s="222" t="s">
        <v>57</v>
      </c>
      <c r="F67" s="213" t="s">
        <v>781</v>
      </c>
      <c r="G67" s="200"/>
      <c r="H67" s="200"/>
      <c r="I67" s="210">
        <v>131700</v>
      </c>
      <c r="J67" s="204"/>
    </row>
    <row r="68" spans="1:11" ht="45" x14ac:dyDescent="0.2">
      <c r="A68" s="19"/>
      <c r="B68" s="222" t="s">
        <v>458</v>
      </c>
      <c r="C68" s="222" t="s">
        <v>294</v>
      </c>
      <c r="D68" s="222" t="s">
        <v>257</v>
      </c>
      <c r="E68" s="222" t="s">
        <v>57</v>
      </c>
      <c r="F68" s="213" t="s">
        <v>627</v>
      </c>
      <c r="G68" s="200"/>
      <c r="H68" s="200"/>
      <c r="I68" s="210">
        <v>2000000</v>
      </c>
      <c r="J68" s="204"/>
    </row>
    <row r="69" spans="1:11" ht="60" x14ac:dyDescent="0.2">
      <c r="A69" s="19"/>
      <c r="B69" s="222" t="s">
        <v>458</v>
      </c>
      <c r="C69" s="222" t="s">
        <v>294</v>
      </c>
      <c r="D69" s="222" t="s">
        <v>257</v>
      </c>
      <c r="E69" s="222" t="s">
        <v>57</v>
      </c>
      <c r="F69" s="213" t="s">
        <v>729</v>
      </c>
      <c r="G69" s="200"/>
      <c r="H69" s="200"/>
      <c r="I69" s="210">
        <v>65700</v>
      </c>
      <c r="J69" s="204"/>
    </row>
    <row r="70" spans="1:11" ht="45" x14ac:dyDescent="0.2">
      <c r="A70" s="19"/>
      <c r="B70" s="222" t="s">
        <v>458</v>
      </c>
      <c r="C70" s="222" t="s">
        <v>294</v>
      </c>
      <c r="D70" s="222" t="s">
        <v>257</v>
      </c>
      <c r="E70" s="222" t="s">
        <v>57</v>
      </c>
      <c r="F70" s="213" t="s">
        <v>780</v>
      </c>
      <c r="G70" s="200"/>
      <c r="H70" s="200"/>
      <c r="I70" s="210">
        <v>557370</v>
      </c>
      <c r="J70" s="204"/>
    </row>
    <row r="71" spans="1:11" ht="90" x14ac:dyDescent="0.2">
      <c r="A71" s="19"/>
      <c r="B71" s="222" t="s">
        <v>458</v>
      </c>
      <c r="C71" s="222" t="s">
        <v>294</v>
      </c>
      <c r="D71" s="222" t="s">
        <v>257</v>
      </c>
      <c r="E71" s="222" t="s">
        <v>57</v>
      </c>
      <c r="F71" s="213" t="s">
        <v>792</v>
      </c>
      <c r="G71" s="200"/>
      <c r="H71" s="200"/>
      <c r="I71" s="210">
        <v>3565000</v>
      </c>
      <c r="J71" s="204"/>
    </row>
    <row r="72" spans="1:11" ht="120" x14ac:dyDescent="0.2">
      <c r="A72" s="19"/>
      <c r="B72" s="222" t="s">
        <v>458</v>
      </c>
      <c r="C72" s="222" t="s">
        <v>294</v>
      </c>
      <c r="D72" s="222" t="s">
        <v>257</v>
      </c>
      <c r="E72" s="222" t="s">
        <v>57</v>
      </c>
      <c r="F72" s="213" t="s">
        <v>730</v>
      </c>
      <c r="G72" s="200"/>
      <c r="H72" s="200"/>
      <c r="I72" s="210">
        <v>300000</v>
      </c>
      <c r="J72" s="204"/>
    </row>
    <row r="73" spans="1:11" ht="120" x14ac:dyDescent="0.2">
      <c r="A73" s="19"/>
      <c r="B73" s="222" t="s">
        <v>458</v>
      </c>
      <c r="C73" s="222" t="s">
        <v>294</v>
      </c>
      <c r="D73" s="222" t="s">
        <v>257</v>
      </c>
      <c r="E73" s="222" t="s">
        <v>57</v>
      </c>
      <c r="F73" s="213" t="s">
        <v>793</v>
      </c>
      <c r="G73" s="200"/>
      <c r="H73" s="200"/>
      <c r="I73" s="210">
        <v>400000</v>
      </c>
      <c r="J73" s="204"/>
    </row>
    <row r="74" spans="1:11" ht="120" x14ac:dyDescent="0.2">
      <c r="A74" s="19"/>
      <c r="B74" s="222" t="s">
        <v>458</v>
      </c>
      <c r="C74" s="222" t="s">
        <v>294</v>
      </c>
      <c r="D74" s="222" t="s">
        <v>257</v>
      </c>
      <c r="E74" s="222" t="s">
        <v>57</v>
      </c>
      <c r="F74" s="213" t="s">
        <v>794</v>
      </c>
      <c r="G74" s="200"/>
      <c r="H74" s="200"/>
      <c r="I74" s="210">
        <v>265200</v>
      </c>
      <c r="J74" s="204"/>
    </row>
    <row r="75" spans="1:11" ht="15" hidden="1" customHeight="1" x14ac:dyDescent="0.2">
      <c r="A75" s="19"/>
      <c r="B75" s="199"/>
      <c r="C75" s="199"/>
      <c r="D75" s="199"/>
      <c r="E75" s="211"/>
      <c r="F75" s="213"/>
      <c r="G75" s="490"/>
      <c r="H75" s="200"/>
      <c r="I75" s="210"/>
      <c r="J75" s="210"/>
    </row>
    <row r="76" spans="1:11" ht="75" x14ac:dyDescent="0.2">
      <c r="A76" s="19"/>
      <c r="B76" s="316" t="s">
        <v>44</v>
      </c>
      <c r="C76" s="316"/>
      <c r="D76" s="316"/>
      <c r="E76" s="316" t="s">
        <v>643</v>
      </c>
      <c r="F76" s="318"/>
      <c r="G76" s="491"/>
      <c r="H76" s="319"/>
      <c r="I76" s="320">
        <f>I77</f>
        <v>53000000</v>
      </c>
      <c r="J76" s="320"/>
    </row>
    <row r="77" spans="1:11" ht="85.7" customHeight="1" x14ac:dyDescent="0.2">
      <c r="A77" s="19"/>
      <c r="B77" s="321" t="s">
        <v>45</v>
      </c>
      <c r="C77" s="321"/>
      <c r="D77" s="321"/>
      <c r="E77" s="321" t="s">
        <v>642</v>
      </c>
      <c r="F77" s="318"/>
      <c r="G77" s="319"/>
      <c r="H77" s="319"/>
      <c r="I77" s="323">
        <f>SUM(I78:I93)</f>
        <v>53000000</v>
      </c>
      <c r="J77" s="323"/>
    </row>
    <row r="78" spans="1:11" ht="45" x14ac:dyDescent="0.2">
      <c r="A78" s="19"/>
      <c r="B78" s="215" t="s">
        <v>472</v>
      </c>
      <c r="C78" s="340" t="s">
        <v>473</v>
      </c>
      <c r="D78" s="340" t="s">
        <v>453</v>
      </c>
      <c r="E78" s="340" t="s">
        <v>471</v>
      </c>
      <c r="F78" s="205" t="s">
        <v>630</v>
      </c>
      <c r="G78" s="197" t="s">
        <v>828</v>
      </c>
      <c r="H78" s="197">
        <v>160515935</v>
      </c>
      <c r="I78" s="197">
        <v>20000000</v>
      </c>
      <c r="J78" s="268">
        <f>(38829200+36388000+20000000)/H78</f>
        <v>0.59319468811616738</v>
      </c>
    </row>
    <row r="79" spans="1:11" ht="45" x14ac:dyDescent="0.2">
      <c r="A79" s="19"/>
      <c r="B79" s="215" t="s">
        <v>472</v>
      </c>
      <c r="C79" s="340" t="s">
        <v>473</v>
      </c>
      <c r="D79" s="340" t="s">
        <v>453</v>
      </c>
      <c r="E79" s="340" t="s">
        <v>471</v>
      </c>
      <c r="F79" s="217" t="s">
        <v>622</v>
      </c>
      <c r="G79" s="197" t="s">
        <v>829</v>
      </c>
      <c r="H79" s="197">
        <v>30084395</v>
      </c>
      <c r="I79" s="197">
        <v>4000000</v>
      </c>
      <c r="J79" s="268">
        <f>(391733+4600000+4000000)/H79</f>
        <v>0.29888362388540635</v>
      </c>
      <c r="K79" s="141"/>
    </row>
    <row r="80" spans="1:11" ht="75" customHeight="1" x14ac:dyDescent="0.2">
      <c r="A80" s="19"/>
      <c r="B80" s="215" t="s">
        <v>472</v>
      </c>
      <c r="C80" s="340" t="s">
        <v>473</v>
      </c>
      <c r="D80" s="340" t="s">
        <v>453</v>
      </c>
      <c r="E80" s="340" t="s">
        <v>471</v>
      </c>
      <c r="F80" s="217" t="s">
        <v>3</v>
      </c>
      <c r="G80" s="197" t="s">
        <v>829</v>
      </c>
      <c r="H80" s="197">
        <v>30010059</v>
      </c>
      <c r="I80" s="218">
        <v>3500000</v>
      </c>
      <c r="J80" s="268">
        <f>(2087700+5000000+3500000)/H80</f>
        <v>0.35280503780415762</v>
      </c>
    </row>
    <row r="81" spans="1:10" ht="75" x14ac:dyDescent="0.2">
      <c r="A81" s="19"/>
      <c r="B81" s="215" t="s">
        <v>472</v>
      </c>
      <c r="C81" s="340" t="s">
        <v>473</v>
      </c>
      <c r="D81" s="340" t="s">
        <v>453</v>
      </c>
      <c r="E81" s="340" t="s">
        <v>471</v>
      </c>
      <c r="F81" s="217" t="s">
        <v>623</v>
      </c>
      <c r="G81" s="197" t="s">
        <v>830</v>
      </c>
      <c r="H81" s="197">
        <f>30737344</f>
        <v>30737344</v>
      </c>
      <c r="I81" s="218">
        <v>4000000</v>
      </c>
      <c r="J81" s="268">
        <f>(4471266+6500000+4000000)/H81</f>
        <v>0.48707090632163924</v>
      </c>
    </row>
    <row r="82" spans="1:10" ht="75" x14ac:dyDescent="0.2">
      <c r="A82" s="19"/>
      <c r="B82" s="215" t="s">
        <v>472</v>
      </c>
      <c r="C82" s="340" t="s">
        <v>473</v>
      </c>
      <c r="D82" s="340" t="s">
        <v>453</v>
      </c>
      <c r="E82" s="340" t="s">
        <v>471</v>
      </c>
      <c r="F82" s="217" t="s">
        <v>644</v>
      </c>
      <c r="G82" s="204" t="s">
        <v>831</v>
      </c>
      <c r="H82" s="204">
        <f>9300000+10829899</f>
        <v>20129899</v>
      </c>
      <c r="I82" s="534">
        <v>1500000</v>
      </c>
      <c r="J82" s="535">
        <f>(305000+1500000)/H82</f>
        <v>8.9667613334771329E-2</v>
      </c>
    </row>
    <row r="83" spans="1:10" ht="90" x14ac:dyDescent="0.2">
      <c r="A83" s="19"/>
      <c r="B83" s="215" t="s">
        <v>472</v>
      </c>
      <c r="C83" s="340" t="s">
        <v>473</v>
      </c>
      <c r="D83" s="340" t="s">
        <v>453</v>
      </c>
      <c r="E83" s="340" t="s">
        <v>471</v>
      </c>
      <c r="F83" s="217" t="s">
        <v>648</v>
      </c>
      <c r="G83" s="204" t="s">
        <v>829</v>
      </c>
      <c r="H83" s="204">
        <f>8700000+6796500</f>
        <v>15496500</v>
      </c>
      <c r="I83" s="534">
        <v>4000000</v>
      </c>
      <c r="J83" s="535">
        <f>(945000+4000000)/H83</f>
        <v>0.31910431387732713</v>
      </c>
    </row>
    <row r="84" spans="1:10" ht="60" x14ac:dyDescent="0.2">
      <c r="A84" s="19"/>
      <c r="B84" s="215" t="s">
        <v>474</v>
      </c>
      <c r="C84" s="340" t="s">
        <v>475</v>
      </c>
      <c r="D84" s="340" t="s">
        <v>453</v>
      </c>
      <c r="E84" s="340" t="s">
        <v>476</v>
      </c>
      <c r="F84" s="415" t="s">
        <v>624</v>
      </c>
      <c r="G84" s="204" t="s">
        <v>831</v>
      </c>
      <c r="H84" s="204">
        <f>288696000-5834500</f>
        <v>282861500</v>
      </c>
      <c r="I84" s="534">
        <v>4500000</v>
      </c>
      <c r="J84" s="535">
        <f>(7688.93+29670000+4500000)/H84</f>
        <v>0.12082835214407051</v>
      </c>
    </row>
    <row r="85" spans="1:10" ht="75" x14ac:dyDescent="0.2">
      <c r="A85" s="19"/>
      <c r="B85" s="216" t="s">
        <v>478</v>
      </c>
      <c r="C85" s="216" t="s">
        <v>479</v>
      </c>
      <c r="D85" s="216" t="s">
        <v>453</v>
      </c>
      <c r="E85" s="216" t="s">
        <v>477</v>
      </c>
      <c r="F85" s="217" t="s">
        <v>631</v>
      </c>
      <c r="G85" s="197" t="s">
        <v>832</v>
      </c>
      <c r="H85" s="197">
        <f>(16874496)+1019604</f>
        <v>17894100</v>
      </c>
      <c r="I85" s="218">
        <v>2000000</v>
      </c>
      <c r="J85" s="268">
        <f>(7993500+7000000+2000000)/H85</f>
        <v>0.94967056180528775</v>
      </c>
    </row>
    <row r="86" spans="1:10" ht="45" x14ac:dyDescent="0.2">
      <c r="A86" s="19"/>
      <c r="B86" s="216" t="s">
        <v>478</v>
      </c>
      <c r="C86" s="216" t="s">
        <v>479</v>
      </c>
      <c r="D86" s="216" t="s">
        <v>453</v>
      </c>
      <c r="E86" s="216" t="s">
        <v>477</v>
      </c>
      <c r="F86" s="217" t="s">
        <v>625</v>
      </c>
      <c r="G86" s="197" t="s">
        <v>829</v>
      </c>
      <c r="H86" s="197">
        <v>32296985</v>
      </c>
      <c r="I86" s="218">
        <v>5000000</v>
      </c>
      <c r="J86" s="268">
        <f>(209619.53+7990394+5000000)/H86</f>
        <v>0.40870729976807435</v>
      </c>
    </row>
    <row r="87" spans="1:10" ht="75" x14ac:dyDescent="0.2">
      <c r="A87" s="19"/>
      <c r="B87" s="216" t="s">
        <v>478</v>
      </c>
      <c r="C87" s="216" t="s">
        <v>479</v>
      </c>
      <c r="D87" s="216" t="s">
        <v>453</v>
      </c>
      <c r="E87" s="216" t="s">
        <v>477</v>
      </c>
      <c r="F87" s="217" t="s">
        <v>626</v>
      </c>
      <c r="G87" s="197" t="s">
        <v>829</v>
      </c>
      <c r="H87" s="197">
        <f>(10111121)+2079379</f>
        <v>12190500</v>
      </c>
      <c r="I87" s="218">
        <v>2000000</v>
      </c>
      <c r="J87" s="268">
        <f>(2190500+3700000+2000000)/H87</f>
        <v>0.64726631393298062</v>
      </c>
    </row>
    <row r="88" spans="1:10" ht="60" x14ac:dyDescent="0.2">
      <c r="A88" s="19"/>
      <c r="B88" s="216" t="s">
        <v>478</v>
      </c>
      <c r="C88" s="216" t="s">
        <v>479</v>
      </c>
      <c r="D88" s="216" t="s">
        <v>453</v>
      </c>
      <c r="E88" s="216" t="s">
        <v>477</v>
      </c>
      <c r="F88" s="220" t="s">
        <v>498</v>
      </c>
      <c r="G88" s="197" t="s">
        <v>833</v>
      </c>
      <c r="H88" s="197">
        <v>16864326</v>
      </c>
      <c r="I88" s="218">
        <v>2000000</v>
      </c>
      <c r="J88" s="268">
        <f>(1286200+940000+2000000)/H88</f>
        <v>0.25059999433122915</v>
      </c>
    </row>
    <row r="89" spans="1:10" ht="75" x14ac:dyDescent="0.2">
      <c r="A89" s="19"/>
      <c r="B89" s="216" t="s">
        <v>478</v>
      </c>
      <c r="C89" s="216" t="s">
        <v>479</v>
      </c>
      <c r="D89" s="216" t="s">
        <v>453</v>
      </c>
      <c r="E89" s="216" t="s">
        <v>477</v>
      </c>
      <c r="F89" s="217" t="s">
        <v>632</v>
      </c>
      <c r="G89" s="197"/>
      <c r="H89" s="200"/>
      <c r="I89" s="218">
        <v>100000</v>
      </c>
      <c r="J89" s="268"/>
    </row>
    <row r="90" spans="1:10" ht="60" x14ac:dyDescent="0.2">
      <c r="A90" s="19"/>
      <c r="B90" s="216" t="s">
        <v>478</v>
      </c>
      <c r="C90" s="216" t="s">
        <v>479</v>
      </c>
      <c r="D90" s="216" t="s">
        <v>453</v>
      </c>
      <c r="E90" s="216" t="s">
        <v>477</v>
      </c>
      <c r="F90" s="217" t="s">
        <v>636</v>
      </c>
      <c r="G90" s="197"/>
      <c r="H90" s="200"/>
      <c r="I90" s="218">
        <v>100000</v>
      </c>
      <c r="J90" s="268"/>
    </row>
    <row r="91" spans="1:10" ht="75" x14ac:dyDescent="0.2">
      <c r="A91" s="19"/>
      <c r="B91" s="216" t="s">
        <v>478</v>
      </c>
      <c r="C91" s="216" t="s">
        <v>479</v>
      </c>
      <c r="D91" s="216" t="s">
        <v>453</v>
      </c>
      <c r="E91" s="216" t="s">
        <v>477</v>
      </c>
      <c r="F91" s="217" t="s">
        <v>637</v>
      </c>
      <c r="G91" s="197"/>
      <c r="H91" s="200"/>
      <c r="I91" s="218">
        <v>100000</v>
      </c>
      <c r="J91" s="268"/>
    </row>
    <row r="92" spans="1:10" ht="90" x14ac:dyDescent="0.2">
      <c r="A92" s="19"/>
      <c r="B92" s="267" t="s">
        <v>478</v>
      </c>
      <c r="C92" s="267" t="s">
        <v>479</v>
      </c>
      <c r="D92" s="267" t="s">
        <v>453</v>
      </c>
      <c r="E92" s="267" t="s">
        <v>477</v>
      </c>
      <c r="F92" s="220" t="s">
        <v>710</v>
      </c>
      <c r="G92" s="197"/>
      <c r="H92" s="197"/>
      <c r="I92" s="218">
        <v>100000</v>
      </c>
      <c r="J92" s="268"/>
    </row>
    <row r="93" spans="1:10" ht="90" x14ac:dyDescent="0.2">
      <c r="A93" s="19"/>
      <c r="B93" s="216" t="s">
        <v>478</v>
      </c>
      <c r="C93" s="216" t="s">
        <v>479</v>
      </c>
      <c r="D93" s="216" t="s">
        <v>453</v>
      </c>
      <c r="E93" s="216" t="s">
        <v>477</v>
      </c>
      <c r="F93" s="219" t="s">
        <v>606</v>
      </c>
      <c r="G93" s="197"/>
      <c r="H93" s="200"/>
      <c r="I93" s="218">
        <v>100000</v>
      </c>
      <c r="J93" s="268"/>
    </row>
    <row r="94" spans="1:10" ht="75" x14ac:dyDescent="0.2">
      <c r="A94" s="19"/>
      <c r="B94" s="316" t="s">
        <v>247</v>
      </c>
      <c r="C94" s="316"/>
      <c r="D94" s="316"/>
      <c r="E94" s="316" t="s">
        <v>46</v>
      </c>
      <c r="F94" s="319"/>
      <c r="G94" s="319"/>
      <c r="H94" s="319"/>
      <c r="I94" s="320">
        <f>I95</f>
        <v>2000000</v>
      </c>
      <c r="J94" s="320"/>
    </row>
    <row r="95" spans="1:10" ht="71.25" x14ac:dyDescent="0.2">
      <c r="A95" s="19"/>
      <c r="B95" s="321" t="s">
        <v>248</v>
      </c>
      <c r="C95" s="321"/>
      <c r="D95" s="321"/>
      <c r="E95" s="321" t="s">
        <v>64</v>
      </c>
      <c r="F95" s="319"/>
      <c r="G95" s="319"/>
      <c r="H95" s="319"/>
      <c r="I95" s="323">
        <f>SUM(I96:I99)</f>
        <v>2000000</v>
      </c>
      <c r="J95" s="323"/>
    </row>
    <row r="96" spans="1:10" ht="60" hidden="1" customHeight="1" x14ac:dyDescent="0.2">
      <c r="A96" s="19"/>
      <c r="B96" s="184" t="s">
        <v>463</v>
      </c>
      <c r="C96" s="184" t="s">
        <v>464</v>
      </c>
      <c r="D96" s="184" t="s">
        <v>453</v>
      </c>
      <c r="E96" s="184" t="s">
        <v>465</v>
      </c>
      <c r="F96" s="186" t="s">
        <v>613</v>
      </c>
      <c r="G96" s="185"/>
      <c r="H96" s="185"/>
      <c r="I96" s="187">
        <f>(2376000)-2376000</f>
        <v>0</v>
      </c>
      <c r="J96" s="187"/>
    </row>
    <row r="97" spans="1:10" ht="30" x14ac:dyDescent="0.2">
      <c r="A97" s="19"/>
      <c r="B97" s="194" t="s">
        <v>463</v>
      </c>
      <c r="C97" s="194" t="s">
        <v>464</v>
      </c>
      <c r="D97" s="194" t="s">
        <v>453</v>
      </c>
      <c r="E97" s="194" t="s">
        <v>465</v>
      </c>
      <c r="F97" s="196" t="s">
        <v>795</v>
      </c>
      <c r="G97" s="195"/>
      <c r="H97" s="195"/>
      <c r="I97" s="197">
        <v>500000</v>
      </c>
      <c r="J97" s="197"/>
    </row>
    <row r="98" spans="1:10" ht="75" x14ac:dyDescent="0.2">
      <c r="A98" s="19"/>
      <c r="B98" s="194" t="s">
        <v>463</v>
      </c>
      <c r="C98" s="194" t="s">
        <v>464</v>
      </c>
      <c r="D98" s="194" t="s">
        <v>453</v>
      </c>
      <c r="E98" s="194" t="s">
        <v>465</v>
      </c>
      <c r="F98" s="415" t="s">
        <v>716</v>
      </c>
      <c r="G98" s="195"/>
      <c r="H98" s="195"/>
      <c r="I98" s="197">
        <v>1500000</v>
      </c>
      <c r="J98" s="197"/>
    </row>
    <row r="99" spans="1:10" ht="45" hidden="1" customHeight="1" x14ac:dyDescent="0.2">
      <c r="A99" s="19"/>
      <c r="B99" s="184" t="s">
        <v>463</v>
      </c>
      <c r="C99" s="184" t="s">
        <v>464</v>
      </c>
      <c r="D99" s="184" t="s">
        <v>453</v>
      </c>
      <c r="E99" s="184" t="s">
        <v>465</v>
      </c>
      <c r="F99" s="188" t="s">
        <v>494</v>
      </c>
      <c r="G99" s="185"/>
      <c r="H99" s="185"/>
      <c r="I99" s="187">
        <f>(780000)-780000</f>
        <v>0</v>
      </c>
      <c r="J99" s="187"/>
    </row>
    <row r="100" spans="1:10" ht="30" x14ac:dyDescent="0.2">
      <c r="A100" s="183"/>
      <c r="B100" s="316" t="s">
        <v>253</v>
      </c>
      <c r="C100" s="316"/>
      <c r="D100" s="316"/>
      <c r="E100" s="316" t="s">
        <v>580</v>
      </c>
      <c r="F100" s="319"/>
      <c r="G100" s="319"/>
      <c r="H100" s="319"/>
      <c r="I100" s="320">
        <f>I101</f>
        <v>2570000</v>
      </c>
      <c r="J100" s="320"/>
    </row>
    <row r="101" spans="1:10" ht="42.75" x14ac:dyDescent="0.2">
      <c r="A101" s="183"/>
      <c r="B101" s="321" t="s">
        <v>254</v>
      </c>
      <c r="C101" s="321"/>
      <c r="D101" s="321"/>
      <c r="E101" s="321" t="s">
        <v>581</v>
      </c>
      <c r="F101" s="318"/>
      <c r="G101" s="319"/>
      <c r="H101" s="319"/>
      <c r="I101" s="323">
        <f>SUM(I102:I103)</f>
        <v>2570000</v>
      </c>
      <c r="J101" s="323"/>
    </row>
    <row r="102" spans="1:10" ht="30" x14ac:dyDescent="0.2">
      <c r="A102" s="19"/>
      <c r="B102" s="194" t="s">
        <v>574</v>
      </c>
      <c r="C102" s="194" t="s">
        <v>575</v>
      </c>
      <c r="D102" s="194" t="s">
        <v>257</v>
      </c>
      <c r="E102" s="194" t="s">
        <v>401</v>
      </c>
      <c r="F102" s="195" t="s">
        <v>90</v>
      </c>
      <c r="G102" s="203"/>
      <c r="H102" s="203"/>
      <c r="I102" s="204">
        <v>2000000</v>
      </c>
      <c r="J102" s="204"/>
    </row>
    <row r="103" spans="1:10" ht="30" x14ac:dyDescent="0.2">
      <c r="A103" s="19"/>
      <c r="B103" s="340" t="s">
        <v>399</v>
      </c>
      <c r="C103" s="340" t="s">
        <v>400</v>
      </c>
      <c r="D103" s="340" t="s">
        <v>398</v>
      </c>
      <c r="E103" s="340" t="s">
        <v>397</v>
      </c>
      <c r="F103" s="195" t="s">
        <v>90</v>
      </c>
      <c r="G103" s="203"/>
      <c r="H103" s="203"/>
      <c r="I103" s="204">
        <v>570000</v>
      </c>
      <c r="J103" s="204"/>
    </row>
    <row r="104" spans="1:10" ht="75" x14ac:dyDescent="0.2">
      <c r="A104" s="19"/>
      <c r="B104" s="316" t="s">
        <v>249</v>
      </c>
      <c r="C104" s="316"/>
      <c r="D104" s="316"/>
      <c r="E104" s="316" t="s">
        <v>582</v>
      </c>
      <c r="F104" s="318"/>
      <c r="G104" s="319"/>
      <c r="H104" s="319"/>
      <c r="I104" s="320">
        <f>I105</f>
        <v>500000</v>
      </c>
      <c r="J104" s="320"/>
    </row>
    <row r="105" spans="1:10" ht="71.25" x14ac:dyDescent="0.2">
      <c r="A105" s="19"/>
      <c r="B105" s="321" t="s">
        <v>250</v>
      </c>
      <c r="C105" s="321"/>
      <c r="D105" s="321"/>
      <c r="E105" s="321" t="s">
        <v>583</v>
      </c>
      <c r="F105" s="318"/>
      <c r="G105" s="319"/>
      <c r="H105" s="319"/>
      <c r="I105" s="323">
        <f>SUM(I106:I111)</f>
        <v>500000</v>
      </c>
      <c r="J105" s="323"/>
    </row>
    <row r="106" spans="1:10" ht="45" x14ac:dyDescent="0.2">
      <c r="A106" s="19"/>
      <c r="B106" s="194" t="s">
        <v>460</v>
      </c>
      <c r="C106" s="194" t="s">
        <v>461</v>
      </c>
      <c r="D106" s="194" t="s">
        <v>462</v>
      </c>
      <c r="E106" s="194" t="s">
        <v>459</v>
      </c>
      <c r="F106" s="205" t="s">
        <v>715</v>
      </c>
      <c r="G106" s="195"/>
      <c r="H106" s="195"/>
      <c r="I106" s="197">
        <v>100000</v>
      </c>
      <c r="J106" s="197"/>
    </row>
    <row r="107" spans="1:10" ht="30" x14ac:dyDescent="0.2">
      <c r="A107" s="19"/>
      <c r="B107" s="194" t="s">
        <v>460</v>
      </c>
      <c r="C107" s="194" t="s">
        <v>461</v>
      </c>
      <c r="D107" s="194" t="s">
        <v>462</v>
      </c>
      <c r="E107" s="194" t="s">
        <v>459</v>
      </c>
      <c r="F107" s="205" t="s">
        <v>55</v>
      </c>
      <c r="G107" s="195"/>
      <c r="H107" s="195"/>
      <c r="I107" s="197">
        <v>50000</v>
      </c>
      <c r="J107" s="197"/>
    </row>
    <row r="108" spans="1:10" ht="45" x14ac:dyDescent="0.2">
      <c r="A108" s="19"/>
      <c r="B108" s="194" t="s">
        <v>460</v>
      </c>
      <c r="C108" s="194" t="s">
        <v>461</v>
      </c>
      <c r="D108" s="194" t="s">
        <v>462</v>
      </c>
      <c r="E108" s="194" t="s">
        <v>459</v>
      </c>
      <c r="F108" s="205" t="s">
        <v>495</v>
      </c>
      <c r="G108" s="195"/>
      <c r="H108" s="195"/>
      <c r="I108" s="197">
        <v>50000</v>
      </c>
      <c r="J108" s="197"/>
    </row>
    <row r="109" spans="1:10" ht="30" hidden="1" customHeight="1" x14ac:dyDescent="0.2">
      <c r="A109" s="19"/>
      <c r="B109" s="194" t="s">
        <v>460</v>
      </c>
      <c r="C109" s="194" t="s">
        <v>461</v>
      </c>
      <c r="D109" s="194" t="s">
        <v>462</v>
      </c>
      <c r="E109" s="194" t="s">
        <v>459</v>
      </c>
      <c r="F109" s="205" t="s">
        <v>617</v>
      </c>
      <c r="G109" s="195"/>
      <c r="H109" s="195"/>
      <c r="I109" s="197"/>
      <c r="J109" s="197"/>
    </row>
    <row r="110" spans="1:10" ht="30" x14ac:dyDescent="0.2">
      <c r="A110" s="19"/>
      <c r="B110" s="194" t="s">
        <v>460</v>
      </c>
      <c r="C110" s="194" t="s">
        <v>461</v>
      </c>
      <c r="D110" s="194" t="s">
        <v>462</v>
      </c>
      <c r="E110" s="194" t="s">
        <v>459</v>
      </c>
      <c r="F110" s="205" t="s">
        <v>56</v>
      </c>
      <c r="G110" s="195"/>
      <c r="H110" s="195"/>
      <c r="I110" s="197">
        <v>210000</v>
      </c>
      <c r="J110" s="197"/>
    </row>
    <row r="111" spans="1:10" ht="45" x14ac:dyDescent="0.2">
      <c r="A111" s="19"/>
      <c r="B111" s="194" t="s">
        <v>614</v>
      </c>
      <c r="C111" s="194" t="s">
        <v>615</v>
      </c>
      <c r="D111" s="194" t="s">
        <v>257</v>
      </c>
      <c r="E111" s="194" t="s">
        <v>616</v>
      </c>
      <c r="F111" s="205" t="s">
        <v>496</v>
      </c>
      <c r="G111" s="195"/>
      <c r="H111" s="195"/>
      <c r="I111" s="197">
        <v>90000</v>
      </c>
      <c r="J111" s="197"/>
    </row>
    <row r="112" spans="1:10" ht="30" x14ac:dyDescent="0.2">
      <c r="A112" s="19"/>
      <c r="B112" s="316" t="s">
        <v>255</v>
      </c>
      <c r="C112" s="316"/>
      <c r="D112" s="316"/>
      <c r="E112" s="316" t="s">
        <v>48</v>
      </c>
      <c r="F112" s="318"/>
      <c r="G112" s="319"/>
      <c r="H112" s="319"/>
      <c r="I112" s="320">
        <f>I113</f>
        <v>50000</v>
      </c>
      <c r="J112" s="320"/>
    </row>
    <row r="113" spans="1:17" ht="42.75" x14ac:dyDescent="0.2">
      <c r="A113" s="19"/>
      <c r="B113" s="321" t="s">
        <v>256</v>
      </c>
      <c r="C113" s="321"/>
      <c r="D113" s="321"/>
      <c r="E113" s="321" t="s">
        <v>66</v>
      </c>
      <c r="F113" s="318"/>
      <c r="G113" s="319"/>
      <c r="H113" s="319"/>
      <c r="I113" s="323">
        <f>I114</f>
        <v>50000</v>
      </c>
      <c r="J113" s="323"/>
    </row>
    <row r="114" spans="1:17" ht="45" x14ac:dyDescent="0.2">
      <c r="A114" s="19"/>
      <c r="B114" s="340" t="s">
        <v>764</v>
      </c>
      <c r="C114" s="340" t="s">
        <v>344</v>
      </c>
      <c r="D114" s="340" t="s">
        <v>342</v>
      </c>
      <c r="E114" s="340" t="s">
        <v>343</v>
      </c>
      <c r="F114" s="195" t="s">
        <v>90</v>
      </c>
      <c r="G114" s="195"/>
      <c r="H114" s="195"/>
      <c r="I114" s="197">
        <v>50000</v>
      </c>
      <c r="J114" s="197"/>
    </row>
    <row r="115" spans="1:17" ht="24.75" customHeight="1" x14ac:dyDescent="0.2">
      <c r="A115" s="24"/>
      <c r="B115" s="169" t="s">
        <v>665</v>
      </c>
      <c r="C115" s="169" t="s">
        <v>665</v>
      </c>
      <c r="D115" s="169" t="s">
        <v>665</v>
      </c>
      <c r="E115" s="258" t="s">
        <v>683</v>
      </c>
      <c r="F115" s="169" t="s">
        <v>665</v>
      </c>
      <c r="G115" s="169" t="s">
        <v>665</v>
      </c>
      <c r="H115" s="169" t="s">
        <v>665</v>
      </c>
      <c r="I115" s="171">
        <f>I6+I10+I46+I21+I29+I39+I50+I76+I94+I104+I100+I112</f>
        <v>244799789</v>
      </c>
      <c r="J115" s="169" t="s">
        <v>665</v>
      </c>
      <c r="K115" s="19" t="b">
        <f>I115='dod3'!K162</f>
        <v>1</v>
      </c>
    </row>
    <row r="116" spans="1:17" ht="15.75" x14ac:dyDescent="0.2">
      <c r="B116" s="485" t="s">
        <v>497</v>
      </c>
      <c r="C116" s="486"/>
      <c r="D116" s="486"/>
      <c r="E116" s="486"/>
      <c r="F116" s="486"/>
      <c r="G116" s="486"/>
      <c r="H116" s="486"/>
      <c r="I116" s="486"/>
      <c r="J116" s="486"/>
      <c r="K116" s="486"/>
      <c r="L116" s="486"/>
      <c r="M116" s="486"/>
      <c r="N116" s="486"/>
      <c r="O116" s="486"/>
      <c r="P116" s="486"/>
      <c r="Q116" s="486"/>
    </row>
    <row r="117" spans="1:17" ht="18.75" x14ac:dyDescent="0.2">
      <c r="B117" s="484"/>
      <c r="C117" s="484"/>
      <c r="D117" s="484"/>
      <c r="E117" s="484"/>
      <c r="F117" s="484"/>
      <c r="G117" s="484"/>
      <c r="H117" s="484"/>
      <c r="I117" s="484"/>
      <c r="J117" s="484"/>
    </row>
    <row r="118" spans="1:17" ht="15" x14ac:dyDescent="0.25">
      <c r="D118" s="475" t="s">
        <v>656</v>
      </c>
      <c r="E118" s="475"/>
      <c r="F118" s="475"/>
      <c r="G118" s="475"/>
      <c r="H118" s="475"/>
      <c r="I118" s="475"/>
      <c r="J118" s="475"/>
      <c r="K118" s="475"/>
      <c r="L118" s="475"/>
      <c r="M118" s="475"/>
      <c r="N118" s="475"/>
      <c r="O118" s="475"/>
      <c r="P118" s="475"/>
    </row>
    <row r="119" spans="1:17" ht="15" x14ac:dyDescent="0.25">
      <c r="D119" s="475"/>
      <c r="E119" s="475"/>
      <c r="F119" s="475"/>
      <c r="G119" s="475"/>
      <c r="H119" s="475"/>
      <c r="I119" s="475"/>
      <c r="J119" s="475"/>
      <c r="K119" s="475"/>
      <c r="L119" s="475"/>
      <c r="M119" s="475"/>
      <c r="N119" s="475"/>
      <c r="O119" s="475"/>
      <c r="P119" s="475"/>
    </row>
    <row r="120" spans="1:17" ht="15" x14ac:dyDescent="0.25">
      <c r="D120" s="475" t="s">
        <v>231</v>
      </c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</row>
    <row r="121" spans="1:17" x14ac:dyDescent="0.2">
      <c r="G121" s="164">
        <f>H121+I121</f>
        <v>0</v>
      </c>
    </row>
    <row r="122" spans="1:17" x14ac:dyDescent="0.2">
      <c r="G122" s="164">
        <f>H122+I122</f>
        <v>0</v>
      </c>
    </row>
    <row r="123" spans="1:17" x14ac:dyDescent="0.2">
      <c r="G123" s="164">
        <f>H123+I123</f>
        <v>0</v>
      </c>
    </row>
    <row r="124" spans="1:17" x14ac:dyDescent="0.2">
      <c r="G124" s="164">
        <f>H124+I124</f>
        <v>0</v>
      </c>
    </row>
    <row r="125" spans="1:17" x14ac:dyDescent="0.2">
      <c r="G125" s="164">
        <f>H125+I125</f>
        <v>0</v>
      </c>
    </row>
    <row r="127" spans="1:17" x14ac:dyDescent="0.2">
      <c r="G127" s="164">
        <f>H128+I128</f>
        <v>0</v>
      </c>
    </row>
    <row r="128" spans="1:17" x14ac:dyDescent="0.2">
      <c r="G128" s="164">
        <f t="shared" ref="G128" si="0">H128+I128</f>
        <v>0</v>
      </c>
    </row>
    <row r="129" spans="7:10" x14ac:dyDescent="0.2">
      <c r="G129" s="164">
        <f>H129+I129</f>
        <v>0</v>
      </c>
    </row>
    <row r="130" spans="7:10" x14ac:dyDescent="0.2">
      <c r="G130" s="164">
        <f>H130+I130</f>
        <v>0</v>
      </c>
    </row>
    <row r="131" spans="7:10" x14ac:dyDescent="0.2">
      <c r="G131" s="164">
        <f>H131+I131</f>
        <v>0</v>
      </c>
    </row>
    <row r="132" spans="7:10" x14ac:dyDescent="0.2">
      <c r="G132" s="164">
        <f>H132+I132</f>
        <v>0</v>
      </c>
    </row>
    <row r="137" spans="7:10" ht="46.5" x14ac:dyDescent="0.2">
      <c r="J137" s="398"/>
    </row>
    <row r="140" spans="7:10" ht="46.5" x14ac:dyDescent="0.2">
      <c r="G140" s="398">
        <f>H140+I140</f>
        <v>0</v>
      </c>
      <c r="J140" s="398"/>
    </row>
    <row r="159" spans="11:11" ht="90" x14ac:dyDescent="1.1499999999999999">
      <c r="K159" s="396" t="b">
        <f>G159=H159+I159</f>
        <v>1</v>
      </c>
    </row>
  </sheetData>
  <mergeCells count="9">
    <mergeCell ref="D120:P120"/>
    <mergeCell ref="B117:J117"/>
    <mergeCell ref="B116:Q116"/>
    <mergeCell ref="B1:J1"/>
    <mergeCell ref="G2:J2"/>
    <mergeCell ref="B3:J3"/>
    <mergeCell ref="D118:P118"/>
    <mergeCell ref="D119:P119"/>
    <mergeCell ref="G75:G76"/>
  </mergeCells>
  <phoneticPr fontId="15" type="noConversion"/>
  <printOptions horizontalCentered="1"/>
  <pageMargins left="0.82677165354330717" right="0" top="0.31496062992125984" bottom="0.31496062992125984" header="0.23622047244094491" footer="0.19685039370078741"/>
  <pageSetup paperSize="9" scale="70" fitToHeight="0" orientation="landscape" r:id="rId1"/>
  <headerFooter alignWithMargins="0">
    <oddFooter>&amp;R&amp;P</oddFooter>
  </headerFooter>
  <rowBreaks count="2" manualBreakCount="2">
    <brk id="88" max="9" man="1"/>
    <brk id="9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8"/>
  <sheetViews>
    <sheetView view="pageBreakPreview" topLeftCell="A16" zoomScale="70" zoomScaleNormal="85" zoomScaleSheetLayoutView="70" workbookViewId="0">
      <selection activeCell="G30" sqref="G30"/>
    </sheetView>
  </sheetViews>
  <sheetFormatPr defaultColWidth="9.140625" defaultRowHeight="12.75" x14ac:dyDescent="0.2"/>
  <cols>
    <col min="1" max="1" width="7" style="119" customWidth="1"/>
    <col min="2" max="2" width="23.5703125" style="119" customWidth="1"/>
    <col min="3" max="3" width="83.5703125" style="119" customWidth="1"/>
    <col min="4" max="4" width="18.28515625" style="119" customWidth="1"/>
    <col min="5" max="5" width="17" style="119" customWidth="1"/>
    <col min="6" max="6" width="14.7109375" style="119" customWidth="1"/>
    <col min="7" max="7" width="12.7109375" style="119" bestFit="1" customWidth="1"/>
    <col min="8" max="10" width="9.140625" style="119"/>
    <col min="11" max="11" width="52.5703125" style="119" customWidth="1"/>
    <col min="12" max="16384" width="9.140625" style="119"/>
  </cols>
  <sheetData>
    <row r="1" spans="1:8" ht="16.5" customHeight="1" x14ac:dyDescent="0.2">
      <c r="A1" s="118"/>
      <c r="D1" s="425" t="s">
        <v>190</v>
      </c>
      <c r="E1" s="425"/>
    </row>
    <row r="2" spans="1:8" ht="16.5" customHeight="1" x14ac:dyDescent="0.2">
      <c r="A2" s="118"/>
      <c r="D2" s="425" t="s">
        <v>191</v>
      </c>
      <c r="E2" s="508"/>
    </row>
    <row r="3" spans="1:8" ht="12.75" customHeight="1" x14ac:dyDescent="0.2">
      <c r="A3" s="118"/>
      <c r="D3" s="425"/>
      <c r="E3" s="508"/>
    </row>
    <row r="4" spans="1:8" ht="12.75" customHeight="1" x14ac:dyDescent="0.2">
      <c r="A4" s="118"/>
      <c r="D4" s="425"/>
      <c r="E4" s="427"/>
    </row>
    <row r="5" spans="1:8" ht="16.5" x14ac:dyDescent="0.25">
      <c r="A5" s="492" t="s">
        <v>192</v>
      </c>
      <c r="B5" s="493"/>
      <c r="C5" s="493"/>
      <c r="D5" s="493"/>
      <c r="E5" s="494"/>
      <c r="F5" s="120"/>
    </row>
    <row r="6" spans="1:8" ht="16.5" x14ac:dyDescent="0.25">
      <c r="A6" s="492" t="s">
        <v>193</v>
      </c>
      <c r="B6" s="492"/>
      <c r="C6" s="492"/>
      <c r="D6" s="492"/>
      <c r="E6" s="426"/>
    </row>
    <row r="7" spans="1:8" ht="16.5" x14ac:dyDescent="0.2">
      <c r="A7" s="495" t="s">
        <v>660</v>
      </c>
      <c r="B7" s="495"/>
      <c r="C7" s="495"/>
      <c r="D7" s="495"/>
      <c r="E7" s="496"/>
    </row>
    <row r="8" spans="1:8" ht="16.5" x14ac:dyDescent="0.2">
      <c r="D8" s="265"/>
      <c r="E8" s="265" t="s">
        <v>704</v>
      </c>
      <c r="F8" s="120"/>
      <c r="G8" s="120"/>
      <c r="H8" s="121"/>
    </row>
    <row r="9" spans="1:8" s="122" customFormat="1" ht="26.45" customHeight="1" x14ac:dyDescent="0.2">
      <c r="B9" s="123" t="s">
        <v>194</v>
      </c>
      <c r="C9" s="503" t="s">
        <v>195</v>
      </c>
      <c r="D9" s="501"/>
      <c r="E9" s="502"/>
    </row>
    <row r="10" spans="1:8" s="122" customFormat="1" ht="39.75" customHeight="1" x14ac:dyDescent="0.2">
      <c r="A10" s="124"/>
      <c r="B10" s="125" t="s">
        <v>196</v>
      </c>
      <c r="C10" s="497" t="s">
        <v>197</v>
      </c>
      <c r="D10" s="498"/>
      <c r="E10" s="126">
        <v>100</v>
      </c>
    </row>
    <row r="11" spans="1:8" s="122" customFormat="1" ht="40.700000000000003" customHeight="1" x14ac:dyDescent="0.2">
      <c r="B11" s="125" t="s">
        <v>198</v>
      </c>
      <c r="C11" s="497" t="s">
        <v>199</v>
      </c>
      <c r="D11" s="498"/>
      <c r="E11" s="126">
        <v>4200000</v>
      </c>
    </row>
    <row r="12" spans="1:8" s="122" customFormat="1" ht="61.5" customHeight="1" x14ac:dyDescent="0.2">
      <c r="B12" s="125" t="s">
        <v>200</v>
      </c>
      <c r="C12" s="497" t="s">
        <v>201</v>
      </c>
      <c r="D12" s="498"/>
      <c r="E12" s="126">
        <v>8500</v>
      </c>
    </row>
    <row r="13" spans="1:8" s="122" customFormat="1" ht="61.5" customHeight="1" x14ac:dyDescent="0.2">
      <c r="B13" s="125" t="s">
        <v>202</v>
      </c>
      <c r="C13" s="497" t="s">
        <v>203</v>
      </c>
      <c r="D13" s="498"/>
      <c r="E13" s="126">
        <v>0</v>
      </c>
      <c r="G13" s="122">
        <f>H13+I13</f>
        <v>0</v>
      </c>
    </row>
    <row r="14" spans="1:8" s="122" customFormat="1" ht="41.25" customHeight="1" x14ac:dyDescent="0.2">
      <c r="B14" s="125" t="s">
        <v>204</v>
      </c>
      <c r="C14" s="497" t="s">
        <v>205</v>
      </c>
      <c r="D14" s="498"/>
      <c r="E14" s="126">
        <v>3500</v>
      </c>
      <c r="G14" s="122">
        <f>H14+I14</f>
        <v>0</v>
      </c>
    </row>
    <row r="15" spans="1:8" s="122" customFormat="1" ht="26.45" customHeight="1" x14ac:dyDescent="0.2">
      <c r="B15" s="125"/>
      <c r="C15" s="505" t="s">
        <v>206</v>
      </c>
      <c r="D15" s="498"/>
      <c r="E15" s="127">
        <f>SUM(E10:E14)</f>
        <v>4212100</v>
      </c>
    </row>
    <row r="16" spans="1:8" s="122" customFormat="1" ht="26.45" customHeight="1" x14ac:dyDescent="0.2">
      <c r="B16" s="125"/>
      <c r="C16" s="505" t="s">
        <v>661</v>
      </c>
      <c r="D16" s="498"/>
      <c r="E16" s="127"/>
      <c r="G16" s="122">
        <f>H16+I16</f>
        <v>0</v>
      </c>
    </row>
    <row r="17" spans="1:7" s="122" customFormat="1" ht="26.45" customHeight="1" x14ac:dyDescent="0.2">
      <c r="B17" s="174"/>
      <c r="C17" s="504" t="s">
        <v>207</v>
      </c>
      <c r="D17" s="498"/>
      <c r="E17" s="175">
        <f>E15+E16</f>
        <v>4212100</v>
      </c>
    </row>
    <row r="18" spans="1:7" s="122" customFormat="1" ht="30.75" customHeight="1" x14ac:dyDescent="0.2">
      <c r="A18" s="140"/>
      <c r="B18" s="125"/>
      <c r="C18" s="500" t="s">
        <v>208</v>
      </c>
      <c r="D18" s="501"/>
      <c r="E18" s="502"/>
      <c r="G18" s="122">
        <f>SUM(G19:G29)</f>
        <v>0</v>
      </c>
    </row>
    <row r="19" spans="1:7" s="122" customFormat="1" ht="43.5" customHeight="1" x14ac:dyDescent="0.2">
      <c r="A19" s="140"/>
      <c r="B19" s="125" t="s">
        <v>209</v>
      </c>
      <c r="C19" s="497" t="s">
        <v>210</v>
      </c>
      <c r="D19" s="498"/>
      <c r="E19" s="126">
        <v>90000</v>
      </c>
      <c r="G19" s="122">
        <f>H19+I19</f>
        <v>0</v>
      </c>
    </row>
    <row r="20" spans="1:7" s="122" customFormat="1" ht="44.45" customHeight="1" x14ac:dyDescent="0.2">
      <c r="A20" s="140"/>
      <c r="B20" s="125" t="s">
        <v>211</v>
      </c>
      <c r="C20" s="497" t="s">
        <v>212</v>
      </c>
      <c r="D20" s="498"/>
      <c r="E20" s="126">
        <v>81100</v>
      </c>
      <c r="G20" s="122">
        <f>H20+I20</f>
        <v>0</v>
      </c>
    </row>
    <row r="21" spans="1:7" s="122" customFormat="1" ht="61.5" customHeight="1" x14ac:dyDescent="0.2">
      <c r="A21" s="140"/>
      <c r="B21" s="125" t="s">
        <v>213</v>
      </c>
      <c r="C21" s="497" t="s">
        <v>706</v>
      </c>
      <c r="D21" s="498"/>
      <c r="E21" s="126">
        <v>317000</v>
      </c>
      <c r="G21" s="122">
        <f>H21+I21</f>
        <v>0</v>
      </c>
    </row>
    <row r="22" spans="1:7" s="122" customFormat="1" ht="44.45" customHeight="1" x14ac:dyDescent="0.2">
      <c r="A22" s="140"/>
      <c r="B22" s="125" t="s">
        <v>214</v>
      </c>
      <c r="C22" s="497" t="s">
        <v>731</v>
      </c>
      <c r="D22" s="498"/>
      <c r="E22" s="126">
        <v>199000</v>
      </c>
      <c r="G22" s="122">
        <f>H22+I22</f>
        <v>0</v>
      </c>
    </row>
    <row r="23" spans="1:7" s="122" customFormat="1" ht="32.25" customHeight="1" x14ac:dyDescent="0.2">
      <c r="A23" s="140"/>
      <c r="B23" s="125" t="s">
        <v>215</v>
      </c>
      <c r="C23" s="497" t="s">
        <v>216</v>
      </c>
      <c r="D23" s="498"/>
      <c r="E23" s="126">
        <v>202000</v>
      </c>
      <c r="G23" s="122">
        <f>H23+I23</f>
        <v>0</v>
      </c>
    </row>
    <row r="24" spans="1:7" s="122" customFormat="1" ht="40.700000000000003" customHeight="1" x14ac:dyDescent="0.2">
      <c r="A24" s="140"/>
      <c r="B24" s="125" t="s">
        <v>217</v>
      </c>
      <c r="C24" s="497" t="s">
        <v>218</v>
      </c>
      <c r="D24" s="498"/>
      <c r="E24" s="126">
        <v>700000</v>
      </c>
    </row>
    <row r="25" spans="1:7" s="122" customFormat="1" ht="79.5" customHeight="1" x14ac:dyDescent="0.2">
      <c r="A25" s="140"/>
      <c r="B25" s="125" t="s">
        <v>219</v>
      </c>
      <c r="C25" s="497" t="s">
        <v>220</v>
      </c>
      <c r="D25" s="498"/>
      <c r="E25" s="126">
        <v>750000</v>
      </c>
    </row>
    <row r="26" spans="1:7" s="122" customFormat="1" ht="44.45" customHeight="1" x14ac:dyDescent="0.2">
      <c r="A26" s="140"/>
      <c r="B26" s="125" t="s">
        <v>221</v>
      </c>
      <c r="C26" s="510" t="s">
        <v>222</v>
      </c>
      <c r="D26" s="498"/>
      <c r="E26" s="126">
        <v>18000</v>
      </c>
    </row>
    <row r="27" spans="1:7" s="122" customFormat="1" ht="76.7" hidden="1" customHeight="1" x14ac:dyDescent="0.2">
      <c r="A27" s="140"/>
      <c r="B27" s="125" t="s">
        <v>223</v>
      </c>
      <c r="C27" s="510" t="s">
        <v>224</v>
      </c>
      <c r="D27" s="498"/>
      <c r="E27" s="126"/>
    </row>
    <row r="28" spans="1:7" s="122" customFormat="1" ht="45.75" customHeight="1" x14ac:dyDescent="0.2">
      <c r="A28" s="140"/>
      <c r="B28" s="125" t="s">
        <v>225</v>
      </c>
      <c r="C28" s="497" t="s">
        <v>226</v>
      </c>
      <c r="D28" s="498"/>
      <c r="E28" s="126">
        <v>1855000</v>
      </c>
    </row>
    <row r="29" spans="1:7" s="122" customFormat="1" ht="27.75" customHeight="1" x14ac:dyDescent="0.2">
      <c r="B29" s="172"/>
      <c r="C29" s="509" t="s">
        <v>207</v>
      </c>
      <c r="D29" s="498"/>
      <c r="E29" s="173">
        <f>E19+E20+E21+E22+E23+E24+E26+E27+E28+E25</f>
        <v>4212100</v>
      </c>
      <c r="F29" s="364" t="b">
        <f>E17=E29</f>
        <v>1</v>
      </c>
      <c r="G29" s="364" t="b">
        <f>E29='dod3'!R18+'dod3'!R85+'dod3'!R127</f>
        <v>1</v>
      </c>
    </row>
    <row r="32" spans="1:7" ht="18.75" x14ac:dyDescent="0.2">
      <c r="B32" s="238" t="s">
        <v>653</v>
      </c>
      <c r="C32" s="238"/>
      <c r="D32" s="238" t="s">
        <v>654</v>
      </c>
    </row>
    <row r="33" spans="2:7" ht="18.75" x14ac:dyDescent="0.2">
      <c r="B33" s="238"/>
      <c r="C33" s="238"/>
      <c r="D33" s="238"/>
    </row>
    <row r="34" spans="2:7" ht="18.75" x14ac:dyDescent="0.2">
      <c r="B34" s="499" t="s">
        <v>227</v>
      </c>
      <c r="C34" s="499"/>
      <c r="D34" s="237" t="s">
        <v>228</v>
      </c>
    </row>
    <row r="40" spans="2:7" ht="16.5" x14ac:dyDescent="0.2">
      <c r="B40" s="507"/>
      <c r="C40" s="128"/>
      <c r="D40" s="129"/>
      <c r="E40" s="130"/>
    </row>
    <row r="41" spans="2:7" ht="16.5" x14ac:dyDescent="0.2">
      <c r="B41" s="507"/>
      <c r="C41" s="131"/>
      <c r="D41" s="129"/>
      <c r="E41" s="130"/>
    </row>
    <row r="42" spans="2:7" ht="16.5" x14ac:dyDescent="0.2">
      <c r="B42" s="507"/>
      <c r="C42" s="132"/>
      <c r="D42" s="129"/>
      <c r="E42" s="130"/>
    </row>
    <row r="43" spans="2:7" ht="16.5" x14ac:dyDescent="0.2">
      <c r="B43" s="507"/>
      <c r="C43" s="128"/>
      <c r="D43" s="129"/>
      <c r="E43" s="130"/>
    </row>
    <row r="44" spans="2:7" ht="16.5" x14ac:dyDescent="0.2">
      <c r="B44" s="507"/>
      <c r="C44" s="128"/>
      <c r="D44" s="129"/>
      <c r="E44" s="130"/>
    </row>
    <row r="45" spans="2:7" x14ac:dyDescent="0.2">
      <c r="G45" s="119">
        <f>H45+I45</f>
        <v>0</v>
      </c>
    </row>
    <row r="47" spans="2:7" x14ac:dyDescent="0.2">
      <c r="G47" s="119">
        <f t="shared" ref="G47:G65" si="0">H47+I47</f>
        <v>0</v>
      </c>
    </row>
    <row r="48" spans="2:7" x14ac:dyDescent="0.2">
      <c r="G48" s="119">
        <f t="shared" si="0"/>
        <v>0</v>
      </c>
    </row>
    <row r="49" spans="7:7" x14ac:dyDescent="0.2">
      <c r="G49" s="119">
        <f t="shared" si="0"/>
        <v>0</v>
      </c>
    </row>
    <row r="50" spans="7:7" x14ac:dyDescent="0.2">
      <c r="G50" s="119">
        <f t="shared" si="0"/>
        <v>0</v>
      </c>
    </row>
    <row r="51" spans="7:7" x14ac:dyDescent="0.2">
      <c r="G51" s="119">
        <f t="shared" si="0"/>
        <v>0</v>
      </c>
    </row>
    <row r="52" spans="7:7" x14ac:dyDescent="0.2">
      <c r="G52" s="119">
        <f t="shared" si="0"/>
        <v>0</v>
      </c>
    </row>
    <row r="53" spans="7:7" x14ac:dyDescent="0.2">
      <c r="G53" s="119">
        <f t="shared" si="0"/>
        <v>0</v>
      </c>
    </row>
    <row r="54" spans="7:7" x14ac:dyDescent="0.2">
      <c r="G54" s="119">
        <f t="shared" si="0"/>
        <v>0</v>
      </c>
    </row>
    <row r="55" spans="7:7" x14ac:dyDescent="0.2">
      <c r="G55" s="119">
        <f t="shared" si="0"/>
        <v>0</v>
      </c>
    </row>
    <row r="56" spans="7:7" x14ac:dyDescent="0.2">
      <c r="G56" s="119">
        <f t="shared" si="0"/>
        <v>0</v>
      </c>
    </row>
    <row r="57" spans="7:7" x14ac:dyDescent="0.2">
      <c r="G57" s="119">
        <f t="shared" si="0"/>
        <v>0</v>
      </c>
    </row>
    <row r="58" spans="7:7" x14ac:dyDescent="0.2">
      <c r="G58" s="119">
        <f t="shared" si="0"/>
        <v>0</v>
      </c>
    </row>
    <row r="59" spans="7:7" x14ac:dyDescent="0.2">
      <c r="G59" s="119">
        <f t="shared" si="0"/>
        <v>0</v>
      </c>
    </row>
    <row r="60" spans="7:7" x14ac:dyDescent="0.2">
      <c r="G60" s="119">
        <f t="shared" si="0"/>
        <v>0</v>
      </c>
    </row>
    <row r="61" spans="7:7" x14ac:dyDescent="0.2">
      <c r="G61" s="119">
        <f t="shared" si="0"/>
        <v>0</v>
      </c>
    </row>
    <row r="62" spans="7:7" x14ac:dyDescent="0.2">
      <c r="G62" s="119">
        <f t="shared" si="0"/>
        <v>0</v>
      </c>
    </row>
    <row r="63" spans="7:7" x14ac:dyDescent="0.2">
      <c r="G63" s="119">
        <f t="shared" si="0"/>
        <v>0</v>
      </c>
    </row>
    <row r="64" spans="7:7" x14ac:dyDescent="0.2">
      <c r="G64" s="119">
        <f t="shared" si="0"/>
        <v>0</v>
      </c>
    </row>
    <row r="65" spans="7:7" x14ac:dyDescent="0.2">
      <c r="G65" s="119">
        <f t="shared" si="0"/>
        <v>0</v>
      </c>
    </row>
    <row r="67" spans="7:7" x14ac:dyDescent="0.2">
      <c r="G67" s="119">
        <f>H67+I67</f>
        <v>0</v>
      </c>
    </row>
    <row r="68" spans="7:7" x14ac:dyDescent="0.2">
      <c r="G68" s="119">
        <f>H68+I68</f>
        <v>0</v>
      </c>
    </row>
    <row r="69" spans="7:7" x14ac:dyDescent="0.2">
      <c r="G69" s="119">
        <f>H69+I69</f>
        <v>0</v>
      </c>
    </row>
    <row r="70" spans="7:7" x14ac:dyDescent="0.2">
      <c r="G70" s="119">
        <f>H70+I70</f>
        <v>0</v>
      </c>
    </row>
    <row r="72" spans="7:7" x14ac:dyDescent="0.2">
      <c r="G72" s="119">
        <f>H72+I72</f>
        <v>0</v>
      </c>
    </row>
    <row r="75" spans="7:7" x14ac:dyDescent="0.2">
      <c r="G75" s="506"/>
    </row>
    <row r="76" spans="7:7" x14ac:dyDescent="0.2">
      <c r="G76" s="426"/>
    </row>
    <row r="112" spans="7:7" x14ac:dyDescent="0.2">
      <c r="G112" s="119">
        <f>H112+I112</f>
        <v>0</v>
      </c>
    </row>
    <row r="114" spans="7:7" x14ac:dyDescent="0.2">
      <c r="G114" s="119">
        <f t="shared" ref="G114:G124" si="1">H114+I114</f>
        <v>0</v>
      </c>
    </row>
    <row r="115" spans="7:7" x14ac:dyDescent="0.2">
      <c r="G115" s="119">
        <f t="shared" si="1"/>
        <v>0</v>
      </c>
    </row>
    <row r="116" spans="7:7" x14ac:dyDescent="0.2">
      <c r="G116" s="119">
        <f t="shared" si="1"/>
        <v>0</v>
      </c>
    </row>
    <row r="117" spans="7:7" x14ac:dyDescent="0.2">
      <c r="G117" s="119">
        <f t="shared" si="1"/>
        <v>0</v>
      </c>
    </row>
    <row r="118" spans="7:7" x14ac:dyDescent="0.2">
      <c r="G118" s="119">
        <f t="shared" si="1"/>
        <v>0</v>
      </c>
    </row>
    <row r="119" spans="7:7" x14ac:dyDescent="0.2">
      <c r="G119" s="119">
        <f t="shared" si="1"/>
        <v>0</v>
      </c>
    </row>
    <row r="120" spans="7:7" x14ac:dyDescent="0.2">
      <c r="G120" s="119">
        <f t="shared" si="1"/>
        <v>0</v>
      </c>
    </row>
    <row r="121" spans="7:7" x14ac:dyDescent="0.2">
      <c r="G121" s="119">
        <f t="shared" si="1"/>
        <v>0</v>
      </c>
    </row>
    <row r="122" spans="7:7" x14ac:dyDescent="0.2">
      <c r="G122" s="119">
        <f t="shared" si="1"/>
        <v>0</v>
      </c>
    </row>
    <row r="123" spans="7:7" x14ac:dyDescent="0.2">
      <c r="G123" s="119">
        <f t="shared" si="1"/>
        <v>0</v>
      </c>
    </row>
    <row r="124" spans="7:7" x14ac:dyDescent="0.2">
      <c r="G124" s="119">
        <f t="shared" si="1"/>
        <v>0</v>
      </c>
    </row>
    <row r="126" spans="7:7" x14ac:dyDescent="0.2">
      <c r="G126" s="119">
        <f>H127+I127</f>
        <v>0</v>
      </c>
    </row>
    <row r="127" spans="7:7" x14ac:dyDescent="0.2">
      <c r="G127" s="119">
        <f t="shared" ref="G127" si="2">H127+I127</f>
        <v>0</v>
      </c>
    </row>
    <row r="128" spans="7:7" x14ac:dyDescent="0.2">
      <c r="G128" s="119">
        <f>H128+I128</f>
        <v>0</v>
      </c>
    </row>
    <row r="129" spans="7:10" x14ac:dyDescent="0.2">
      <c r="G129" s="119">
        <f>H129+I129</f>
        <v>0</v>
      </c>
    </row>
    <row r="130" spans="7:10" x14ac:dyDescent="0.2">
      <c r="G130" s="119">
        <f>H130+I130</f>
        <v>0</v>
      </c>
    </row>
    <row r="131" spans="7:10" x14ac:dyDescent="0.2">
      <c r="G131" s="119">
        <f>H131+I131</f>
        <v>0</v>
      </c>
    </row>
    <row r="136" spans="7:10" ht="46.5" x14ac:dyDescent="0.2">
      <c r="J136" s="397"/>
    </row>
    <row r="139" spans="7:10" ht="46.5" x14ac:dyDescent="0.2">
      <c r="G139" s="397">
        <f>H139+I139</f>
        <v>0</v>
      </c>
      <c r="J139" s="397"/>
    </row>
    <row r="158" spans="11:11" ht="90" x14ac:dyDescent="0.2">
      <c r="K158" s="395" t="b">
        <f>G158=H158+I158</f>
        <v>1</v>
      </c>
    </row>
  </sheetData>
  <mergeCells count="31">
    <mergeCell ref="G75:G76"/>
    <mergeCell ref="B40:B44"/>
    <mergeCell ref="D1:E1"/>
    <mergeCell ref="D2:E2"/>
    <mergeCell ref="D3:E3"/>
    <mergeCell ref="D4:E4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C20:D20"/>
    <mergeCell ref="C19:D19"/>
    <mergeCell ref="B34:C34"/>
    <mergeCell ref="C18:E18"/>
    <mergeCell ref="C9:E9"/>
    <mergeCell ref="C17:D17"/>
    <mergeCell ref="C16:D16"/>
    <mergeCell ref="C15:D15"/>
    <mergeCell ref="C14:D14"/>
    <mergeCell ref="C13:D13"/>
    <mergeCell ref="A5:E5"/>
    <mergeCell ref="A6:E6"/>
    <mergeCell ref="A7:E7"/>
    <mergeCell ref="C12:D12"/>
    <mergeCell ref="C11:D11"/>
    <mergeCell ref="C10:D10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8"/>
  <sheetViews>
    <sheetView view="pageBreakPreview" zoomScale="85" zoomScaleNormal="85" zoomScaleSheetLayoutView="85" workbookViewId="0">
      <selection activeCell="G14" sqref="G14"/>
    </sheetView>
  </sheetViews>
  <sheetFormatPr defaultRowHeight="12.75" x14ac:dyDescent="0.2"/>
  <cols>
    <col min="1" max="1" width="6.85546875" customWidth="1"/>
    <col min="2" max="2" width="15.140625" customWidth="1"/>
    <col min="3" max="3" width="15.28515625" customWidth="1"/>
    <col min="4" max="4" width="10.85546875" customWidth="1"/>
    <col min="5" max="5" width="58.140625" customWidth="1"/>
    <col min="6" max="6" width="15.85546875" style="3" customWidth="1"/>
    <col min="11" max="11" width="52.5703125" customWidth="1"/>
  </cols>
  <sheetData>
    <row r="1" spans="1:7" x14ac:dyDescent="0.2">
      <c r="A1" s="147"/>
      <c r="B1" s="147"/>
      <c r="C1" s="147"/>
      <c r="D1" s="147"/>
      <c r="E1" s="147"/>
      <c r="F1" s="148" t="s">
        <v>480</v>
      </c>
    </row>
    <row r="2" spans="1:7" x14ac:dyDescent="0.2">
      <c r="A2" s="147"/>
      <c r="B2" s="147"/>
      <c r="C2" s="147"/>
      <c r="D2" s="147"/>
      <c r="E2" s="147"/>
      <c r="F2" s="148" t="s">
        <v>481</v>
      </c>
    </row>
    <row r="3" spans="1:7" x14ac:dyDescent="0.2">
      <c r="A3" s="147"/>
      <c r="B3" s="147"/>
      <c r="C3" s="147"/>
      <c r="D3" s="147"/>
      <c r="E3" s="147"/>
      <c r="F3" s="148" t="s">
        <v>482</v>
      </c>
    </row>
    <row r="4" spans="1:7" ht="15.75" x14ac:dyDescent="0.25">
      <c r="A4" s="511" t="s">
        <v>483</v>
      </c>
      <c r="B4" s="494"/>
      <c r="C4" s="494"/>
      <c r="D4" s="494"/>
      <c r="E4" s="494"/>
      <c r="F4" s="494"/>
    </row>
    <row r="5" spans="1:7" ht="15.75" x14ac:dyDescent="0.25">
      <c r="A5" s="511" t="s">
        <v>484</v>
      </c>
      <c r="B5" s="494"/>
      <c r="C5" s="494"/>
      <c r="D5" s="494"/>
      <c r="E5" s="494"/>
      <c r="F5" s="494"/>
    </row>
    <row r="6" spans="1:7" ht="15.75" x14ac:dyDescent="0.25">
      <c r="A6" s="512" t="s">
        <v>702</v>
      </c>
      <c r="B6" s="513"/>
      <c r="C6" s="513"/>
      <c r="D6" s="513"/>
      <c r="E6" s="513"/>
      <c r="F6" s="513"/>
    </row>
    <row r="7" spans="1:7" ht="59.25" customHeight="1" x14ac:dyDescent="0.2">
      <c r="A7" s="149" t="s">
        <v>485</v>
      </c>
      <c r="B7" s="150" t="s">
        <v>486</v>
      </c>
      <c r="C7" s="150" t="s">
        <v>38</v>
      </c>
      <c r="D7" s="150" t="s">
        <v>30</v>
      </c>
      <c r="E7" s="149" t="s">
        <v>487</v>
      </c>
      <c r="F7" s="151" t="s">
        <v>705</v>
      </c>
    </row>
    <row r="8" spans="1:7" ht="45" customHeight="1" x14ac:dyDescent="0.2">
      <c r="A8" s="206">
        <v>1</v>
      </c>
      <c r="B8" s="343" t="s">
        <v>466</v>
      </c>
      <c r="C8" s="343" t="s">
        <v>467</v>
      </c>
      <c r="D8" s="343" t="s">
        <v>81</v>
      </c>
      <c r="E8" s="207" t="s">
        <v>618</v>
      </c>
      <c r="F8" s="208">
        <v>116000</v>
      </c>
    </row>
    <row r="9" spans="1:7" ht="91.5" customHeight="1" x14ac:dyDescent="0.2">
      <c r="A9" s="206">
        <v>2</v>
      </c>
      <c r="B9" s="343" t="s">
        <v>466</v>
      </c>
      <c r="C9" s="343" t="s">
        <v>467</v>
      </c>
      <c r="D9" s="343" t="s">
        <v>81</v>
      </c>
      <c r="E9" s="207" t="s">
        <v>712</v>
      </c>
      <c r="F9" s="208">
        <v>130000</v>
      </c>
    </row>
    <row r="10" spans="1:7" ht="89.45" customHeight="1" x14ac:dyDescent="0.2">
      <c r="A10" s="206">
        <v>3</v>
      </c>
      <c r="B10" s="343" t="s">
        <v>466</v>
      </c>
      <c r="C10" s="343" t="s">
        <v>467</v>
      </c>
      <c r="D10" s="343" t="s">
        <v>81</v>
      </c>
      <c r="E10" s="209" t="s">
        <v>711</v>
      </c>
      <c r="F10" s="208">
        <v>115000</v>
      </c>
    </row>
    <row r="11" spans="1:7" ht="80.45" customHeight="1" x14ac:dyDescent="0.2">
      <c r="A11" s="206">
        <v>4</v>
      </c>
      <c r="B11" s="343" t="s">
        <v>466</v>
      </c>
      <c r="C11" s="343" t="s">
        <v>467</v>
      </c>
      <c r="D11" s="343" t="s">
        <v>81</v>
      </c>
      <c r="E11" s="209" t="s">
        <v>713</v>
      </c>
      <c r="F11" s="208">
        <v>39000</v>
      </c>
    </row>
    <row r="12" spans="1:7" ht="78.75" x14ac:dyDescent="0.2">
      <c r="A12" s="206">
        <v>5</v>
      </c>
      <c r="B12" s="343" t="s">
        <v>468</v>
      </c>
      <c r="C12" s="343" t="s">
        <v>469</v>
      </c>
      <c r="D12" s="343" t="s">
        <v>83</v>
      </c>
      <c r="E12" s="209" t="s">
        <v>714</v>
      </c>
      <c r="F12" s="208">
        <v>100000</v>
      </c>
    </row>
    <row r="13" spans="1:7" ht="15.75" x14ac:dyDescent="0.2">
      <c r="A13" s="514" t="s">
        <v>488</v>
      </c>
      <c r="B13" s="515"/>
      <c r="C13" s="515"/>
      <c r="D13" s="515"/>
      <c r="E13" s="516"/>
      <c r="F13" s="176">
        <f>SUM(F8:F12)</f>
        <v>500000</v>
      </c>
      <c r="G13" s="152" t="b">
        <f>F13='dod3'!P147</f>
        <v>1</v>
      </c>
    </row>
    <row r="14" spans="1:7" s="3" customFormat="1" ht="15.75" x14ac:dyDescent="0.2">
      <c r="A14" s="155"/>
      <c r="B14" s="155"/>
      <c r="C14" s="155"/>
      <c r="D14" s="155"/>
      <c r="E14" s="155"/>
      <c r="F14" s="156"/>
      <c r="G14" s="3">
        <f>H14+I14</f>
        <v>0</v>
      </c>
    </row>
    <row r="15" spans="1:7" s="3" customFormat="1" ht="15.75" x14ac:dyDescent="0.2">
      <c r="A15" s="518" t="s">
        <v>657</v>
      </c>
      <c r="B15" s="519"/>
      <c r="C15" s="519"/>
      <c r="D15" s="519"/>
      <c r="E15" s="233"/>
      <c r="F15" s="235" t="s">
        <v>655</v>
      </c>
    </row>
    <row r="16" spans="1:7" s="3" customFormat="1" ht="15.75" x14ac:dyDescent="0.2">
      <c r="A16" s="236"/>
      <c r="B16" s="236"/>
      <c r="C16" s="236"/>
      <c r="D16" s="236"/>
      <c r="E16" s="233"/>
      <c r="F16" s="234"/>
      <c r="G16" s="3">
        <f>H16+I16</f>
        <v>0</v>
      </c>
    </row>
    <row r="17" spans="1:7" ht="15.75" x14ac:dyDescent="0.25">
      <c r="A17" s="520" t="s">
        <v>658</v>
      </c>
      <c r="B17" s="520"/>
      <c r="C17" s="520"/>
      <c r="D17" s="520"/>
      <c r="E17" s="153"/>
      <c r="F17" s="232" t="s">
        <v>489</v>
      </c>
    </row>
    <row r="18" spans="1:7" ht="15.75" x14ac:dyDescent="0.2">
      <c r="A18" s="517"/>
      <c r="B18" s="517"/>
      <c r="C18" s="517"/>
      <c r="D18" s="517"/>
      <c r="E18" s="517"/>
      <c r="F18" s="154"/>
      <c r="G18">
        <f>SUM(G19:G29)</f>
        <v>0</v>
      </c>
    </row>
    <row r="19" spans="1:7" x14ac:dyDescent="0.2">
      <c r="G19">
        <f>H19+I19</f>
        <v>0</v>
      </c>
    </row>
    <row r="20" spans="1:7" x14ac:dyDescent="0.2">
      <c r="G20">
        <f>H20+I20</f>
        <v>0</v>
      </c>
    </row>
    <row r="21" spans="1:7" x14ac:dyDescent="0.2">
      <c r="G21">
        <f>H21+I21</f>
        <v>0</v>
      </c>
    </row>
    <row r="22" spans="1:7" x14ac:dyDescent="0.2">
      <c r="G22">
        <f>H22+I22</f>
        <v>0</v>
      </c>
    </row>
    <row r="23" spans="1:7" x14ac:dyDescent="0.2">
      <c r="G23">
        <f>H23+I23</f>
        <v>0</v>
      </c>
    </row>
    <row r="24" spans="1:7" x14ac:dyDescent="0.2">
      <c r="E24" s="3"/>
    </row>
    <row r="45" spans="7:7" x14ac:dyDescent="0.2">
      <c r="G45">
        <f>H45+I45</f>
        <v>0</v>
      </c>
    </row>
    <row r="47" spans="7:7" x14ac:dyDescent="0.2">
      <c r="G47">
        <f t="shared" ref="G47:G65" si="0">H47+I47</f>
        <v>0</v>
      </c>
    </row>
    <row r="48" spans="7:7" x14ac:dyDescent="0.2">
      <c r="G48">
        <f t="shared" si="0"/>
        <v>0</v>
      </c>
    </row>
    <row r="49" spans="7:7" x14ac:dyDescent="0.2">
      <c r="G49">
        <f t="shared" si="0"/>
        <v>0</v>
      </c>
    </row>
    <row r="50" spans="7:7" x14ac:dyDescent="0.2">
      <c r="G50">
        <f t="shared" si="0"/>
        <v>0</v>
      </c>
    </row>
    <row r="51" spans="7:7" x14ac:dyDescent="0.2">
      <c r="G51">
        <f t="shared" si="0"/>
        <v>0</v>
      </c>
    </row>
    <row r="52" spans="7:7" x14ac:dyDescent="0.2">
      <c r="G52">
        <f t="shared" si="0"/>
        <v>0</v>
      </c>
    </row>
    <row r="53" spans="7:7" x14ac:dyDescent="0.2">
      <c r="G53">
        <f t="shared" si="0"/>
        <v>0</v>
      </c>
    </row>
    <row r="54" spans="7:7" x14ac:dyDescent="0.2">
      <c r="G54">
        <f t="shared" si="0"/>
        <v>0</v>
      </c>
    </row>
    <row r="55" spans="7:7" x14ac:dyDescent="0.2">
      <c r="G55">
        <f t="shared" si="0"/>
        <v>0</v>
      </c>
    </row>
    <row r="56" spans="7:7" x14ac:dyDescent="0.2">
      <c r="G56">
        <f t="shared" si="0"/>
        <v>0</v>
      </c>
    </row>
    <row r="57" spans="7:7" x14ac:dyDescent="0.2">
      <c r="G57">
        <f t="shared" si="0"/>
        <v>0</v>
      </c>
    </row>
    <row r="58" spans="7:7" x14ac:dyDescent="0.2">
      <c r="G58">
        <f t="shared" si="0"/>
        <v>0</v>
      </c>
    </row>
    <row r="59" spans="7:7" x14ac:dyDescent="0.2">
      <c r="G59">
        <f t="shared" si="0"/>
        <v>0</v>
      </c>
    </row>
    <row r="60" spans="7:7" x14ac:dyDescent="0.2">
      <c r="G60">
        <f t="shared" si="0"/>
        <v>0</v>
      </c>
    </row>
    <row r="61" spans="7:7" x14ac:dyDescent="0.2">
      <c r="G61">
        <f t="shared" si="0"/>
        <v>0</v>
      </c>
    </row>
    <row r="62" spans="7:7" x14ac:dyDescent="0.2">
      <c r="G62">
        <f t="shared" si="0"/>
        <v>0</v>
      </c>
    </row>
    <row r="63" spans="7:7" x14ac:dyDescent="0.2">
      <c r="G63">
        <f t="shared" si="0"/>
        <v>0</v>
      </c>
    </row>
    <row r="64" spans="7:7" x14ac:dyDescent="0.2">
      <c r="G64">
        <f t="shared" si="0"/>
        <v>0</v>
      </c>
    </row>
    <row r="65" spans="7:7" x14ac:dyDescent="0.2">
      <c r="G65">
        <f t="shared" si="0"/>
        <v>0</v>
      </c>
    </row>
    <row r="67" spans="7:7" x14ac:dyDescent="0.2">
      <c r="G67">
        <f>H67+I67</f>
        <v>0</v>
      </c>
    </row>
    <row r="68" spans="7:7" x14ac:dyDescent="0.2">
      <c r="G68">
        <f>H68+I68</f>
        <v>0</v>
      </c>
    </row>
    <row r="69" spans="7:7" x14ac:dyDescent="0.2">
      <c r="G69">
        <f>H69+I69</f>
        <v>0</v>
      </c>
    </row>
    <row r="70" spans="7:7" x14ac:dyDescent="0.2">
      <c r="G70">
        <f>H70+I70</f>
        <v>0</v>
      </c>
    </row>
    <row r="72" spans="7:7" x14ac:dyDescent="0.2">
      <c r="G72">
        <f>H72+I72</f>
        <v>0</v>
      </c>
    </row>
    <row r="75" spans="7:7" x14ac:dyDescent="0.2">
      <c r="G75" s="426"/>
    </row>
    <row r="76" spans="7:7" x14ac:dyDescent="0.2">
      <c r="G76" s="426"/>
    </row>
    <row r="112" spans="7:7" x14ac:dyDescent="0.2">
      <c r="G112">
        <f>H112+I112</f>
        <v>0</v>
      </c>
    </row>
    <row r="114" spans="7:7" x14ac:dyDescent="0.2">
      <c r="G114">
        <f t="shared" ref="G114:G124" si="1">H114+I114</f>
        <v>0</v>
      </c>
    </row>
    <row r="115" spans="7:7" x14ac:dyDescent="0.2">
      <c r="G115">
        <f t="shared" si="1"/>
        <v>0</v>
      </c>
    </row>
    <row r="116" spans="7:7" x14ac:dyDescent="0.2">
      <c r="G116">
        <f t="shared" si="1"/>
        <v>0</v>
      </c>
    </row>
    <row r="117" spans="7:7" x14ac:dyDescent="0.2">
      <c r="G117">
        <f t="shared" si="1"/>
        <v>0</v>
      </c>
    </row>
    <row r="118" spans="7:7" x14ac:dyDescent="0.2">
      <c r="G118">
        <f t="shared" si="1"/>
        <v>0</v>
      </c>
    </row>
    <row r="119" spans="7:7" x14ac:dyDescent="0.2">
      <c r="G119">
        <f t="shared" si="1"/>
        <v>0</v>
      </c>
    </row>
    <row r="120" spans="7:7" x14ac:dyDescent="0.2">
      <c r="G120">
        <f t="shared" si="1"/>
        <v>0</v>
      </c>
    </row>
    <row r="121" spans="7:7" x14ac:dyDescent="0.2">
      <c r="G121">
        <f t="shared" si="1"/>
        <v>0</v>
      </c>
    </row>
    <row r="122" spans="7:7" x14ac:dyDescent="0.2">
      <c r="G122">
        <f t="shared" si="1"/>
        <v>0</v>
      </c>
    </row>
    <row r="123" spans="7:7" x14ac:dyDescent="0.2">
      <c r="G123">
        <f t="shared" si="1"/>
        <v>0</v>
      </c>
    </row>
    <row r="124" spans="7:7" x14ac:dyDescent="0.2">
      <c r="G124">
        <f t="shared" si="1"/>
        <v>0</v>
      </c>
    </row>
    <row r="126" spans="7:7" x14ac:dyDescent="0.2">
      <c r="G126">
        <f>H127+I127</f>
        <v>0</v>
      </c>
    </row>
    <row r="127" spans="7:7" x14ac:dyDescent="0.2">
      <c r="G127">
        <f t="shared" ref="G127" si="2">H127+I127</f>
        <v>0</v>
      </c>
    </row>
    <row r="128" spans="7:7" x14ac:dyDescent="0.2">
      <c r="G128">
        <f>H128+I128</f>
        <v>0</v>
      </c>
    </row>
    <row r="129" spans="7:10" x14ac:dyDescent="0.2">
      <c r="G129">
        <f>H129+I129</f>
        <v>0</v>
      </c>
    </row>
    <row r="130" spans="7:10" x14ac:dyDescent="0.2">
      <c r="G130">
        <f>H130+I130</f>
        <v>0</v>
      </c>
    </row>
    <row r="131" spans="7:10" x14ac:dyDescent="0.2">
      <c r="G131">
        <f>H131+I131</f>
        <v>0</v>
      </c>
    </row>
    <row r="136" spans="7:10" ht="46.5" x14ac:dyDescent="0.65">
      <c r="J136" s="221"/>
    </row>
    <row r="139" spans="7:10" ht="46.5" x14ac:dyDescent="0.65">
      <c r="G139" s="221">
        <f>H139+I139</f>
        <v>0</v>
      </c>
      <c r="J139" s="221"/>
    </row>
    <row r="158" spans="11:11" ht="90" x14ac:dyDescent="1.1499999999999999">
      <c r="K158" s="394" t="b">
        <f>G158=H158+I158</f>
        <v>1</v>
      </c>
    </row>
  </sheetData>
  <mergeCells count="8">
    <mergeCell ref="G75:G76"/>
    <mergeCell ref="A4:F4"/>
    <mergeCell ref="A5:F5"/>
    <mergeCell ref="A6:F6"/>
    <mergeCell ref="A13:E13"/>
    <mergeCell ref="A18:E18"/>
    <mergeCell ref="A15:D15"/>
    <mergeCell ref="A17:D1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5"/>
  <sheetViews>
    <sheetView view="pageBreakPreview" zoomScale="25" zoomScaleNormal="25" zoomScaleSheetLayoutView="25" zoomScalePageLayoutView="10" workbookViewId="0">
      <pane ySplit="10" topLeftCell="A122" activePane="bottomLeft" state="frozen"/>
      <selection activeCell="K153" sqref="K153"/>
      <selection pane="bottomLeft" activeCell="G10" sqref="G10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6" customWidth="1"/>
    <col min="6" max="6" width="114" style="1" customWidth="1"/>
    <col min="7" max="7" width="55.42578125" style="1" customWidth="1"/>
    <col min="8" max="8" width="89.85546875" style="1" customWidth="1"/>
    <col min="9" max="9" width="71.85546875" style="1" customWidth="1"/>
    <col min="10" max="10" width="86.28515625" style="6" customWidth="1"/>
    <col min="11" max="11" width="52.5703125" customWidth="1"/>
    <col min="12" max="12" width="29.28515625" bestFit="1" customWidth="1"/>
    <col min="13" max="13" width="29.85546875" bestFit="1" customWidth="1"/>
  </cols>
  <sheetData>
    <row r="1" spans="1:13" ht="45.75" x14ac:dyDescent="0.2">
      <c r="D1" s="247"/>
      <c r="E1" s="248"/>
      <c r="F1" s="246"/>
      <c r="G1" s="248"/>
      <c r="H1" s="248"/>
      <c r="I1" s="460" t="s">
        <v>708</v>
      </c>
      <c r="J1" s="460"/>
    </row>
    <row r="2" spans="1:13" ht="45.75" x14ac:dyDescent="0.2">
      <c r="A2" s="247"/>
      <c r="B2" s="247"/>
      <c r="C2" s="247"/>
      <c r="D2" s="247"/>
      <c r="E2" s="248"/>
      <c r="F2" s="246"/>
      <c r="G2" s="248"/>
      <c r="H2" s="248"/>
      <c r="I2" s="460" t="s">
        <v>629</v>
      </c>
      <c r="J2" s="461"/>
    </row>
    <row r="3" spans="1:13" ht="40.700000000000003" customHeight="1" x14ac:dyDescent="0.2">
      <c r="A3" s="247"/>
      <c r="B3" s="247"/>
      <c r="C3" s="247"/>
      <c r="D3" s="247"/>
      <c r="E3" s="248"/>
      <c r="F3" s="246"/>
      <c r="G3" s="248"/>
      <c r="H3" s="248"/>
      <c r="I3" s="460"/>
      <c r="J3" s="461"/>
    </row>
    <row r="4" spans="1:13" ht="45.75" hidden="1" x14ac:dyDescent="0.2">
      <c r="A4" s="247"/>
      <c r="B4" s="247"/>
      <c r="C4" s="247"/>
      <c r="D4" s="247"/>
      <c r="E4" s="248"/>
      <c r="F4" s="246"/>
      <c r="G4" s="248"/>
      <c r="H4" s="248"/>
      <c r="I4" s="247"/>
      <c r="J4" s="246"/>
    </row>
    <row r="5" spans="1:13" ht="45" x14ac:dyDescent="0.2">
      <c r="A5" s="463" t="s">
        <v>703</v>
      </c>
      <c r="B5" s="463"/>
      <c r="C5" s="463"/>
      <c r="D5" s="463"/>
      <c r="E5" s="463"/>
      <c r="F5" s="463"/>
      <c r="G5" s="463"/>
      <c r="H5" s="463"/>
      <c r="I5" s="463"/>
      <c r="J5" s="463"/>
    </row>
    <row r="6" spans="1:13" ht="45" x14ac:dyDescent="0.2">
      <c r="A6" s="463"/>
      <c r="B6" s="463"/>
      <c r="C6" s="463"/>
      <c r="D6" s="463"/>
      <c r="E6" s="463"/>
      <c r="F6" s="463"/>
      <c r="G6" s="463"/>
      <c r="H6" s="463"/>
      <c r="I6" s="463"/>
      <c r="J6" s="463"/>
    </row>
    <row r="7" spans="1:13" ht="53.45" customHeight="1" x14ac:dyDescent="0.2">
      <c r="A7" s="248"/>
      <c r="B7" s="248"/>
      <c r="C7" s="248"/>
      <c r="D7" s="248"/>
      <c r="E7" s="248"/>
      <c r="F7" s="246"/>
      <c r="G7" s="248"/>
      <c r="H7" s="248"/>
      <c r="I7" s="248"/>
      <c r="J7" s="11" t="s">
        <v>672</v>
      </c>
    </row>
    <row r="8" spans="1:13" ht="62.45" customHeight="1" x14ac:dyDescent="0.2">
      <c r="A8" s="465" t="s">
        <v>29</v>
      </c>
      <c r="B8" s="465" t="s">
        <v>675</v>
      </c>
      <c r="C8" s="465" t="s">
        <v>682</v>
      </c>
      <c r="D8" s="465" t="s">
        <v>676</v>
      </c>
      <c r="E8" s="465" t="s">
        <v>707</v>
      </c>
      <c r="F8" s="465" t="s">
        <v>709</v>
      </c>
      <c r="G8" s="465" t="s">
        <v>667</v>
      </c>
      <c r="H8" s="465" t="s">
        <v>25</v>
      </c>
      <c r="I8" s="469" t="s">
        <v>84</v>
      </c>
      <c r="J8" s="471"/>
    </row>
    <row r="9" spans="1:13" ht="409.6" customHeight="1" x14ac:dyDescent="0.2">
      <c r="A9" s="466"/>
      <c r="B9" s="468"/>
      <c r="C9" s="468"/>
      <c r="D9" s="466"/>
      <c r="E9" s="466"/>
      <c r="F9" s="466"/>
      <c r="G9" s="466"/>
      <c r="H9" s="466"/>
      <c r="I9" s="266" t="s">
        <v>668</v>
      </c>
      <c r="J9" s="266" t="s">
        <v>669</v>
      </c>
    </row>
    <row r="10" spans="1:13" s="2" customFormat="1" ht="111" customHeight="1" x14ac:dyDescent="0.2">
      <c r="A10" s="12" t="s">
        <v>4</v>
      </c>
      <c r="B10" s="12" t="s">
        <v>5</v>
      </c>
      <c r="C10" s="12" t="s">
        <v>27</v>
      </c>
      <c r="D10" s="12" t="s">
        <v>7</v>
      </c>
      <c r="E10" s="12" t="s">
        <v>685</v>
      </c>
      <c r="F10" s="12" t="s">
        <v>686</v>
      </c>
      <c r="G10" s="12" t="s">
        <v>687</v>
      </c>
      <c r="H10" s="12" t="s">
        <v>688</v>
      </c>
      <c r="I10" s="12" t="s">
        <v>689</v>
      </c>
      <c r="J10" s="12" t="s">
        <v>690</v>
      </c>
    </row>
    <row r="11" spans="1:13" s="2" customFormat="1" ht="135" x14ac:dyDescent="0.2">
      <c r="A11" s="282" t="s">
        <v>235</v>
      </c>
      <c r="B11" s="282"/>
      <c r="C11" s="282"/>
      <c r="D11" s="347" t="s">
        <v>237</v>
      </c>
      <c r="E11" s="365"/>
      <c r="F11" s="378"/>
      <c r="G11" s="365">
        <f>G12</f>
        <v>8351400</v>
      </c>
      <c r="H11" s="365">
        <f t="shared" ref="H11:J11" si="0">H12</f>
        <v>6751400</v>
      </c>
      <c r="I11" s="365">
        <f t="shared" si="0"/>
        <v>1600000</v>
      </c>
      <c r="J11" s="365">
        <f t="shared" si="0"/>
        <v>1600000</v>
      </c>
    </row>
    <row r="12" spans="1:13" s="2" customFormat="1" ht="135" x14ac:dyDescent="0.2">
      <c r="A12" s="286" t="s">
        <v>236</v>
      </c>
      <c r="B12" s="286"/>
      <c r="C12" s="286"/>
      <c r="D12" s="348" t="s">
        <v>238</v>
      </c>
      <c r="E12" s="284"/>
      <c r="F12" s="284"/>
      <c r="G12" s="284">
        <f>SUM(G13:G16)</f>
        <v>8351400</v>
      </c>
      <c r="H12" s="284">
        <f t="shared" ref="H12:J12" si="1">SUM(H13:H16)</f>
        <v>6751400</v>
      </c>
      <c r="I12" s="284">
        <f t="shared" si="1"/>
        <v>1600000</v>
      </c>
      <c r="J12" s="284">
        <f t="shared" si="1"/>
        <v>1600000</v>
      </c>
    </row>
    <row r="13" spans="1:13" ht="320.25" x14ac:dyDescent="0.2">
      <c r="A13" s="335" t="s">
        <v>340</v>
      </c>
      <c r="B13" s="335" t="s">
        <v>341</v>
      </c>
      <c r="C13" s="335" t="s">
        <v>342</v>
      </c>
      <c r="D13" s="335" t="s">
        <v>339</v>
      </c>
      <c r="E13" s="326" t="s">
        <v>768</v>
      </c>
      <c r="F13" s="338" t="s">
        <v>767</v>
      </c>
      <c r="G13" s="338">
        <f>H13+I13</f>
        <v>100000</v>
      </c>
      <c r="H13" s="133"/>
      <c r="I13" s="338">
        <f>'dod3'!J14-110000</f>
        <v>100000</v>
      </c>
      <c r="J13" s="338">
        <f>'dod3'!K14-110000</f>
        <v>100000</v>
      </c>
    </row>
    <row r="14" spans="1:13" ht="228.75" x14ac:dyDescent="0.2">
      <c r="A14" s="335" t="s">
        <v>346</v>
      </c>
      <c r="B14" s="335" t="s">
        <v>347</v>
      </c>
      <c r="C14" s="335" t="s">
        <v>348</v>
      </c>
      <c r="D14" s="335" t="s">
        <v>345</v>
      </c>
      <c r="E14" s="326" t="s">
        <v>768</v>
      </c>
      <c r="F14" s="338" t="s">
        <v>767</v>
      </c>
      <c r="G14" s="338">
        <f>H14+I14</f>
        <v>4736400</v>
      </c>
      <c r="H14" s="338">
        <f>'dod3'!E16</f>
        <v>3236400</v>
      </c>
      <c r="I14" s="338">
        <f>'dod3'!J16</f>
        <v>1500000</v>
      </c>
      <c r="J14" s="338">
        <f>'dod3'!K16</f>
        <v>1500000</v>
      </c>
      <c r="K14" s="287" t="b">
        <f>H14='dod3'!E16</f>
        <v>1</v>
      </c>
      <c r="L14" s="287" t="b">
        <f>I14='dod3'!J16</f>
        <v>1</v>
      </c>
      <c r="M14" s="288" t="b">
        <f>J14='dod3'!K16</f>
        <v>1</v>
      </c>
    </row>
    <row r="15" spans="1:13" ht="91.5" hidden="1" x14ac:dyDescent="0.2">
      <c r="A15" s="250" t="s">
        <v>499</v>
      </c>
      <c r="B15" s="249" t="s">
        <v>294</v>
      </c>
      <c r="C15" s="249" t="s">
        <v>257</v>
      </c>
      <c r="D15" s="250" t="s">
        <v>57</v>
      </c>
      <c r="E15" s="251"/>
      <c r="F15" s="253"/>
      <c r="G15" s="338">
        <f t="shared" ref="G15" si="2">H15+I15</f>
        <v>0</v>
      </c>
      <c r="H15" s="253"/>
      <c r="I15" s="253"/>
      <c r="J15" s="339"/>
    </row>
    <row r="16" spans="1:13" ht="279" x14ac:dyDescent="0.2">
      <c r="A16" s="335" t="s">
        <v>349</v>
      </c>
      <c r="B16" s="335" t="s">
        <v>350</v>
      </c>
      <c r="C16" s="335" t="s">
        <v>351</v>
      </c>
      <c r="D16" s="334" t="s">
        <v>352</v>
      </c>
      <c r="E16" s="338" t="s">
        <v>770</v>
      </c>
      <c r="F16" s="338" t="s">
        <v>769</v>
      </c>
      <c r="G16" s="338">
        <f>H16+I16</f>
        <v>3515000</v>
      </c>
      <c r="H16" s="338">
        <f>'dod3'!E20</f>
        <v>3515000</v>
      </c>
      <c r="I16" s="338">
        <f>'dod3'!J20</f>
        <v>0</v>
      </c>
      <c r="J16" s="338">
        <f>'dod3'!K20</f>
        <v>0</v>
      </c>
      <c r="K16" s="287" t="b">
        <f>H16='dod3'!E20</f>
        <v>1</v>
      </c>
      <c r="L16" s="287" t="b">
        <f>I16='dod3'!J20</f>
        <v>1</v>
      </c>
      <c r="M16" s="288" t="b">
        <f>J16='dod3'!K20</f>
        <v>1</v>
      </c>
    </row>
    <row r="17" spans="1:13" ht="135" x14ac:dyDescent="0.2">
      <c r="A17" s="282" t="s">
        <v>239</v>
      </c>
      <c r="B17" s="282"/>
      <c r="C17" s="282"/>
      <c r="D17" s="347" t="s">
        <v>0</v>
      </c>
      <c r="E17" s="283"/>
      <c r="F17" s="284"/>
      <c r="G17" s="283">
        <f>G18</f>
        <v>1071375283</v>
      </c>
      <c r="H17" s="283">
        <f t="shared" ref="H17:J17" si="3">H18</f>
        <v>955304293</v>
      </c>
      <c r="I17" s="283">
        <f t="shared" si="3"/>
        <v>116070990</v>
      </c>
      <c r="J17" s="283">
        <f t="shared" si="3"/>
        <v>13109000</v>
      </c>
      <c r="K17" s="287" t="b">
        <f>H17='dod3'!E23</f>
        <v>1</v>
      </c>
      <c r="L17" s="287" t="b">
        <f>I17='dod3'!J23</f>
        <v>1</v>
      </c>
      <c r="M17" s="288" t="b">
        <f>J17='dod3'!K22</f>
        <v>1</v>
      </c>
    </row>
    <row r="18" spans="1:13" ht="135" x14ac:dyDescent="0.2">
      <c r="A18" s="286" t="s">
        <v>240</v>
      </c>
      <c r="B18" s="286"/>
      <c r="C18" s="286"/>
      <c r="D18" s="348" t="s">
        <v>1</v>
      </c>
      <c r="E18" s="349"/>
      <c r="F18" s="284"/>
      <c r="G18" s="284">
        <f>SUM(G19:G29)</f>
        <v>1071375283</v>
      </c>
      <c r="H18" s="284">
        <f t="shared" ref="H18:J18" si="4">SUM(H19:H29)</f>
        <v>955304293</v>
      </c>
      <c r="I18" s="284">
        <f t="shared" si="4"/>
        <v>116070990</v>
      </c>
      <c r="J18" s="284">
        <f t="shared" si="4"/>
        <v>13109000</v>
      </c>
    </row>
    <row r="19" spans="1:13" ht="145.5" customHeight="1" x14ac:dyDescent="0.2">
      <c r="A19" s="335" t="s">
        <v>297</v>
      </c>
      <c r="B19" s="335" t="s">
        <v>298</v>
      </c>
      <c r="C19" s="335" t="s">
        <v>300</v>
      </c>
      <c r="D19" s="335" t="s">
        <v>301</v>
      </c>
      <c r="E19" s="326" t="s">
        <v>782</v>
      </c>
      <c r="F19" s="338" t="s">
        <v>739</v>
      </c>
      <c r="G19" s="338">
        <f t="shared" ref="G19:G29" si="5">H19+I19</f>
        <v>301968700</v>
      </c>
      <c r="H19" s="338">
        <f>'dod3'!E24</f>
        <v>259096280</v>
      </c>
      <c r="I19" s="338">
        <f>'dod3'!J24</f>
        <v>42872420</v>
      </c>
      <c r="J19" s="338">
        <f>'dod3'!K24</f>
        <v>2752000</v>
      </c>
    </row>
    <row r="20" spans="1:13" ht="366" x14ac:dyDescent="0.2">
      <c r="A20" s="335" t="s">
        <v>303</v>
      </c>
      <c r="B20" s="335" t="s">
        <v>299</v>
      </c>
      <c r="C20" s="335" t="s">
        <v>304</v>
      </c>
      <c r="D20" s="335" t="s">
        <v>302</v>
      </c>
      <c r="E20" s="326" t="s">
        <v>782</v>
      </c>
      <c r="F20" s="338" t="s">
        <v>739</v>
      </c>
      <c r="G20" s="338">
        <f t="shared" si="5"/>
        <v>571724927</v>
      </c>
      <c r="H20" s="338">
        <f>'dod3'!E25-H21</f>
        <v>526756567</v>
      </c>
      <c r="I20" s="338">
        <f>'dod3'!J25-I21</f>
        <v>44968360</v>
      </c>
      <c r="J20" s="338">
        <f>'dod3'!K25-J21</f>
        <v>3021000</v>
      </c>
    </row>
    <row r="21" spans="1:13" ht="366" x14ac:dyDescent="0.2">
      <c r="A21" s="335" t="s">
        <v>303</v>
      </c>
      <c r="B21" s="335" t="s">
        <v>299</v>
      </c>
      <c r="C21" s="335" t="s">
        <v>304</v>
      </c>
      <c r="D21" s="335" t="s">
        <v>302</v>
      </c>
      <c r="E21" s="326" t="s">
        <v>783</v>
      </c>
      <c r="F21" s="327" t="s">
        <v>725</v>
      </c>
      <c r="G21" s="338">
        <f t="shared" si="5"/>
        <v>4532500</v>
      </c>
      <c r="H21" s="338">
        <v>4532500</v>
      </c>
      <c r="I21" s="338"/>
      <c r="J21" s="338"/>
    </row>
    <row r="22" spans="1:13" ht="366" x14ac:dyDescent="0.2">
      <c r="A22" s="335" t="s">
        <v>307</v>
      </c>
      <c r="B22" s="335" t="s">
        <v>306</v>
      </c>
      <c r="C22" s="335" t="s">
        <v>308</v>
      </c>
      <c r="D22" s="335" t="s">
        <v>32</v>
      </c>
      <c r="E22" s="326" t="s">
        <v>782</v>
      </c>
      <c r="F22" s="338" t="s">
        <v>739</v>
      </c>
      <c r="G22" s="338">
        <f t="shared" si="5"/>
        <v>16914606</v>
      </c>
      <c r="H22" s="338">
        <f>'dod3'!E26-H23</f>
        <v>16855606</v>
      </c>
      <c r="I22" s="338">
        <f>'dod3'!J26-I23</f>
        <v>59000</v>
      </c>
      <c r="J22" s="338">
        <f>'dod3'!K26-J23</f>
        <v>9000</v>
      </c>
    </row>
    <row r="23" spans="1:13" ht="366" x14ac:dyDescent="0.2">
      <c r="A23" s="335" t="s">
        <v>307</v>
      </c>
      <c r="B23" s="335" t="s">
        <v>306</v>
      </c>
      <c r="C23" s="335" t="s">
        <v>308</v>
      </c>
      <c r="D23" s="335" t="s">
        <v>32</v>
      </c>
      <c r="E23" s="326" t="s">
        <v>783</v>
      </c>
      <c r="F23" s="327" t="s">
        <v>725</v>
      </c>
      <c r="G23" s="338">
        <f t="shared" si="5"/>
        <v>20000</v>
      </c>
      <c r="H23" s="338">
        <v>20000</v>
      </c>
      <c r="I23" s="338"/>
      <c r="J23" s="338"/>
    </row>
    <row r="24" spans="1:13" ht="183" x14ac:dyDescent="0.2">
      <c r="A24" s="335" t="s">
        <v>309</v>
      </c>
      <c r="B24" s="335" t="s">
        <v>288</v>
      </c>
      <c r="C24" s="335" t="s">
        <v>276</v>
      </c>
      <c r="D24" s="335" t="s">
        <v>33</v>
      </c>
      <c r="E24" s="326" t="s">
        <v>782</v>
      </c>
      <c r="F24" s="338" t="s">
        <v>739</v>
      </c>
      <c r="G24" s="338">
        <f t="shared" si="5"/>
        <v>34367607</v>
      </c>
      <c r="H24" s="338">
        <f>'dod3'!E27</f>
        <v>27335937</v>
      </c>
      <c r="I24" s="338">
        <f>'dod3'!J27</f>
        <v>7031670</v>
      </c>
      <c r="J24" s="338">
        <f>'dod3'!K27</f>
        <v>2318000</v>
      </c>
    </row>
    <row r="25" spans="1:13" ht="139.5" x14ac:dyDescent="0.2">
      <c r="A25" s="335" t="s">
        <v>310</v>
      </c>
      <c r="B25" s="335" t="s">
        <v>311</v>
      </c>
      <c r="C25" s="335" t="s">
        <v>312</v>
      </c>
      <c r="D25" s="335" t="s">
        <v>313</v>
      </c>
      <c r="E25" s="326" t="s">
        <v>782</v>
      </c>
      <c r="F25" s="338" t="s">
        <v>739</v>
      </c>
      <c r="G25" s="338">
        <f t="shared" si="5"/>
        <v>115471630</v>
      </c>
      <c r="H25" s="338">
        <f>'dod3'!E28</f>
        <v>99743470</v>
      </c>
      <c r="I25" s="338">
        <f>'dod3'!J28</f>
        <v>15728160</v>
      </c>
      <c r="J25" s="338">
        <f>'dod3'!K28</f>
        <v>0</v>
      </c>
    </row>
    <row r="26" spans="1:13" ht="139.5" x14ac:dyDescent="0.2">
      <c r="A26" s="335" t="s">
        <v>315</v>
      </c>
      <c r="B26" s="335" t="s">
        <v>316</v>
      </c>
      <c r="C26" s="335" t="s">
        <v>317</v>
      </c>
      <c r="D26" s="335" t="s">
        <v>314</v>
      </c>
      <c r="E26" s="326" t="s">
        <v>782</v>
      </c>
      <c r="F26" s="338" t="s">
        <v>739</v>
      </c>
      <c r="G26" s="338">
        <f t="shared" si="5"/>
        <v>4678106</v>
      </c>
      <c r="H26" s="338">
        <f>'dod3'!E29</f>
        <v>4604366</v>
      </c>
      <c r="I26" s="338">
        <f>'dod3'!J29</f>
        <v>73740</v>
      </c>
      <c r="J26" s="338">
        <f>'dod3'!K29</f>
        <v>0</v>
      </c>
    </row>
    <row r="27" spans="1:13" ht="175.7" customHeight="1" x14ac:dyDescent="0.2">
      <c r="A27" s="334" t="s">
        <v>506</v>
      </c>
      <c r="B27" s="335" t="s">
        <v>507</v>
      </c>
      <c r="C27" s="335" t="s">
        <v>317</v>
      </c>
      <c r="D27" s="335" t="s">
        <v>505</v>
      </c>
      <c r="E27" s="326" t="s">
        <v>782</v>
      </c>
      <c r="F27" s="338" t="s">
        <v>739</v>
      </c>
      <c r="G27" s="338">
        <f t="shared" si="5"/>
        <v>16548247</v>
      </c>
      <c r="H27" s="338">
        <f>'dod3'!E30</f>
        <v>16210607</v>
      </c>
      <c r="I27" s="338">
        <f>'dod3'!J30</f>
        <v>337640</v>
      </c>
      <c r="J27" s="338">
        <f>'dod3'!K30</f>
        <v>9000</v>
      </c>
    </row>
    <row r="28" spans="1:13" ht="172.5" customHeight="1" x14ac:dyDescent="0.2">
      <c r="A28" s="334" t="s">
        <v>539</v>
      </c>
      <c r="B28" s="335" t="s">
        <v>540</v>
      </c>
      <c r="C28" s="335" t="s">
        <v>317</v>
      </c>
      <c r="D28" s="335" t="s">
        <v>538</v>
      </c>
      <c r="E28" s="326" t="s">
        <v>782</v>
      </c>
      <c r="F28" s="338" t="s">
        <v>739</v>
      </c>
      <c r="G28" s="338">
        <f t="shared" si="5"/>
        <v>148960</v>
      </c>
      <c r="H28" s="338">
        <f>'dod3'!E31</f>
        <v>148960</v>
      </c>
      <c r="I28" s="338">
        <f>'dod3'!J31</f>
        <v>0</v>
      </c>
      <c r="J28" s="338">
        <f>'dod3'!K31</f>
        <v>0</v>
      </c>
    </row>
    <row r="29" spans="1:13" ht="137.25" x14ac:dyDescent="0.2">
      <c r="A29" s="335" t="s">
        <v>319</v>
      </c>
      <c r="B29" s="335" t="s">
        <v>320</v>
      </c>
      <c r="C29" s="335" t="s">
        <v>321</v>
      </c>
      <c r="D29" s="335" t="s">
        <v>67</v>
      </c>
      <c r="E29" s="326" t="s">
        <v>740</v>
      </c>
      <c r="F29" s="338"/>
      <c r="G29" s="338">
        <f t="shared" si="5"/>
        <v>5000000</v>
      </c>
      <c r="H29" s="338">
        <f>'dod3'!E32</f>
        <v>0</v>
      </c>
      <c r="I29" s="338">
        <f>'dod3'!J32</f>
        <v>5000000</v>
      </c>
      <c r="J29" s="338">
        <f>'dod3'!K32</f>
        <v>5000000</v>
      </c>
    </row>
    <row r="30" spans="1:13" ht="135" x14ac:dyDescent="0.2">
      <c r="A30" s="353" t="s">
        <v>241</v>
      </c>
      <c r="B30" s="354"/>
      <c r="C30" s="354"/>
      <c r="D30" s="347" t="s">
        <v>36</v>
      </c>
      <c r="E30" s="355"/>
      <c r="F30" s="355"/>
      <c r="G30" s="355">
        <f>G31</f>
        <v>365986089</v>
      </c>
      <c r="H30" s="355">
        <f t="shared" ref="H30:J30" si="6">H31</f>
        <v>343813118</v>
      </c>
      <c r="I30" s="355">
        <f t="shared" si="6"/>
        <v>22172971</v>
      </c>
      <c r="J30" s="355">
        <f t="shared" si="6"/>
        <v>5499500</v>
      </c>
      <c r="K30" s="287" t="b">
        <f>H30='dod3'!E33-'dod3'!Q35</f>
        <v>1</v>
      </c>
      <c r="L30" s="287" t="b">
        <f>I30='dod3'!J33</f>
        <v>1</v>
      </c>
      <c r="M30" s="288" t="b">
        <f>J30='dod3'!K33</f>
        <v>1</v>
      </c>
    </row>
    <row r="31" spans="1:13" ht="135" x14ac:dyDescent="0.2">
      <c r="A31" s="286" t="s">
        <v>242</v>
      </c>
      <c r="B31" s="286"/>
      <c r="C31" s="286"/>
      <c r="D31" s="348" t="s">
        <v>59</v>
      </c>
      <c r="E31" s="284"/>
      <c r="F31" s="284"/>
      <c r="G31" s="284">
        <f>SUM(G32:G41)</f>
        <v>365986089</v>
      </c>
      <c r="H31" s="284">
        <f>SUM(H32:H41)</f>
        <v>343813118</v>
      </c>
      <c r="I31" s="284">
        <f>SUM(I32:I41)</f>
        <v>22172971</v>
      </c>
      <c r="J31" s="284">
        <f>SUM(J32:J41)</f>
        <v>5499500</v>
      </c>
    </row>
    <row r="32" spans="1:13" ht="139.5" x14ac:dyDescent="0.2">
      <c r="A32" s="335" t="s">
        <v>322</v>
      </c>
      <c r="B32" s="335" t="s">
        <v>318</v>
      </c>
      <c r="C32" s="335" t="s">
        <v>323</v>
      </c>
      <c r="D32" s="335" t="s">
        <v>37</v>
      </c>
      <c r="E32" s="338" t="s">
        <v>652</v>
      </c>
      <c r="F32" s="338" t="s">
        <v>735</v>
      </c>
      <c r="G32" s="338">
        <f>H32+I32</f>
        <v>200148812</v>
      </c>
      <c r="H32" s="338">
        <f>'dod3'!E36</f>
        <v>191097912</v>
      </c>
      <c r="I32" s="338">
        <f>'dod3'!J36</f>
        <v>9050900</v>
      </c>
      <c r="J32" s="338">
        <f>'dod3'!K36</f>
        <v>4532900</v>
      </c>
    </row>
    <row r="33" spans="1:14" ht="139.5" x14ac:dyDescent="0.2">
      <c r="A33" s="335" t="s">
        <v>324</v>
      </c>
      <c r="B33" s="335" t="s">
        <v>325</v>
      </c>
      <c r="C33" s="335" t="s">
        <v>326</v>
      </c>
      <c r="D33" s="335" t="s">
        <v>327</v>
      </c>
      <c r="E33" s="338" t="s">
        <v>652</v>
      </c>
      <c r="F33" s="338" t="s">
        <v>735</v>
      </c>
      <c r="G33" s="338">
        <f t="shared" ref="G33:G41" si="7">H33+I33</f>
        <v>60947771</v>
      </c>
      <c r="H33" s="338">
        <f>'dod3'!E37</f>
        <v>59783500</v>
      </c>
      <c r="I33" s="338">
        <f>'dod3'!J37</f>
        <v>1164271</v>
      </c>
      <c r="J33" s="338">
        <f>'dod3'!K37</f>
        <v>126000</v>
      </c>
    </row>
    <row r="34" spans="1:14" ht="172.5" customHeight="1" x14ac:dyDescent="0.2">
      <c r="A34" s="335" t="s">
        <v>328</v>
      </c>
      <c r="B34" s="335" t="s">
        <v>329</v>
      </c>
      <c r="C34" s="335" t="s">
        <v>330</v>
      </c>
      <c r="D34" s="335" t="s">
        <v>554</v>
      </c>
      <c r="E34" s="338" t="s">
        <v>652</v>
      </c>
      <c r="F34" s="338" t="s">
        <v>735</v>
      </c>
      <c r="G34" s="338">
        <f t="shared" si="7"/>
        <v>64122770</v>
      </c>
      <c r="H34" s="338">
        <f>'dod3'!E38</f>
        <v>57684870</v>
      </c>
      <c r="I34" s="338">
        <f>'dod3'!J38</f>
        <v>6437900</v>
      </c>
      <c r="J34" s="338">
        <f>'dod3'!K38</f>
        <v>840600</v>
      </c>
    </row>
    <row r="35" spans="1:14" ht="172.5" customHeight="1" x14ac:dyDescent="0.2">
      <c r="A35" s="335" t="s">
        <v>331</v>
      </c>
      <c r="B35" s="335" t="s">
        <v>332</v>
      </c>
      <c r="C35" s="335" t="s">
        <v>333</v>
      </c>
      <c r="D35" s="335" t="s">
        <v>334</v>
      </c>
      <c r="E35" s="338" t="s">
        <v>652</v>
      </c>
      <c r="F35" s="338" t="s">
        <v>735</v>
      </c>
      <c r="G35" s="338">
        <f t="shared" si="7"/>
        <v>14669850</v>
      </c>
      <c r="H35" s="338">
        <f>'dod3'!E39-H36</f>
        <v>9171950</v>
      </c>
      <c r="I35" s="338">
        <f>'dod3'!J39-I36</f>
        <v>5497900</v>
      </c>
      <c r="J35" s="338">
        <f>'dod3'!K39-J36</f>
        <v>0</v>
      </c>
    </row>
    <row r="36" spans="1:14" ht="320.25" x14ac:dyDescent="0.2">
      <c r="A36" s="335" t="s">
        <v>331</v>
      </c>
      <c r="B36" s="335" t="s">
        <v>332</v>
      </c>
      <c r="C36" s="335" t="s">
        <v>333</v>
      </c>
      <c r="D36" s="335" t="s">
        <v>334</v>
      </c>
      <c r="E36" s="326" t="s">
        <v>784</v>
      </c>
      <c r="F36" s="327" t="s">
        <v>726</v>
      </c>
      <c r="G36" s="338">
        <f t="shared" si="7"/>
        <v>700000</v>
      </c>
      <c r="H36" s="338">
        <v>700000</v>
      </c>
      <c r="I36" s="338"/>
      <c r="J36" s="338"/>
    </row>
    <row r="37" spans="1:14" ht="183" x14ac:dyDescent="0.2">
      <c r="A37" s="335" t="s">
        <v>335</v>
      </c>
      <c r="B37" s="334" t="s">
        <v>336</v>
      </c>
      <c r="C37" s="334" t="s">
        <v>555</v>
      </c>
      <c r="D37" s="335" t="s">
        <v>337</v>
      </c>
      <c r="E37" s="338" t="s">
        <v>652</v>
      </c>
      <c r="F37" s="338" t="s">
        <v>735</v>
      </c>
      <c r="G37" s="338">
        <f t="shared" si="7"/>
        <v>8891316</v>
      </c>
      <c r="H37" s="338">
        <f>'dod3'!E40</f>
        <v>8891316</v>
      </c>
      <c r="I37" s="338">
        <f>'dod3'!J40</f>
        <v>0</v>
      </c>
      <c r="J37" s="338">
        <f>'dod3'!K40</f>
        <v>0</v>
      </c>
    </row>
    <row r="38" spans="1:14" ht="183" x14ac:dyDescent="0.2">
      <c r="A38" s="335" t="s">
        <v>594</v>
      </c>
      <c r="B38" s="335" t="s">
        <v>595</v>
      </c>
      <c r="C38" s="334" t="s">
        <v>338</v>
      </c>
      <c r="D38" s="306" t="s">
        <v>596</v>
      </c>
      <c r="E38" s="338" t="s">
        <v>652</v>
      </c>
      <c r="F38" s="338" t="s">
        <v>735</v>
      </c>
      <c r="G38" s="338">
        <f t="shared" si="7"/>
        <v>8972700</v>
      </c>
      <c r="H38" s="338">
        <f>'dod3'!E41</f>
        <v>8972700</v>
      </c>
      <c r="I38" s="338"/>
      <c r="J38" s="338"/>
    </row>
    <row r="39" spans="1:14" ht="183" x14ac:dyDescent="0.2">
      <c r="A39" s="335" t="s">
        <v>599</v>
      </c>
      <c r="B39" s="335" t="s">
        <v>598</v>
      </c>
      <c r="C39" s="334" t="s">
        <v>338</v>
      </c>
      <c r="D39" s="306" t="s">
        <v>597</v>
      </c>
      <c r="E39" s="338" t="s">
        <v>652</v>
      </c>
      <c r="F39" s="338" t="s">
        <v>735</v>
      </c>
      <c r="G39" s="338">
        <f t="shared" si="7"/>
        <v>1734200</v>
      </c>
      <c r="H39" s="338">
        <f>'dod3'!E42</f>
        <v>1734200</v>
      </c>
      <c r="I39" s="338"/>
      <c r="J39" s="338"/>
    </row>
    <row r="40" spans="1:14" s="146" customFormat="1" ht="139.5" x14ac:dyDescent="0.2">
      <c r="A40" s="335" t="s">
        <v>510</v>
      </c>
      <c r="B40" s="335" t="s">
        <v>512</v>
      </c>
      <c r="C40" s="334" t="s">
        <v>338</v>
      </c>
      <c r="D40" s="306" t="s">
        <v>508</v>
      </c>
      <c r="E40" s="338" t="s">
        <v>652</v>
      </c>
      <c r="F40" s="338" t="s">
        <v>735</v>
      </c>
      <c r="G40" s="338">
        <f t="shared" si="7"/>
        <v>2438670</v>
      </c>
      <c r="H40" s="338">
        <f>'dod3'!E43</f>
        <v>2416670</v>
      </c>
      <c r="I40" s="338">
        <f>'dod3'!J43</f>
        <v>22000</v>
      </c>
      <c r="J40" s="338">
        <f>'dod3'!K43</f>
        <v>0</v>
      </c>
    </row>
    <row r="41" spans="1:14" s="146" customFormat="1" ht="166.7" customHeight="1" x14ac:dyDescent="0.2">
      <c r="A41" s="335" t="s">
        <v>511</v>
      </c>
      <c r="B41" s="335" t="s">
        <v>513</v>
      </c>
      <c r="C41" s="334" t="s">
        <v>338</v>
      </c>
      <c r="D41" s="306" t="s">
        <v>509</v>
      </c>
      <c r="E41" s="338" t="s">
        <v>652</v>
      </c>
      <c r="F41" s="338" t="s">
        <v>735</v>
      </c>
      <c r="G41" s="338">
        <f t="shared" si="7"/>
        <v>3360000</v>
      </c>
      <c r="H41" s="338">
        <f>'dod3'!E44</f>
        <v>3360000</v>
      </c>
      <c r="I41" s="338">
        <f>'dod3'!J44</f>
        <v>0</v>
      </c>
      <c r="J41" s="338">
        <f>'dod3'!K44</f>
        <v>0</v>
      </c>
    </row>
    <row r="42" spans="1:14" ht="225" x14ac:dyDescent="0.2">
      <c r="A42" s="282" t="s">
        <v>243</v>
      </c>
      <c r="B42" s="282"/>
      <c r="C42" s="282"/>
      <c r="D42" s="347" t="s">
        <v>60</v>
      </c>
      <c r="E42" s="283"/>
      <c r="F42" s="284"/>
      <c r="G42" s="283">
        <f>G43</f>
        <v>746658346</v>
      </c>
      <c r="H42" s="283">
        <f t="shared" ref="H42:J42" si="8">H43</f>
        <v>739523946</v>
      </c>
      <c r="I42" s="283">
        <f t="shared" si="8"/>
        <v>7134400</v>
      </c>
      <c r="J42" s="283">
        <f t="shared" si="8"/>
        <v>7025000</v>
      </c>
      <c r="K42" s="287" t="b">
        <f>H42='dod3'!E46-'dod3'!E47-'dod3'!E78</f>
        <v>1</v>
      </c>
      <c r="L42" s="287" t="b">
        <f>I42='dod3'!J45-'dod3'!J47-'dod3'!R85</f>
        <v>1</v>
      </c>
      <c r="M42" s="288" t="b">
        <f>J42='dod3'!K46-'dod3'!K47</f>
        <v>1</v>
      </c>
    </row>
    <row r="43" spans="1:14" ht="225" x14ac:dyDescent="0.2">
      <c r="A43" s="286" t="s">
        <v>244</v>
      </c>
      <c r="B43" s="286"/>
      <c r="C43" s="286"/>
      <c r="D43" s="348" t="s">
        <v>61</v>
      </c>
      <c r="E43" s="284"/>
      <c r="F43" s="284"/>
      <c r="G43" s="284">
        <f>SUM(G44:G81)</f>
        <v>746658346</v>
      </c>
      <c r="H43" s="284">
        <f>SUM(H44:H81)</f>
        <v>739523946</v>
      </c>
      <c r="I43" s="284">
        <f>SUM(I44:I81)</f>
        <v>7134400</v>
      </c>
      <c r="J43" s="284">
        <f>SUM(J44:J81)</f>
        <v>7025000</v>
      </c>
      <c r="K43" s="180"/>
      <c r="L43" s="179"/>
      <c r="M43" s="180"/>
      <c r="N43" s="180"/>
    </row>
    <row r="44" spans="1:14" ht="183" x14ac:dyDescent="0.2">
      <c r="A44" s="334" t="s">
        <v>359</v>
      </c>
      <c r="B44" s="334" t="s">
        <v>360</v>
      </c>
      <c r="C44" s="334" t="s">
        <v>305</v>
      </c>
      <c r="D44" s="309" t="s">
        <v>358</v>
      </c>
      <c r="E44" s="326" t="s">
        <v>783</v>
      </c>
      <c r="F44" s="327" t="s">
        <v>725</v>
      </c>
      <c r="G44" s="338">
        <f t="shared" ref="G44" si="9">H44+I44</f>
        <v>43000000</v>
      </c>
      <c r="H44" s="336">
        <f>'dod3'!E48</f>
        <v>43000000</v>
      </c>
      <c r="I44" s="336">
        <f>'dod3'!J48</f>
        <v>0</v>
      </c>
      <c r="J44" s="350">
        <f>'dod3'!K48</f>
        <v>0</v>
      </c>
    </row>
    <row r="45" spans="1:14" ht="183" x14ac:dyDescent="0.2">
      <c r="A45" s="310" t="s">
        <v>378</v>
      </c>
      <c r="B45" s="334" t="s">
        <v>379</v>
      </c>
      <c r="C45" s="334" t="s">
        <v>79</v>
      </c>
      <c r="D45" s="335" t="s">
        <v>8</v>
      </c>
      <c r="E45" s="326" t="s">
        <v>783</v>
      </c>
      <c r="F45" s="327" t="s">
        <v>725</v>
      </c>
      <c r="G45" s="338">
        <f>H45+I45</f>
        <v>194190900</v>
      </c>
      <c r="H45" s="336">
        <f>'dod3'!E49</f>
        <v>194190900</v>
      </c>
      <c r="I45" s="336">
        <f>'dod3'!J49</f>
        <v>0</v>
      </c>
      <c r="J45" s="350">
        <f>'dod3'!K49</f>
        <v>0</v>
      </c>
    </row>
    <row r="46" spans="1:14" ht="274.5" x14ac:dyDescent="0.2">
      <c r="A46" s="335" t="s">
        <v>381</v>
      </c>
      <c r="B46" s="335" t="s">
        <v>382</v>
      </c>
      <c r="C46" s="335" t="s">
        <v>305</v>
      </c>
      <c r="D46" s="311" t="s">
        <v>380</v>
      </c>
      <c r="E46" s="326" t="s">
        <v>783</v>
      </c>
      <c r="F46" s="327" t="s">
        <v>725</v>
      </c>
      <c r="G46" s="338">
        <f t="shared" ref="G46" si="10">H46+I46</f>
        <v>3000</v>
      </c>
      <c r="H46" s="336">
        <f>'dod3'!E50</f>
        <v>3000</v>
      </c>
      <c r="I46" s="336">
        <f>'dod3'!J50</f>
        <v>0</v>
      </c>
      <c r="J46" s="350">
        <f>'dod3'!K50</f>
        <v>0</v>
      </c>
    </row>
    <row r="47" spans="1:14" ht="228.75" x14ac:dyDescent="0.2">
      <c r="A47" s="335" t="s">
        <v>383</v>
      </c>
      <c r="B47" s="335" t="s">
        <v>384</v>
      </c>
      <c r="C47" s="311">
        <v>1060</v>
      </c>
      <c r="D47" s="312" t="s">
        <v>19</v>
      </c>
      <c r="E47" s="326" t="s">
        <v>783</v>
      </c>
      <c r="F47" s="327" t="s">
        <v>725</v>
      </c>
      <c r="G47" s="338">
        <f t="shared" ref="G47:G65" si="11">H47+I47</f>
        <v>46300</v>
      </c>
      <c r="H47" s="336">
        <f>'dod3'!E51</f>
        <v>46300</v>
      </c>
      <c r="I47" s="336">
        <f>'dod3'!J51</f>
        <v>0</v>
      </c>
      <c r="J47" s="350">
        <f>'dod3'!K51</f>
        <v>0</v>
      </c>
    </row>
    <row r="48" spans="1:14" s="146" customFormat="1" ht="183" x14ac:dyDescent="0.2">
      <c r="A48" s="242" t="s">
        <v>409</v>
      </c>
      <c r="B48" s="242" t="s">
        <v>410</v>
      </c>
      <c r="C48" s="242" t="s">
        <v>305</v>
      </c>
      <c r="D48" s="313" t="s">
        <v>411</v>
      </c>
      <c r="E48" s="326" t="s">
        <v>783</v>
      </c>
      <c r="F48" s="327" t="s">
        <v>725</v>
      </c>
      <c r="G48" s="279">
        <f t="shared" si="11"/>
        <v>422970</v>
      </c>
      <c r="H48" s="300">
        <f>'dod3'!E52</f>
        <v>322970</v>
      </c>
      <c r="I48" s="300">
        <f>'dod3'!J52</f>
        <v>100000</v>
      </c>
      <c r="J48" s="300">
        <f>'dod3'!K52</f>
        <v>100000</v>
      </c>
    </row>
    <row r="49" spans="1:10" s="146" customFormat="1" ht="183" x14ac:dyDescent="0.2">
      <c r="A49" s="243" t="s">
        <v>412</v>
      </c>
      <c r="B49" s="243" t="s">
        <v>413</v>
      </c>
      <c r="C49" s="243" t="s">
        <v>306</v>
      </c>
      <c r="D49" s="243" t="s">
        <v>16</v>
      </c>
      <c r="E49" s="326" t="s">
        <v>783</v>
      </c>
      <c r="F49" s="327" t="s">
        <v>725</v>
      </c>
      <c r="G49" s="279">
        <f t="shared" si="11"/>
        <v>1360000</v>
      </c>
      <c r="H49" s="279">
        <f>'dod3'!E53</f>
        <v>1360000</v>
      </c>
      <c r="I49" s="279">
        <f>'dod3'!J53</f>
        <v>0</v>
      </c>
      <c r="J49" s="280">
        <f>'dod3'!K53</f>
        <v>0</v>
      </c>
    </row>
    <row r="50" spans="1:10" s="146" customFormat="1" ht="183" x14ac:dyDescent="0.2">
      <c r="A50" s="243" t="s">
        <v>415</v>
      </c>
      <c r="B50" s="243" t="s">
        <v>416</v>
      </c>
      <c r="C50" s="243" t="s">
        <v>306</v>
      </c>
      <c r="D50" s="242" t="s">
        <v>17</v>
      </c>
      <c r="E50" s="326" t="s">
        <v>783</v>
      </c>
      <c r="F50" s="327" t="s">
        <v>725</v>
      </c>
      <c r="G50" s="279">
        <f t="shared" si="11"/>
        <v>8000000</v>
      </c>
      <c r="H50" s="279">
        <f>'dod3'!E54</f>
        <v>8000000</v>
      </c>
      <c r="I50" s="279">
        <f>'dod3'!J54</f>
        <v>0</v>
      </c>
      <c r="J50" s="279">
        <f>'dod3'!K54</f>
        <v>0</v>
      </c>
    </row>
    <row r="51" spans="1:10" s="146" customFormat="1" ht="183" x14ac:dyDescent="0.2">
      <c r="A51" s="242" t="s">
        <v>417</v>
      </c>
      <c r="B51" s="242" t="s">
        <v>414</v>
      </c>
      <c r="C51" s="242" t="s">
        <v>306</v>
      </c>
      <c r="D51" s="242" t="s">
        <v>18</v>
      </c>
      <c r="E51" s="326" t="s">
        <v>783</v>
      </c>
      <c r="F51" s="327" t="s">
        <v>725</v>
      </c>
      <c r="G51" s="279">
        <f t="shared" si="11"/>
        <v>600000</v>
      </c>
      <c r="H51" s="279">
        <f>'dod3'!E55</f>
        <v>600000</v>
      </c>
      <c r="I51" s="279">
        <f>'dod3'!J55</f>
        <v>0</v>
      </c>
      <c r="J51" s="279">
        <f>'dod3'!K55</f>
        <v>0</v>
      </c>
    </row>
    <row r="52" spans="1:10" s="146" customFormat="1" ht="183" x14ac:dyDescent="0.2">
      <c r="A52" s="242" t="s">
        <v>418</v>
      </c>
      <c r="B52" s="242" t="s">
        <v>419</v>
      </c>
      <c r="C52" s="242" t="s">
        <v>306</v>
      </c>
      <c r="D52" s="242" t="s">
        <v>21</v>
      </c>
      <c r="E52" s="326" t="s">
        <v>783</v>
      </c>
      <c r="F52" s="327" t="s">
        <v>725</v>
      </c>
      <c r="G52" s="279">
        <f t="shared" si="11"/>
        <v>82000000</v>
      </c>
      <c r="H52" s="279">
        <f>'dod3'!E56</f>
        <v>82000000</v>
      </c>
      <c r="I52" s="279">
        <f>'dod3'!J56</f>
        <v>0</v>
      </c>
      <c r="J52" s="279">
        <f>'dod3'!K56</f>
        <v>0</v>
      </c>
    </row>
    <row r="53" spans="1:10" s="146" customFormat="1" ht="183" x14ac:dyDescent="0.2">
      <c r="A53" s="335" t="s">
        <v>369</v>
      </c>
      <c r="B53" s="335" t="s">
        <v>361</v>
      </c>
      <c r="C53" s="335" t="s">
        <v>280</v>
      </c>
      <c r="D53" s="335" t="s">
        <v>10</v>
      </c>
      <c r="E53" s="326" t="s">
        <v>783</v>
      </c>
      <c r="F53" s="327" t="s">
        <v>725</v>
      </c>
      <c r="G53" s="338">
        <f t="shared" si="11"/>
        <v>2814000</v>
      </c>
      <c r="H53" s="338">
        <f>'dod3'!E57</f>
        <v>2814000</v>
      </c>
      <c r="I53" s="338">
        <f>'dod3'!J57</f>
        <v>0</v>
      </c>
      <c r="J53" s="338">
        <f>'dod3'!K57</f>
        <v>0</v>
      </c>
    </row>
    <row r="54" spans="1:10" s="146" customFormat="1" ht="183" x14ac:dyDescent="0.2">
      <c r="A54" s="335" t="s">
        <v>370</v>
      </c>
      <c r="B54" s="335" t="s">
        <v>362</v>
      </c>
      <c r="C54" s="335" t="s">
        <v>280</v>
      </c>
      <c r="D54" s="335" t="s">
        <v>368</v>
      </c>
      <c r="E54" s="326" t="s">
        <v>783</v>
      </c>
      <c r="F54" s="327" t="s">
        <v>725</v>
      </c>
      <c r="G54" s="338">
        <f t="shared" si="11"/>
        <v>371520</v>
      </c>
      <c r="H54" s="338">
        <f>'dod3'!E58</f>
        <v>371520</v>
      </c>
      <c r="I54" s="338">
        <f>'dod3'!J58</f>
        <v>0</v>
      </c>
      <c r="J54" s="338">
        <f>'dod3'!K58</f>
        <v>0</v>
      </c>
    </row>
    <row r="55" spans="1:10" s="146" customFormat="1" ht="183" x14ac:dyDescent="0.2">
      <c r="A55" s="335" t="s">
        <v>371</v>
      </c>
      <c r="B55" s="335" t="s">
        <v>363</v>
      </c>
      <c r="C55" s="335" t="s">
        <v>280</v>
      </c>
      <c r="D55" s="335" t="s">
        <v>11</v>
      </c>
      <c r="E55" s="326" t="s">
        <v>783</v>
      </c>
      <c r="F55" s="327" t="s">
        <v>725</v>
      </c>
      <c r="G55" s="338">
        <f t="shared" si="11"/>
        <v>157736000</v>
      </c>
      <c r="H55" s="338">
        <f>'dod3'!E59</f>
        <v>157736000</v>
      </c>
      <c r="I55" s="338">
        <f>'dod3'!J59</f>
        <v>0</v>
      </c>
      <c r="J55" s="338">
        <f>'dod3'!K59</f>
        <v>0</v>
      </c>
    </row>
    <row r="56" spans="1:10" s="146" customFormat="1" ht="183" x14ac:dyDescent="0.2">
      <c r="A56" s="335" t="s">
        <v>372</v>
      </c>
      <c r="B56" s="335" t="s">
        <v>364</v>
      </c>
      <c r="C56" s="335" t="s">
        <v>280</v>
      </c>
      <c r="D56" s="335" t="s">
        <v>12</v>
      </c>
      <c r="E56" s="326" t="s">
        <v>783</v>
      </c>
      <c r="F56" s="327" t="s">
        <v>725</v>
      </c>
      <c r="G56" s="338">
        <f t="shared" si="11"/>
        <v>4266000</v>
      </c>
      <c r="H56" s="338">
        <f>'dod3'!E60</f>
        <v>4266000</v>
      </c>
      <c r="I56" s="338">
        <f>'dod3'!J60</f>
        <v>0</v>
      </c>
      <c r="J56" s="338">
        <f>'dod3'!K60</f>
        <v>0</v>
      </c>
    </row>
    <row r="57" spans="1:10" s="146" customFormat="1" ht="183" x14ac:dyDescent="0.2">
      <c r="A57" s="335" t="s">
        <v>373</v>
      </c>
      <c r="B57" s="335" t="s">
        <v>365</v>
      </c>
      <c r="C57" s="335" t="s">
        <v>280</v>
      </c>
      <c r="D57" s="335" t="s">
        <v>13</v>
      </c>
      <c r="E57" s="326" t="s">
        <v>783</v>
      </c>
      <c r="F57" s="327" t="s">
        <v>725</v>
      </c>
      <c r="G57" s="338">
        <f t="shared" si="11"/>
        <v>27062400</v>
      </c>
      <c r="H57" s="338">
        <f>'dod3'!E61</f>
        <v>27062400</v>
      </c>
      <c r="I57" s="338">
        <f>'dod3'!J61</f>
        <v>0</v>
      </c>
      <c r="J57" s="338">
        <f>'dod3'!K61</f>
        <v>0</v>
      </c>
    </row>
    <row r="58" spans="1:10" s="146" customFormat="1" ht="183" x14ac:dyDescent="0.2">
      <c r="A58" s="335" t="s">
        <v>374</v>
      </c>
      <c r="B58" s="335" t="s">
        <v>366</v>
      </c>
      <c r="C58" s="335" t="s">
        <v>280</v>
      </c>
      <c r="D58" s="335" t="s">
        <v>14</v>
      </c>
      <c r="E58" s="326" t="s">
        <v>783</v>
      </c>
      <c r="F58" s="327" t="s">
        <v>725</v>
      </c>
      <c r="G58" s="338">
        <f t="shared" si="11"/>
        <v>2700000</v>
      </c>
      <c r="H58" s="338">
        <f>'dod3'!E62</f>
        <v>2700000</v>
      </c>
      <c r="I58" s="338">
        <f>'dod3'!J62</f>
        <v>0</v>
      </c>
      <c r="J58" s="338">
        <f>'dod3'!K62</f>
        <v>0</v>
      </c>
    </row>
    <row r="59" spans="1:10" s="146" customFormat="1" ht="183" x14ac:dyDescent="0.2">
      <c r="A59" s="335" t="s">
        <v>375</v>
      </c>
      <c r="B59" s="335" t="s">
        <v>367</v>
      </c>
      <c r="C59" s="335" t="s">
        <v>280</v>
      </c>
      <c r="D59" s="335" t="s">
        <v>15</v>
      </c>
      <c r="E59" s="326" t="s">
        <v>783</v>
      </c>
      <c r="F59" s="327" t="s">
        <v>725</v>
      </c>
      <c r="G59" s="338">
        <f t="shared" si="11"/>
        <v>39337958</v>
      </c>
      <c r="H59" s="338">
        <f>'dod3'!E63</f>
        <v>39337958</v>
      </c>
      <c r="I59" s="338">
        <f>'dod3'!J63</f>
        <v>0</v>
      </c>
      <c r="J59" s="338">
        <f>'dod3'!K63</f>
        <v>0</v>
      </c>
    </row>
    <row r="60" spans="1:10" ht="183" x14ac:dyDescent="0.2">
      <c r="A60" s="335" t="s">
        <v>385</v>
      </c>
      <c r="B60" s="335" t="s">
        <v>376</v>
      </c>
      <c r="C60" s="335" t="s">
        <v>306</v>
      </c>
      <c r="D60" s="335" t="s">
        <v>9</v>
      </c>
      <c r="E60" s="326" t="s">
        <v>783</v>
      </c>
      <c r="F60" s="327" t="s">
        <v>725</v>
      </c>
      <c r="G60" s="338">
        <f t="shared" si="11"/>
        <v>179080</v>
      </c>
      <c r="H60" s="338">
        <f>'dod3'!E64</f>
        <v>179080</v>
      </c>
      <c r="I60" s="338">
        <f>'dod3'!J64</f>
        <v>0</v>
      </c>
      <c r="J60" s="338">
        <f>'dod3'!K64</f>
        <v>0</v>
      </c>
    </row>
    <row r="61" spans="1:10" s="146" customFormat="1" ht="183" x14ac:dyDescent="0.2">
      <c r="A61" s="335" t="s">
        <v>559</v>
      </c>
      <c r="B61" s="335" t="s">
        <v>560</v>
      </c>
      <c r="C61" s="335" t="s">
        <v>298</v>
      </c>
      <c r="D61" s="335" t="s">
        <v>558</v>
      </c>
      <c r="E61" s="326" t="s">
        <v>783</v>
      </c>
      <c r="F61" s="327" t="s">
        <v>725</v>
      </c>
      <c r="G61" s="338">
        <f t="shared" si="11"/>
        <v>78472603.400000006</v>
      </c>
      <c r="H61" s="338">
        <f>'dod3'!E65</f>
        <v>78472603.400000006</v>
      </c>
      <c r="I61" s="338">
        <f>'dod3'!J65</f>
        <v>0</v>
      </c>
      <c r="J61" s="338">
        <f>'dod3'!K65</f>
        <v>0</v>
      </c>
    </row>
    <row r="62" spans="1:10" s="146" customFormat="1" ht="228.75" x14ac:dyDescent="0.2">
      <c r="A62" s="335" t="s">
        <v>619</v>
      </c>
      <c r="B62" s="335" t="s">
        <v>620</v>
      </c>
      <c r="C62" s="335" t="s">
        <v>298</v>
      </c>
      <c r="D62" s="335" t="s">
        <v>621</v>
      </c>
      <c r="E62" s="326" t="s">
        <v>783</v>
      </c>
      <c r="F62" s="327" t="s">
        <v>725</v>
      </c>
      <c r="G62" s="338">
        <f t="shared" si="11"/>
        <v>25694626.600000001</v>
      </c>
      <c r="H62" s="338">
        <f>'dod3'!E66</f>
        <v>25694626.600000001</v>
      </c>
      <c r="I62" s="338">
        <f>'dod3'!J66</f>
        <v>0</v>
      </c>
      <c r="J62" s="338">
        <f>'dod3'!K66</f>
        <v>0</v>
      </c>
    </row>
    <row r="63" spans="1:10" s="146" customFormat="1" ht="183" x14ac:dyDescent="0.2">
      <c r="A63" s="335" t="s">
        <v>556</v>
      </c>
      <c r="B63" s="335" t="s">
        <v>557</v>
      </c>
      <c r="C63" s="335" t="s">
        <v>298</v>
      </c>
      <c r="D63" s="335" t="s">
        <v>514</v>
      </c>
      <c r="E63" s="326" t="s">
        <v>783</v>
      </c>
      <c r="F63" s="327" t="s">
        <v>725</v>
      </c>
      <c r="G63" s="338">
        <f t="shared" si="11"/>
        <v>14110200</v>
      </c>
      <c r="H63" s="338">
        <f>'dod3'!E67</f>
        <v>14110200</v>
      </c>
      <c r="I63" s="338">
        <f>'dod3'!J67</f>
        <v>0</v>
      </c>
      <c r="J63" s="338">
        <f>'dod3'!K67</f>
        <v>0</v>
      </c>
    </row>
    <row r="64" spans="1:10" s="146" customFormat="1" ht="274.5" x14ac:dyDescent="0.2">
      <c r="A64" s="335" t="s">
        <v>563</v>
      </c>
      <c r="B64" s="335" t="s">
        <v>564</v>
      </c>
      <c r="C64" s="335" t="s">
        <v>298</v>
      </c>
      <c r="D64" s="335" t="s">
        <v>565</v>
      </c>
      <c r="E64" s="326" t="s">
        <v>783</v>
      </c>
      <c r="F64" s="327" t="s">
        <v>725</v>
      </c>
      <c r="G64" s="338">
        <f t="shared" si="11"/>
        <v>1200000</v>
      </c>
      <c r="H64" s="338">
        <f>'dod3'!E68</f>
        <v>1200000</v>
      </c>
      <c r="I64" s="338">
        <f>'dod3'!J68</f>
        <v>0</v>
      </c>
      <c r="J64" s="338">
        <f>'dod3'!K68</f>
        <v>0</v>
      </c>
    </row>
    <row r="65" spans="1:11" s="146" customFormat="1" ht="320.25" x14ac:dyDescent="0.2">
      <c r="A65" s="335" t="s">
        <v>561</v>
      </c>
      <c r="B65" s="335" t="s">
        <v>562</v>
      </c>
      <c r="C65" s="335" t="s">
        <v>298</v>
      </c>
      <c r="D65" s="335" t="s">
        <v>566</v>
      </c>
      <c r="E65" s="326" t="s">
        <v>783</v>
      </c>
      <c r="F65" s="327" t="s">
        <v>725</v>
      </c>
      <c r="G65" s="338">
        <f t="shared" si="11"/>
        <v>264192</v>
      </c>
      <c r="H65" s="338">
        <f>'dod3'!E69</f>
        <v>264192</v>
      </c>
      <c r="I65" s="338">
        <f>'dod3'!J69</f>
        <v>0</v>
      </c>
      <c r="J65" s="338">
        <f>'dod3'!K69</f>
        <v>0</v>
      </c>
    </row>
    <row r="66" spans="1:11" ht="163.5" customHeight="1" x14ac:dyDescent="0.2">
      <c r="A66" s="335" t="s">
        <v>386</v>
      </c>
      <c r="B66" s="335" t="s">
        <v>377</v>
      </c>
      <c r="C66" s="335" t="s">
        <v>305</v>
      </c>
      <c r="D66" s="335" t="s">
        <v>515</v>
      </c>
      <c r="E66" s="326" t="s">
        <v>783</v>
      </c>
      <c r="F66" s="327" t="s">
        <v>725</v>
      </c>
      <c r="G66" s="338">
        <f t="shared" ref="G66" si="12">H66+I66</f>
        <v>152280</v>
      </c>
      <c r="H66" s="338">
        <f>'dod3'!E70</f>
        <v>152280</v>
      </c>
      <c r="I66" s="338">
        <f>'dod3'!J70</f>
        <v>0</v>
      </c>
      <c r="J66" s="338">
        <f>'dod3'!K70</f>
        <v>0</v>
      </c>
    </row>
    <row r="67" spans="1:11" ht="301.7" customHeight="1" x14ac:dyDescent="0.2">
      <c r="A67" s="243" t="s">
        <v>407</v>
      </c>
      <c r="B67" s="243" t="s">
        <v>405</v>
      </c>
      <c r="C67" s="243" t="s">
        <v>299</v>
      </c>
      <c r="D67" s="243" t="s">
        <v>35</v>
      </c>
      <c r="E67" s="326" t="s">
        <v>783</v>
      </c>
      <c r="F67" s="327" t="s">
        <v>725</v>
      </c>
      <c r="G67" s="279">
        <f>H67+I67</f>
        <v>17617384</v>
      </c>
      <c r="H67" s="279">
        <f>'dod3'!E71</f>
        <v>17332984</v>
      </c>
      <c r="I67" s="279">
        <f>'dod3'!J71</f>
        <v>284400</v>
      </c>
      <c r="J67" s="279">
        <f>'dod3'!K71</f>
        <v>175000</v>
      </c>
    </row>
    <row r="68" spans="1:11" ht="183" x14ac:dyDescent="0.2">
      <c r="A68" s="243" t="s">
        <v>408</v>
      </c>
      <c r="B68" s="243" t="s">
        <v>406</v>
      </c>
      <c r="C68" s="243" t="s">
        <v>298</v>
      </c>
      <c r="D68" s="243" t="s">
        <v>516</v>
      </c>
      <c r="E68" s="326" t="s">
        <v>783</v>
      </c>
      <c r="F68" s="327" t="s">
        <v>725</v>
      </c>
      <c r="G68" s="279">
        <f>H68+I68</f>
        <v>5162423</v>
      </c>
      <c r="H68" s="279">
        <f>'dod3'!E72</f>
        <v>5162423</v>
      </c>
      <c r="I68" s="279">
        <f>'dod3'!J72</f>
        <v>0</v>
      </c>
      <c r="J68" s="279">
        <f>'dod3'!K72</f>
        <v>0</v>
      </c>
    </row>
    <row r="69" spans="1:11" ht="409.5" x14ac:dyDescent="0.2">
      <c r="A69" s="243" t="s">
        <v>403</v>
      </c>
      <c r="B69" s="243" t="s">
        <v>404</v>
      </c>
      <c r="C69" s="243" t="s">
        <v>298</v>
      </c>
      <c r="D69" s="243" t="s">
        <v>517</v>
      </c>
      <c r="E69" s="326" t="s">
        <v>783</v>
      </c>
      <c r="F69" s="327" t="s">
        <v>725</v>
      </c>
      <c r="G69" s="279">
        <f>H69+I69</f>
        <v>1554600</v>
      </c>
      <c r="H69" s="279">
        <f>'dod3'!E73</f>
        <v>1554600</v>
      </c>
      <c r="I69" s="279">
        <f>'dod3'!J73</f>
        <v>0</v>
      </c>
      <c r="J69" s="279">
        <f>'dod3'!K73</f>
        <v>0</v>
      </c>
    </row>
    <row r="70" spans="1:11" ht="274.5" x14ac:dyDescent="0.2">
      <c r="A70" s="335" t="s">
        <v>518</v>
      </c>
      <c r="B70" s="335" t="s">
        <v>519</v>
      </c>
      <c r="C70" s="335" t="s">
        <v>298</v>
      </c>
      <c r="D70" s="335" t="s">
        <v>567</v>
      </c>
      <c r="E70" s="326" t="s">
        <v>783</v>
      </c>
      <c r="F70" s="327" t="s">
        <v>725</v>
      </c>
      <c r="G70" s="338">
        <f>H70+I70</f>
        <v>135534</v>
      </c>
      <c r="H70" s="338">
        <f>'dod3'!E74</f>
        <v>135534</v>
      </c>
      <c r="I70" s="338">
        <f>'dod3'!J74</f>
        <v>0</v>
      </c>
      <c r="J70" s="338">
        <f>'dod3'!K74</f>
        <v>0</v>
      </c>
    </row>
    <row r="71" spans="1:11" ht="183" x14ac:dyDescent="0.2">
      <c r="A71" s="335" t="s">
        <v>520</v>
      </c>
      <c r="B71" s="335" t="s">
        <v>521</v>
      </c>
      <c r="C71" s="335" t="s">
        <v>298</v>
      </c>
      <c r="D71" s="335" t="s">
        <v>568</v>
      </c>
      <c r="E71" s="326" t="s">
        <v>783</v>
      </c>
      <c r="F71" s="327" t="s">
        <v>725</v>
      </c>
      <c r="G71" s="338">
        <f t="shared" ref="G71" si="13">H71+I71</f>
        <v>168</v>
      </c>
      <c r="H71" s="338">
        <f>'dod3'!E75</f>
        <v>168</v>
      </c>
      <c r="I71" s="338">
        <f>'dod3'!J75</f>
        <v>0</v>
      </c>
      <c r="J71" s="338">
        <f>'dod3'!K75</f>
        <v>0</v>
      </c>
    </row>
    <row r="72" spans="1:11" ht="366" x14ac:dyDescent="0.2">
      <c r="A72" s="243" t="s">
        <v>571</v>
      </c>
      <c r="B72" s="243" t="s">
        <v>570</v>
      </c>
      <c r="C72" s="243" t="s">
        <v>79</v>
      </c>
      <c r="D72" s="243" t="s">
        <v>569</v>
      </c>
      <c r="E72" s="326" t="s">
        <v>783</v>
      </c>
      <c r="F72" s="327" t="s">
        <v>725</v>
      </c>
      <c r="G72" s="279">
        <f>H72+I72</f>
        <v>828500</v>
      </c>
      <c r="H72" s="279">
        <f>'dod3'!E76-H73</f>
        <v>828500</v>
      </c>
      <c r="I72" s="279">
        <f>'dod3'!J76-I73</f>
        <v>0</v>
      </c>
      <c r="J72" s="279">
        <f>'dod3'!K76-J73</f>
        <v>0</v>
      </c>
    </row>
    <row r="73" spans="1:11" ht="366" x14ac:dyDescent="0.2">
      <c r="A73" s="243" t="s">
        <v>571</v>
      </c>
      <c r="B73" s="243" t="s">
        <v>570</v>
      </c>
      <c r="C73" s="243" t="s">
        <v>79</v>
      </c>
      <c r="D73" s="243" t="s">
        <v>569</v>
      </c>
      <c r="E73" s="326" t="s">
        <v>785</v>
      </c>
      <c r="F73" s="327" t="s">
        <v>726</v>
      </c>
      <c r="G73" s="279">
        <f>H73+I73</f>
        <v>980000</v>
      </c>
      <c r="H73" s="279">
        <v>980000</v>
      </c>
      <c r="I73" s="279">
        <v>0</v>
      </c>
      <c r="J73" s="279">
        <v>0</v>
      </c>
    </row>
    <row r="74" spans="1:11" ht="228.75" x14ac:dyDescent="0.2">
      <c r="A74" s="243" t="s">
        <v>522</v>
      </c>
      <c r="B74" s="243" t="s">
        <v>523</v>
      </c>
      <c r="C74" s="243" t="s">
        <v>305</v>
      </c>
      <c r="D74" s="243" t="s">
        <v>572</v>
      </c>
      <c r="E74" s="326" t="s">
        <v>783</v>
      </c>
      <c r="F74" s="327" t="s">
        <v>725</v>
      </c>
      <c r="G74" s="279">
        <f>H74+I74</f>
        <v>550000</v>
      </c>
      <c r="H74" s="279">
        <f>'dod3'!E77</f>
        <v>550000</v>
      </c>
      <c r="I74" s="279">
        <f>'dod3'!J77</f>
        <v>0</v>
      </c>
      <c r="J74" s="279">
        <f>'dod3'!K77</f>
        <v>0</v>
      </c>
    </row>
    <row r="75" spans="1:11" ht="409.5" x14ac:dyDescent="0.2">
      <c r="A75" s="444" t="s">
        <v>402</v>
      </c>
      <c r="B75" s="444" t="s">
        <v>287</v>
      </c>
      <c r="C75" s="452" t="s">
        <v>280</v>
      </c>
      <c r="D75" s="303" t="s">
        <v>524</v>
      </c>
      <c r="E75" s="524" t="s">
        <v>783</v>
      </c>
      <c r="F75" s="446" t="s">
        <v>725</v>
      </c>
      <c r="G75" s="457">
        <f t="shared" ref="G75" si="14">H75+I75</f>
        <v>1030700</v>
      </c>
      <c r="H75" s="457">
        <f>'dod3'!E79</f>
        <v>1030700</v>
      </c>
      <c r="I75" s="457">
        <f>'dod3'!J79</f>
        <v>0</v>
      </c>
      <c r="J75" s="457">
        <f>'dod3'!K79</f>
        <v>0</v>
      </c>
    </row>
    <row r="76" spans="1:11" ht="327.75" customHeight="1" x14ac:dyDescent="0.2">
      <c r="A76" s="522"/>
      <c r="B76" s="522"/>
      <c r="C76" s="523"/>
      <c r="D76" s="308" t="s">
        <v>525</v>
      </c>
      <c r="E76" s="441"/>
      <c r="F76" s="441"/>
      <c r="G76" s="529"/>
      <c r="H76" s="441"/>
      <c r="I76" s="441"/>
      <c r="J76" s="441"/>
    </row>
    <row r="77" spans="1:11" ht="183" x14ac:dyDescent="0.2">
      <c r="A77" s="243" t="s">
        <v>526</v>
      </c>
      <c r="B77" s="243" t="s">
        <v>528</v>
      </c>
      <c r="C77" s="243" t="s">
        <v>288</v>
      </c>
      <c r="D77" s="306" t="s">
        <v>530</v>
      </c>
      <c r="E77" s="326" t="s">
        <v>783</v>
      </c>
      <c r="F77" s="327" t="s">
        <v>725</v>
      </c>
      <c r="G77" s="279">
        <f>H77+I77</f>
        <v>6608467</v>
      </c>
      <c r="H77" s="133">
        <f>'dod3'!E81</f>
        <v>4578467</v>
      </c>
      <c r="I77" s="279">
        <f>'dod3'!J81</f>
        <v>2030000</v>
      </c>
      <c r="J77" s="279">
        <f>'dod3'!K81</f>
        <v>2030000</v>
      </c>
    </row>
    <row r="78" spans="1:11" ht="183" x14ac:dyDescent="0.2">
      <c r="A78" s="243" t="s">
        <v>527</v>
      </c>
      <c r="B78" s="243" t="s">
        <v>529</v>
      </c>
      <c r="C78" s="243" t="s">
        <v>288</v>
      </c>
      <c r="D78" s="306" t="s">
        <v>531</v>
      </c>
      <c r="E78" s="326" t="s">
        <v>783</v>
      </c>
      <c r="F78" s="327" t="s">
        <v>725</v>
      </c>
      <c r="G78" s="279">
        <f>H78+I78</f>
        <v>21261540</v>
      </c>
      <c r="H78" s="279">
        <f>'dod3'!E82-H79</f>
        <v>21261540</v>
      </c>
      <c r="I78" s="279">
        <f>'dod3'!J82-I79</f>
        <v>0</v>
      </c>
      <c r="J78" s="279">
        <f>'dod3'!K82-J79</f>
        <v>0</v>
      </c>
    </row>
    <row r="79" spans="1:11" ht="320.25" x14ac:dyDescent="0.2">
      <c r="A79" s="243" t="s">
        <v>527</v>
      </c>
      <c r="B79" s="243" t="s">
        <v>529</v>
      </c>
      <c r="C79" s="243" t="s">
        <v>288</v>
      </c>
      <c r="D79" s="306" t="s">
        <v>531</v>
      </c>
      <c r="E79" s="326" t="s">
        <v>784</v>
      </c>
      <c r="F79" s="327" t="s">
        <v>726</v>
      </c>
      <c r="G79" s="279">
        <f>H79+I79</f>
        <v>2445000</v>
      </c>
      <c r="H79" s="338">
        <f>1925000+300000</f>
        <v>2225000</v>
      </c>
      <c r="I79" s="279">
        <v>220000</v>
      </c>
      <c r="J79" s="279">
        <v>220000</v>
      </c>
      <c r="K79" s="328"/>
    </row>
    <row r="80" spans="1:11" ht="320.25" x14ac:dyDescent="0.2">
      <c r="A80" s="243" t="s">
        <v>612</v>
      </c>
      <c r="B80" s="243" t="s">
        <v>610</v>
      </c>
      <c r="C80" s="243" t="s">
        <v>545</v>
      </c>
      <c r="D80" s="306" t="s">
        <v>611</v>
      </c>
      <c r="E80" s="326" t="s">
        <v>784</v>
      </c>
      <c r="F80" s="327" t="s">
        <v>726</v>
      </c>
      <c r="G80" s="279">
        <f>H80+I80</f>
        <v>3500000</v>
      </c>
      <c r="H80" s="279">
        <f>'dod3'!E83</f>
        <v>0</v>
      </c>
      <c r="I80" s="279">
        <f>'dod3'!J83</f>
        <v>3500000</v>
      </c>
      <c r="J80" s="279">
        <f>'dod3'!K83</f>
        <v>3500000</v>
      </c>
    </row>
    <row r="81" spans="1:13" ht="183" x14ac:dyDescent="0.2">
      <c r="A81" s="243" t="s">
        <v>721</v>
      </c>
      <c r="B81" s="243" t="s">
        <v>722</v>
      </c>
      <c r="C81" s="243" t="s">
        <v>453</v>
      </c>
      <c r="D81" s="306" t="s">
        <v>723</v>
      </c>
      <c r="E81" s="326" t="s">
        <v>783</v>
      </c>
      <c r="F81" s="327" t="s">
        <v>725</v>
      </c>
      <c r="G81" s="279">
        <f>H81+I81</f>
        <v>1000000</v>
      </c>
      <c r="H81" s="279">
        <f>'dod3'!E84</f>
        <v>0</v>
      </c>
      <c r="I81" s="279">
        <f>'dod3'!J84</f>
        <v>1000000</v>
      </c>
      <c r="J81" s="280">
        <f>'dod3'!K84</f>
        <v>1000000</v>
      </c>
    </row>
    <row r="82" spans="1:13" ht="180" x14ac:dyDescent="0.2">
      <c r="A82" s="281">
        <v>1000000</v>
      </c>
      <c r="B82" s="281"/>
      <c r="C82" s="281"/>
      <c r="D82" s="282" t="s">
        <v>43</v>
      </c>
      <c r="E82" s="283"/>
      <c r="F82" s="284"/>
      <c r="G82" s="283">
        <f>G83</f>
        <v>92224266</v>
      </c>
      <c r="H82" s="283">
        <f t="shared" ref="H82:J82" si="15">H83</f>
        <v>80851044</v>
      </c>
      <c r="I82" s="283">
        <f t="shared" si="15"/>
        <v>11373222</v>
      </c>
      <c r="J82" s="283">
        <f t="shared" si="15"/>
        <v>3886442</v>
      </c>
      <c r="K82" s="287" t="b">
        <f>H82='dod3'!E88</f>
        <v>1</v>
      </c>
      <c r="L82" s="287" t="b">
        <f>I82='dod3'!J88</f>
        <v>1</v>
      </c>
      <c r="M82" s="288" t="b">
        <f>J82='dod3'!K88</f>
        <v>1</v>
      </c>
    </row>
    <row r="83" spans="1:13" ht="180" x14ac:dyDescent="0.2">
      <c r="A83" s="285">
        <v>1010000</v>
      </c>
      <c r="B83" s="285"/>
      <c r="C83" s="285"/>
      <c r="D83" s="286" t="s">
        <v>62</v>
      </c>
      <c r="E83" s="284"/>
      <c r="F83" s="284"/>
      <c r="G83" s="284">
        <f>SUM(G84:G93)</f>
        <v>92224266</v>
      </c>
      <c r="H83" s="284">
        <f>SUM(H84:H93)</f>
        <v>80851044</v>
      </c>
      <c r="I83" s="284">
        <f t="shared" ref="I83:J83" si="16">SUM(I84:I93)</f>
        <v>11373222</v>
      </c>
      <c r="J83" s="284">
        <f t="shared" si="16"/>
        <v>3886442</v>
      </c>
    </row>
    <row r="84" spans="1:13" ht="274.5" x14ac:dyDescent="0.2">
      <c r="A84" s="243" t="s">
        <v>34</v>
      </c>
      <c r="B84" s="243" t="s">
        <v>275</v>
      </c>
      <c r="C84" s="243" t="s">
        <v>276</v>
      </c>
      <c r="D84" s="243" t="s">
        <v>274</v>
      </c>
      <c r="E84" s="279" t="s">
        <v>20</v>
      </c>
      <c r="F84" s="279" t="s">
        <v>718</v>
      </c>
      <c r="G84" s="279">
        <f>H84+I84</f>
        <v>53439502</v>
      </c>
      <c r="H84" s="279">
        <f>'dod3'!E89</f>
        <v>46221680</v>
      </c>
      <c r="I84" s="279">
        <f>'dod3'!J89</f>
        <v>7217822</v>
      </c>
      <c r="J84" s="279">
        <f>'dod3'!K89</f>
        <v>386442</v>
      </c>
    </row>
    <row r="85" spans="1:13" ht="186" x14ac:dyDescent="0.2">
      <c r="A85" s="243" t="s">
        <v>258</v>
      </c>
      <c r="B85" s="243" t="s">
        <v>259</v>
      </c>
      <c r="C85" s="243" t="s">
        <v>262</v>
      </c>
      <c r="D85" s="243" t="s">
        <v>263</v>
      </c>
      <c r="E85" s="279" t="s">
        <v>20</v>
      </c>
      <c r="F85" s="279" t="s">
        <v>718</v>
      </c>
      <c r="G85" s="279">
        <f t="shared" ref="G85:G90" si="17">H85+I85</f>
        <v>726700</v>
      </c>
      <c r="H85" s="279">
        <f>'dod3'!E90</f>
        <v>726700</v>
      </c>
      <c r="I85" s="279">
        <f>'dod3'!J90</f>
        <v>0</v>
      </c>
      <c r="J85" s="279">
        <f>'dod3'!K90</f>
        <v>0</v>
      </c>
    </row>
    <row r="86" spans="1:13" ht="186" x14ac:dyDescent="0.2">
      <c r="A86" s="243" t="s">
        <v>264</v>
      </c>
      <c r="B86" s="243" t="s">
        <v>265</v>
      </c>
      <c r="C86" s="243" t="s">
        <v>266</v>
      </c>
      <c r="D86" s="243" t="s">
        <v>267</v>
      </c>
      <c r="E86" s="279" t="s">
        <v>20</v>
      </c>
      <c r="F86" s="279" t="s">
        <v>718</v>
      </c>
      <c r="G86" s="279">
        <f t="shared" si="17"/>
        <v>7801225</v>
      </c>
      <c r="H86" s="279">
        <f>'dod3'!E91</f>
        <v>7716225</v>
      </c>
      <c r="I86" s="279">
        <f>'dod3'!J91</f>
        <v>85000</v>
      </c>
      <c r="J86" s="279">
        <f>'dod3'!K91</f>
        <v>0</v>
      </c>
    </row>
    <row r="87" spans="1:13" ht="186" x14ac:dyDescent="0.2">
      <c r="A87" s="243" t="s">
        <v>268</v>
      </c>
      <c r="B87" s="243" t="s">
        <v>269</v>
      </c>
      <c r="C87" s="243" t="s">
        <v>266</v>
      </c>
      <c r="D87" s="243" t="s">
        <v>270</v>
      </c>
      <c r="E87" s="279" t="s">
        <v>20</v>
      </c>
      <c r="F87" s="279" t="s">
        <v>718</v>
      </c>
      <c r="G87" s="279">
        <f t="shared" si="17"/>
        <v>4295535</v>
      </c>
      <c r="H87" s="279">
        <f>'dod3'!E92</f>
        <v>1220535</v>
      </c>
      <c r="I87" s="279">
        <f>'dod3'!J92</f>
        <v>3075000</v>
      </c>
      <c r="J87" s="279">
        <f>'dod3'!K92</f>
        <v>3000000</v>
      </c>
    </row>
    <row r="88" spans="1:13" ht="186" x14ac:dyDescent="0.2">
      <c r="A88" s="243" t="s">
        <v>271</v>
      </c>
      <c r="B88" s="243" t="s">
        <v>260</v>
      </c>
      <c r="C88" s="243" t="s">
        <v>272</v>
      </c>
      <c r="D88" s="243" t="s">
        <v>273</v>
      </c>
      <c r="E88" s="279" t="s">
        <v>20</v>
      </c>
      <c r="F88" s="279" t="s">
        <v>718</v>
      </c>
      <c r="G88" s="279">
        <f t="shared" si="17"/>
        <v>6565042</v>
      </c>
      <c r="H88" s="279">
        <f>'dod3'!E93</f>
        <v>5699642</v>
      </c>
      <c r="I88" s="279">
        <f>'dod3'!J93</f>
        <v>865400</v>
      </c>
      <c r="J88" s="279">
        <f>'dod3'!K93</f>
        <v>500000</v>
      </c>
    </row>
    <row r="89" spans="1:13" ht="186" x14ac:dyDescent="0.2">
      <c r="A89" s="243" t="s">
        <v>533</v>
      </c>
      <c r="B89" s="243" t="s">
        <v>534</v>
      </c>
      <c r="C89" s="243" t="s">
        <v>277</v>
      </c>
      <c r="D89" s="243" t="s">
        <v>532</v>
      </c>
      <c r="E89" s="279" t="s">
        <v>20</v>
      </c>
      <c r="F89" s="279" t="s">
        <v>718</v>
      </c>
      <c r="G89" s="279">
        <f t="shared" si="17"/>
        <v>12881462</v>
      </c>
      <c r="H89" s="279">
        <f>'dod3'!E94-H90</f>
        <v>12751462</v>
      </c>
      <c r="I89" s="279">
        <f>'dod3'!J94-I90</f>
        <v>130000</v>
      </c>
      <c r="J89" s="279">
        <f>'dod3'!K94-J90</f>
        <v>0</v>
      </c>
    </row>
    <row r="90" spans="1:13" ht="186" x14ac:dyDescent="0.2">
      <c r="A90" s="335" t="s">
        <v>533</v>
      </c>
      <c r="B90" s="335" t="s">
        <v>534</v>
      </c>
      <c r="C90" s="335" t="s">
        <v>277</v>
      </c>
      <c r="D90" s="335" t="s">
        <v>532</v>
      </c>
      <c r="E90" s="338" t="s">
        <v>719</v>
      </c>
      <c r="F90" s="338" t="s">
        <v>720</v>
      </c>
      <c r="G90" s="338">
        <f t="shared" si="17"/>
        <v>514800</v>
      </c>
      <c r="H90" s="338">
        <v>514800</v>
      </c>
      <c r="I90" s="338"/>
      <c r="J90" s="338"/>
    </row>
    <row r="91" spans="1:13" ht="204" customHeight="1" x14ac:dyDescent="0.2">
      <c r="A91" s="243" t="s">
        <v>535</v>
      </c>
      <c r="B91" s="243" t="s">
        <v>536</v>
      </c>
      <c r="C91" s="243" t="s">
        <v>277</v>
      </c>
      <c r="D91" s="243" t="s">
        <v>537</v>
      </c>
      <c r="E91" s="279" t="s">
        <v>20</v>
      </c>
      <c r="F91" s="279" t="s">
        <v>718</v>
      </c>
      <c r="G91" s="279">
        <f t="shared" ref="G91:G93" si="18">H91+I91</f>
        <v>5244680</v>
      </c>
      <c r="H91" s="279">
        <f>'dod3'!E95-H93-H92</f>
        <v>5244680</v>
      </c>
      <c r="I91" s="279">
        <f>'dod3'!J95-I93-I92</f>
        <v>0</v>
      </c>
      <c r="J91" s="279">
        <f>'dod3'!K95-J93-J92</f>
        <v>0</v>
      </c>
    </row>
    <row r="92" spans="1:13" ht="279" x14ac:dyDescent="0.2">
      <c r="A92" s="335" t="s">
        <v>535</v>
      </c>
      <c r="B92" s="335" t="s">
        <v>536</v>
      </c>
      <c r="C92" s="335" t="s">
        <v>277</v>
      </c>
      <c r="D92" s="335" t="s">
        <v>537</v>
      </c>
      <c r="E92" s="338" t="s">
        <v>609</v>
      </c>
      <c r="F92" s="338" t="s">
        <v>736</v>
      </c>
      <c r="G92" s="338">
        <f t="shared" si="18"/>
        <v>395000</v>
      </c>
      <c r="H92" s="338">
        <v>395000</v>
      </c>
      <c r="I92" s="338"/>
      <c r="J92" s="338"/>
    </row>
    <row r="93" spans="1:13" ht="178.5" customHeight="1" x14ac:dyDescent="0.2">
      <c r="A93" s="243" t="s">
        <v>535</v>
      </c>
      <c r="B93" s="243" t="s">
        <v>536</v>
      </c>
      <c r="C93" s="243" t="s">
        <v>277</v>
      </c>
      <c r="D93" s="243" t="s">
        <v>537</v>
      </c>
      <c r="E93" s="279" t="s">
        <v>719</v>
      </c>
      <c r="F93" s="279" t="s">
        <v>720</v>
      </c>
      <c r="G93" s="279">
        <f t="shared" si="18"/>
        <v>360320</v>
      </c>
      <c r="H93" s="279">
        <v>360320</v>
      </c>
      <c r="I93" s="279"/>
      <c r="J93" s="279"/>
    </row>
    <row r="94" spans="1:13" ht="135" x14ac:dyDescent="0.2">
      <c r="A94" s="282" t="s">
        <v>40</v>
      </c>
      <c r="B94" s="282"/>
      <c r="C94" s="282"/>
      <c r="D94" s="282" t="s">
        <v>41</v>
      </c>
      <c r="E94" s="283"/>
      <c r="F94" s="284"/>
      <c r="G94" s="283">
        <f>G95</f>
        <v>53790029</v>
      </c>
      <c r="H94" s="283">
        <f t="shared" ref="H94:J94" si="19">H95</f>
        <v>50274852</v>
      </c>
      <c r="I94" s="283">
        <f t="shared" si="19"/>
        <v>3515177</v>
      </c>
      <c r="J94" s="283">
        <f t="shared" si="19"/>
        <v>1408533</v>
      </c>
      <c r="K94" s="287" t="b">
        <f>H94='dod3'!E97+'dod4'!F12</f>
        <v>1</v>
      </c>
      <c r="L94" s="287" t="b">
        <f>I94='dod3'!J97+'dod4'!G12</f>
        <v>1</v>
      </c>
      <c r="M94" s="288" t="b">
        <f>J94='dod3'!K97+'dod4'!H12</f>
        <v>1</v>
      </c>
    </row>
    <row r="95" spans="1:13" ht="135" x14ac:dyDescent="0.2">
      <c r="A95" s="286" t="s">
        <v>39</v>
      </c>
      <c r="B95" s="286"/>
      <c r="C95" s="286"/>
      <c r="D95" s="286" t="s">
        <v>58</v>
      </c>
      <c r="E95" s="284"/>
      <c r="F95" s="284"/>
      <c r="G95" s="284">
        <f>SUM(G96:G108)</f>
        <v>53790029</v>
      </c>
      <c r="H95" s="284">
        <f t="shared" ref="H95:J95" si="20">SUM(H96:H108)</f>
        <v>50274852</v>
      </c>
      <c r="I95" s="284">
        <f t="shared" si="20"/>
        <v>3515177</v>
      </c>
      <c r="J95" s="284">
        <f t="shared" si="20"/>
        <v>1408533</v>
      </c>
    </row>
    <row r="96" spans="1:13" ht="228.75" x14ac:dyDescent="0.2">
      <c r="A96" s="243" t="s">
        <v>278</v>
      </c>
      <c r="B96" s="243" t="s">
        <v>279</v>
      </c>
      <c r="C96" s="243" t="s">
        <v>280</v>
      </c>
      <c r="D96" s="243" t="s">
        <v>281</v>
      </c>
      <c r="E96" s="326" t="s">
        <v>786</v>
      </c>
      <c r="F96" s="279" t="s">
        <v>727</v>
      </c>
      <c r="G96" s="279">
        <f t="shared" ref="G96" si="21">H96+I96</f>
        <v>3278423</v>
      </c>
      <c r="H96" s="133">
        <f>'dod3'!E98</f>
        <v>3278423</v>
      </c>
      <c r="I96" s="181">
        <f>'dod3'!J98</f>
        <v>0</v>
      </c>
      <c r="J96" s="279">
        <f>'dod3'!K98</f>
        <v>0</v>
      </c>
    </row>
    <row r="97" spans="1:10" ht="228.75" x14ac:dyDescent="0.2">
      <c r="A97" s="243" t="s">
        <v>72</v>
      </c>
      <c r="B97" s="243" t="s">
        <v>261</v>
      </c>
      <c r="C97" s="243" t="s">
        <v>280</v>
      </c>
      <c r="D97" s="243" t="s">
        <v>22</v>
      </c>
      <c r="E97" s="326" t="s">
        <v>786</v>
      </c>
      <c r="F97" s="279" t="s">
        <v>727</v>
      </c>
      <c r="G97" s="279">
        <f t="shared" ref="G97:G98" si="22">H97+I97</f>
        <v>875790</v>
      </c>
      <c r="H97" s="133">
        <f>'dod3'!E99</f>
        <v>875790</v>
      </c>
      <c r="I97" s="181">
        <f>'dod3'!J99</f>
        <v>0</v>
      </c>
      <c r="J97" s="279">
        <f>'dod3'!K99</f>
        <v>0</v>
      </c>
    </row>
    <row r="98" spans="1:10" ht="228.75" x14ac:dyDescent="0.2">
      <c r="A98" s="243" t="s">
        <v>285</v>
      </c>
      <c r="B98" s="243" t="s">
        <v>286</v>
      </c>
      <c r="C98" s="243" t="s">
        <v>280</v>
      </c>
      <c r="D98" s="243" t="s">
        <v>23</v>
      </c>
      <c r="E98" s="326" t="s">
        <v>786</v>
      </c>
      <c r="F98" s="279" t="s">
        <v>727</v>
      </c>
      <c r="G98" s="279">
        <f t="shared" si="22"/>
        <v>3971548</v>
      </c>
      <c r="H98" s="133">
        <f>'dod3'!E100</f>
        <v>3054118</v>
      </c>
      <c r="I98" s="181">
        <f>'dod3'!J100</f>
        <v>917430</v>
      </c>
      <c r="J98" s="279">
        <f>'dod3'!K100</f>
        <v>592430</v>
      </c>
    </row>
    <row r="99" spans="1:10" ht="228.75" x14ac:dyDescent="0.2">
      <c r="A99" s="243" t="s">
        <v>577</v>
      </c>
      <c r="B99" s="243" t="s">
        <v>578</v>
      </c>
      <c r="C99" s="243" t="s">
        <v>280</v>
      </c>
      <c r="D99" s="243" t="s">
        <v>579</v>
      </c>
      <c r="E99" s="326" t="s">
        <v>786</v>
      </c>
      <c r="F99" s="279" t="s">
        <v>727</v>
      </c>
      <c r="G99" s="279">
        <f t="shared" ref="G99:G101" si="23">H99+I99</f>
        <v>6757982</v>
      </c>
      <c r="H99" s="133">
        <f>'dod3'!E101</f>
        <v>5941879</v>
      </c>
      <c r="I99" s="181">
        <f>'dod3'!J101</f>
        <v>816103</v>
      </c>
      <c r="J99" s="279">
        <f>'dod3'!K101</f>
        <v>816103</v>
      </c>
    </row>
    <row r="100" spans="1:10" ht="228.75" x14ac:dyDescent="0.2">
      <c r="A100" s="243" t="s">
        <v>73</v>
      </c>
      <c r="B100" s="243" t="s">
        <v>282</v>
      </c>
      <c r="C100" s="243" t="s">
        <v>292</v>
      </c>
      <c r="D100" s="243" t="s">
        <v>74</v>
      </c>
      <c r="E100" s="326" t="s">
        <v>786</v>
      </c>
      <c r="F100" s="279" t="s">
        <v>727</v>
      </c>
      <c r="G100" s="279">
        <f t="shared" si="23"/>
        <v>10002475</v>
      </c>
      <c r="H100" s="279">
        <f>'dod3'!E102</f>
        <v>10002475</v>
      </c>
      <c r="I100" s="181">
        <f>'dod3'!J102</f>
        <v>0</v>
      </c>
      <c r="J100" s="279">
        <f>'dod3'!K102</f>
        <v>0</v>
      </c>
    </row>
    <row r="101" spans="1:10" ht="228.75" x14ac:dyDescent="0.2">
      <c r="A101" s="243" t="s">
        <v>75</v>
      </c>
      <c r="B101" s="243" t="s">
        <v>283</v>
      </c>
      <c r="C101" s="243" t="s">
        <v>292</v>
      </c>
      <c r="D101" s="243" t="s">
        <v>6</v>
      </c>
      <c r="E101" s="326" t="s">
        <v>786</v>
      </c>
      <c r="F101" s="279" t="s">
        <v>727</v>
      </c>
      <c r="G101" s="279">
        <f t="shared" si="23"/>
        <v>1727513</v>
      </c>
      <c r="H101" s="279">
        <f>'dod3'!E103</f>
        <v>1727513</v>
      </c>
      <c r="I101" s="181">
        <f>'dod3'!J103</f>
        <v>0</v>
      </c>
      <c r="J101" s="279">
        <f>'dod3'!K103</f>
        <v>0</v>
      </c>
    </row>
    <row r="102" spans="1:10" ht="228.75" x14ac:dyDescent="0.2">
      <c r="A102" s="243" t="s">
        <v>76</v>
      </c>
      <c r="B102" s="243" t="s">
        <v>284</v>
      </c>
      <c r="C102" s="243" t="s">
        <v>292</v>
      </c>
      <c r="D102" s="243" t="s">
        <v>573</v>
      </c>
      <c r="E102" s="326" t="s">
        <v>786</v>
      </c>
      <c r="F102" s="279" t="s">
        <v>727</v>
      </c>
      <c r="G102" s="279">
        <f t="shared" ref="G102:G103" si="24">H102+I102</f>
        <v>53014</v>
      </c>
      <c r="H102" s="279">
        <f>'dod3'!E104</f>
        <v>53014</v>
      </c>
      <c r="I102" s="181">
        <f>'dod3'!J104</f>
        <v>0</v>
      </c>
      <c r="J102" s="279">
        <f>'dod3'!K104</f>
        <v>0</v>
      </c>
    </row>
    <row r="103" spans="1:10" ht="228.75" x14ac:dyDescent="0.2">
      <c r="A103" s="243" t="s">
        <v>49</v>
      </c>
      <c r="B103" s="243" t="s">
        <v>289</v>
      </c>
      <c r="C103" s="243" t="s">
        <v>292</v>
      </c>
      <c r="D103" s="243" t="s">
        <v>77</v>
      </c>
      <c r="E103" s="326" t="s">
        <v>786</v>
      </c>
      <c r="F103" s="279" t="s">
        <v>727</v>
      </c>
      <c r="G103" s="279">
        <f t="shared" si="24"/>
        <v>19775739</v>
      </c>
      <c r="H103" s="279">
        <f>'dod3'!E105</f>
        <v>18126095</v>
      </c>
      <c r="I103" s="181">
        <f>'dod3'!J105</f>
        <v>1649644</v>
      </c>
      <c r="J103" s="279">
        <f>'dod3'!K105</f>
        <v>0</v>
      </c>
    </row>
    <row r="104" spans="1:10" ht="228.75" x14ac:dyDescent="0.2">
      <c r="A104" s="243" t="s">
        <v>50</v>
      </c>
      <c r="B104" s="243" t="s">
        <v>290</v>
      </c>
      <c r="C104" s="243" t="s">
        <v>292</v>
      </c>
      <c r="D104" s="243" t="s">
        <v>78</v>
      </c>
      <c r="E104" s="326" t="s">
        <v>786</v>
      </c>
      <c r="F104" s="279" t="s">
        <v>727</v>
      </c>
      <c r="G104" s="279">
        <f t="shared" ref="G104" si="25">H104+I104</f>
        <v>4254685</v>
      </c>
      <c r="H104" s="279">
        <f>'dod3'!E106</f>
        <v>4254685</v>
      </c>
      <c r="I104" s="181">
        <f>'dod3'!J106</f>
        <v>0</v>
      </c>
      <c r="J104" s="279">
        <f>'dod3'!K106</f>
        <v>0</v>
      </c>
    </row>
    <row r="105" spans="1:10" ht="274.5" x14ac:dyDescent="0.2">
      <c r="A105" s="289" t="s">
        <v>51</v>
      </c>
      <c r="B105" s="289" t="s">
        <v>291</v>
      </c>
      <c r="C105" s="289" t="s">
        <v>292</v>
      </c>
      <c r="D105" s="243" t="s">
        <v>52</v>
      </c>
      <c r="E105" s="326" t="s">
        <v>786</v>
      </c>
      <c r="F105" s="279" t="s">
        <v>727</v>
      </c>
      <c r="G105" s="279">
        <f t="shared" ref="G105" si="26">H105+I105</f>
        <v>1500611</v>
      </c>
      <c r="H105" s="279">
        <f>'dod3'!E107</f>
        <v>1500611</v>
      </c>
      <c r="I105" s="181">
        <f>'dod3'!J107</f>
        <v>0</v>
      </c>
      <c r="J105" s="279">
        <f>'dod3'!K107</f>
        <v>0</v>
      </c>
    </row>
    <row r="106" spans="1:10" ht="228.75" x14ac:dyDescent="0.2">
      <c r="A106" s="289" t="s">
        <v>53</v>
      </c>
      <c r="B106" s="289" t="s">
        <v>293</v>
      </c>
      <c r="C106" s="289" t="s">
        <v>292</v>
      </c>
      <c r="D106" s="243" t="s">
        <v>54</v>
      </c>
      <c r="E106" s="326" t="s">
        <v>786</v>
      </c>
      <c r="F106" s="279" t="s">
        <v>727</v>
      </c>
      <c r="G106" s="279">
        <f t="shared" ref="G106" si="27">H106+I106</f>
        <v>1221249</v>
      </c>
      <c r="H106" s="279">
        <f>'dod3'!E108</f>
        <v>1179249</v>
      </c>
      <c r="I106" s="181">
        <f>'dod3'!J108</f>
        <v>42000</v>
      </c>
      <c r="J106" s="279">
        <f>'dod3'!K108</f>
        <v>0</v>
      </c>
    </row>
    <row r="107" spans="1:10" ht="274.5" x14ac:dyDescent="0.2">
      <c r="A107" s="289" t="s">
        <v>547</v>
      </c>
      <c r="B107" s="289" t="s">
        <v>546</v>
      </c>
      <c r="C107" s="289" t="s">
        <v>545</v>
      </c>
      <c r="D107" s="243" t="s">
        <v>544</v>
      </c>
      <c r="E107" s="326" t="s">
        <v>786</v>
      </c>
      <c r="F107" s="279" t="s">
        <v>727</v>
      </c>
      <c r="G107" s="279">
        <f t="shared" ref="G107:G108" si="28">H107+I107</f>
        <v>21000</v>
      </c>
      <c r="H107" s="279">
        <f>'dod3'!E109</f>
        <v>21000</v>
      </c>
      <c r="I107" s="181">
        <f>'dod3'!J109</f>
        <v>0</v>
      </c>
      <c r="J107" s="279">
        <f>'dod3'!K109</f>
        <v>0</v>
      </c>
    </row>
    <row r="108" spans="1:10" ht="228.75" x14ac:dyDescent="0.2">
      <c r="A108" s="331" t="s">
        <v>600</v>
      </c>
      <c r="B108" s="331" t="s">
        <v>602</v>
      </c>
      <c r="C108" s="331" t="s">
        <v>79</v>
      </c>
      <c r="D108" s="332" t="s">
        <v>295</v>
      </c>
      <c r="E108" s="326" t="s">
        <v>786</v>
      </c>
      <c r="F108" s="279" t="s">
        <v>727</v>
      </c>
      <c r="G108" s="279">
        <f t="shared" si="28"/>
        <v>350000</v>
      </c>
      <c r="H108" s="279">
        <f>'dod4'!F12</f>
        <v>260000</v>
      </c>
      <c r="I108" s="181">
        <f>'dod4'!G12</f>
        <v>90000</v>
      </c>
      <c r="J108" s="279">
        <f>'dod4'!H12</f>
        <v>0</v>
      </c>
    </row>
    <row r="109" spans="1:10" ht="91.5" hidden="1" x14ac:dyDescent="0.2">
      <c r="A109" s="243" t="s">
        <v>647</v>
      </c>
      <c r="B109" s="242" t="s">
        <v>604</v>
      </c>
      <c r="C109" s="242" t="s">
        <v>71</v>
      </c>
      <c r="D109" s="242" t="s">
        <v>605</v>
      </c>
      <c r="E109" s="167"/>
      <c r="F109" s="133"/>
      <c r="G109" s="133"/>
      <c r="H109" s="133"/>
      <c r="I109" s="181"/>
      <c r="J109" s="244"/>
    </row>
    <row r="110" spans="1:10" ht="180" x14ac:dyDescent="0.2">
      <c r="A110" s="282" t="s">
        <v>245</v>
      </c>
      <c r="B110" s="282"/>
      <c r="C110" s="282"/>
      <c r="D110" s="282" t="s">
        <v>42</v>
      </c>
      <c r="E110" s="283"/>
      <c r="F110" s="284"/>
      <c r="G110" s="283">
        <f>G111</f>
        <v>371947803</v>
      </c>
      <c r="H110" s="283">
        <f t="shared" ref="H110:J110" si="29">H111</f>
        <v>218356489</v>
      </c>
      <c r="I110" s="283">
        <f t="shared" si="29"/>
        <v>153591314</v>
      </c>
      <c r="J110" s="283">
        <f t="shared" si="29"/>
        <v>153591314</v>
      </c>
    </row>
    <row r="111" spans="1:10" ht="180" x14ac:dyDescent="0.2">
      <c r="A111" s="286" t="s">
        <v>246</v>
      </c>
      <c r="B111" s="286"/>
      <c r="C111" s="286"/>
      <c r="D111" s="286" t="s">
        <v>63</v>
      </c>
      <c r="E111" s="284"/>
      <c r="F111" s="284"/>
      <c r="G111" s="284">
        <f>SUM(G112:G131)</f>
        <v>371947803</v>
      </c>
      <c r="H111" s="284">
        <f t="shared" ref="H111:J111" si="30">SUM(H112:H131)</f>
        <v>218356489</v>
      </c>
      <c r="I111" s="284">
        <f t="shared" si="30"/>
        <v>153591314</v>
      </c>
      <c r="J111" s="284">
        <f t="shared" si="30"/>
        <v>153591314</v>
      </c>
    </row>
    <row r="112" spans="1:10" ht="232.5" x14ac:dyDescent="0.2">
      <c r="A112" s="525" t="s">
        <v>420</v>
      </c>
      <c r="B112" s="525" t="s">
        <v>421</v>
      </c>
      <c r="C112" s="525" t="s">
        <v>423</v>
      </c>
      <c r="D112" s="525" t="s">
        <v>422</v>
      </c>
      <c r="E112" s="133" t="s">
        <v>747</v>
      </c>
      <c r="F112" s="356" t="s">
        <v>754</v>
      </c>
      <c r="G112" s="521">
        <f>H112+I112</f>
        <v>4600000</v>
      </c>
      <c r="H112" s="521">
        <f>'dod3'!E114-H113</f>
        <v>50000</v>
      </c>
      <c r="I112" s="527">
        <f>'dod3'!J114-I113</f>
        <v>4550000</v>
      </c>
      <c r="J112" s="528">
        <f>'dod3'!K114-J113</f>
        <v>4550000</v>
      </c>
    </row>
    <row r="113" spans="1:10" ht="228.75" x14ac:dyDescent="0.2">
      <c r="A113" s="526"/>
      <c r="B113" s="526"/>
      <c r="C113" s="526"/>
      <c r="D113" s="526"/>
      <c r="E113" s="356" t="s">
        <v>748</v>
      </c>
      <c r="F113" s="356" t="s">
        <v>755</v>
      </c>
      <c r="G113" s="441"/>
      <c r="H113" s="441"/>
      <c r="I113" s="441"/>
      <c r="J113" s="441"/>
    </row>
    <row r="114" spans="1:10" ht="232.5" x14ac:dyDescent="0.2">
      <c r="A114" s="344" t="s">
        <v>649</v>
      </c>
      <c r="B114" s="344" t="s">
        <v>650</v>
      </c>
      <c r="C114" s="344" t="s">
        <v>423</v>
      </c>
      <c r="D114" s="344" t="s">
        <v>651</v>
      </c>
      <c r="E114" s="133" t="s">
        <v>747</v>
      </c>
      <c r="F114" s="356" t="s">
        <v>754</v>
      </c>
      <c r="G114" s="133">
        <f t="shared" ref="G114:G124" si="31">H114+I114</f>
        <v>18000000</v>
      </c>
      <c r="H114" s="133">
        <f>'dod3'!E115</f>
        <v>18000000</v>
      </c>
      <c r="I114" s="181">
        <f>'dod3'!J115</f>
        <v>0</v>
      </c>
      <c r="J114" s="280">
        <f>'dod3'!K115</f>
        <v>0</v>
      </c>
    </row>
    <row r="115" spans="1:10" ht="232.5" x14ac:dyDescent="0.2">
      <c r="A115" s="344" t="s">
        <v>427</v>
      </c>
      <c r="B115" s="344" t="s">
        <v>428</v>
      </c>
      <c r="C115" s="344" t="s">
        <v>423</v>
      </c>
      <c r="D115" s="344" t="s">
        <v>429</v>
      </c>
      <c r="E115" s="133" t="s">
        <v>747</v>
      </c>
      <c r="F115" s="356" t="s">
        <v>754</v>
      </c>
      <c r="G115" s="133">
        <f t="shared" si="31"/>
        <v>553700</v>
      </c>
      <c r="H115" s="133">
        <f>'dod3'!E116</f>
        <v>553700</v>
      </c>
      <c r="I115" s="181">
        <f>'dod3'!J116</f>
        <v>0</v>
      </c>
      <c r="J115" s="280">
        <f>'dod3'!K116</f>
        <v>0</v>
      </c>
    </row>
    <row r="116" spans="1:10" ht="232.5" x14ac:dyDescent="0.2">
      <c r="A116" s="344" t="s">
        <v>450</v>
      </c>
      <c r="B116" s="344" t="s">
        <v>451</v>
      </c>
      <c r="C116" s="344" t="s">
        <v>423</v>
      </c>
      <c r="D116" s="344" t="s">
        <v>452</v>
      </c>
      <c r="E116" s="133" t="s">
        <v>747</v>
      </c>
      <c r="F116" s="356" t="s">
        <v>754</v>
      </c>
      <c r="G116" s="133">
        <f t="shared" si="31"/>
        <v>5000000</v>
      </c>
      <c r="H116" s="133">
        <f>'dod3'!E117</f>
        <v>0</v>
      </c>
      <c r="I116" s="181">
        <f>'dod3'!J117</f>
        <v>5000000</v>
      </c>
      <c r="J116" s="280">
        <f>'dod3'!K117</f>
        <v>5000000</v>
      </c>
    </row>
    <row r="117" spans="1:10" ht="232.5" x14ac:dyDescent="0.2">
      <c r="A117" s="344" t="s">
        <v>424</v>
      </c>
      <c r="B117" s="344" t="s">
        <v>425</v>
      </c>
      <c r="C117" s="344" t="s">
        <v>423</v>
      </c>
      <c r="D117" s="344" t="s">
        <v>426</v>
      </c>
      <c r="E117" s="133" t="s">
        <v>747</v>
      </c>
      <c r="F117" s="356" t="s">
        <v>754</v>
      </c>
      <c r="G117" s="133">
        <f t="shared" si="31"/>
        <v>23000000</v>
      </c>
      <c r="H117" s="133">
        <f>'dod3'!E118</f>
        <v>0</v>
      </c>
      <c r="I117" s="181">
        <f>'dod3'!J118</f>
        <v>23000000</v>
      </c>
      <c r="J117" s="280">
        <f>'dod3'!K118</f>
        <v>23000000</v>
      </c>
    </row>
    <row r="118" spans="1:10" ht="232.5" x14ac:dyDescent="0.2">
      <c r="A118" s="335" t="s">
        <v>444</v>
      </c>
      <c r="B118" s="335" t="s">
        <v>445</v>
      </c>
      <c r="C118" s="335" t="s">
        <v>423</v>
      </c>
      <c r="D118" s="335" t="s">
        <v>446</v>
      </c>
      <c r="E118" s="133" t="s">
        <v>747</v>
      </c>
      <c r="F118" s="356" t="s">
        <v>754</v>
      </c>
      <c r="G118" s="133">
        <f t="shared" si="31"/>
        <v>370575</v>
      </c>
      <c r="H118" s="133">
        <f>'dod3'!E119</f>
        <v>370575</v>
      </c>
      <c r="I118" s="181">
        <f>'dod3'!J119</f>
        <v>0</v>
      </c>
      <c r="J118" s="280">
        <f>'dod3'!K119</f>
        <v>0</v>
      </c>
    </row>
    <row r="119" spans="1:10" ht="232.5" x14ac:dyDescent="0.2">
      <c r="A119" s="335" t="s">
        <v>430</v>
      </c>
      <c r="B119" s="335" t="s">
        <v>431</v>
      </c>
      <c r="C119" s="335" t="s">
        <v>423</v>
      </c>
      <c r="D119" s="335" t="s">
        <v>432</v>
      </c>
      <c r="E119" s="133" t="s">
        <v>747</v>
      </c>
      <c r="F119" s="356" t="s">
        <v>754</v>
      </c>
      <c r="G119" s="133">
        <f t="shared" si="31"/>
        <v>130726749</v>
      </c>
      <c r="H119" s="133">
        <f>'dod3'!E120</f>
        <v>111566028</v>
      </c>
      <c r="I119" s="181">
        <f>'dod3'!J120</f>
        <v>19160721</v>
      </c>
      <c r="J119" s="280">
        <f>'dod3'!K120</f>
        <v>19160721</v>
      </c>
    </row>
    <row r="120" spans="1:10" ht="232.5" x14ac:dyDescent="0.2">
      <c r="A120" s="335" t="s">
        <v>454</v>
      </c>
      <c r="B120" s="335" t="s">
        <v>455</v>
      </c>
      <c r="C120" s="335" t="s">
        <v>453</v>
      </c>
      <c r="D120" s="335" t="s">
        <v>456</v>
      </c>
      <c r="E120" s="133" t="s">
        <v>747</v>
      </c>
      <c r="F120" s="356" t="s">
        <v>754</v>
      </c>
      <c r="G120" s="133">
        <f t="shared" si="31"/>
        <v>9700000</v>
      </c>
      <c r="H120" s="133">
        <f>'dod3'!E121</f>
        <v>0</v>
      </c>
      <c r="I120" s="181">
        <f>'dod3'!J121</f>
        <v>9700000</v>
      </c>
      <c r="J120" s="280">
        <f>'dod3'!K121</f>
        <v>9700000</v>
      </c>
    </row>
    <row r="121" spans="1:10" ht="232.5" x14ac:dyDescent="0.2">
      <c r="A121" s="335" t="s">
        <v>741</v>
      </c>
      <c r="B121" s="335" t="s">
        <v>742</v>
      </c>
      <c r="C121" s="335" t="s">
        <v>743</v>
      </c>
      <c r="D121" s="335" t="s">
        <v>744</v>
      </c>
      <c r="E121" s="133" t="s">
        <v>747</v>
      </c>
      <c r="F121" s="356" t="s">
        <v>754</v>
      </c>
      <c r="G121" s="133">
        <f t="shared" si="31"/>
        <v>10620634</v>
      </c>
      <c r="H121" s="133">
        <f>'dod3'!E122</f>
        <v>10620634</v>
      </c>
      <c r="I121" s="181">
        <f>'dod3'!J122</f>
        <v>0</v>
      </c>
      <c r="J121" s="280">
        <f>'dod3'!K122</f>
        <v>0</v>
      </c>
    </row>
    <row r="122" spans="1:10" ht="183" x14ac:dyDescent="0.2">
      <c r="A122" s="344" t="s">
        <v>433</v>
      </c>
      <c r="B122" s="344" t="s">
        <v>434</v>
      </c>
      <c r="C122" s="344" t="s">
        <v>436</v>
      </c>
      <c r="D122" s="344" t="s">
        <v>435</v>
      </c>
      <c r="E122" s="358" t="s">
        <v>749</v>
      </c>
      <c r="F122" s="356" t="s">
        <v>757</v>
      </c>
      <c r="G122" s="133">
        <f t="shared" si="31"/>
        <v>16217135</v>
      </c>
      <c r="H122" s="133">
        <f>'dod3'!E123</f>
        <v>16217135</v>
      </c>
      <c r="I122" s="181">
        <f>'dod3'!J123</f>
        <v>0</v>
      </c>
      <c r="J122" s="280">
        <f>'dod3'!K123</f>
        <v>0</v>
      </c>
    </row>
    <row r="123" spans="1:10" ht="232.5" x14ac:dyDescent="0.2">
      <c r="A123" s="344" t="s">
        <v>437</v>
      </c>
      <c r="B123" s="344" t="s">
        <v>438</v>
      </c>
      <c r="C123" s="344" t="s">
        <v>440</v>
      </c>
      <c r="D123" s="344" t="s">
        <v>439</v>
      </c>
      <c r="E123" s="133" t="s">
        <v>747</v>
      </c>
      <c r="F123" s="356" t="s">
        <v>754</v>
      </c>
      <c r="G123" s="133">
        <f t="shared" si="31"/>
        <v>141670533</v>
      </c>
      <c r="H123" s="133">
        <f>'dod3'!E124</f>
        <v>59477425</v>
      </c>
      <c r="I123" s="181">
        <f>'dod3'!J124</f>
        <v>82193108</v>
      </c>
      <c r="J123" s="280">
        <f>'dod3'!K124</f>
        <v>82193108</v>
      </c>
    </row>
    <row r="124" spans="1:10" ht="228.75" x14ac:dyDescent="0.2">
      <c r="A124" s="444" t="s">
        <v>441</v>
      </c>
      <c r="B124" s="444" t="s">
        <v>320</v>
      </c>
      <c r="C124" s="444" t="s">
        <v>321</v>
      </c>
      <c r="D124" s="444" t="s">
        <v>67</v>
      </c>
      <c r="E124" s="311" t="s">
        <v>747</v>
      </c>
      <c r="F124" s="356" t="s">
        <v>754</v>
      </c>
      <c r="G124" s="521">
        <f t="shared" si="31"/>
        <v>250000</v>
      </c>
      <c r="H124" s="521">
        <f>'dod3'!E125</f>
        <v>250000</v>
      </c>
      <c r="I124" s="527"/>
      <c r="J124" s="528"/>
    </row>
    <row r="125" spans="1:10" ht="409.5" x14ac:dyDescent="0.2">
      <c r="A125" s="441"/>
      <c r="B125" s="441"/>
      <c r="C125" s="441"/>
      <c r="D125" s="441"/>
      <c r="E125" s="361" t="s">
        <v>756</v>
      </c>
      <c r="F125" s="311" t="s">
        <v>758</v>
      </c>
      <c r="G125" s="441"/>
      <c r="H125" s="441"/>
      <c r="I125" s="441"/>
      <c r="J125" s="441"/>
    </row>
    <row r="126" spans="1:10" ht="114" hidden="1" customHeight="1" x14ac:dyDescent="0.2">
      <c r="A126" s="335"/>
      <c r="B126" s="335"/>
      <c r="C126" s="335"/>
      <c r="D126" s="335"/>
      <c r="E126" s="311"/>
      <c r="F126" s="311"/>
      <c r="G126" s="521">
        <f>H127+I127</f>
        <v>1000000</v>
      </c>
      <c r="H126" s="133"/>
      <c r="I126" s="181"/>
      <c r="J126" s="280"/>
    </row>
    <row r="127" spans="1:10" ht="409.5" x14ac:dyDescent="0.2">
      <c r="A127" s="335" t="s">
        <v>441</v>
      </c>
      <c r="B127" s="335" t="s">
        <v>320</v>
      </c>
      <c r="C127" s="335" t="s">
        <v>321</v>
      </c>
      <c r="D127" s="335" t="s">
        <v>67</v>
      </c>
      <c r="E127" s="356" t="s">
        <v>759</v>
      </c>
      <c r="F127" s="359" t="s">
        <v>750</v>
      </c>
      <c r="G127" s="441"/>
      <c r="H127" s="133"/>
      <c r="I127" s="181">
        <v>1000000</v>
      </c>
      <c r="J127" s="280">
        <v>1000000</v>
      </c>
    </row>
    <row r="128" spans="1:10" ht="364.5" x14ac:dyDescent="0.2">
      <c r="A128" s="335" t="s">
        <v>441</v>
      </c>
      <c r="B128" s="335" t="s">
        <v>320</v>
      </c>
      <c r="C128" s="335" t="s">
        <v>321</v>
      </c>
      <c r="D128" s="335" t="s">
        <v>67</v>
      </c>
      <c r="E128" s="366" t="s">
        <v>751</v>
      </c>
      <c r="F128" s="360" t="s">
        <v>752</v>
      </c>
      <c r="G128" s="133">
        <f>H128+I128</f>
        <v>250000</v>
      </c>
      <c r="H128" s="133"/>
      <c r="I128" s="181">
        <v>250000</v>
      </c>
      <c r="J128" s="280">
        <v>250000</v>
      </c>
    </row>
    <row r="129" spans="1:13" ht="232.5" x14ac:dyDescent="0.2">
      <c r="A129" s="335" t="s">
        <v>458</v>
      </c>
      <c r="B129" s="335" t="s">
        <v>294</v>
      </c>
      <c r="C129" s="335" t="s">
        <v>257</v>
      </c>
      <c r="D129" s="335" t="s">
        <v>57</v>
      </c>
      <c r="E129" s="133" t="s">
        <v>747</v>
      </c>
      <c r="F129" s="356" t="s">
        <v>754</v>
      </c>
      <c r="G129" s="133">
        <f>H129+I129</f>
        <v>8737485</v>
      </c>
      <c r="H129" s="133">
        <f>'dod3'!E126</f>
        <v>0</v>
      </c>
      <c r="I129" s="181">
        <f>'dod3'!J126</f>
        <v>8737485</v>
      </c>
      <c r="J129" s="338">
        <f>'dod3'!K126</f>
        <v>8737485</v>
      </c>
    </row>
    <row r="130" spans="1:13" ht="232.5" x14ac:dyDescent="0.2">
      <c r="A130" s="335" t="s">
        <v>442</v>
      </c>
      <c r="B130" s="335" t="s">
        <v>443</v>
      </c>
      <c r="C130" s="335" t="s">
        <v>390</v>
      </c>
      <c r="D130" s="335" t="s">
        <v>543</v>
      </c>
      <c r="E130" s="133" t="s">
        <v>747</v>
      </c>
      <c r="F130" s="356" t="s">
        <v>754</v>
      </c>
      <c r="G130" s="133">
        <f>H130+I130</f>
        <v>0</v>
      </c>
      <c r="H130" s="133"/>
      <c r="I130" s="181">
        <f t="shared" ref="I130:I131" si="32">J130</f>
        <v>0</v>
      </c>
      <c r="J130" s="337"/>
    </row>
    <row r="131" spans="1:13" ht="409.5" x14ac:dyDescent="0.2">
      <c r="A131" s="335" t="s">
        <v>388</v>
      </c>
      <c r="B131" s="335" t="s">
        <v>389</v>
      </c>
      <c r="C131" s="335" t="s">
        <v>390</v>
      </c>
      <c r="D131" s="335" t="s">
        <v>387</v>
      </c>
      <c r="E131" s="356" t="s">
        <v>753</v>
      </c>
      <c r="F131" s="357" t="s">
        <v>760</v>
      </c>
      <c r="G131" s="133">
        <f>H131+I131</f>
        <v>1250992</v>
      </c>
      <c r="H131" s="133">
        <v>1250992</v>
      </c>
      <c r="I131" s="181">
        <f t="shared" si="32"/>
        <v>0</v>
      </c>
      <c r="J131" s="337"/>
    </row>
    <row r="132" spans="1:13" ht="270" x14ac:dyDescent="0.2">
      <c r="A132" s="282" t="s">
        <v>44</v>
      </c>
      <c r="B132" s="282"/>
      <c r="C132" s="282"/>
      <c r="D132" s="282" t="s">
        <v>643</v>
      </c>
      <c r="E132" s="283"/>
      <c r="F132" s="283"/>
      <c r="G132" s="283">
        <f>G133</f>
        <v>53000000</v>
      </c>
      <c r="H132" s="283">
        <f>H133</f>
        <v>0</v>
      </c>
      <c r="I132" s="283">
        <f>I133</f>
        <v>53000000</v>
      </c>
      <c r="J132" s="283">
        <f>J133</f>
        <v>53000000</v>
      </c>
    </row>
    <row r="133" spans="1:13" ht="270" x14ac:dyDescent="0.2">
      <c r="A133" s="286" t="s">
        <v>45</v>
      </c>
      <c r="B133" s="286"/>
      <c r="C133" s="286"/>
      <c r="D133" s="286" t="s">
        <v>642</v>
      </c>
      <c r="E133" s="284"/>
      <c r="F133" s="284"/>
      <c r="G133" s="284">
        <f>G134+G135+G136</f>
        <v>53000000</v>
      </c>
      <c r="H133" s="284">
        <f t="shared" ref="H133:J133" si="33">H134+H135+H136</f>
        <v>0</v>
      </c>
      <c r="I133" s="284">
        <f t="shared" si="33"/>
        <v>53000000</v>
      </c>
      <c r="J133" s="284">
        <f t="shared" si="33"/>
        <v>53000000</v>
      </c>
    </row>
    <row r="134" spans="1:13" ht="139.5" x14ac:dyDescent="0.2">
      <c r="A134" s="344" t="s">
        <v>472</v>
      </c>
      <c r="B134" s="344" t="s">
        <v>473</v>
      </c>
      <c r="C134" s="344" t="s">
        <v>453</v>
      </c>
      <c r="D134" s="344" t="s">
        <v>471</v>
      </c>
      <c r="E134" s="133" t="s">
        <v>740</v>
      </c>
      <c r="F134" s="133"/>
      <c r="G134" s="338">
        <f>I134</f>
        <v>37000000</v>
      </c>
      <c r="H134" s="338"/>
      <c r="I134" s="338">
        <f>'dod3'!J133</f>
        <v>37000000</v>
      </c>
      <c r="J134" s="280">
        <f>I134</f>
        <v>37000000</v>
      </c>
    </row>
    <row r="135" spans="1:13" ht="139.5" x14ac:dyDescent="0.2">
      <c r="A135" s="344" t="s">
        <v>474</v>
      </c>
      <c r="B135" s="344" t="s">
        <v>475</v>
      </c>
      <c r="C135" s="344" t="s">
        <v>453</v>
      </c>
      <c r="D135" s="344" t="s">
        <v>476</v>
      </c>
      <c r="E135" s="133" t="s">
        <v>740</v>
      </c>
      <c r="F135" s="133"/>
      <c r="G135" s="338">
        <f t="shared" ref="G135:G136" si="34">I135</f>
        <v>4500000</v>
      </c>
      <c r="H135" s="338"/>
      <c r="I135" s="338">
        <f>'dod3'!J134</f>
        <v>4500000</v>
      </c>
      <c r="J135" s="280">
        <f>I135</f>
        <v>4500000</v>
      </c>
    </row>
    <row r="136" spans="1:13" ht="183" x14ac:dyDescent="0.2">
      <c r="A136" s="367" t="s">
        <v>478</v>
      </c>
      <c r="B136" s="367" t="s">
        <v>479</v>
      </c>
      <c r="C136" s="367" t="s">
        <v>453</v>
      </c>
      <c r="D136" s="367" t="s">
        <v>477</v>
      </c>
      <c r="E136" s="133" t="s">
        <v>740</v>
      </c>
      <c r="F136" s="133"/>
      <c r="G136" s="338">
        <f t="shared" si="34"/>
        <v>11500000</v>
      </c>
      <c r="H136" s="338"/>
      <c r="I136" s="338">
        <f>'dod3'!J135</f>
        <v>11500000</v>
      </c>
      <c r="J136" s="338">
        <f>I136</f>
        <v>11500000</v>
      </c>
    </row>
    <row r="137" spans="1:13" ht="225" x14ac:dyDescent="0.2">
      <c r="A137" s="282" t="s">
        <v>247</v>
      </c>
      <c r="B137" s="282"/>
      <c r="C137" s="282"/>
      <c r="D137" s="282" t="s">
        <v>46</v>
      </c>
      <c r="E137" s="283"/>
      <c r="F137" s="283"/>
      <c r="G137" s="283">
        <f>G138</f>
        <v>2000000</v>
      </c>
      <c r="H137" s="283">
        <f t="shared" ref="H137:J138" si="35">H138</f>
        <v>0</v>
      </c>
      <c r="I137" s="283">
        <f t="shared" si="35"/>
        <v>2000000</v>
      </c>
      <c r="J137" s="283">
        <f t="shared" si="35"/>
        <v>2000000</v>
      </c>
    </row>
    <row r="138" spans="1:13" ht="225" x14ac:dyDescent="0.2">
      <c r="A138" s="286" t="s">
        <v>248</v>
      </c>
      <c r="B138" s="286"/>
      <c r="C138" s="286"/>
      <c r="D138" s="286" t="s">
        <v>64</v>
      </c>
      <c r="E138" s="284"/>
      <c r="F138" s="284"/>
      <c r="G138" s="284">
        <f>G139</f>
        <v>2000000</v>
      </c>
      <c r="H138" s="284">
        <f t="shared" si="35"/>
        <v>0</v>
      </c>
      <c r="I138" s="284">
        <f t="shared" si="35"/>
        <v>2000000</v>
      </c>
      <c r="J138" s="284">
        <f t="shared" si="35"/>
        <v>2000000</v>
      </c>
    </row>
    <row r="139" spans="1:13" ht="180.75" customHeight="1" x14ac:dyDescent="0.2">
      <c r="A139" s="367" t="s">
        <v>463</v>
      </c>
      <c r="B139" s="367" t="s">
        <v>464</v>
      </c>
      <c r="C139" s="367" t="s">
        <v>453</v>
      </c>
      <c r="D139" s="379" t="s">
        <v>465</v>
      </c>
      <c r="E139" s="133" t="s">
        <v>740</v>
      </c>
      <c r="F139" s="133"/>
      <c r="G139" s="338">
        <f>H139+I139</f>
        <v>2000000</v>
      </c>
      <c r="H139" s="368"/>
      <c r="I139" s="338">
        <v>2000000</v>
      </c>
      <c r="J139" s="338">
        <f>I139</f>
        <v>2000000</v>
      </c>
    </row>
    <row r="140" spans="1:13" ht="135" x14ac:dyDescent="0.2">
      <c r="A140" s="282" t="s">
        <v>253</v>
      </c>
      <c r="B140" s="282"/>
      <c r="C140" s="282"/>
      <c r="D140" s="282" t="s">
        <v>580</v>
      </c>
      <c r="E140" s="283"/>
      <c r="F140" s="284"/>
      <c r="G140" s="283">
        <f>G141</f>
        <v>7440650</v>
      </c>
      <c r="H140" s="283">
        <f t="shared" ref="H140:J140" si="36">H141</f>
        <v>4870650</v>
      </c>
      <c r="I140" s="283">
        <f t="shared" si="36"/>
        <v>2570000</v>
      </c>
      <c r="J140" s="283">
        <f t="shared" si="36"/>
        <v>2570000</v>
      </c>
      <c r="K140" s="287" t="b">
        <f>H140='dod3'!E141</f>
        <v>1</v>
      </c>
      <c r="L140" s="287" t="b">
        <f>I140='dod3'!J141</f>
        <v>1</v>
      </c>
      <c r="M140" s="288" t="b">
        <f>J140='dod3'!K141</f>
        <v>1</v>
      </c>
    </row>
    <row r="141" spans="1:13" ht="135" x14ac:dyDescent="0.2">
      <c r="A141" s="286" t="s">
        <v>254</v>
      </c>
      <c r="B141" s="286"/>
      <c r="C141" s="286"/>
      <c r="D141" s="286" t="s">
        <v>581</v>
      </c>
      <c r="E141" s="284"/>
      <c r="F141" s="284"/>
      <c r="G141" s="284">
        <f>SUM(G142:G146)</f>
        <v>7440650</v>
      </c>
      <c r="H141" s="284">
        <f t="shared" ref="H141:J141" si="37">SUM(H142:H146)</f>
        <v>4870650</v>
      </c>
      <c r="I141" s="284">
        <f t="shared" si="37"/>
        <v>2570000</v>
      </c>
      <c r="J141" s="284">
        <f t="shared" si="37"/>
        <v>2570000</v>
      </c>
    </row>
    <row r="142" spans="1:13" ht="183" x14ac:dyDescent="0.2">
      <c r="A142" s="335" t="s">
        <v>574</v>
      </c>
      <c r="B142" s="335" t="s">
        <v>575</v>
      </c>
      <c r="C142" s="335" t="s">
        <v>257</v>
      </c>
      <c r="D142" s="335" t="s">
        <v>401</v>
      </c>
      <c r="E142" s="326" t="s">
        <v>774</v>
      </c>
      <c r="F142" s="356" t="s">
        <v>773</v>
      </c>
      <c r="G142" s="133">
        <f t="shared" ref="G142:G146" si="38">H142+I142</f>
        <v>2000000</v>
      </c>
      <c r="H142" s="338">
        <v>0</v>
      </c>
      <c r="I142" s="338">
        <v>2000000</v>
      </c>
      <c r="J142" s="338">
        <v>2000000</v>
      </c>
      <c r="K142" s="287" t="b">
        <f>H142='dod3'!E142</f>
        <v>1</v>
      </c>
      <c r="L142" s="287" t="b">
        <f>I142='dod3'!J142</f>
        <v>1</v>
      </c>
      <c r="M142" s="288" t="b">
        <f>J142='dod3'!K142</f>
        <v>1</v>
      </c>
    </row>
    <row r="143" spans="1:13" ht="91.5" x14ac:dyDescent="0.2">
      <c r="A143" s="335" t="s">
        <v>399</v>
      </c>
      <c r="B143" s="335" t="s">
        <v>400</v>
      </c>
      <c r="C143" s="335" t="s">
        <v>398</v>
      </c>
      <c r="D143" s="335" t="s">
        <v>397</v>
      </c>
      <c r="E143" s="326" t="s">
        <v>775</v>
      </c>
      <c r="F143" s="338"/>
      <c r="G143" s="133">
        <f t="shared" si="38"/>
        <v>2456650</v>
      </c>
      <c r="H143" s="338">
        <v>2456650</v>
      </c>
      <c r="I143" s="338">
        <v>0</v>
      </c>
      <c r="J143" s="338">
        <v>0</v>
      </c>
      <c r="K143" s="287" t="b">
        <f>H143+H144='dod3'!E143</f>
        <v>1</v>
      </c>
      <c r="L143" s="287" t="b">
        <f>I143+I144='dod3'!J143</f>
        <v>1</v>
      </c>
      <c r="M143" s="288" t="b">
        <f>J143+J144='dod3'!K143</f>
        <v>1</v>
      </c>
    </row>
    <row r="144" spans="1:13" ht="137.25" x14ac:dyDescent="0.2">
      <c r="A144" s="335" t="s">
        <v>399</v>
      </c>
      <c r="B144" s="335" t="s">
        <v>400</v>
      </c>
      <c r="C144" s="335" t="s">
        <v>398</v>
      </c>
      <c r="D144" s="335" t="s">
        <v>397</v>
      </c>
      <c r="E144" s="326" t="s">
        <v>607</v>
      </c>
      <c r="F144" s="356" t="s">
        <v>776</v>
      </c>
      <c r="G144" s="133">
        <f t="shared" si="38"/>
        <v>770000</v>
      </c>
      <c r="H144" s="338">
        <v>200000</v>
      </c>
      <c r="I144" s="338">
        <v>570000</v>
      </c>
      <c r="J144" s="338">
        <v>570000</v>
      </c>
    </row>
    <row r="145" spans="1:13" ht="186" x14ac:dyDescent="0.2">
      <c r="A145" s="335" t="s">
        <v>391</v>
      </c>
      <c r="B145" s="335" t="s">
        <v>393</v>
      </c>
      <c r="C145" s="335" t="s">
        <v>321</v>
      </c>
      <c r="D145" s="335" t="s">
        <v>392</v>
      </c>
      <c r="E145" s="338" t="s">
        <v>777</v>
      </c>
      <c r="F145" s="356" t="s">
        <v>778</v>
      </c>
      <c r="G145" s="133">
        <f t="shared" si="38"/>
        <v>420000</v>
      </c>
      <c r="H145" s="338">
        <v>420000</v>
      </c>
      <c r="I145" s="338">
        <v>0</v>
      </c>
      <c r="J145" s="338">
        <v>0</v>
      </c>
      <c r="K145" s="287" t="b">
        <f>H145='dod3'!E144</f>
        <v>1</v>
      </c>
      <c r="L145" s="287" t="b">
        <f>I145='dod3'!J144</f>
        <v>1</v>
      </c>
      <c r="M145" s="288" t="b">
        <f>J145='dod3'!K144</f>
        <v>1</v>
      </c>
    </row>
    <row r="146" spans="1:13" ht="232.5" x14ac:dyDescent="0.2">
      <c r="A146" s="335" t="s">
        <v>395</v>
      </c>
      <c r="B146" s="335" t="s">
        <v>396</v>
      </c>
      <c r="C146" s="335" t="s">
        <v>257</v>
      </c>
      <c r="D146" s="335" t="s">
        <v>394</v>
      </c>
      <c r="E146" s="338" t="s">
        <v>779</v>
      </c>
      <c r="F146" s="338"/>
      <c r="G146" s="133">
        <f t="shared" si="38"/>
        <v>1794000</v>
      </c>
      <c r="H146" s="338">
        <v>1794000</v>
      </c>
      <c r="I146" s="338">
        <v>0</v>
      </c>
      <c r="J146" s="338">
        <v>0</v>
      </c>
      <c r="K146" s="287" t="b">
        <f>H146='dod3'!E145</f>
        <v>1</v>
      </c>
      <c r="L146" s="287" t="b">
        <f>I146='dod3'!J145</f>
        <v>1</v>
      </c>
      <c r="M146" s="288" t="b">
        <f>J146='dod3'!K145</f>
        <v>1</v>
      </c>
    </row>
    <row r="147" spans="1:13" ht="135" x14ac:dyDescent="0.2">
      <c r="A147" s="282" t="s">
        <v>251</v>
      </c>
      <c r="B147" s="282"/>
      <c r="C147" s="282"/>
      <c r="D147" s="282" t="s">
        <v>47</v>
      </c>
      <c r="E147" s="283"/>
      <c r="F147" s="283"/>
      <c r="G147" s="283">
        <f>G148</f>
        <v>500000</v>
      </c>
      <c r="H147" s="283">
        <f t="shared" ref="H147:J147" si="39">H148</f>
        <v>0</v>
      </c>
      <c r="I147" s="283">
        <f t="shared" si="39"/>
        <v>500000</v>
      </c>
      <c r="J147" s="283">
        <f t="shared" si="39"/>
        <v>0</v>
      </c>
    </row>
    <row r="148" spans="1:13" ht="180" x14ac:dyDescent="0.2">
      <c r="A148" s="286" t="s">
        <v>252</v>
      </c>
      <c r="B148" s="286"/>
      <c r="C148" s="286"/>
      <c r="D148" s="286" t="s">
        <v>65</v>
      </c>
      <c r="E148" s="284"/>
      <c r="F148" s="284"/>
      <c r="G148" s="284">
        <f>SUM(G149:G150)</f>
        <v>500000</v>
      </c>
      <c r="H148" s="284">
        <f>SUM(H149:H150)</f>
        <v>0</v>
      </c>
      <c r="I148" s="284">
        <f>SUM(I149:I150)</f>
        <v>500000</v>
      </c>
      <c r="J148" s="284">
        <f>SUM(J149:J150)</f>
        <v>0</v>
      </c>
    </row>
    <row r="149" spans="1:13" ht="137.25" x14ac:dyDescent="0.2">
      <c r="A149" s="367" t="s">
        <v>466</v>
      </c>
      <c r="B149" s="367" t="s">
        <v>467</v>
      </c>
      <c r="C149" s="367" t="s">
        <v>81</v>
      </c>
      <c r="D149" s="383" t="s">
        <v>82</v>
      </c>
      <c r="E149" s="326" t="s">
        <v>787</v>
      </c>
      <c r="F149" s="356" t="s">
        <v>788</v>
      </c>
      <c r="G149" s="133">
        <f t="shared" ref="G149:G150" si="40">H149+I149</f>
        <v>400000</v>
      </c>
      <c r="H149" s="338">
        <f>'dod3'!E149</f>
        <v>0</v>
      </c>
      <c r="I149" s="338">
        <f>'dod3'!J149</f>
        <v>400000</v>
      </c>
      <c r="J149" s="280">
        <f>'dod3'!K149</f>
        <v>0</v>
      </c>
    </row>
    <row r="150" spans="1:13" ht="137.25" x14ac:dyDescent="0.2">
      <c r="A150" s="367" t="s">
        <v>468</v>
      </c>
      <c r="B150" s="367" t="s">
        <v>469</v>
      </c>
      <c r="C150" s="367" t="s">
        <v>83</v>
      </c>
      <c r="D150" s="383" t="s">
        <v>470</v>
      </c>
      <c r="E150" s="326" t="s">
        <v>787</v>
      </c>
      <c r="F150" s="356" t="s">
        <v>788</v>
      </c>
      <c r="G150" s="133">
        <f t="shared" si="40"/>
        <v>100000</v>
      </c>
      <c r="H150" s="338">
        <f>'dod3'!E150</f>
        <v>0</v>
      </c>
      <c r="I150" s="338">
        <f>'dod3'!J150</f>
        <v>100000</v>
      </c>
      <c r="J150" s="280">
        <f>'dod3'!K150</f>
        <v>0</v>
      </c>
    </row>
    <row r="151" spans="1:13" ht="225" x14ac:dyDescent="0.2">
      <c r="A151" s="282" t="s">
        <v>249</v>
      </c>
      <c r="B151" s="282"/>
      <c r="C151" s="282"/>
      <c r="D151" s="282" t="s">
        <v>582</v>
      </c>
      <c r="E151" s="283"/>
      <c r="F151" s="284"/>
      <c r="G151" s="283">
        <f>G152</f>
        <v>500000</v>
      </c>
      <c r="H151" s="283">
        <f t="shared" ref="H151:J151" si="41">H152</f>
        <v>0</v>
      </c>
      <c r="I151" s="283">
        <f t="shared" si="41"/>
        <v>500000</v>
      </c>
      <c r="J151" s="283">
        <f t="shared" si="41"/>
        <v>500000</v>
      </c>
    </row>
    <row r="152" spans="1:13" ht="270" x14ac:dyDescent="0.2">
      <c r="A152" s="286" t="s">
        <v>250</v>
      </c>
      <c r="B152" s="286"/>
      <c r="C152" s="286"/>
      <c r="D152" s="286" t="s">
        <v>583</v>
      </c>
      <c r="E152" s="284"/>
      <c r="F152" s="284"/>
      <c r="G152" s="284">
        <f>SUM(G153:G154)</f>
        <v>500000</v>
      </c>
      <c r="H152" s="284">
        <f t="shared" ref="H152:J152" si="42">SUM(H153:H154)</f>
        <v>0</v>
      </c>
      <c r="I152" s="284">
        <f t="shared" si="42"/>
        <v>500000</v>
      </c>
      <c r="J152" s="284">
        <f t="shared" si="42"/>
        <v>500000</v>
      </c>
    </row>
    <row r="153" spans="1:13" ht="139.5" x14ac:dyDescent="0.2">
      <c r="A153" s="383" t="s">
        <v>460</v>
      </c>
      <c r="B153" s="383" t="s">
        <v>461</v>
      </c>
      <c r="C153" s="383" t="s">
        <v>462</v>
      </c>
      <c r="D153" s="383" t="s">
        <v>459</v>
      </c>
      <c r="E153" s="133" t="s">
        <v>740</v>
      </c>
      <c r="F153" s="338"/>
      <c r="G153" s="133">
        <f t="shared" ref="G153:G154" si="43">H153+I153</f>
        <v>410000</v>
      </c>
      <c r="H153" s="338">
        <f>'dod3'!E154</f>
        <v>0</v>
      </c>
      <c r="I153" s="338">
        <f>'dod3'!J154</f>
        <v>410000</v>
      </c>
      <c r="J153" s="338">
        <f>'dod3'!K154</f>
        <v>410000</v>
      </c>
    </row>
    <row r="154" spans="1:13" ht="139.5" x14ac:dyDescent="0.2">
      <c r="A154" s="383" t="s">
        <v>614</v>
      </c>
      <c r="B154" s="383" t="s">
        <v>615</v>
      </c>
      <c r="C154" s="383" t="s">
        <v>257</v>
      </c>
      <c r="D154" s="383" t="s">
        <v>616</v>
      </c>
      <c r="E154" s="133" t="s">
        <v>740</v>
      </c>
      <c r="F154" s="338"/>
      <c r="G154" s="133">
        <f t="shared" si="43"/>
        <v>90000</v>
      </c>
      <c r="H154" s="338">
        <f>'dod3'!E155</f>
        <v>0</v>
      </c>
      <c r="I154" s="338">
        <f>'dod3'!J155</f>
        <v>90000</v>
      </c>
      <c r="J154" s="338">
        <f>'dod3'!K155</f>
        <v>90000</v>
      </c>
    </row>
    <row r="155" spans="1:13" ht="135" x14ac:dyDescent="0.2">
      <c r="A155" s="282" t="s">
        <v>255</v>
      </c>
      <c r="B155" s="282"/>
      <c r="C155" s="282"/>
      <c r="D155" s="282" t="s">
        <v>48</v>
      </c>
      <c r="E155" s="283"/>
      <c r="F155" s="284"/>
      <c r="G155" s="283">
        <f>G156</f>
        <v>50000</v>
      </c>
      <c r="H155" s="283">
        <f t="shared" ref="H155:J155" si="44">H156</f>
        <v>0</v>
      </c>
      <c r="I155" s="283">
        <f t="shared" si="44"/>
        <v>50000</v>
      </c>
      <c r="J155" s="283">
        <f t="shared" si="44"/>
        <v>50000</v>
      </c>
    </row>
    <row r="156" spans="1:13" ht="135" x14ac:dyDescent="0.2">
      <c r="A156" s="286" t="s">
        <v>256</v>
      </c>
      <c r="B156" s="286"/>
      <c r="C156" s="286"/>
      <c r="D156" s="286" t="s">
        <v>66</v>
      </c>
      <c r="E156" s="284"/>
      <c r="F156" s="284"/>
      <c r="G156" s="284">
        <f>SUM(G157)</f>
        <v>50000</v>
      </c>
      <c r="H156" s="284">
        <f t="shared" ref="H156:J156" si="45">SUM(H157)</f>
        <v>0</v>
      </c>
      <c r="I156" s="284">
        <f t="shared" si="45"/>
        <v>50000</v>
      </c>
      <c r="J156" s="284">
        <f t="shared" si="45"/>
        <v>50000</v>
      </c>
    </row>
    <row r="157" spans="1:13" ht="228.75" x14ac:dyDescent="0.2">
      <c r="A157" s="335" t="s">
        <v>764</v>
      </c>
      <c r="B157" s="335" t="s">
        <v>344</v>
      </c>
      <c r="C157" s="335" t="s">
        <v>342</v>
      </c>
      <c r="D157" s="335" t="s">
        <v>343</v>
      </c>
      <c r="E157" s="326" t="s">
        <v>768</v>
      </c>
      <c r="F157" s="338" t="s">
        <v>767</v>
      </c>
      <c r="G157" s="133">
        <f>H157+I157</f>
        <v>50000</v>
      </c>
      <c r="H157" s="337"/>
      <c r="I157" s="338">
        <f>'dod3'!J158</f>
        <v>50000</v>
      </c>
      <c r="J157" s="338">
        <f>'dod3'!K158</f>
        <v>50000</v>
      </c>
    </row>
    <row r="158" spans="1:13" s="3" customFormat="1" ht="81.75" customHeight="1" x14ac:dyDescent="1.1499999999999999">
      <c r="A158" s="259" t="s">
        <v>665</v>
      </c>
      <c r="B158" s="259" t="s">
        <v>665</v>
      </c>
      <c r="C158" s="259" t="s">
        <v>665</v>
      </c>
      <c r="D158" s="260" t="s">
        <v>683</v>
      </c>
      <c r="E158" s="259" t="s">
        <v>665</v>
      </c>
      <c r="F158" s="259" t="s">
        <v>665</v>
      </c>
      <c r="G158" s="168">
        <f>G12+G18+G95+G31+G43+G83+G111+G133+G138+G156+G141+G148+G152</f>
        <v>2773823866</v>
      </c>
      <c r="H158" s="168">
        <f>H12+H18+H95+H31+H43+H83+H111+H133+H138+H156+H141+H148+H152</f>
        <v>2399745792</v>
      </c>
      <c r="I158" s="168">
        <f>I12+I18+I95+I31+I43+I83+I111+I133+I138+I156+I141+I148+I152</f>
        <v>374078074</v>
      </c>
      <c r="J158" s="168">
        <f>J12+J18+J95+J31+J42+J83+J111+J133+J138+J156+J141+J148+J152</f>
        <v>244239789</v>
      </c>
      <c r="K158" s="393" t="b">
        <f>G158=H158+I158</f>
        <v>1</v>
      </c>
    </row>
    <row r="159" spans="1:13" ht="31.7" customHeight="1" x14ac:dyDescent="0.2">
      <c r="A159" s="458" t="s">
        <v>457</v>
      </c>
      <c r="B159" s="459"/>
      <c r="C159" s="459"/>
      <c r="D159" s="459"/>
      <c r="E159" s="459"/>
      <c r="F159" s="459"/>
      <c r="G159" s="459"/>
      <c r="H159" s="459"/>
      <c r="I159" s="459"/>
      <c r="J159" s="459"/>
    </row>
    <row r="160" spans="1:13" ht="31.7" customHeight="1" x14ac:dyDescent="0.2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</row>
    <row r="161" spans="1:10" ht="61.5" customHeight="1" x14ac:dyDescent="0.65">
      <c r="A161" s="247"/>
      <c r="B161" s="247"/>
      <c r="C161" s="247"/>
      <c r="D161" s="454" t="s">
        <v>656</v>
      </c>
      <c r="E161" s="454"/>
      <c r="F161" s="454"/>
      <c r="G161" s="454"/>
      <c r="H161" s="454"/>
      <c r="I161" s="454"/>
      <c r="J161" s="454"/>
    </row>
    <row r="162" spans="1:10" ht="45.75" x14ac:dyDescent="0.2">
      <c r="E162" s="28"/>
      <c r="F162" s="4"/>
      <c r="I162" s="157"/>
      <c r="J162" s="23"/>
    </row>
    <row r="163" spans="1:10" ht="45.75" x14ac:dyDescent="0.65">
      <c r="D163" s="454" t="s">
        <v>231</v>
      </c>
      <c r="E163" s="454"/>
      <c r="F163" s="454"/>
      <c r="G163" s="454"/>
      <c r="H163" s="454"/>
      <c r="I163" s="454"/>
      <c r="J163" s="454"/>
    </row>
    <row r="164" spans="1:10" x14ac:dyDescent="0.2">
      <c r="E164" s="5"/>
      <c r="F164" s="4"/>
    </row>
    <row r="165" spans="1:10" x14ac:dyDescent="0.2">
      <c r="E165" s="5"/>
      <c r="F165" s="4"/>
    </row>
    <row r="166" spans="1:10" ht="62.25" x14ac:dyDescent="0.8">
      <c r="A166"/>
      <c r="B166"/>
      <c r="C166"/>
      <c r="D166"/>
      <c r="E166" s="25"/>
      <c r="F166" s="157"/>
      <c r="I166" s="256"/>
      <c r="J166" s="193"/>
    </row>
    <row r="167" spans="1:10" ht="45.75" x14ac:dyDescent="0.2">
      <c r="E167" s="26"/>
      <c r="F167" s="255"/>
    </row>
    <row r="168" spans="1:10" ht="45.75" x14ac:dyDescent="0.2">
      <c r="A168"/>
      <c r="B168"/>
      <c r="C168"/>
      <c r="D168"/>
      <c r="E168" s="25"/>
      <c r="F168" s="157"/>
      <c r="I168" s="256"/>
      <c r="J168"/>
    </row>
    <row r="169" spans="1:10" ht="45.75" x14ac:dyDescent="0.2">
      <c r="E169" s="26"/>
      <c r="F169" s="255"/>
    </row>
    <row r="170" spans="1:10" ht="45.75" x14ac:dyDescent="0.2">
      <c r="E170" s="26"/>
      <c r="F170" s="255"/>
    </row>
    <row r="171" spans="1:10" ht="45.75" x14ac:dyDescent="0.2">
      <c r="E171" s="26"/>
      <c r="F171" s="255"/>
    </row>
    <row r="172" spans="1:10" ht="45.75" x14ac:dyDescent="0.2">
      <c r="A172"/>
      <c r="B172"/>
      <c r="C172"/>
      <c r="D172"/>
      <c r="E172" s="26"/>
      <c r="F172" s="255"/>
      <c r="G172" s="256"/>
      <c r="H172" s="256"/>
      <c r="I172" s="256"/>
      <c r="J172"/>
    </row>
    <row r="173" spans="1:10" ht="45.75" x14ac:dyDescent="0.2">
      <c r="A173"/>
      <c r="B173"/>
      <c r="C173"/>
      <c r="D173"/>
      <c r="E173" s="26"/>
      <c r="F173" s="255"/>
      <c r="G173" s="256"/>
      <c r="H173" s="256"/>
      <c r="I173" s="256"/>
      <c r="J173"/>
    </row>
    <row r="174" spans="1:10" ht="45.75" x14ac:dyDescent="0.2">
      <c r="A174"/>
      <c r="B174"/>
      <c r="C174"/>
      <c r="D174"/>
      <c r="E174" s="26"/>
      <c r="F174" s="255"/>
      <c r="G174" s="256"/>
      <c r="H174" s="256"/>
      <c r="I174" s="256"/>
      <c r="J174"/>
    </row>
    <row r="175" spans="1:10" ht="45.75" x14ac:dyDescent="0.2">
      <c r="A175"/>
      <c r="B175"/>
      <c r="C175"/>
      <c r="D175"/>
      <c r="E175" s="26"/>
      <c r="F175" s="255"/>
      <c r="G175" s="256"/>
      <c r="H175" s="256"/>
      <c r="I175" s="256"/>
      <c r="J175"/>
    </row>
  </sheetData>
  <mergeCells count="43">
    <mergeCell ref="G112:G113"/>
    <mergeCell ref="G75:G76"/>
    <mergeCell ref="H75:H76"/>
    <mergeCell ref="H8:H9"/>
    <mergeCell ref="D161:J161"/>
    <mergeCell ref="I8:J8"/>
    <mergeCell ref="F8:F9"/>
    <mergeCell ref="G8:G9"/>
    <mergeCell ref="H124:H125"/>
    <mergeCell ref="I124:I125"/>
    <mergeCell ref="J124:J125"/>
    <mergeCell ref="G126:G127"/>
    <mergeCell ref="D163:J163"/>
    <mergeCell ref="I75:I76"/>
    <mergeCell ref="J75:J76"/>
    <mergeCell ref="A159:J159"/>
    <mergeCell ref="A75:A76"/>
    <mergeCell ref="B75:B76"/>
    <mergeCell ref="C75:C76"/>
    <mergeCell ref="E75:E76"/>
    <mergeCell ref="F75:F76"/>
    <mergeCell ref="A112:A113"/>
    <mergeCell ref="B112:B113"/>
    <mergeCell ref="C112:C113"/>
    <mergeCell ref="D112:D113"/>
    <mergeCell ref="H112:H113"/>
    <mergeCell ref="I112:I113"/>
    <mergeCell ref="J112:J113"/>
    <mergeCell ref="I1:J1"/>
    <mergeCell ref="I2:J2"/>
    <mergeCell ref="I3:J3"/>
    <mergeCell ref="A5:J5"/>
    <mergeCell ref="A6:J6"/>
    <mergeCell ref="A8:A9"/>
    <mergeCell ref="B8:B9"/>
    <mergeCell ref="C8:C9"/>
    <mergeCell ref="D8:D9"/>
    <mergeCell ref="E8:E9"/>
    <mergeCell ref="A124:A125"/>
    <mergeCell ref="B124:B125"/>
    <mergeCell ref="C124:C125"/>
    <mergeCell ref="D124:D125"/>
    <mergeCell ref="G124:G125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3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L15"/>
  <sheetViews>
    <sheetView view="pageBreakPreview" topLeftCell="A2" zoomScale="115" zoomScaleNormal="100" zoomScaleSheetLayoutView="115" workbookViewId="0">
      <selection activeCell="K14" sqref="K14"/>
    </sheetView>
  </sheetViews>
  <sheetFormatPr defaultColWidth="9.140625" defaultRowHeight="12.75" x14ac:dyDescent="0.2"/>
  <cols>
    <col min="1" max="1" width="13.85546875" style="405" customWidth="1"/>
    <col min="2" max="2" width="13.7109375" style="405" customWidth="1"/>
    <col min="3" max="3" width="13.85546875" style="405" customWidth="1"/>
    <col min="4" max="4" width="20.85546875" style="405" customWidth="1"/>
    <col min="5" max="5" width="12.28515625" style="405" customWidth="1"/>
    <col min="6" max="6" width="17" style="405" customWidth="1"/>
    <col min="7" max="7" width="14" style="405" customWidth="1"/>
    <col min="8" max="8" width="11.7109375" style="405" customWidth="1"/>
    <col min="9" max="9" width="12" style="405" customWidth="1"/>
    <col min="10" max="11" width="12.140625" style="405" customWidth="1"/>
    <col min="12" max="12" width="11.5703125" style="405" customWidth="1"/>
    <col min="13" max="16384" width="9.140625" style="405"/>
  </cols>
  <sheetData>
    <row r="3" spans="1:12" ht="15.75" customHeight="1" x14ac:dyDescent="0.2">
      <c r="A3" s="404"/>
      <c r="B3" s="404"/>
      <c r="C3" s="404"/>
      <c r="D3" s="404"/>
      <c r="E3" s="404"/>
      <c r="F3" s="404"/>
      <c r="G3" s="404"/>
      <c r="H3" s="404"/>
      <c r="I3" s="404"/>
      <c r="J3" s="531" t="s">
        <v>797</v>
      </c>
      <c r="K3" s="531"/>
      <c r="L3" s="531"/>
    </row>
    <row r="4" spans="1:12" ht="15.75" x14ac:dyDescent="0.2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</row>
    <row r="5" spans="1:12" ht="15.75" x14ac:dyDescent="0.2">
      <c r="A5" s="406"/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</row>
    <row r="6" spans="1:12" ht="18.75" customHeight="1" x14ac:dyDescent="0.2">
      <c r="A6" s="532" t="s">
        <v>798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</row>
    <row r="7" spans="1:12" ht="40.700000000000003" customHeight="1" x14ac:dyDescent="0.2">
      <c r="A7" s="533" t="s">
        <v>799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</row>
    <row r="8" spans="1:12" ht="33.75" customHeight="1" x14ac:dyDescent="0.2">
      <c r="A8" s="530" t="s">
        <v>800</v>
      </c>
      <c r="B8" s="530" t="s">
        <v>801</v>
      </c>
      <c r="C8" s="530" t="s">
        <v>802</v>
      </c>
      <c r="D8" s="530" t="s">
        <v>803</v>
      </c>
      <c r="E8" s="530" t="s">
        <v>804</v>
      </c>
      <c r="F8" s="530" t="s">
        <v>805</v>
      </c>
      <c r="G8" s="530" t="s">
        <v>806</v>
      </c>
      <c r="H8" s="530" t="s">
        <v>807</v>
      </c>
      <c r="I8" s="530" t="s">
        <v>808</v>
      </c>
      <c r="J8" s="530"/>
      <c r="K8" s="530"/>
      <c r="L8" s="530" t="s">
        <v>809</v>
      </c>
    </row>
    <row r="9" spans="1:12" ht="163.5" customHeight="1" x14ac:dyDescent="0.2">
      <c r="A9" s="530"/>
      <c r="B9" s="530"/>
      <c r="C9" s="530"/>
      <c r="D9" s="530"/>
      <c r="E9" s="530"/>
      <c r="F9" s="530"/>
      <c r="G9" s="530"/>
      <c r="H9" s="530"/>
      <c r="I9" s="407" t="s">
        <v>810</v>
      </c>
      <c r="J9" s="407" t="s">
        <v>811</v>
      </c>
      <c r="K9" s="407" t="s">
        <v>812</v>
      </c>
      <c r="L9" s="530"/>
    </row>
    <row r="10" spans="1:12" x14ac:dyDescent="0.2">
      <c r="A10" s="408">
        <v>1</v>
      </c>
      <c r="B10" s="408">
        <v>2</v>
      </c>
      <c r="C10" s="408">
        <v>3</v>
      </c>
      <c r="D10" s="408">
        <v>4</v>
      </c>
      <c r="E10" s="408">
        <v>5</v>
      </c>
      <c r="F10" s="408">
        <v>6</v>
      </c>
      <c r="G10" s="408">
        <v>7</v>
      </c>
      <c r="H10" s="408">
        <v>8</v>
      </c>
      <c r="I10" s="408">
        <v>9</v>
      </c>
      <c r="J10" s="408">
        <v>10</v>
      </c>
      <c r="K10" s="408">
        <v>11</v>
      </c>
      <c r="L10" s="408">
        <v>12</v>
      </c>
    </row>
    <row r="11" spans="1:12" ht="110.25" x14ac:dyDescent="0.2">
      <c r="A11" s="409" t="s">
        <v>319</v>
      </c>
      <c r="B11" s="410">
        <v>7640</v>
      </c>
      <c r="C11" s="409" t="s">
        <v>321</v>
      </c>
      <c r="D11" s="410" t="s">
        <v>813</v>
      </c>
      <c r="E11" s="410" t="s">
        <v>814</v>
      </c>
      <c r="F11" s="410" t="s">
        <v>815</v>
      </c>
      <c r="G11" s="410" t="s">
        <v>816</v>
      </c>
      <c r="H11" s="410" t="s">
        <v>817</v>
      </c>
      <c r="I11" s="410" t="s">
        <v>818</v>
      </c>
      <c r="J11" s="411">
        <v>11839.748</v>
      </c>
      <c r="K11" s="411">
        <v>11839.748</v>
      </c>
      <c r="L11" s="411">
        <v>1183.9749999999999</v>
      </c>
    </row>
    <row r="12" spans="1:12" ht="12.75" customHeight="1" x14ac:dyDescent="0.2">
      <c r="A12" s="412" t="s">
        <v>819</v>
      </c>
      <c r="B12" s="412" t="s">
        <v>819</v>
      </c>
      <c r="C12" s="412" t="s">
        <v>819</v>
      </c>
      <c r="D12" s="413" t="s">
        <v>683</v>
      </c>
      <c r="E12" s="412" t="s">
        <v>819</v>
      </c>
      <c r="F12" s="412" t="s">
        <v>819</v>
      </c>
      <c r="G12" s="412" t="s">
        <v>819</v>
      </c>
      <c r="H12" s="412" t="s">
        <v>819</v>
      </c>
      <c r="I12" s="412" t="s">
        <v>819</v>
      </c>
      <c r="J12" s="411">
        <v>11839.748</v>
      </c>
      <c r="K12" s="411">
        <v>11839.748</v>
      </c>
      <c r="L12" s="411">
        <v>1183.9749999999999</v>
      </c>
    </row>
    <row r="13" spans="1:12" ht="15" x14ac:dyDescent="0.2">
      <c r="A13" s="414"/>
    </row>
    <row r="14" spans="1:12" ht="15.75" x14ac:dyDescent="0.2">
      <c r="B14" s="404" t="s">
        <v>653</v>
      </c>
      <c r="I14" s="414"/>
      <c r="K14" s="404" t="s">
        <v>655</v>
      </c>
    </row>
    <row r="15" spans="1:12" ht="15.75" x14ac:dyDescent="0.2">
      <c r="B15" s="404" t="s">
        <v>170</v>
      </c>
      <c r="G15" s="414"/>
      <c r="K15" s="404" t="s">
        <v>171</v>
      </c>
    </row>
  </sheetData>
  <mergeCells count="13">
    <mergeCell ref="H8:H9"/>
    <mergeCell ref="I8:K8"/>
    <mergeCell ref="L8:L9"/>
    <mergeCell ref="J3:L3"/>
    <mergeCell ref="A6:L6"/>
    <mergeCell ref="A7:L7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19685039370078741" bottom="0.19685039370078741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15</vt:i4>
      </vt:variant>
    </vt:vector>
  </HeadingPairs>
  <TitlesOfParts>
    <vt:vector size="26" baseType="lpstr">
      <vt:lpstr>дод1</vt:lpstr>
      <vt:lpstr>dod2</vt:lpstr>
      <vt:lpstr>dod3</vt:lpstr>
      <vt:lpstr>dod4</vt:lpstr>
      <vt:lpstr>dod5</vt:lpstr>
      <vt:lpstr>dod6</vt:lpstr>
      <vt:lpstr>dod7</vt:lpstr>
      <vt:lpstr>dod8</vt:lpstr>
      <vt:lpstr>dod9</vt:lpstr>
      <vt:lpstr>dod3 до МВК</vt:lpstr>
      <vt:lpstr>Різниця до МВК</vt:lpstr>
      <vt:lpstr>'dod3'!Заголовки_для_друку</vt:lpstr>
      <vt:lpstr>'dod3 до МВК'!Заголовки_для_друку</vt:lpstr>
      <vt:lpstr>'dod5'!Заголовки_для_друку</vt:lpstr>
      <vt:lpstr>'dod8'!Заголовки_для_друку</vt:lpstr>
      <vt:lpstr>'Різниця до МВК'!Заголовки_для_друку</vt:lpstr>
      <vt:lpstr>'dod2'!Область_друку</vt:lpstr>
      <vt:lpstr>'dod3'!Область_друку</vt:lpstr>
      <vt:lpstr>'dod3 до МВК'!Область_друку</vt:lpstr>
      <vt:lpstr>'dod4'!Область_друку</vt:lpstr>
      <vt:lpstr>'dod5'!Область_друку</vt:lpstr>
      <vt:lpstr>'dod6'!Область_друку</vt:lpstr>
      <vt:lpstr>'dod7'!Область_друку</vt:lpstr>
      <vt:lpstr>'dod8'!Область_друку</vt:lpstr>
      <vt:lpstr>дод1!Область_друку</vt:lpstr>
      <vt:lpstr>'Різниця до МВК'!Область_друку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2018-11-30T11:16:52Z</cp:lastPrinted>
  <dcterms:created xsi:type="dcterms:W3CDTF">2001-12-03T09:30:42Z</dcterms:created>
  <dcterms:modified xsi:type="dcterms:W3CDTF">2018-11-30T12:08:27Z</dcterms:modified>
</cp:coreProperties>
</file>